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-my.sharepoint.com/personal/e804642_corp_santander_pt/Documents/Desktop/Novos Requisitos LT P3/"/>
    </mc:Choice>
  </mc:AlternateContent>
  <bookViews>
    <workbookView xWindow="0" yWindow="0" windowWidth="23040" windowHeight="9192" tabRatio="839" firstSheet="3" activeTab="8"/>
  </bookViews>
  <sheets>
    <sheet name="PlanoV1.0" sheetId="11" state="hidden" r:id="rId1"/>
    <sheet name="Sheet1" sheetId="12" state="hidden" r:id="rId2"/>
    <sheet name="RESUMO" sheetId="8" state="hidden" r:id="rId3"/>
    <sheet name="Sheet1 (2)" sheetId="13" r:id="rId4"/>
    <sheet name="LISTA - Setembro2024" sheetId="4" r:id="rId5"/>
    <sheet name="LISTA - Abril2024" sheetId="3" state="hidden" r:id="rId6"/>
    <sheet name="LISTA - Atual" sheetId="1" state="hidden" r:id="rId7"/>
    <sheet name="Auxiliar" sheetId="10" r:id="rId8"/>
    <sheet name="Planemaneto rev.equipa" sheetId="15" r:id="rId9"/>
    <sheet name="Sheet3" sheetId="16" r:id="rId10"/>
    <sheet name="Campos Resumo Prop2.0" sheetId="14" state="hidden" r:id="rId11"/>
    <sheet name="DataLake" sheetId="5" state="hidden" r:id="rId12"/>
  </sheets>
  <definedNames>
    <definedName name="_AMO_UniqueIdentifier" hidden="1">"'98fdfd1e-8a18-42d0-9169-4592737fd980'"</definedName>
    <definedName name="_xlnm._FilterDatabase" localSheetId="10" hidden="1">'Campos Resumo Prop2.0'!$B$2:$G$2</definedName>
    <definedName name="_xlnm._FilterDatabase" localSheetId="11" hidden="1">DataLake!$A$3:$D$429</definedName>
    <definedName name="_xlnm._FilterDatabase" localSheetId="5" hidden="1">'LISTA - Abril2024'!$A$1:$J$478</definedName>
    <definedName name="_xlnm._FilterDatabase" localSheetId="6" hidden="1">'LISTA - Atual'!$A$1:$U$444</definedName>
    <definedName name="_xlnm._FilterDatabase" localSheetId="4" hidden="1">'LISTA - Setembro2024'!$A$3:$AK$539</definedName>
    <definedName name="_xlnm._FilterDatabase" localSheetId="0" hidden="1">PlanoV1.0!$B$8:$D$37</definedName>
    <definedName name="_xlcn.WorksheetConnection_LISTASetembro2024A3Z5391" hidden="1">'LISTA - Setembro2024'!$A$3:$Z$539</definedName>
    <definedName name="asefadf" localSheetId="10">#REF!</definedName>
    <definedName name="asefadf" localSheetId="5">#REF!</definedName>
    <definedName name="asefadf" localSheetId="4">#REF!</definedName>
    <definedName name="asefadf" localSheetId="8">#REF!</definedName>
    <definedName name="asefadf" localSheetId="0">#REF!</definedName>
    <definedName name="asefadf">#REF!</definedName>
    <definedName name="bn" localSheetId="5">#REF!</definedName>
    <definedName name="bn" localSheetId="8">#REF!</definedName>
    <definedName name="bn">#REF!</definedName>
  </definedNames>
  <calcPr calcId="162913"/>
  <pivotCaches>
    <pivotCache cacheId="19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LISTA - Setembro2024!$A$3:$Z$53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9" i="15" l="1"/>
  <c r="C115" i="15"/>
  <c r="C114" i="15"/>
  <c r="B62" i="15"/>
  <c r="C62" i="15"/>
  <c r="G62" i="15" s="1"/>
  <c r="H62" i="15" s="1"/>
  <c r="B63" i="15"/>
  <c r="C63" i="15"/>
  <c r="G63" i="15"/>
  <c r="H63" i="15" s="1"/>
  <c r="B64" i="15"/>
  <c r="C64" i="15"/>
  <c r="G64" i="15" s="1"/>
  <c r="H64" i="15" s="1"/>
  <c r="B65" i="15"/>
  <c r="C65" i="15"/>
  <c r="G65" i="15"/>
  <c r="H65" i="15" s="1"/>
  <c r="B66" i="15"/>
  <c r="C66" i="15"/>
  <c r="G66" i="15" s="1"/>
  <c r="H66" i="15" s="1"/>
  <c r="B67" i="15"/>
  <c r="C67" i="15"/>
  <c r="G67" i="15"/>
  <c r="H67" i="15" s="1"/>
  <c r="E47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C226" i="15"/>
  <c r="B226" i="15"/>
  <c r="C225" i="15"/>
  <c r="B225" i="15"/>
  <c r="C224" i="15"/>
  <c r="B224" i="15"/>
  <c r="C223" i="15"/>
  <c r="B223" i="15"/>
  <c r="C222" i="15"/>
  <c r="B222" i="15"/>
  <c r="C221" i="15"/>
  <c r="B221" i="15"/>
  <c r="C220" i="15"/>
  <c r="G220" i="15" s="1"/>
  <c r="H220" i="15" s="1"/>
  <c r="B220" i="15"/>
  <c r="C219" i="15"/>
  <c r="B219" i="15"/>
  <c r="G219" i="15" s="1"/>
  <c r="H219" i="15" s="1"/>
  <c r="C218" i="15"/>
  <c r="B218" i="15"/>
  <c r="C217" i="15"/>
  <c r="B217" i="15"/>
  <c r="C216" i="15"/>
  <c r="B216" i="15"/>
  <c r="C215" i="15"/>
  <c r="B215" i="15"/>
  <c r="C214" i="15"/>
  <c r="G214" i="15" s="1"/>
  <c r="H214" i="15" s="1"/>
  <c r="B214" i="15"/>
  <c r="C213" i="15"/>
  <c r="B213" i="15"/>
  <c r="C212" i="15"/>
  <c r="G212" i="15" s="1"/>
  <c r="H212" i="15" s="1"/>
  <c r="B212" i="15"/>
  <c r="C211" i="15"/>
  <c r="B211" i="15"/>
  <c r="C210" i="15"/>
  <c r="B210" i="15"/>
  <c r="C209" i="15"/>
  <c r="B209" i="15"/>
  <c r="C208" i="15"/>
  <c r="G208" i="15" s="1"/>
  <c r="H208" i="15" s="1"/>
  <c r="B208" i="15"/>
  <c r="C207" i="15"/>
  <c r="B207" i="15"/>
  <c r="C206" i="15"/>
  <c r="B206" i="15"/>
  <c r="C205" i="15"/>
  <c r="B205" i="15"/>
  <c r="C204" i="15"/>
  <c r="G204" i="15" s="1"/>
  <c r="H204" i="15" s="1"/>
  <c r="B204" i="15"/>
  <c r="C203" i="15"/>
  <c r="B203" i="15"/>
  <c r="C202" i="15"/>
  <c r="B202" i="15"/>
  <c r="C201" i="15"/>
  <c r="B201" i="15"/>
  <c r="C200" i="15"/>
  <c r="B200" i="15"/>
  <c r="C199" i="15"/>
  <c r="B199" i="15"/>
  <c r="C198" i="15"/>
  <c r="B198" i="15"/>
  <c r="C197" i="15"/>
  <c r="B197" i="15"/>
  <c r="C196" i="15"/>
  <c r="G196" i="15" s="1"/>
  <c r="H196" i="15" s="1"/>
  <c r="B196" i="15"/>
  <c r="C195" i="15"/>
  <c r="B195" i="15"/>
  <c r="C194" i="15"/>
  <c r="B194" i="15"/>
  <c r="C193" i="15"/>
  <c r="B193" i="15"/>
  <c r="C192" i="15"/>
  <c r="G192" i="15" s="1"/>
  <c r="H192" i="15" s="1"/>
  <c r="B192" i="15"/>
  <c r="C191" i="15"/>
  <c r="B191" i="15"/>
  <c r="C190" i="15"/>
  <c r="G190" i="15" s="1"/>
  <c r="H190" i="15" s="1"/>
  <c r="B190" i="15"/>
  <c r="C189" i="15"/>
  <c r="B189" i="15"/>
  <c r="C188" i="15"/>
  <c r="B188" i="15"/>
  <c r="C187" i="15"/>
  <c r="B187" i="15"/>
  <c r="C186" i="15"/>
  <c r="B186" i="15"/>
  <c r="C185" i="15"/>
  <c r="B185" i="15"/>
  <c r="C184" i="15"/>
  <c r="B184" i="15"/>
  <c r="C183" i="15"/>
  <c r="B183" i="15"/>
  <c r="C182" i="15"/>
  <c r="B182" i="15"/>
  <c r="C181" i="15"/>
  <c r="B181" i="15"/>
  <c r="C180" i="15"/>
  <c r="B180" i="15"/>
  <c r="C179" i="15"/>
  <c r="B179" i="15"/>
  <c r="C178" i="15"/>
  <c r="B178" i="15"/>
  <c r="C177" i="15"/>
  <c r="B177" i="15"/>
  <c r="C176" i="15"/>
  <c r="B176" i="15"/>
  <c r="C175" i="15"/>
  <c r="B175" i="15"/>
  <c r="C174" i="15"/>
  <c r="G174" i="15" s="1"/>
  <c r="H174" i="15" s="1"/>
  <c r="B174" i="15"/>
  <c r="C173" i="15"/>
  <c r="B173" i="15"/>
  <c r="C172" i="15"/>
  <c r="B172" i="15"/>
  <c r="C171" i="15"/>
  <c r="B171" i="15"/>
  <c r="C170" i="15"/>
  <c r="B170" i="15"/>
  <c r="C169" i="15"/>
  <c r="B169" i="15"/>
  <c r="C168" i="15"/>
  <c r="B168" i="15"/>
  <c r="C167" i="15"/>
  <c r="B167" i="15"/>
  <c r="C166" i="15"/>
  <c r="G166" i="15" s="1"/>
  <c r="H166" i="15" s="1"/>
  <c r="B166" i="15"/>
  <c r="C165" i="15"/>
  <c r="B165" i="15"/>
  <c r="C164" i="15"/>
  <c r="B164" i="15"/>
  <c r="C163" i="15"/>
  <c r="B163" i="15"/>
  <c r="C162" i="15"/>
  <c r="B162" i="15"/>
  <c r="C161" i="15"/>
  <c r="B161" i="15"/>
  <c r="C160" i="15"/>
  <c r="B160" i="15"/>
  <c r="C159" i="15"/>
  <c r="B159" i="15"/>
  <c r="F158" i="15"/>
  <c r="C157" i="15"/>
  <c r="B157" i="15"/>
  <c r="C156" i="15"/>
  <c r="B156" i="15"/>
  <c r="C155" i="15"/>
  <c r="B155" i="15"/>
  <c r="C154" i="15"/>
  <c r="B154" i="15"/>
  <c r="C153" i="15"/>
  <c r="B153" i="15"/>
  <c r="C152" i="15"/>
  <c r="B152" i="15"/>
  <c r="C151" i="15"/>
  <c r="B151" i="15"/>
  <c r="C150" i="15"/>
  <c r="B150" i="15"/>
  <c r="C149" i="15"/>
  <c r="B149" i="15"/>
  <c r="C148" i="15"/>
  <c r="B148" i="15"/>
  <c r="C147" i="15"/>
  <c r="B147" i="15"/>
  <c r="C146" i="15"/>
  <c r="B146" i="15"/>
  <c r="C145" i="15"/>
  <c r="B145" i="15"/>
  <c r="C144" i="15"/>
  <c r="B144" i="15"/>
  <c r="C143" i="15"/>
  <c r="B143" i="15"/>
  <c r="C142" i="15"/>
  <c r="B142" i="15"/>
  <c r="C141" i="15"/>
  <c r="B141" i="15"/>
  <c r="C140" i="15"/>
  <c r="B140" i="15"/>
  <c r="C139" i="15"/>
  <c r="B139" i="15"/>
  <c r="C138" i="15"/>
  <c r="B138" i="15"/>
  <c r="C137" i="15"/>
  <c r="B137" i="15"/>
  <c r="C136" i="15"/>
  <c r="B136" i="15"/>
  <c r="C135" i="15"/>
  <c r="B135" i="15"/>
  <c r="C134" i="15"/>
  <c r="B134" i="15"/>
  <c r="C133" i="15"/>
  <c r="B133" i="15"/>
  <c r="C132" i="15"/>
  <c r="B132" i="15"/>
  <c r="C131" i="15"/>
  <c r="B131" i="15"/>
  <c r="C130" i="15"/>
  <c r="B130" i="15"/>
  <c r="C129" i="15"/>
  <c r="B129" i="15"/>
  <c r="G129" i="15" s="1"/>
  <c r="H129" i="15" s="1"/>
  <c r="C128" i="15"/>
  <c r="G128" i="15" s="1"/>
  <c r="H128" i="15" s="1"/>
  <c r="B128" i="15"/>
  <c r="C127" i="15"/>
  <c r="B127" i="15"/>
  <c r="C126" i="15"/>
  <c r="G126" i="15" s="1"/>
  <c r="H126" i="15" s="1"/>
  <c r="B126" i="15"/>
  <c r="C125" i="15"/>
  <c r="B125" i="15"/>
  <c r="C124" i="15"/>
  <c r="B124" i="15"/>
  <c r="C123" i="15"/>
  <c r="B123" i="15"/>
  <c r="C122" i="15"/>
  <c r="B122" i="15"/>
  <c r="C121" i="15"/>
  <c r="B121" i="15"/>
  <c r="C120" i="15"/>
  <c r="B120" i="15"/>
  <c r="B119" i="15"/>
  <c r="C118" i="15"/>
  <c r="B118" i="15"/>
  <c r="C117" i="15"/>
  <c r="B117" i="15"/>
  <c r="C116" i="15"/>
  <c r="B116" i="15"/>
  <c r="B115" i="15"/>
  <c r="B114" i="15"/>
  <c r="C113" i="15"/>
  <c r="B113" i="15"/>
  <c r="C112" i="15"/>
  <c r="B112" i="15"/>
  <c r="C111" i="15"/>
  <c r="B111" i="15"/>
  <c r="C110" i="15"/>
  <c r="B110" i="15"/>
  <c r="C109" i="15"/>
  <c r="B109" i="15"/>
  <c r="C108" i="15"/>
  <c r="B108" i="15"/>
  <c r="C107" i="15"/>
  <c r="B107" i="15"/>
  <c r="C106" i="15"/>
  <c r="B106" i="15"/>
  <c r="C105" i="15"/>
  <c r="B105" i="15"/>
  <c r="C104" i="15"/>
  <c r="B104" i="15"/>
  <c r="C103" i="15"/>
  <c r="B103" i="15"/>
  <c r="C102" i="15"/>
  <c r="B102" i="15"/>
  <c r="C101" i="15"/>
  <c r="B101" i="15"/>
  <c r="C100" i="15"/>
  <c r="B100" i="15"/>
  <c r="C99" i="15"/>
  <c r="B99" i="15"/>
  <c r="C98" i="15"/>
  <c r="B98" i="15"/>
  <c r="C97" i="15"/>
  <c r="B97" i="15"/>
  <c r="C96" i="15"/>
  <c r="B96" i="15"/>
  <c r="C95" i="15"/>
  <c r="B95" i="15"/>
  <c r="C94" i="15"/>
  <c r="B94" i="15"/>
  <c r="C93" i="15"/>
  <c r="B93" i="15"/>
  <c r="C92" i="15"/>
  <c r="B92" i="15"/>
  <c r="C91" i="15"/>
  <c r="B91" i="15"/>
  <c r="C90" i="15"/>
  <c r="B90" i="15"/>
  <c r="F89" i="15"/>
  <c r="C88" i="15"/>
  <c r="B88" i="15"/>
  <c r="C87" i="15"/>
  <c r="B87" i="15"/>
  <c r="C86" i="15"/>
  <c r="B86" i="15"/>
  <c r="C85" i="15"/>
  <c r="B85" i="15"/>
  <c r="C84" i="15"/>
  <c r="B84" i="15"/>
  <c r="C83" i="15"/>
  <c r="B83" i="15"/>
  <c r="C82" i="15"/>
  <c r="B82" i="15"/>
  <c r="C81" i="15"/>
  <c r="B81" i="15"/>
  <c r="C80" i="15"/>
  <c r="G80" i="15" s="1"/>
  <c r="H80" i="15" s="1"/>
  <c r="B80" i="15"/>
  <c r="C79" i="15"/>
  <c r="B79" i="15"/>
  <c r="C78" i="15"/>
  <c r="B78" i="15"/>
  <c r="C77" i="15"/>
  <c r="B77" i="15"/>
  <c r="C76" i="15"/>
  <c r="B76" i="15"/>
  <c r="C75" i="15"/>
  <c r="B75" i="15"/>
  <c r="C74" i="15"/>
  <c r="B74" i="15"/>
  <c r="C73" i="15"/>
  <c r="B73" i="15"/>
  <c r="G73" i="15" s="1"/>
  <c r="H73" i="15" s="1"/>
  <c r="C72" i="15"/>
  <c r="G72" i="15" s="1"/>
  <c r="H72" i="15" s="1"/>
  <c r="B72" i="15"/>
  <c r="C71" i="15"/>
  <c r="B71" i="15"/>
  <c r="C70" i="15"/>
  <c r="G70" i="15" s="1"/>
  <c r="H70" i="15" s="1"/>
  <c r="B70" i="15"/>
  <c r="C69" i="15"/>
  <c r="B69" i="15"/>
  <c r="F68" i="15"/>
  <c r="C61" i="15"/>
  <c r="B61" i="15"/>
  <c r="C60" i="15"/>
  <c r="B60" i="15"/>
  <c r="G60" i="15" s="1"/>
  <c r="H60" i="15" s="1"/>
  <c r="C59" i="15"/>
  <c r="B59" i="15"/>
  <c r="C58" i="15"/>
  <c r="B58" i="15"/>
  <c r="C57" i="15"/>
  <c r="B57" i="15"/>
  <c r="C56" i="15"/>
  <c r="B56" i="15"/>
  <c r="C55" i="15"/>
  <c r="B55" i="15"/>
  <c r="C54" i="15"/>
  <c r="B54" i="15"/>
  <c r="C53" i="15"/>
  <c r="B53" i="15"/>
  <c r="C52" i="15"/>
  <c r="B52" i="15"/>
  <c r="C51" i="15"/>
  <c r="B51" i="15"/>
  <c r="C50" i="15"/>
  <c r="B50" i="15"/>
  <c r="C49" i="15"/>
  <c r="B49" i="15"/>
  <c r="C48" i="15"/>
  <c r="B48" i="15"/>
  <c r="C47" i="15"/>
  <c r="B47" i="15"/>
  <c r="C46" i="15"/>
  <c r="B46" i="15"/>
  <c r="C45" i="15"/>
  <c r="B45" i="15"/>
  <c r="C44" i="15"/>
  <c r="B44" i="15"/>
  <c r="C43" i="15"/>
  <c r="B43" i="15"/>
  <c r="C42" i="15"/>
  <c r="B42" i="15"/>
  <c r="C41" i="15"/>
  <c r="B41" i="15"/>
  <c r="C40" i="15"/>
  <c r="B40" i="15"/>
  <c r="C39" i="15"/>
  <c r="B39" i="15"/>
  <c r="C38" i="15"/>
  <c r="B38" i="15"/>
  <c r="C37" i="15"/>
  <c r="B37" i="15"/>
  <c r="C36" i="15"/>
  <c r="B36" i="15"/>
  <c r="C35" i="15"/>
  <c r="B35" i="15"/>
  <c r="C34" i="15"/>
  <c r="B34" i="15"/>
  <c r="C33" i="15"/>
  <c r="B33" i="15"/>
  <c r="C32" i="15"/>
  <c r="B32" i="15"/>
  <c r="C31" i="15"/>
  <c r="B31" i="15"/>
  <c r="C30" i="15"/>
  <c r="B30" i="15"/>
  <c r="C29" i="15"/>
  <c r="B29" i="15"/>
  <c r="C28" i="15"/>
  <c r="B28" i="15"/>
  <c r="C27" i="15"/>
  <c r="B27" i="15"/>
  <c r="C26" i="15"/>
  <c r="B26" i="15"/>
  <c r="C25" i="15"/>
  <c r="B25" i="15"/>
  <c r="C24" i="15"/>
  <c r="B24" i="15"/>
  <c r="C23" i="15"/>
  <c r="B23" i="15"/>
  <c r="C22" i="15"/>
  <c r="B22" i="15"/>
  <c r="C21" i="15"/>
  <c r="B21" i="15"/>
  <c r="C20" i="15"/>
  <c r="B20" i="15"/>
  <c r="F19" i="15"/>
  <c r="H17" i="15"/>
  <c r="I17" i="15" s="1"/>
  <c r="G16" i="15"/>
  <c r="G12" i="15" s="1"/>
  <c r="H15" i="15"/>
  <c r="I15" i="15" s="1"/>
  <c r="H14" i="15"/>
  <c r="I14" i="15" s="1"/>
  <c r="H13" i="15"/>
  <c r="I13" i="15" s="1"/>
  <c r="G10" i="15"/>
  <c r="H11" i="15"/>
  <c r="H9" i="15"/>
  <c r="I9" i="15" s="1"/>
  <c r="H8" i="15"/>
  <c r="G8" i="15" s="1"/>
  <c r="G132" i="15" l="1"/>
  <c r="H132" i="15" s="1"/>
  <c r="G156" i="15"/>
  <c r="H156" i="15" s="1"/>
  <c r="G185" i="15"/>
  <c r="H185" i="15" s="1"/>
  <c r="G189" i="15"/>
  <c r="H189" i="15" s="1"/>
  <c r="G193" i="15"/>
  <c r="H193" i="15" s="1"/>
  <c r="G197" i="15"/>
  <c r="H197" i="15" s="1"/>
  <c r="G209" i="15"/>
  <c r="H209" i="15" s="1"/>
  <c r="G213" i="15"/>
  <c r="H213" i="15" s="1"/>
  <c r="G202" i="15"/>
  <c r="H202" i="15" s="1"/>
  <c r="G206" i="15"/>
  <c r="H206" i="15" s="1"/>
  <c r="G92" i="15"/>
  <c r="H92" i="15" s="1"/>
  <c r="G100" i="15"/>
  <c r="H100" i="15" s="1"/>
  <c r="G116" i="15"/>
  <c r="H116" i="15" s="1"/>
  <c r="G198" i="15"/>
  <c r="H198" i="15" s="1"/>
  <c r="G91" i="15"/>
  <c r="H91" i="15" s="1"/>
  <c r="G95" i="15"/>
  <c r="H95" i="15" s="1"/>
  <c r="G111" i="15"/>
  <c r="H111" i="15" s="1"/>
  <c r="G115" i="15"/>
  <c r="H115" i="15" s="1"/>
  <c r="G218" i="15"/>
  <c r="H218" i="15" s="1"/>
  <c r="G79" i="15"/>
  <c r="H79" i="15" s="1"/>
  <c r="G222" i="15"/>
  <c r="H222" i="15" s="1"/>
  <c r="G226" i="15"/>
  <c r="H226" i="15" s="1"/>
  <c r="G84" i="15"/>
  <c r="H84" i="15" s="1"/>
  <c r="G108" i="15"/>
  <c r="H108" i="15" s="1"/>
  <c r="G120" i="15"/>
  <c r="H120" i="15" s="1"/>
  <c r="G160" i="15"/>
  <c r="H160" i="15" s="1"/>
  <c r="G164" i="15"/>
  <c r="H164" i="15" s="1"/>
  <c r="G184" i="15"/>
  <c r="H184" i="15" s="1"/>
  <c r="G188" i="15"/>
  <c r="H188" i="15" s="1"/>
  <c r="G101" i="15"/>
  <c r="H101" i="15" s="1"/>
  <c r="G117" i="15"/>
  <c r="H117" i="15" s="1"/>
  <c r="G121" i="15"/>
  <c r="H121" i="15" s="1"/>
  <c r="G216" i="15"/>
  <c r="H216" i="15" s="1"/>
  <c r="G170" i="15"/>
  <c r="H170" i="15" s="1"/>
  <c r="G178" i="15"/>
  <c r="H178" i="15" s="1"/>
  <c r="G182" i="15"/>
  <c r="H182" i="15" s="1"/>
  <c r="F18" i="15"/>
  <c r="G23" i="15"/>
  <c r="H23" i="15" s="1"/>
  <c r="G27" i="15"/>
  <c r="H27" i="15" s="1"/>
  <c r="G31" i="15"/>
  <c r="H31" i="15" s="1"/>
  <c r="G35" i="15"/>
  <c r="H35" i="15" s="1"/>
  <c r="G39" i="15"/>
  <c r="H39" i="15" s="1"/>
  <c r="G43" i="15"/>
  <c r="H43" i="15" s="1"/>
  <c r="G47" i="15"/>
  <c r="H47" i="15" s="1"/>
  <c r="G51" i="15"/>
  <c r="H51" i="15" s="1"/>
  <c r="G55" i="15"/>
  <c r="H55" i="15" s="1"/>
  <c r="G59" i="15"/>
  <c r="H59" i="15" s="1"/>
  <c r="G94" i="15"/>
  <c r="H94" i="15" s="1"/>
  <c r="G98" i="15"/>
  <c r="H98" i="15" s="1"/>
  <c r="G105" i="15"/>
  <c r="H105" i="15" s="1"/>
  <c r="G113" i="15"/>
  <c r="H113" i="15" s="1"/>
  <c r="G124" i="15"/>
  <c r="H124" i="15" s="1"/>
  <c r="G186" i="15"/>
  <c r="H186" i="15" s="1"/>
  <c r="G194" i="15"/>
  <c r="H194" i="15" s="1"/>
  <c r="G205" i="15"/>
  <c r="H205" i="15" s="1"/>
  <c r="G224" i="15"/>
  <c r="H224" i="15" s="1"/>
  <c r="G69" i="15"/>
  <c r="H69" i="15" s="1"/>
  <c r="G76" i="15"/>
  <c r="H76" i="15" s="1"/>
  <c r="G87" i="15"/>
  <c r="H87" i="15" s="1"/>
  <c r="G110" i="15"/>
  <c r="H110" i="15" s="1"/>
  <c r="G118" i="15"/>
  <c r="H118" i="15" s="1"/>
  <c r="G168" i="15"/>
  <c r="H168" i="15" s="1"/>
  <c r="G172" i="15"/>
  <c r="H172" i="15" s="1"/>
  <c r="G21" i="15"/>
  <c r="H21" i="15" s="1"/>
  <c r="G25" i="15"/>
  <c r="H25" i="15" s="1"/>
  <c r="G29" i="15"/>
  <c r="H29" i="15" s="1"/>
  <c r="G33" i="15"/>
  <c r="H33" i="15" s="1"/>
  <c r="G37" i="15"/>
  <c r="H37" i="15" s="1"/>
  <c r="G41" i="15"/>
  <c r="H41" i="15" s="1"/>
  <c r="G45" i="15"/>
  <c r="H45" i="15" s="1"/>
  <c r="G88" i="15"/>
  <c r="H88" i="15" s="1"/>
  <c r="G96" i="15"/>
  <c r="H96" i="15" s="1"/>
  <c r="G176" i="15"/>
  <c r="H176" i="15" s="1"/>
  <c r="G180" i="15"/>
  <c r="H180" i="15" s="1"/>
  <c r="G210" i="15"/>
  <c r="H210" i="15" s="1"/>
  <c r="G225" i="15"/>
  <c r="H225" i="15" s="1"/>
  <c r="G81" i="15"/>
  <c r="H81" i="15" s="1"/>
  <c r="G97" i="15"/>
  <c r="H97" i="15" s="1"/>
  <c r="G104" i="15"/>
  <c r="H104" i="15" s="1"/>
  <c r="G162" i="15"/>
  <c r="H162" i="15" s="1"/>
  <c r="G177" i="15"/>
  <c r="H177" i="15" s="1"/>
  <c r="G181" i="15"/>
  <c r="H181" i="15" s="1"/>
  <c r="G78" i="15"/>
  <c r="H78" i="15" s="1"/>
  <c r="G85" i="15"/>
  <c r="H85" i="15" s="1"/>
  <c r="G112" i="15"/>
  <c r="H112" i="15" s="1"/>
  <c r="G127" i="15"/>
  <c r="H127" i="15" s="1"/>
  <c r="G200" i="15"/>
  <c r="H200" i="15" s="1"/>
  <c r="G24" i="15"/>
  <c r="H24" i="15" s="1"/>
  <c r="G40" i="15"/>
  <c r="H40" i="15" s="1"/>
  <c r="G44" i="15"/>
  <c r="H44" i="15" s="1"/>
  <c r="G48" i="15"/>
  <c r="H48" i="15" s="1"/>
  <c r="G52" i="15"/>
  <c r="H52" i="15" s="1"/>
  <c r="G56" i="15"/>
  <c r="H56" i="15" s="1"/>
  <c r="G71" i="15"/>
  <c r="H71" i="15" s="1"/>
  <c r="G74" i="15"/>
  <c r="H74" i="15" s="1"/>
  <c r="G99" i="15"/>
  <c r="H99" i="15" s="1"/>
  <c r="G102" i="15"/>
  <c r="H102" i="15" s="1"/>
  <c r="G109" i="15"/>
  <c r="H109" i="15" s="1"/>
  <c r="G119" i="15"/>
  <c r="H119" i="15" s="1"/>
  <c r="G122" i="15"/>
  <c r="H122" i="15" s="1"/>
  <c r="G133" i="15"/>
  <c r="H133" i="15" s="1"/>
  <c r="G137" i="15"/>
  <c r="H137" i="15" s="1"/>
  <c r="G141" i="15"/>
  <c r="H141" i="15" s="1"/>
  <c r="G145" i="15"/>
  <c r="H145" i="15" s="1"/>
  <c r="G149" i="15"/>
  <c r="H149" i="15" s="1"/>
  <c r="G153" i="15"/>
  <c r="H153" i="15" s="1"/>
  <c r="G183" i="15"/>
  <c r="H183" i="15" s="1"/>
  <c r="G199" i="15"/>
  <c r="H199" i="15" s="1"/>
  <c r="G215" i="15"/>
  <c r="H215" i="15" s="1"/>
  <c r="G221" i="15"/>
  <c r="H221" i="15" s="1"/>
  <c r="G20" i="15"/>
  <c r="H20" i="15" s="1"/>
  <c r="G28" i="15"/>
  <c r="H28" i="15" s="1"/>
  <c r="G32" i="15"/>
  <c r="H32" i="15" s="1"/>
  <c r="G36" i="15"/>
  <c r="H36" i="15" s="1"/>
  <c r="G49" i="15"/>
  <c r="H49" i="15" s="1"/>
  <c r="G53" i="15"/>
  <c r="H53" i="15" s="1"/>
  <c r="G57" i="15"/>
  <c r="H57" i="15" s="1"/>
  <c r="G61" i="15"/>
  <c r="H61" i="15" s="1"/>
  <c r="G75" i="15"/>
  <c r="H75" i="15" s="1"/>
  <c r="G82" i="15"/>
  <c r="H82" i="15" s="1"/>
  <c r="G93" i="15"/>
  <c r="H93" i="15" s="1"/>
  <c r="G103" i="15"/>
  <c r="H103" i="15" s="1"/>
  <c r="G106" i="15"/>
  <c r="H106" i="15" s="1"/>
  <c r="G123" i="15"/>
  <c r="H123" i="15" s="1"/>
  <c r="G130" i="15"/>
  <c r="H130" i="15" s="1"/>
  <c r="G134" i="15"/>
  <c r="H134" i="15" s="1"/>
  <c r="G138" i="15"/>
  <c r="H138" i="15" s="1"/>
  <c r="G142" i="15"/>
  <c r="H142" i="15" s="1"/>
  <c r="G146" i="15"/>
  <c r="H146" i="15" s="1"/>
  <c r="G150" i="15"/>
  <c r="H150" i="15" s="1"/>
  <c r="G154" i="15"/>
  <c r="H154" i="15" s="1"/>
  <c r="G157" i="15"/>
  <c r="H157" i="15" s="1"/>
  <c r="G187" i="15"/>
  <c r="H187" i="15" s="1"/>
  <c r="G203" i="15"/>
  <c r="H203" i="15" s="1"/>
  <c r="H16" i="15"/>
  <c r="I16" i="15" s="1"/>
  <c r="I12" i="15" s="1"/>
  <c r="G22" i="15"/>
  <c r="H22" i="15" s="1"/>
  <c r="G30" i="15"/>
  <c r="H30" i="15" s="1"/>
  <c r="G34" i="15"/>
  <c r="H34" i="15" s="1"/>
  <c r="G38" i="15"/>
  <c r="H38" i="15" s="1"/>
  <c r="G46" i="15"/>
  <c r="H46" i="15" s="1"/>
  <c r="G54" i="15"/>
  <c r="H54" i="15" s="1"/>
  <c r="G58" i="15"/>
  <c r="H58" i="15" s="1"/>
  <c r="G83" i="15"/>
  <c r="H83" i="15" s="1"/>
  <c r="G86" i="15"/>
  <c r="H86" i="15" s="1"/>
  <c r="G90" i="15"/>
  <c r="G107" i="15"/>
  <c r="H107" i="15" s="1"/>
  <c r="G114" i="15"/>
  <c r="H114" i="15" s="1"/>
  <c r="G131" i="15"/>
  <c r="H131" i="15" s="1"/>
  <c r="G135" i="15"/>
  <c r="H135" i="15" s="1"/>
  <c r="G139" i="15"/>
  <c r="H139" i="15" s="1"/>
  <c r="G143" i="15"/>
  <c r="H143" i="15" s="1"/>
  <c r="G147" i="15"/>
  <c r="H147" i="15" s="1"/>
  <c r="G151" i="15"/>
  <c r="H151" i="15" s="1"/>
  <c r="G155" i="15"/>
  <c r="H155" i="15" s="1"/>
  <c r="G191" i="15"/>
  <c r="H191" i="15" s="1"/>
  <c r="G207" i="15"/>
  <c r="H207" i="15" s="1"/>
  <c r="G26" i="15"/>
  <c r="H26" i="15" s="1"/>
  <c r="G42" i="15"/>
  <c r="H42" i="15" s="1"/>
  <c r="G50" i="15"/>
  <c r="H50" i="15" s="1"/>
  <c r="G201" i="15"/>
  <c r="H201" i="15" s="1"/>
  <c r="G223" i="15"/>
  <c r="H223" i="15" s="1"/>
  <c r="G77" i="15"/>
  <c r="H77" i="15" s="1"/>
  <c r="G125" i="15"/>
  <c r="H125" i="15" s="1"/>
  <c r="G136" i="15"/>
  <c r="H136" i="15" s="1"/>
  <c r="G140" i="15"/>
  <c r="H140" i="15" s="1"/>
  <c r="G144" i="15"/>
  <c r="H144" i="15" s="1"/>
  <c r="G148" i="15"/>
  <c r="H148" i="15" s="1"/>
  <c r="G152" i="15"/>
  <c r="H152" i="15" s="1"/>
  <c r="G179" i="15"/>
  <c r="H179" i="15" s="1"/>
  <c r="G195" i="15"/>
  <c r="H195" i="15" s="1"/>
  <c r="G211" i="15"/>
  <c r="H211" i="15" s="1"/>
  <c r="G217" i="15"/>
  <c r="H217" i="15" s="1"/>
  <c r="G163" i="15"/>
  <c r="H163" i="15" s="1"/>
  <c r="G171" i="15"/>
  <c r="H171" i="15" s="1"/>
  <c r="D233" i="15"/>
  <c r="G9" i="15"/>
  <c r="H10" i="15"/>
  <c r="I10" i="15" s="1"/>
  <c r="G161" i="15"/>
  <c r="H161" i="15" s="1"/>
  <c r="G169" i="15"/>
  <c r="H169" i="15" s="1"/>
  <c r="G159" i="15"/>
  <c r="G167" i="15"/>
  <c r="H167" i="15" s="1"/>
  <c r="G175" i="15"/>
  <c r="H175" i="15" s="1"/>
  <c r="G165" i="15"/>
  <c r="H165" i="15" s="1"/>
  <c r="G173" i="15"/>
  <c r="H173" i="15" s="1"/>
  <c r="C45" i="13"/>
  <c r="Z240" i="13"/>
  <c r="Z239" i="13"/>
  <c r="H12" i="15" l="1"/>
  <c r="H68" i="15"/>
  <c r="I68" i="15" s="1"/>
  <c r="G89" i="15"/>
  <c r="G68" i="15"/>
  <c r="H90" i="15"/>
  <c r="H89" i="15" s="1"/>
  <c r="I89" i="15" s="1"/>
  <c r="G19" i="15"/>
  <c r="H19" i="15"/>
  <c r="I19" i="15" s="1"/>
  <c r="G158" i="15"/>
  <c r="H159" i="15"/>
  <c r="H158" i="15" s="1"/>
  <c r="CQ6" i="13"/>
  <c r="CP6" i="13"/>
  <c r="CO6" i="13"/>
  <c r="CN6" i="13"/>
  <c r="CM6" i="13"/>
  <c r="CL6" i="13"/>
  <c r="CK6" i="13"/>
  <c r="CJ6" i="13"/>
  <c r="CI6" i="13"/>
  <c r="CH6" i="13"/>
  <c r="CG6" i="13"/>
  <c r="CF6" i="13"/>
  <c r="CE6" i="13"/>
  <c r="CD6" i="13"/>
  <c r="CC6" i="13"/>
  <c r="CB6" i="13"/>
  <c r="CA6" i="13"/>
  <c r="BZ6" i="13"/>
  <c r="BY6" i="13"/>
  <c r="BX6" i="13"/>
  <c r="BW6" i="13"/>
  <c r="BV6" i="13"/>
  <c r="BU6" i="13"/>
  <c r="BT6" i="13"/>
  <c r="BS6" i="13"/>
  <c r="BR6" i="13"/>
  <c r="BQ6" i="13"/>
  <c r="BP6" i="13"/>
  <c r="BO6" i="13"/>
  <c r="BN6" i="13"/>
  <c r="BM6" i="13"/>
  <c r="BL6" i="13"/>
  <c r="BK6" i="13"/>
  <c r="BJ6" i="13"/>
  <c r="BI6" i="13"/>
  <c r="BH6" i="13"/>
  <c r="BG6" i="13"/>
  <c r="BF6" i="13"/>
  <c r="BE6" i="13"/>
  <c r="BD6" i="13"/>
  <c r="BC6" i="13"/>
  <c r="BB6" i="13"/>
  <c r="BA6" i="13"/>
  <c r="AZ6" i="13"/>
  <c r="AY6" i="13"/>
  <c r="AX6" i="13"/>
  <c r="AW6" i="13"/>
  <c r="AV6" i="13"/>
  <c r="AU6" i="13"/>
  <c r="AT6" i="13"/>
  <c r="AS6" i="13"/>
  <c r="AR6" i="13"/>
  <c r="AQ6" i="13"/>
  <c r="AP6" i="13"/>
  <c r="AO6" i="13"/>
  <c r="AN6" i="13"/>
  <c r="AM6" i="13"/>
  <c r="AL6" i="13"/>
  <c r="AK6" i="13"/>
  <c r="AJ6" i="13"/>
  <c r="AI6" i="13"/>
  <c r="AH6" i="13"/>
  <c r="AG6" i="13"/>
  <c r="AF6" i="13"/>
  <c r="AE6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AN3" i="13"/>
  <c r="F161" i="13"/>
  <c r="F92" i="13"/>
  <c r="F22" i="13"/>
  <c r="H227" i="15" l="1"/>
  <c r="I158" i="15"/>
  <c r="AF214" i="4"/>
  <c r="AF250" i="4"/>
  <c r="AF254" i="4"/>
  <c r="AF363" i="4"/>
  <c r="AF364" i="4"/>
  <c r="AF459" i="4"/>
  <c r="AF461" i="4"/>
  <c r="AF462" i="4"/>
  <c r="AF497" i="4"/>
  <c r="AF499" i="4"/>
  <c r="AF500" i="4"/>
  <c r="AF516" i="4"/>
  <c r="F71" i="13"/>
  <c r="AD249" i="4"/>
  <c r="AG539" i="4"/>
  <c r="AG538" i="4"/>
  <c r="AG533" i="4"/>
  <c r="AG531" i="4"/>
  <c r="AG530" i="4"/>
  <c r="AG529" i="4"/>
  <c r="AG521" i="4"/>
  <c r="AG520" i="4"/>
  <c r="AG519" i="4"/>
  <c r="AG515" i="4"/>
  <c r="AG514" i="4"/>
  <c r="AG513" i="4"/>
  <c r="AG512" i="4"/>
  <c r="AG511" i="4"/>
  <c r="AG510" i="4"/>
  <c r="AG501" i="4"/>
  <c r="AG498" i="4"/>
  <c r="AG496" i="4"/>
  <c r="AG452" i="4"/>
  <c r="AG434" i="4"/>
  <c r="AG423" i="4"/>
  <c r="AG373" i="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CA3" i="13"/>
  <c r="CA2" i="13" s="1"/>
  <c r="CA1" i="13"/>
  <c r="I227" i="15" l="1"/>
  <c r="G227" i="15"/>
  <c r="G18" i="15" s="1"/>
  <c r="H18" i="15"/>
  <c r="BZ1" i="13"/>
  <c r="BZ3" i="13" l="1"/>
  <c r="BZ2" i="13" s="1"/>
  <c r="BY3" i="13"/>
  <c r="BY2" i="13" s="1"/>
  <c r="BX3" i="13"/>
  <c r="BX2" i="13" s="1"/>
  <c r="BW3" i="13"/>
  <c r="BW2" i="13" s="1"/>
  <c r="BV3" i="13"/>
  <c r="BV2" i="13" s="1"/>
  <c r="BY1" i="13"/>
  <c r="BX1" i="13"/>
  <c r="BW1" i="13"/>
  <c r="BV1" i="13"/>
  <c r="H20" i="13"/>
  <c r="I20" i="13" s="1"/>
  <c r="H19" i="13"/>
  <c r="I19" i="13" s="1"/>
  <c r="H18" i="13"/>
  <c r="I18" i="13" s="1"/>
  <c r="H17" i="13"/>
  <c r="I17" i="13" s="1"/>
  <c r="H16" i="13"/>
  <c r="I16" i="13" s="1"/>
  <c r="G14" i="13"/>
  <c r="G12" i="13" s="1"/>
  <c r="G15" i="13"/>
  <c r="G19" i="13"/>
  <c r="BU3" i="13"/>
  <c r="BU2" i="13" s="1"/>
  <c r="C221" i="13"/>
  <c r="B221" i="13"/>
  <c r="C220" i="13"/>
  <c r="B220" i="13"/>
  <c r="C219" i="13"/>
  <c r="B219" i="13"/>
  <c r="C218" i="13"/>
  <c r="B218" i="13"/>
  <c r="C217" i="13"/>
  <c r="B217" i="13"/>
  <c r="C216" i="13"/>
  <c r="B216" i="13"/>
  <c r="C215" i="13"/>
  <c r="B215" i="13"/>
  <c r="C214" i="13"/>
  <c r="B214" i="13"/>
  <c r="C213" i="13"/>
  <c r="B213" i="13"/>
  <c r="C193" i="13"/>
  <c r="B193" i="13"/>
  <c r="C212" i="13"/>
  <c r="B212" i="13"/>
  <c r="C211" i="13"/>
  <c r="B211" i="13"/>
  <c r="C210" i="13"/>
  <c r="B210" i="13"/>
  <c r="C209" i="13"/>
  <c r="B209" i="13"/>
  <c r="C208" i="13"/>
  <c r="B208" i="13"/>
  <c r="C207" i="13"/>
  <c r="B207" i="13"/>
  <c r="C206" i="13"/>
  <c r="B206" i="13"/>
  <c r="C205" i="13"/>
  <c r="B205" i="13"/>
  <c r="C204" i="13"/>
  <c r="B204" i="13"/>
  <c r="C203" i="13"/>
  <c r="B203" i="13"/>
  <c r="C202" i="13"/>
  <c r="B202" i="13"/>
  <c r="C201" i="13"/>
  <c r="B201" i="13"/>
  <c r="C200" i="13"/>
  <c r="B200" i="13"/>
  <c r="C199" i="13"/>
  <c r="B199" i="13"/>
  <c r="C198" i="13"/>
  <c r="B198" i="13"/>
  <c r="C197" i="13"/>
  <c r="B197" i="13"/>
  <c r="C196" i="13"/>
  <c r="B196" i="13"/>
  <c r="C195" i="13"/>
  <c r="B195" i="13"/>
  <c r="C194" i="13"/>
  <c r="B194" i="13"/>
  <c r="C187" i="13"/>
  <c r="B187" i="13"/>
  <c r="C229" i="13"/>
  <c r="B229" i="13"/>
  <c r="C228" i="13"/>
  <c r="B228" i="13"/>
  <c r="C186" i="13"/>
  <c r="B186" i="13"/>
  <c r="C191" i="13"/>
  <c r="B191" i="13"/>
  <c r="C190" i="13"/>
  <c r="B190" i="13"/>
  <c r="C189" i="13"/>
  <c r="B189" i="13"/>
  <c r="C188" i="13"/>
  <c r="B188" i="13"/>
  <c r="C185" i="13"/>
  <c r="B185" i="13"/>
  <c r="C184" i="13"/>
  <c r="B184" i="13"/>
  <c r="C183" i="13"/>
  <c r="B183" i="13"/>
  <c r="C182" i="13"/>
  <c r="B182" i="13"/>
  <c r="C227" i="13"/>
  <c r="B227" i="13"/>
  <c r="C226" i="13"/>
  <c r="B226" i="13"/>
  <c r="C225" i="13"/>
  <c r="B225" i="13"/>
  <c r="C224" i="13"/>
  <c r="B224" i="13"/>
  <c r="C192" i="13"/>
  <c r="B192" i="13"/>
  <c r="C223" i="13"/>
  <c r="B223" i="13"/>
  <c r="C222" i="13"/>
  <c r="B222" i="13"/>
  <c r="C181" i="13"/>
  <c r="B181" i="13"/>
  <c r="C180" i="13"/>
  <c r="B180" i="13"/>
  <c r="C179" i="13"/>
  <c r="B179" i="13"/>
  <c r="C178" i="13"/>
  <c r="B178" i="13"/>
  <c r="C177" i="13"/>
  <c r="B177" i="13"/>
  <c r="C176" i="13"/>
  <c r="B176" i="13"/>
  <c r="C175" i="13"/>
  <c r="B175" i="13"/>
  <c r="C174" i="13"/>
  <c r="B174" i="13"/>
  <c r="C173" i="13"/>
  <c r="B173" i="13"/>
  <c r="C172" i="13"/>
  <c r="B172" i="13"/>
  <c r="C171" i="13"/>
  <c r="B171" i="13"/>
  <c r="C170" i="13"/>
  <c r="B170" i="13"/>
  <c r="C169" i="13"/>
  <c r="B169" i="13"/>
  <c r="C168" i="13"/>
  <c r="B168" i="13"/>
  <c r="C167" i="13"/>
  <c r="B167" i="13"/>
  <c r="C166" i="13"/>
  <c r="B166" i="13"/>
  <c r="C165" i="13"/>
  <c r="B165" i="13"/>
  <c r="C164" i="13"/>
  <c r="B164" i="13"/>
  <c r="C163" i="13"/>
  <c r="B163" i="13"/>
  <c r="C162" i="13"/>
  <c r="B162" i="13"/>
  <c r="C152" i="13"/>
  <c r="B152" i="13"/>
  <c r="C151" i="13"/>
  <c r="B151" i="13"/>
  <c r="C150" i="13"/>
  <c r="B150" i="13"/>
  <c r="C149" i="13"/>
  <c r="B149" i="13"/>
  <c r="C148" i="13"/>
  <c r="B148" i="13"/>
  <c r="C147" i="13"/>
  <c r="B147" i="13"/>
  <c r="C146" i="13"/>
  <c r="B146" i="13"/>
  <c r="C145" i="13"/>
  <c r="B145" i="13"/>
  <c r="C144" i="13"/>
  <c r="B144" i="13"/>
  <c r="C124" i="13"/>
  <c r="B124" i="13"/>
  <c r="C143" i="13"/>
  <c r="B143" i="13"/>
  <c r="C142" i="13"/>
  <c r="B142" i="13"/>
  <c r="C141" i="13"/>
  <c r="B141" i="13"/>
  <c r="C140" i="13"/>
  <c r="B140" i="13"/>
  <c r="C139" i="13"/>
  <c r="B139" i="13"/>
  <c r="C138" i="13"/>
  <c r="B138" i="13"/>
  <c r="C137" i="13"/>
  <c r="B137" i="13"/>
  <c r="C136" i="13"/>
  <c r="B136" i="13"/>
  <c r="C135" i="13"/>
  <c r="B135" i="13"/>
  <c r="C134" i="13"/>
  <c r="B134" i="13"/>
  <c r="C133" i="13"/>
  <c r="B133" i="13"/>
  <c r="C132" i="13"/>
  <c r="B132" i="13"/>
  <c r="C131" i="13"/>
  <c r="B131" i="13"/>
  <c r="C130" i="13"/>
  <c r="B130" i="13"/>
  <c r="C129" i="13"/>
  <c r="B129" i="13"/>
  <c r="C128" i="13"/>
  <c r="B128" i="13"/>
  <c r="C127" i="13"/>
  <c r="B127" i="13"/>
  <c r="C126" i="13"/>
  <c r="B126" i="13"/>
  <c r="C125" i="13"/>
  <c r="B125" i="13"/>
  <c r="C118" i="13"/>
  <c r="B118" i="13"/>
  <c r="C160" i="13"/>
  <c r="B160" i="13"/>
  <c r="C159" i="13"/>
  <c r="B159" i="13"/>
  <c r="C117" i="13"/>
  <c r="B117" i="13"/>
  <c r="C122" i="13"/>
  <c r="B122" i="13"/>
  <c r="C121" i="13"/>
  <c r="B121" i="13"/>
  <c r="C120" i="13"/>
  <c r="B120" i="13"/>
  <c r="C119" i="13"/>
  <c r="B119" i="13"/>
  <c r="C116" i="13"/>
  <c r="B116" i="13"/>
  <c r="C115" i="13"/>
  <c r="B115" i="13"/>
  <c r="C114" i="13"/>
  <c r="B114" i="13"/>
  <c r="C113" i="13"/>
  <c r="B113" i="13"/>
  <c r="C157" i="13"/>
  <c r="B157" i="13"/>
  <c r="C156" i="13"/>
  <c r="B156" i="13"/>
  <c r="C155" i="13"/>
  <c r="B155" i="13"/>
  <c r="C158" i="13"/>
  <c r="B158" i="13"/>
  <c r="C123" i="13"/>
  <c r="B123" i="13"/>
  <c r="C154" i="13"/>
  <c r="B154" i="13"/>
  <c r="C153" i="13"/>
  <c r="B153" i="13"/>
  <c r="C112" i="13"/>
  <c r="B112" i="13"/>
  <c r="C111" i="13"/>
  <c r="B111" i="13"/>
  <c r="C110" i="13"/>
  <c r="B110" i="13"/>
  <c r="C109" i="13"/>
  <c r="B109" i="13"/>
  <c r="C108" i="13"/>
  <c r="B108" i="13"/>
  <c r="C107" i="13"/>
  <c r="B107" i="13"/>
  <c r="C106" i="13"/>
  <c r="B106" i="13"/>
  <c r="C105" i="13"/>
  <c r="B105" i="13"/>
  <c r="C104" i="13"/>
  <c r="B104" i="13"/>
  <c r="C103" i="13"/>
  <c r="B103" i="13"/>
  <c r="C102" i="13"/>
  <c r="B102" i="13"/>
  <c r="C101" i="13"/>
  <c r="B101" i="13"/>
  <c r="C100" i="13"/>
  <c r="B100" i="13"/>
  <c r="C99" i="13"/>
  <c r="B99" i="13"/>
  <c r="C98" i="13"/>
  <c r="B98" i="13"/>
  <c r="C97" i="13"/>
  <c r="B97" i="13"/>
  <c r="C96" i="13"/>
  <c r="B96" i="13"/>
  <c r="C95" i="13"/>
  <c r="B95" i="13"/>
  <c r="C94" i="13"/>
  <c r="B94" i="13"/>
  <c r="C93" i="13"/>
  <c r="B93" i="13"/>
  <c r="C83" i="13"/>
  <c r="B83" i="13"/>
  <c r="C82" i="13"/>
  <c r="B82" i="13"/>
  <c r="C81" i="13"/>
  <c r="B81" i="13"/>
  <c r="C80" i="13"/>
  <c r="B80" i="13"/>
  <c r="C79" i="13"/>
  <c r="B79" i="13"/>
  <c r="C78" i="13"/>
  <c r="B78" i="13"/>
  <c r="C77" i="13"/>
  <c r="B77" i="13"/>
  <c r="C76" i="13"/>
  <c r="B76" i="13"/>
  <c r="C91" i="13"/>
  <c r="B91" i="13"/>
  <c r="C90" i="13"/>
  <c r="B90" i="13"/>
  <c r="C89" i="13"/>
  <c r="B89" i="13"/>
  <c r="C88" i="13"/>
  <c r="B88" i="13"/>
  <c r="C87" i="13"/>
  <c r="B87" i="13"/>
  <c r="C86" i="13"/>
  <c r="B86" i="13"/>
  <c r="C75" i="13"/>
  <c r="B75" i="13"/>
  <c r="C74" i="13"/>
  <c r="B74" i="13"/>
  <c r="C85" i="13"/>
  <c r="B85" i="13"/>
  <c r="C73" i="13"/>
  <c r="B73" i="13"/>
  <c r="C84" i="13"/>
  <c r="B84" i="13"/>
  <c r="C72" i="13"/>
  <c r="B72" i="13"/>
  <c r="C55" i="13"/>
  <c r="B55" i="13"/>
  <c r="C54" i="13"/>
  <c r="B54" i="13"/>
  <c r="C53" i="13"/>
  <c r="B53" i="13"/>
  <c r="C52" i="13"/>
  <c r="B52" i="13"/>
  <c r="C51" i="13"/>
  <c r="B51" i="13"/>
  <c r="C50" i="13"/>
  <c r="B50" i="13"/>
  <c r="C49" i="13"/>
  <c r="B49" i="13"/>
  <c r="C64" i="13"/>
  <c r="B64" i="13"/>
  <c r="C63" i="13"/>
  <c r="B63" i="13"/>
  <c r="C62" i="13"/>
  <c r="B62" i="13"/>
  <c r="C70" i="13"/>
  <c r="B70" i="13"/>
  <c r="C69" i="13"/>
  <c r="B69" i="13"/>
  <c r="C48" i="13"/>
  <c r="B48" i="13"/>
  <c r="C61" i="13"/>
  <c r="B61" i="13"/>
  <c r="C60" i="13"/>
  <c r="B60" i="13"/>
  <c r="C59" i="13"/>
  <c r="B59" i="13"/>
  <c r="C58" i="13"/>
  <c r="B58" i="13"/>
  <c r="C47" i="13"/>
  <c r="B47" i="13"/>
  <c r="C46" i="13"/>
  <c r="B46" i="13"/>
  <c r="B45" i="13"/>
  <c r="C44" i="13"/>
  <c r="B44" i="13"/>
  <c r="C68" i="13"/>
  <c r="B68" i="13"/>
  <c r="C67" i="13"/>
  <c r="B67" i="13"/>
  <c r="C66" i="13"/>
  <c r="B66" i="13"/>
  <c r="C43" i="13"/>
  <c r="B43" i="13"/>
  <c r="C57" i="13"/>
  <c r="B57" i="13"/>
  <c r="C65" i="13"/>
  <c r="B65" i="13"/>
  <c r="C56" i="13"/>
  <c r="B56" i="13"/>
  <c r="C42" i="13"/>
  <c r="B42" i="13"/>
  <c r="C41" i="13"/>
  <c r="B41" i="13"/>
  <c r="C40" i="13"/>
  <c r="B40" i="13"/>
  <c r="C39" i="13"/>
  <c r="B39" i="13"/>
  <c r="C38" i="13"/>
  <c r="B38" i="13"/>
  <c r="C37" i="13"/>
  <c r="B37" i="13"/>
  <c r="C36" i="13"/>
  <c r="B36" i="13"/>
  <c r="C35" i="13"/>
  <c r="B35" i="13"/>
  <c r="C34" i="13"/>
  <c r="B34" i="13"/>
  <c r="C33" i="13"/>
  <c r="B33" i="13"/>
  <c r="C32" i="13"/>
  <c r="B32" i="13"/>
  <c r="C31" i="13"/>
  <c r="B31" i="13"/>
  <c r="C30" i="13"/>
  <c r="B30" i="13"/>
  <c r="C29" i="13"/>
  <c r="B29" i="13"/>
  <c r="C28" i="13"/>
  <c r="B28" i="13"/>
  <c r="C27" i="13"/>
  <c r="B27" i="13"/>
  <c r="C26" i="13"/>
  <c r="B26" i="13"/>
  <c r="C25" i="13"/>
  <c r="B25" i="13"/>
  <c r="C24" i="13"/>
  <c r="B24" i="13"/>
  <c r="C23" i="13"/>
  <c r="B23" i="13"/>
  <c r="H13" i="13"/>
  <c r="H11" i="13"/>
  <c r="G11" i="13" s="1"/>
  <c r="H10" i="13"/>
  <c r="G10" i="13" s="1"/>
  <c r="J8" i="13"/>
  <c r="K8" i="13" s="1"/>
  <c r="L8" i="13" s="1"/>
  <c r="M8" i="13" s="1"/>
  <c r="N8" i="13" s="1"/>
  <c r="O8" i="13" s="1"/>
  <c r="P8" i="13" s="1"/>
  <c r="Q8" i="13" s="1"/>
  <c r="R8" i="13" s="1"/>
  <c r="S8" i="13" s="1"/>
  <c r="T8" i="13" s="1"/>
  <c r="U8" i="13" s="1"/>
  <c r="V8" i="13" s="1"/>
  <c r="W8" i="13" s="1"/>
  <c r="X8" i="13" s="1"/>
  <c r="Y8" i="13" s="1"/>
  <c r="Z8" i="13" s="1"/>
  <c r="AA8" i="13" s="1"/>
  <c r="AB8" i="13" s="1"/>
  <c r="AC8" i="13" s="1"/>
  <c r="AD8" i="13" s="1"/>
  <c r="AE8" i="13" s="1"/>
  <c r="AF8" i="13" s="1"/>
  <c r="AG8" i="13" s="1"/>
  <c r="AH8" i="13" s="1"/>
  <c r="AI8" i="13" s="1"/>
  <c r="AJ8" i="13" s="1"/>
  <c r="AK8" i="13" s="1"/>
  <c r="AL8" i="13" s="1"/>
  <c r="AM8" i="13" s="1"/>
  <c r="AN8" i="13" s="1"/>
  <c r="AO8" i="13" s="1"/>
  <c r="AP8" i="13" s="1"/>
  <c r="AQ8" i="13" s="1"/>
  <c r="AR8" i="13" s="1"/>
  <c r="AS8" i="13" s="1"/>
  <c r="AT8" i="13" s="1"/>
  <c r="AU8" i="13" s="1"/>
  <c r="AV8" i="13" s="1"/>
  <c r="AW8" i="13" s="1"/>
  <c r="AX8" i="13" s="1"/>
  <c r="AY8" i="13" s="1"/>
  <c r="AZ8" i="13" s="1"/>
  <c r="BA8" i="13" s="1"/>
  <c r="BB8" i="13" s="1"/>
  <c r="BC8" i="13" s="1"/>
  <c r="BD8" i="13" s="1"/>
  <c r="BE8" i="13" s="1"/>
  <c r="BF8" i="13" s="1"/>
  <c r="BG8" i="13" s="1"/>
  <c r="BH8" i="13" s="1"/>
  <c r="BI8" i="13" s="1"/>
  <c r="BJ8" i="13" s="1"/>
  <c r="BK8" i="13" s="1"/>
  <c r="BL8" i="13" s="1"/>
  <c r="BM8" i="13" s="1"/>
  <c r="BN8" i="13" s="1"/>
  <c r="BO8" i="13" s="1"/>
  <c r="BP8" i="13" s="1"/>
  <c r="BQ8" i="13" s="1"/>
  <c r="BR8" i="13" s="1"/>
  <c r="BS8" i="13" s="1"/>
  <c r="BT8" i="13" s="1"/>
  <c r="BU8" i="13" s="1"/>
  <c r="BV8" i="13" s="1"/>
  <c r="BW8" i="13" s="1"/>
  <c r="BX8" i="13" s="1"/>
  <c r="BY8" i="13" s="1"/>
  <c r="J7" i="13"/>
  <c r="K7" i="13" s="1"/>
  <c r="L7" i="13" s="1"/>
  <c r="BT3" i="13"/>
  <c r="BT2" i="13" s="1"/>
  <c r="BS3" i="13"/>
  <c r="BS2" i="13" s="1"/>
  <c r="BR3" i="13"/>
  <c r="BR2" i="13" s="1"/>
  <c r="BQ3" i="13"/>
  <c r="BQ2" i="13" s="1"/>
  <c r="BP3" i="13"/>
  <c r="BP2" i="13" s="1"/>
  <c r="BO3" i="13"/>
  <c r="BO2" i="13" s="1"/>
  <c r="BN3" i="13"/>
  <c r="BN2" i="13" s="1"/>
  <c r="BM3" i="13"/>
  <c r="BM2" i="13" s="1"/>
  <c r="BL3" i="13"/>
  <c r="BL2" i="13" s="1"/>
  <c r="BK3" i="13"/>
  <c r="BK2" i="13" s="1"/>
  <c r="BJ3" i="13"/>
  <c r="BJ2" i="13" s="1"/>
  <c r="BI3" i="13"/>
  <c r="BI2" i="13" s="1"/>
  <c r="BH3" i="13"/>
  <c r="BH2" i="13" s="1"/>
  <c r="BG3" i="13"/>
  <c r="BG2" i="13" s="1"/>
  <c r="BF3" i="13"/>
  <c r="BF2" i="13" s="1"/>
  <c r="BE3" i="13"/>
  <c r="BE2" i="13" s="1"/>
  <c r="BD3" i="13"/>
  <c r="BD2" i="13" s="1"/>
  <c r="BC3" i="13"/>
  <c r="BC2" i="13" s="1"/>
  <c r="BA3" i="13"/>
  <c r="BA2" i="13" s="1"/>
  <c r="AZ3" i="13"/>
  <c r="AZ2" i="13" s="1"/>
  <c r="AY3" i="13"/>
  <c r="AY2" i="13" s="1"/>
  <c r="AX3" i="13"/>
  <c r="AX2" i="13" s="1"/>
  <c r="AW3" i="13"/>
  <c r="AW2" i="13" s="1"/>
  <c r="AV3" i="13"/>
  <c r="AV2" i="13" s="1"/>
  <c r="AU3" i="13"/>
  <c r="AU2" i="13" s="1"/>
  <c r="AT3" i="13"/>
  <c r="AT2" i="13" s="1"/>
  <c r="AS3" i="13"/>
  <c r="AS2" i="13" s="1"/>
  <c r="AR3" i="13"/>
  <c r="AR2" i="13" s="1"/>
  <c r="AQ3" i="13"/>
  <c r="AQ2" i="13" s="1"/>
  <c r="AP3" i="13"/>
  <c r="AP2" i="13" s="1"/>
  <c r="AO3" i="13"/>
  <c r="AO2" i="13" s="1"/>
  <c r="AN2" i="13"/>
  <c r="AM3" i="13"/>
  <c r="AM2" i="13" s="1"/>
  <c r="AL3" i="13"/>
  <c r="AL2" i="13" s="1"/>
  <c r="AK3" i="13"/>
  <c r="AK2" i="13" s="1"/>
  <c r="AJ3" i="13"/>
  <c r="AJ2" i="13" s="1"/>
  <c r="AI3" i="13"/>
  <c r="AI2" i="13" s="1"/>
  <c r="AH3" i="13"/>
  <c r="AH2" i="13" s="1"/>
  <c r="AG3" i="13"/>
  <c r="AG2" i="13" s="1"/>
  <c r="AF3" i="13"/>
  <c r="AF2" i="13" s="1"/>
  <c r="AE3" i="13"/>
  <c r="AE2" i="13" s="1"/>
  <c r="AD3" i="13"/>
  <c r="AD2" i="13" s="1"/>
  <c r="AC3" i="13"/>
  <c r="AC2" i="13" s="1"/>
  <c r="AB3" i="13"/>
  <c r="AB2" i="13" s="1"/>
  <c r="AA3" i="13"/>
  <c r="AA2" i="13" s="1"/>
  <c r="Z3" i="13"/>
  <c r="Z2" i="13" s="1"/>
  <c r="Y3" i="13"/>
  <c r="Y2" i="13" s="1"/>
  <c r="X3" i="13"/>
  <c r="X2" i="13" s="1"/>
  <c r="W3" i="13"/>
  <c r="W2" i="13" s="1"/>
  <c r="V3" i="13"/>
  <c r="V2" i="13" s="1"/>
  <c r="U3" i="13"/>
  <c r="U2" i="13" s="1"/>
  <c r="T3" i="13"/>
  <c r="T2" i="13" s="1"/>
  <c r="S3" i="13"/>
  <c r="S2" i="13" s="1"/>
  <c r="R3" i="13"/>
  <c r="R2" i="13" s="1"/>
  <c r="Q3" i="13"/>
  <c r="Q2" i="13" s="1"/>
  <c r="P3" i="13"/>
  <c r="P2" i="13" s="1"/>
  <c r="O3" i="13"/>
  <c r="O2" i="13" s="1"/>
  <c r="N3" i="13"/>
  <c r="N2" i="13" s="1"/>
  <c r="M3" i="13"/>
  <c r="M2" i="13" s="1"/>
  <c r="L3" i="13"/>
  <c r="L2" i="13" s="1"/>
  <c r="K3" i="13"/>
  <c r="K2" i="13" s="1"/>
  <c r="BU1" i="13"/>
  <c r="BT1" i="13"/>
  <c r="BS1" i="13"/>
  <c r="BR1" i="13"/>
  <c r="BQ1" i="13"/>
  <c r="BP1" i="13"/>
  <c r="BO1" i="13"/>
  <c r="BN1" i="13"/>
  <c r="BM1" i="13"/>
  <c r="BL1" i="13"/>
  <c r="BK1" i="13"/>
  <c r="BJ1" i="13"/>
  <c r="BI1" i="13"/>
  <c r="BH1" i="13"/>
  <c r="BG1" i="13"/>
  <c r="BF1" i="13"/>
  <c r="BE1" i="13"/>
  <c r="BD1" i="13"/>
  <c r="BC1" i="13"/>
  <c r="BB1" i="13"/>
  <c r="BA1" i="13"/>
  <c r="AZ1" i="13"/>
  <c r="AY1" i="13"/>
  <c r="AX1" i="13"/>
  <c r="AW1" i="13"/>
  <c r="AV1" i="13"/>
  <c r="AU1" i="13"/>
  <c r="AT1" i="13"/>
  <c r="AS1" i="13"/>
  <c r="AR1" i="13"/>
  <c r="AQ1" i="13"/>
  <c r="AP1" i="13"/>
  <c r="AO1" i="13"/>
  <c r="AN1" i="13"/>
  <c r="AM1" i="13"/>
  <c r="AL1" i="13"/>
  <c r="AK1" i="13"/>
  <c r="AJ1" i="13"/>
  <c r="AI1" i="13"/>
  <c r="AH1" i="13"/>
  <c r="AG1" i="13"/>
  <c r="AF1" i="13"/>
  <c r="AE1" i="13"/>
  <c r="AD1" i="13"/>
  <c r="AC1" i="13"/>
  <c r="AB1" i="13"/>
  <c r="AA1" i="13"/>
  <c r="Z1" i="13"/>
  <c r="Y1" i="13"/>
  <c r="X1" i="13"/>
  <c r="W1" i="13"/>
  <c r="V1" i="13"/>
  <c r="U1" i="13"/>
  <c r="T1" i="13"/>
  <c r="S1" i="13"/>
  <c r="R1" i="13"/>
  <c r="Q1" i="13"/>
  <c r="P1" i="13"/>
  <c r="O1" i="13"/>
  <c r="N1" i="13"/>
  <c r="M1" i="13"/>
  <c r="L1" i="13"/>
  <c r="K1" i="13"/>
  <c r="BZ8" i="13" l="1"/>
  <c r="CA8" i="13" s="1"/>
  <c r="CB8" i="13" s="1"/>
  <c r="CC8" i="13" s="1"/>
  <c r="CD8" i="13" s="1"/>
  <c r="CE8" i="13" s="1"/>
  <c r="CF8" i="13" s="1"/>
  <c r="CG8" i="13" s="1"/>
  <c r="CH8" i="13" s="1"/>
  <c r="CI8" i="13" s="1"/>
  <c r="CJ8" i="13" s="1"/>
  <c r="CK8" i="13" s="1"/>
  <c r="CL8" i="13" s="1"/>
  <c r="CM8" i="13" s="1"/>
  <c r="CN8" i="13" s="1"/>
  <c r="CO8" i="13" s="1"/>
  <c r="CP8" i="13" s="1"/>
  <c r="CQ8" i="13" s="1"/>
  <c r="D236" i="13"/>
  <c r="I1" i="13"/>
  <c r="H1" i="13" s="1"/>
  <c r="F21" i="13"/>
  <c r="H15" i="13"/>
  <c r="I15" i="13"/>
  <c r="N7" i="13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H14" i="13"/>
  <c r="H12" i="13" s="1"/>
  <c r="I12" i="13" s="1"/>
  <c r="I11" i="13"/>
  <c r="BU1" i="12" l="1"/>
  <c r="I1" i="12" s="1"/>
  <c r="H1" i="12" s="1"/>
  <c r="BT1" i="12"/>
  <c r="BS1" i="12"/>
  <c r="BR1" i="12"/>
  <c r="BQ1" i="12"/>
  <c r="BP1" i="12"/>
  <c r="BO1" i="12"/>
  <c r="BN1" i="12"/>
  <c r="BM1" i="12"/>
  <c r="BL1" i="12"/>
  <c r="BK1" i="12"/>
  <c r="BJ1" i="12"/>
  <c r="BI1" i="12"/>
  <c r="BH1" i="12"/>
  <c r="BG1" i="12"/>
  <c r="BF1" i="12"/>
  <c r="BE1" i="12"/>
  <c r="BD1" i="12"/>
  <c r="BC1" i="12"/>
  <c r="BB1" i="12"/>
  <c r="BA1" i="12"/>
  <c r="AZ1" i="12"/>
  <c r="AY1" i="12"/>
  <c r="AX1" i="12"/>
  <c r="AW1" i="12"/>
  <c r="AV1" i="12"/>
  <c r="AU1" i="12"/>
  <c r="AT1" i="12"/>
  <c r="AS1" i="12"/>
  <c r="AR1" i="12"/>
  <c r="AQ1" i="12"/>
  <c r="AP1" i="12"/>
  <c r="AO1" i="12"/>
  <c r="AN1" i="12"/>
  <c r="AM1" i="12"/>
  <c r="AL1" i="12"/>
  <c r="AK1" i="12"/>
  <c r="AJ1" i="12"/>
  <c r="AI1" i="12"/>
  <c r="AH1" i="12"/>
  <c r="AG1" i="12"/>
  <c r="AF1" i="12"/>
  <c r="AE1" i="12"/>
  <c r="AD1" i="12"/>
  <c r="AC1" i="12"/>
  <c r="AB1" i="12"/>
  <c r="AA1" i="12"/>
  <c r="Z1" i="12"/>
  <c r="Y1" i="12"/>
  <c r="X1" i="12"/>
  <c r="W1" i="12"/>
  <c r="V1" i="12"/>
  <c r="U1" i="12"/>
  <c r="T1" i="12"/>
  <c r="S1" i="12"/>
  <c r="R1" i="12"/>
  <c r="Q1" i="12"/>
  <c r="P1" i="12"/>
  <c r="O1" i="12"/>
  <c r="N1" i="12"/>
  <c r="M1" i="12"/>
  <c r="L1" i="12"/>
  <c r="I11" i="12"/>
  <c r="K1" i="12"/>
  <c r="G11" i="12"/>
  <c r="H11" i="12"/>
  <c r="C224" i="12"/>
  <c r="B224" i="12"/>
  <c r="C223" i="12"/>
  <c r="B223" i="12"/>
  <c r="C222" i="12"/>
  <c r="B222" i="12"/>
  <c r="C221" i="12"/>
  <c r="B221" i="12"/>
  <c r="C220" i="12"/>
  <c r="B220" i="12"/>
  <c r="C219" i="12"/>
  <c r="B219" i="12"/>
  <c r="C218" i="12"/>
  <c r="B218" i="12"/>
  <c r="C217" i="12"/>
  <c r="B217" i="12"/>
  <c r="C216" i="12"/>
  <c r="B216" i="12"/>
  <c r="C215" i="12"/>
  <c r="B215" i="12"/>
  <c r="C214" i="12"/>
  <c r="B214" i="12"/>
  <c r="C213" i="12"/>
  <c r="B213" i="12"/>
  <c r="C212" i="12"/>
  <c r="B212" i="12"/>
  <c r="C211" i="12"/>
  <c r="B211" i="12"/>
  <c r="C210" i="12"/>
  <c r="B210" i="12"/>
  <c r="C209" i="12"/>
  <c r="B209" i="12"/>
  <c r="C208" i="12"/>
  <c r="B208" i="12"/>
  <c r="C207" i="12"/>
  <c r="B207" i="12"/>
  <c r="C206" i="12"/>
  <c r="B206" i="12"/>
  <c r="C205" i="12"/>
  <c r="B205" i="12"/>
  <c r="C204" i="12"/>
  <c r="B204" i="12"/>
  <c r="C203" i="12"/>
  <c r="B203" i="12"/>
  <c r="C202" i="12"/>
  <c r="B202" i="12"/>
  <c r="C201" i="12"/>
  <c r="B201" i="12"/>
  <c r="C200" i="12"/>
  <c r="B200" i="12"/>
  <c r="C199" i="12"/>
  <c r="B199" i="12"/>
  <c r="C198" i="12"/>
  <c r="B198" i="12"/>
  <c r="C197" i="12"/>
  <c r="B197" i="12"/>
  <c r="C196" i="12"/>
  <c r="B196" i="12"/>
  <c r="C195" i="12"/>
  <c r="B195" i="12"/>
  <c r="C194" i="12"/>
  <c r="B194" i="12"/>
  <c r="C193" i="12"/>
  <c r="B193" i="12"/>
  <c r="C192" i="12"/>
  <c r="B192" i="12"/>
  <c r="C191" i="12"/>
  <c r="B191" i="12"/>
  <c r="C190" i="12"/>
  <c r="B190" i="12"/>
  <c r="C189" i="12"/>
  <c r="B189" i="12"/>
  <c r="C188" i="12"/>
  <c r="B188" i="12"/>
  <c r="C187" i="12"/>
  <c r="B187" i="12"/>
  <c r="C186" i="12"/>
  <c r="B186" i="12"/>
  <c r="C185" i="12"/>
  <c r="B185" i="12"/>
  <c r="C184" i="12"/>
  <c r="B184" i="12"/>
  <c r="C183" i="12"/>
  <c r="B183" i="12"/>
  <c r="C182" i="12"/>
  <c r="B182" i="12"/>
  <c r="C181" i="12"/>
  <c r="B181" i="12"/>
  <c r="C180" i="12"/>
  <c r="B180" i="12"/>
  <c r="C179" i="12"/>
  <c r="B179" i="12"/>
  <c r="C178" i="12"/>
  <c r="B178" i="12"/>
  <c r="C177" i="12"/>
  <c r="B177" i="12"/>
  <c r="C176" i="12"/>
  <c r="B176" i="12"/>
  <c r="C175" i="12"/>
  <c r="B175" i="12"/>
  <c r="C174" i="12"/>
  <c r="B174" i="12"/>
  <c r="C173" i="12"/>
  <c r="B173" i="12"/>
  <c r="C172" i="12"/>
  <c r="B172" i="12"/>
  <c r="C171" i="12"/>
  <c r="B171" i="12"/>
  <c r="C170" i="12"/>
  <c r="B170" i="12"/>
  <c r="C169" i="12"/>
  <c r="B169" i="12"/>
  <c r="C168" i="12"/>
  <c r="B168" i="12"/>
  <c r="C167" i="12"/>
  <c r="B167" i="12"/>
  <c r="C166" i="12"/>
  <c r="B166" i="12"/>
  <c r="C165" i="12"/>
  <c r="B165" i="12"/>
  <c r="C164" i="12"/>
  <c r="B164" i="12"/>
  <c r="C163" i="12"/>
  <c r="B163" i="12"/>
  <c r="C162" i="12"/>
  <c r="B162" i="12"/>
  <c r="C161" i="12"/>
  <c r="B161" i="12"/>
  <c r="C160" i="12"/>
  <c r="B160" i="12"/>
  <c r="C159" i="12"/>
  <c r="B159" i="12"/>
  <c r="C158" i="12"/>
  <c r="B158" i="12"/>
  <c r="C157" i="12"/>
  <c r="B157" i="12"/>
  <c r="F156" i="12"/>
  <c r="C155" i="12"/>
  <c r="B155" i="12"/>
  <c r="C154" i="12"/>
  <c r="B154" i="12"/>
  <c r="C153" i="12"/>
  <c r="B153" i="12"/>
  <c r="C152" i="12"/>
  <c r="B152" i="12"/>
  <c r="C151" i="12"/>
  <c r="B151" i="12"/>
  <c r="C150" i="12"/>
  <c r="B150" i="12"/>
  <c r="C149" i="12"/>
  <c r="B149" i="12"/>
  <c r="C148" i="12"/>
  <c r="B148" i="12"/>
  <c r="C147" i="12"/>
  <c r="B147" i="12"/>
  <c r="C146" i="12"/>
  <c r="B146" i="12"/>
  <c r="C145" i="12"/>
  <c r="B145" i="12"/>
  <c r="C144" i="12"/>
  <c r="B144" i="12"/>
  <c r="C143" i="12"/>
  <c r="B143" i="12"/>
  <c r="C142" i="12"/>
  <c r="B142" i="12"/>
  <c r="C141" i="12"/>
  <c r="B141" i="12"/>
  <c r="C140" i="12"/>
  <c r="B140" i="12"/>
  <c r="C139" i="12"/>
  <c r="B139" i="12"/>
  <c r="C138" i="12"/>
  <c r="B138" i="12"/>
  <c r="C137" i="12"/>
  <c r="B137" i="12"/>
  <c r="C136" i="12"/>
  <c r="B136" i="12"/>
  <c r="C135" i="12"/>
  <c r="B135" i="12"/>
  <c r="C134" i="12"/>
  <c r="B134" i="12"/>
  <c r="C133" i="12"/>
  <c r="B133" i="12"/>
  <c r="C132" i="12"/>
  <c r="B132" i="12"/>
  <c r="C131" i="12"/>
  <c r="B131" i="12"/>
  <c r="C130" i="12"/>
  <c r="B130" i="12"/>
  <c r="C129" i="12"/>
  <c r="B129" i="12"/>
  <c r="C128" i="12"/>
  <c r="B128" i="12"/>
  <c r="C127" i="12"/>
  <c r="B127" i="12"/>
  <c r="C126" i="12"/>
  <c r="B126" i="12"/>
  <c r="C125" i="12"/>
  <c r="B125" i="12"/>
  <c r="C124" i="12"/>
  <c r="B124" i="12"/>
  <c r="C123" i="12"/>
  <c r="B123" i="12"/>
  <c r="C122" i="12"/>
  <c r="B122" i="12"/>
  <c r="C121" i="12"/>
  <c r="B121" i="12"/>
  <c r="C120" i="12"/>
  <c r="B120" i="12"/>
  <c r="C119" i="12"/>
  <c r="B119" i="12"/>
  <c r="C118" i="12"/>
  <c r="B118" i="12"/>
  <c r="C117" i="12"/>
  <c r="B117" i="12"/>
  <c r="C116" i="12"/>
  <c r="B116" i="12"/>
  <c r="C115" i="12"/>
  <c r="B115" i="12"/>
  <c r="C114" i="12"/>
  <c r="B114" i="12"/>
  <c r="C113" i="12"/>
  <c r="B113" i="12"/>
  <c r="C112" i="12"/>
  <c r="B112" i="12"/>
  <c r="C111" i="12"/>
  <c r="B111" i="12"/>
  <c r="C110" i="12"/>
  <c r="B110" i="12"/>
  <c r="C109" i="12"/>
  <c r="B109" i="12"/>
  <c r="C108" i="12"/>
  <c r="B108" i="12"/>
  <c r="C107" i="12"/>
  <c r="B107" i="12"/>
  <c r="C106" i="12"/>
  <c r="B106" i="12"/>
  <c r="C105" i="12"/>
  <c r="B105" i="12"/>
  <c r="C104" i="12"/>
  <c r="B104" i="12"/>
  <c r="C103" i="12"/>
  <c r="B103" i="12"/>
  <c r="C102" i="12"/>
  <c r="B102" i="12"/>
  <c r="C101" i="12"/>
  <c r="B101" i="12"/>
  <c r="C100" i="12"/>
  <c r="B100" i="12"/>
  <c r="C99" i="12"/>
  <c r="B99" i="12"/>
  <c r="C98" i="12"/>
  <c r="B98" i="12"/>
  <c r="C97" i="12"/>
  <c r="B97" i="12"/>
  <c r="C96" i="12"/>
  <c r="B96" i="12"/>
  <c r="C95" i="12"/>
  <c r="B95" i="12"/>
  <c r="C94" i="12"/>
  <c r="B94" i="12"/>
  <c r="C93" i="12"/>
  <c r="B93" i="12"/>
  <c r="C92" i="12"/>
  <c r="B92" i="12"/>
  <c r="C91" i="12"/>
  <c r="B91" i="12"/>
  <c r="C90" i="12"/>
  <c r="B90" i="12"/>
  <c r="C89" i="12"/>
  <c r="B89" i="12"/>
  <c r="C88" i="12"/>
  <c r="B88" i="12"/>
  <c r="F87" i="12"/>
  <c r="C86" i="12"/>
  <c r="B86" i="12"/>
  <c r="C85" i="12"/>
  <c r="B85" i="12"/>
  <c r="C84" i="12"/>
  <c r="B84" i="12"/>
  <c r="C83" i="12"/>
  <c r="B83" i="12"/>
  <c r="C82" i="12"/>
  <c r="B82" i="12"/>
  <c r="C81" i="12"/>
  <c r="B81" i="12"/>
  <c r="C80" i="12"/>
  <c r="B80" i="12"/>
  <c r="C79" i="12"/>
  <c r="B79" i="12"/>
  <c r="C78" i="12"/>
  <c r="B78" i="12"/>
  <c r="C77" i="12"/>
  <c r="B77" i="12"/>
  <c r="C76" i="12"/>
  <c r="B76" i="12"/>
  <c r="C75" i="12"/>
  <c r="B75" i="12"/>
  <c r="C74" i="12"/>
  <c r="B74" i="12"/>
  <c r="C73" i="12"/>
  <c r="B73" i="12"/>
  <c r="C72" i="12"/>
  <c r="B72" i="12"/>
  <c r="C71" i="12"/>
  <c r="B71" i="12"/>
  <c r="C70" i="12"/>
  <c r="B70" i="12"/>
  <c r="C69" i="12"/>
  <c r="B69" i="12"/>
  <c r="C68" i="12"/>
  <c r="B68" i="12"/>
  <c r="C67" i="12"/>
  <c r="B67" i="12"/>
  <c r="F66" i="12"/>
  <c r="C65" i="12"/>
  <c r="B65" i="12"/>
  <c r="C64" i="12"/>
  <c r="B64" i="12"/>
  <c r="C63" i="12"/>
  <c r="B63" i="12"/>
  <c r="C62" i="12"/>
  <c r="B62" i="12"/>
  <c r="C61" i="12"/>
  <c r="B61" i="12"/>
  <c r="C60" i="12"/>
  <c r="B60" i="12"/>
  <c r="C59" i="12"/>
  <c r="B59" i="12"/>
  <c r="C58" i="12"/>
  <c r="B58" i="12"/>
  <c r="C57" i="12"/>
  <c r="B57" i="12"/>
  <c r="C56" i="12"/>
  <c r="B56" i="12"/>
  <c r="C55" i="12"/>
  <c r="B55" i="12"/>
  <c r="C54" i="12"/>
  <c r="B54" i="12"/>
  <c r="C53" i="12"/>
  <c r="B53" i="12"/>
  <c r="C52" i="12"/>
  <c r="B52" i="12"/>
  <c r="C51" i="12"/>
  <c r="B51" i="12"/>
  <c r="C50" i="12"/>
  <c r="B50" i="12"/>
  <c r="C49" i="12"/>
  <c r="B49" i="12"/>
  <c r="C48" i="12"/>
  <c r="B48" i="12"/>
  <c r="C47" i="12"/>
  <c r="B47" i="12"/>
  <c r="C46" i="12"/>
  <c r="B46" i="12"/>
  <c r="C45" i="12"/>
  <c r="B45" i="12"/>
  <c r="C44" i="12"/>
  <c r="B44" i="12"/>
  <c r="C43" i="12"/>
  <c r="B43" i="12"/>
  <c r="C42" i="12"/>
  <c r="B42" i="12"/>
  <c r="C41" i="12"/>
  <c r="B41" i="12"/>
  <c r="C40" i="12"/>
  <c r="B40" i="12"/>
  <c r="C39" i="12"/>
  <c r="B39" i="12"/>
  <c r="C38" i="12"/>
  <c r="B38" i="12"/>
  <c r="C37" i="12"/>
  <c r="B37" i="12"/>
  <c r="C36" i="12"/>
  <c r="B36" i="12"/>
  <c r="C35" i="12"/>
  <c r="B35" i="12"/>
  <c r="C34" i="12"/>
  <c r="B34" i="12"/>
  <c r="C33" i="12"/>
  <c r="B33" i="12"/>
  <c r="C32" i="12"/>
  <c r="B32" i="12"/>
  <c r="C31" i="12"/>
  <c r="B31" i="12"/>
  <c r="C30" i="12"/>
  <c r="B30" i="12"/>
  <c r="C29" i="12"/>
  <c r="B29" i="12"/>
  <c r="C28" i="12"/>
  <c r="B28" i="12"/>
  <c r="C27" i="12"/>
  <c r="B27" i="12"/>
  <c r="C26" i="12"/>
  <c r="B26" i="12"/>
  <c r="C25" i="12"/>
  <c r="B25" i="12"/>
  <c r="C24" i="12"/>
  <c r="B24" i="12"/>
  <c r="C23" i="12"/>
  <c r="B23" i="12"/>
  <c r="C22" i="12"/>
  <c r="B22" i="12"/>
  <c r="C21" i="12"/>
  <c r="B21" i="12"/>
  <c r="C20" i="12"/>
  <c r="B20" i="12"/>
  <c r="C19" i="12"/>
  <c r="B19" i="12"/>
  <c r="C18" i="12"/>
  <c r="B18" i="12"/>
  <c r="F17" i="12"/>
  <c r="G15" i="12"/>
  <c r="H15" i="12" s="1"/>
  <c r="H14" i="12"/>
  <c r="H13" i="12"/>
  <c r="H12" i="12" s="1"/>
  <c r="H10" i="12"/>
  <c r="G10" i="12"/>
  <c r="J8" i="12"/>
  <c r="K8" i="12" s="1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V8" i="12" s="1"/>
  <c r="W8" i="12" s="1"/>
  <c r="X8" i="12" s="1"/>
  <c r="Y8" i="12" s="1"/>
  <c r="Z8" i="12" s="1"/>
  <c r="AA8" i="12" s="1"/>
  <c r="AB8" i="12" s="1"/>
  <c r="AC8" i="12" s="1"/>
  <c r="AD8" i="12" s="1"/>
  <c r="AE8" i="12" s="1"/>
  <c r="AF8" i="12" s="1"/>
  <c r="AG8" i="12" s="1"/>
  <c r="AH8" i="12" s="1"/>
  <c r="AI8" i="12" s="1"/>
  <c r="AJ8" i="12" s="1"/>
  <c r="AK8" i="12" s="1"/>
  <c r="AL8" i="12" s="1"/>
  <c r="AM8" i="12" s="1"/>
  <c r="AN8" i="12" s="1"/>
  <c r="AO8" i="12" s="1"/>
  <c r="AP8" i="12" s="1"/>
  <c r="AQ8" i="12" s="1"/>
  <c r="AR8" i="12" s="1"/>
  <c r="AS8" i="12" s="1"/>
  <c r="AT8" i="12" s="1"/>
  <c r="AU8" i="12" s="1"/>
  <c r="AV8" i="12" s="1"/>
  <c r="AW8" i="12" s="1"/>
  <c r="AX8" i="12" s="1"/>
  <c r="AY8" i="12" s="1"/>
  <c r="AZ8" i="12" s="1"/>
  <c r="BA8" i="12" s="1"/>
  <c r="BB8" i="12" s="1"/>
  <c r="BC8" i="12" s="1"/>
  <c r="BD8" i="12" s="1"/>
  <c r="BE8" i="12" s="1"/>
  <c r="BF8" i="12" s="1"/>
  <c r="BG8" i="12" s="1"/>
  <c r="BH8" i="12" s="1"/>
  <c r="BI8" i="12" s="1"/>
  <c r="BJ8" i="12" s="1"/>
  <c r="BK8" i="12" s="1"/>
  <c r="BL8" i="12" s="1"/>
  <c r="BM8" i="12" s="1"/>
  <c r="BN8" i="12" s="1"/>
  <c r="BO8" i="12" s="1"/>
  <c r="BP8" i="12" s="1"/>
  <c r="BQ8" i="12" s="1"/>
  <c r="BR8" i="12" s="1"/>
  <c r="BS8" i="12" s="1"/>
  <c r="BT8" i="12" s="1"/>
  <c r="BU8" i="12" s="1"/>
  <c r="BV8" i="12" s="1"/>
  <c r="BW8" i="12" s="1"/>
  <c r="BX8" i="12" s="1"/>
  <c r="BY8" i="12" s="1"/>
  <c r="BZ8" i="12" s="1"/>
  <c r="CA8" i="12" s="1"/>
  <c r="CB8" i="12" s="1"/>
  <c r="CC8" i="12" s="1"/>
  <c r="CD8" i="12" s="1"/>
  <c r="CE8" i="12" s="1"/>
  <c r="CF8" i="12" s="1"/>
  <c r="CG8" i="12" s="1"/>
  <c r="CH8" i="12" s="1"/>
  <c r="CI8" i="12" s="1"/>
  <c r="CJ8" i="12" s="1"/>
  <c r="CK8" i="12" s="1"/>
  <c r="CL8" i="12" s="1"/>
  <c r="CM8" i="12" s="1"/>
  <c r="CN8" i="12" s="1"/>
  <c r="CO8" i="12" s="1"/>
  <c r="CP8" i="12" s="1"/>
  <c r="CQ8" i="12" s="1"/>
  <c r="J7" i="12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BU3" i="12"/>
  <c r="BU2" i="12" s="1"/>
  <c r="BT3" i="12"/>
  <c r="BT2" i="12" s="1"/>
  <c r="BS3" i="12"/>
  <c r="BS2" i="12" s="1"/>
  <c r="BR3" i="12"/>
  <c r="BR2" i="12" s="1"/>
  <c r="BQ3" i="12"/>
  <c r="BQ2" i="12" s="1"/>
  <c r="BP3" i="12"/>
  <c r="BP2" i="12" s="1"/>
  <c r="BO3" i="12"/>
  <c r="BO2" i="12" s="1"/>
  <c r="BN3" i="12"/>
  <c r="BN2" i="12" s="1"/>
  <c r="BM3" i="12"/>
  <c r="BM2" i="12" s="1"/>
  <c r="BL3" i="12"/>
  <c r="BL2" i="12" s="1"/>
  <c r="BK3" i="12"/>
  <c r="BK2" i="12" s="1"/>
  <c r="BJ3" i="12"/>
  <c r="BJ2" i="12" s="1"/>
  <c r="BI3" i="12"/>
  <c r="BI2" i="12" s="1"/>
  <c r="BH3" i="12"/>
  <c r="BH2" i="12" s="1"/>
  <c r="BG3" i="12"/>
  <c r="BG2" i="12" s="1"/>
  <c r="BF3" i="12"/>
  <c r="BF2" i="12" s="1"/>
  <c r="BE3" i="12"/>
  <c r="BE2" i="12" s="1"/>
  <c r="BD3" i="12"/>
  <c r="BD2" i="12" s="1"/>
  <c r="BC3" i="12"/>
  <c r="BC2" i="12" s="1"/>
  <c r="BA3" i="12"/>
  <c r="BA2" i="12" s="1"/>
  <c r="AZ3" i="12"/>
  <c r="AZ2" i="12" s="1"/>
  <c r="AY3" i="12"/>
  <c r="AY2" i="12" s="1"/>
  <c r="AX3" i="12"/>
  <c r="AX2" i="12" s="1"/>
  <c r="AW3" i="12"/>
  <c r="AW2" i="12" s="1"/>
  <c r="AV3" i="12"/>
  <c r="AV2" i="12" s="1"/>
  <c r="AU3" i="12"/>
  <c r="AU2" i="12" s="1"/>
  <c r="AT3" i="12"/>
  <c r="AT2" i="12" s="1"/>
  <c r="AS3" i="12"/>
  <c r="AS2" i="12" s="1"/>
  <c r="AR3" i="12"/>
  <c r="AR2" i="12" s="1"/>
  <c r="AQ3" i="12"/>
  <c r="AQ2" i="12" s="1"/>
  <c r="AP3" i="12"/>
  <c r="AP2" i="12" s="1"/>
  <c r="AO3" i="12"/>
  <c r="AO2" i="12" s="1"/>
  <c r="AN3" i="12"/>
  <c r="AN2" i="12" s="1"/>
  <c r="AM3" i="12"/>
  <c r="AM2" i="12" s="1"/>
  <c r="AL3" i="12"/>
  <c r="AL2" i="12" s="1"/>
  <c r="AK3" i="12"/>
  <c r="AK2" i="12" s="1"/>
  <c r="AJ3" i="12"/>
  <c r="AJ2" i="12" s="1"/>
  <c r="AI3" i="12"/>
  <c r="AI2" i="12" s="1"/>
  <c r="AH3" i="12"/>
  <c r="AH2" i="12" s="1"/>
  <c r="AG3" i="12"/>
  <c r="AG2" i="12" s="1"/>
  <c r="AF3" i="12"/>
  <c r="AF2" i="12" s="1"/>
  <c r="AE3" i="12"/>
  <c r="AE2" i="12" s="1"/>
  <c r="AD3" i="12"/>
  <c r="AD2" i="12" s="1"/>
  <c r="AC3" i="12"/>
  <c r="AC2" i="12" s="1"/>
  <c r="AB3" i="12"/>
  <c r="AB2" i="12" s="1"/>
  <c r="AA3" i="12"/>
  <c r="AA2" i="12" s="1"/>
  <c r="Z3" i="12"/>
  <c r="Z2" i="12" s="1"/>
  <c r="Y3" i="12"/>
  <c r="Y2" i="12" s="1"/>
  <c r="X3" i="12"/>
  <c r="X2" i="12" s="1"/>
  <c r="W3" i="12"/>
  <c r="W2" i="12" s="1"/>
  <c r="V3" i="12"/>
  <c r="V2" i="12" s="1"/>
  <c r="U3" i="12"/>
  <c r="U2" i="12" s="1"/>
  <c r="T3" i="12"/>
  <c r="T2" i="12" s="1"/>
  <c r="S3" i="12"/>
  <c r="S2" i="12" s="1"/>
  <c r="R3" i="12"/>
  <c r="R2" i="12" s="1"/>
  <c r="Q3" i="12"/>
  <c r="Q2" i="12" s="1"/>
  <c r="P3" i="12"/>
  <c r="P2" i="12" s="1"/>
  <c r="O3" i="12"/>
  <c r="O2" i="12" s="1"/>
  <c r="N3" i="12"/>
  <c r="N2" i="12" s="1"/>
  <c r="M3" i="12"/>
  <c r="M2" i="12" s="1"/>
  <c r="L3" i="12"/>
  <c r="L2" i="12" s="1"/>
  <c r="K3" i="12"/>
  <c r="K2" i="12" s="1"/>
  <c r="BU3" i="11"/>
  <c r="BU2" i="11" s="1"/>
  <c r="BT3" i="11"/>
  <c r="BT2" i="11" s="1"/>
  <c r="BS3" i="11"/>
  <c r="BS2" i="11" s="1"/>
  <c r="BR3" i="11"/>
  <c r="BR2" i="11" s="1"/>
  <c r="BQ3" i="11"/>
  <c r="BQ2" i="11" s="1"/>
  <c r="BP3" i="11"/>
  <c r="BP2" i="11" s="1"/>
  <c r="BO3" i="11"/>
  <c r="BO2" i="11" s="1"/>
  <c r="BN3" i="11"/>
  <c r="BN2" i="11" s="1"/>
  <c r="BU1" i="11"/>
  <c r="BT1" i="11"/>
  <c r="BS1" i="11"/>
  <c r="BR1" i="11"/>
  <c r="BQ1" i="11"/>
  <c r="BP1" i="11"/>
  <c r="BO1" i="11"/>
  <c r="BN1" i="11"/>
  <c r="F156" i="11"/>
  <c r="F87" i="11"/>
  <c r="F16" i="11"/>
  <c r="F66" i="11"/>
  <c r="F17" i="11"/>
  <c r="H215" i="11"/>
  <c r="I215" i="11" s="1"/>
  <c r="H214" i="11"/>
  <c r="I214" i="11" s="1"/>
  <c r="H213" i="11"/>
  <c r="I213" i="11" s="1"/>
  <c r="H212" i="11"/>
  <c r="I212" i="11" s="1"/>
  <c r="H211" i="11"/>
  <c r="I211" i="11" s="1"/>
  <c r="H210" i="11"/>
  <c r="I210" i="11" s="1"/>
  <c r="H209" i="11"/>
  <c r="I209" i="11" s="1"/>
  <c r="H208" i="11"/>
  <c r="I208" i="11" s="1"/>
  <c r="H207" i="11"/>
  <c r="I207" i="11" s="1"/>
  <c r="C224" i="11"/>
  <c r="B224" i="11"/>
  <c r="C223" i="11"/>
  <c r="B223" i="11"/>
  <c r="C222" i="11"/>
  <c r="B222" i="11"/>
  <c r="C221" i="11"/>
  <c r="B221" i="11"/>
  <c r="C220" i="11"/>
  <c r="B220" i="11"/>
  <c r="C219" i="11"/>
  <c r="B219" i="11"/>
  <c r="C218" i="11"/>
  <c r="B218" i="11"/>
  <c r="C217" i="11"/>
  <c r="B217" i="11"/>
  <c r="C216" i="11"/>
  <c r="B216" i="11"/>
  <c r="C215" i="11"/>
  <c r="B215" i="11"/>
  <c r="C214" i="11"/>
  <c r="B214" i="11"/>
  <c r="C213" i="11"/>
  <c r="B213" i="11"/>
  <c r="C212" i="11"/>
  <c r="B212" i="11"/>
  <c r="C211" i="11"/>
  <c r="B211" i="11"/>
  <c r="C210" i="11"/>
  <c r="B210" i="11"/>
  <c r="C209" i="11"/>
  <c r="B209" i="11"/>
  <c r="C208" i="11"/>
  <c r="B208" i="11"/>
  <c r="C207" i="11"/>
  <c r="B207" i="11"/>
  <c r="H146" i="11"/>
  <c r="I146" i="11" s="1"/>
  <c r="H145" i="11"/>
  <c r="I145" i="11" s="1"/>
  <c r="H144" i="11"/>
  <c r="I144" i="11" s="1"/>
  <c r="H143" i="11"/>
  <c r="I143" i="11" s="1"/>
  <c r="H142" i="11"/>
  <c r="I142" i="11" s="1"/>
  <c r="H141" i="11"/>
  <c r="I141" i="11" s="1"/>
  <c r="H140" i="11"/>
  <c r="I140" i="11" s="1"/>
  <c r="H139" i="11"/>
  <c r="I139" i="11" s="1"/>
  <c r="H138" i="11"/>
  <c r="I138" i="11" s="1"/>
  <c r="C155" i="11"/>
  <c r="B155" i="11"/>
  <c r="C154" i="11"/>
  <c r="B154" i="11"/>
  <c r="C153" i="11"/>
  <c r="B153" i="11"/>
  <c r="C152" i="11"/>
  <c r="B152" i="11"/>
  <c r="C151" i="11"/>
  <c r="B151" i="11"/>
  <c r="C150" i="11"/>
  <c r="B150" i="11"/>
  <c r="C149" i="11"/>
  <c r="B149" i="11"/>
  <c r="C148" i="11"/>
  <c r="B148" i="11"/>
  <c r="C147" i="11"/>
  <c r="B147" i="11"/>
  <c r="C146" i="11"/>
  <c r="B146" i="11"/>
  <c r="C145" i="11"/>
  <c r="B145" i="11"/>
  <c r="C144" i="11"/>
  <c r="B144" i="11"/>
  <c r="C143" i="11"/>
  <c r="B143" i="11"/>
  <c r="C142" i="11"/>
  <c r="B142" i="11"/>
  <c r="C141" i="11"/>
  <c r="B141" i="11"/>
  <c r="C140" i="11"/>
  <c r="B140" i="11"/>
  <c r="C139" i="11"/>
  <c r="B139" i="11"/>
  <c r="C138" i="11"/>
  <c r="B138" i="11"/>
  <c r="AG209" i="4"/>
  <c r="AH373" i="4"/>
  <c r="C65" i="11"/>
  <c r="B65" i="11"/>
  <c r="C64" i="11"/>
  <c r="B64" i="11"/>
  <c r="C63" i="11"/>
  <c r="B63" i="11"/>
  <c r="C62" i="11"/>
  <c r="B62" i="11"/>
  <c r="C61" i="11"/>
  <c r="B61" i="11"/>
  <c r="C60" i="11"/>
  <c r="B60" i="11"/>
  <c r="C59" i="11"/>
  <c r="B59" i="11"/>
  <c r="C58" i="11"/>
  <c r="B58" i="11"/>
  <c r="C57" i="11"/>
  <c r="B57" i="11"/>
  <c r="C56" i="11"/>
  <c r="B56" i="11"/>
  <c r="C86" i="11"/>
  <c r="B86" i="11"/>
  <c r="C85" i="11"/>
  <c r="B85" i="11"/>
  <c r="C84" i="11"/>
  <c r="B84" i="11"/>
  <c r="C83" i="11"/>
  <c r="B83" i="11"/>
  <c r="C82" i="11"/>
  <c r="B82" i="11"/>
  <c r="C81" i="11"/>
  <c r="B81" i="11"/>
  <c r="C80" i="11"/>
  <c r="B80" i="11"/>
  <c r="C79" i="11"/>
  <c r="B79" i="11"/>
  <c r="F16" i="12" l="1"/>
  <c r="G12" i="12"/>
  <c r="Y462" i="4"/>
  <c r="Y461" i="4"/>
  <c r="Y459" i="4"/>
  <c r="Y364" i="4"/>
  <c r="Y363" i="4"/>
  <c r="Y254" i="4"/>
  <c r="Y250" i="4"/>
  <c r="Y214" i="4"/>
  <c r="H14" i="11" l="1"/>
  <c r="H13" i="11"/>
  <c r="H11" i="11"/>
  <c r="I11" i="11" s="1"/>
  <c r="BM1" i="11"/>
  <c r="BL1" i="11"/>
  <c r="BK1" i="11"/>
  <c r="BJ1" i="11"/>
  <c r="BI1" i="11"/>
  <c r="BH1" i="11"/>
  <c r="BG1" i="11"/>
  <c r="BF1" i="11"/>
  <c r="BE1" i="11"/>
  <c r="BD1" i="11"/>
  <c r="BC1" i="11"/>
  <c r="BB1" i="11"/>
  <c r="BA1" i="11"/>
  <c r="AZ1" i="11"/>
  <c r="AY1" i="11"/>
  <c r="AX1" i="11"/>
  <c r="AW1" i="11"/>
  <c r="AV1" i="11"/>
  <c r="AU1" i="11"/>
  <c r="AT1" i="11"/>
  <c r="AS1" i="11"/>
  <c r="AR1" i="11"/>
  <c r="AQ1" i="11"/>
  <c r="AP1" i="11"/>
  <c r="AO1" i="11"/>
  <c r="AN1" i="11"/>
  <c r="AM1" i="11"/>
  <c r="AL1" i="11"/>
  <c r="AK1" i="11"/>
  <c r="AJ1" i="11"/>
  <c r="AI1" i="11"/>
  <c r="AH1" i="11"/>
  <c r="AG1" i="11"/>
  <c r="BM3" i="11"/>
  <c r="BM2" i="11" s="1"/>
  <c r="BL3" i="11"/>
  <c r="BL2" i="11" s="1"/>
  <c r="BK3" i="11"/>
  <c r="BK2" i="11" s="1"/>
  <c r="BJ3" i="11"/>
  <c r="BJ2" i="11" s="1"/>
  <c r="BI3" i="11"/>
  <c r="BI2" i="11" s="1"/>
  <c r="BH3" i="11"/>
  <c r="BH2" i="11" s="1"/>
  <c r="BG3" i="11"/>
  <c r="BG2" i="11" s="1"/>
  <c r="BF3" i="11"/>
  <c r="BF2" i="11" s="1"/>
  <c r="BE3" i="11"/>
  <c r="BE2" i="11" s="1"/>
  <c r="BD3" i="11"/>
  <c r="BD2" i="11" s="1"/>
  <c r="BC3" i="11"/>
  <c r="BC2" i="11" s="1"/>
  <c r="BA3" i="11"/>
  <c r="BA2" i="11" s="1"/>
  <c r="AZ3" i="11"/>
  <c r="AZ2" i="11" s="1"/>
  <c r="AY3" i="11"/>
  <c r="AY2" i="11" s="1"/>
  <c r="AX3" i="11"/>
  <c r="AX2" i="11" s="1"/>
  <c r="AW3" i="11"/>
  <c r="AW2" i="11" s="1"/>
  <c r="AV3" i="11"/>
  <c r="AV2" i="11" s="1"/>
  <c r="AU3" i="11"/>
  <c r="AU2" i="11" s="1"/>
  <c r="AT3" i="11"/>
  <c r="AT2" i="11" s="1"/>
  <c r="AS3" i="11"/>
  <c r="AS2" i="11" s="1"/>
  <c r="AR3" i="11"/>
  <c r="AR2" i="11" s="1"/>
  <c r="AQ3" i="11"/>
  <c r="AQ2" i="11" s="1"/>
  <c r="AP3" i="11"/>
  <c r="AP2" i="11" s="1"/>
  <c r="AO3" i="11"/>
  <c r="AO2" i="11" s="1"/>
  <c r="AN3" i="11"/>
  <c r="AN2" i="11" s="1"/>
  <c r="AM3" i="11"/>
  <c r="AM2" i="11" s="1"/>
  <c r="AL3" i="11"/>
  <c r="AL2" i="11" s="1"/>
  <c r="AK3" i="11"/>
  <c r="AK2" i="11" s="1"/>
  <c r="AJ3" i="11"/>
  <c r="AJ2" i="11" s="1"/>
  <c r="AI3" i="11"/>
  <c r="AI2" i="11" s="1"/>
  <c r="AH3" i="11"/>
  <c r="AH2" i="11" s="1"/>
  <c r="AG3" i="11"/>
  <c r="AG2" i="11" s="1"/>
  <c r="AF3" i="11"/>
  <c r="AF2" i="11" s="1"/>
  <c r="AE3" i="11"/>
  <c r="AE2" i="11" s="1"/>
  <c r="AD3" i="11"/>
  <c r="AD2" i="11" s="1"/>
  <c r="AC3" i="11"/>
  <c r="AC2" i="11" s="1"/>
  <c r="AB3" i="11"/>
  <c r="AB2" i="11" s="1"/>
  <c r="AA3" i="11"/>
  <c r="AA2" i="11" s="1"/>
  <c r="Z3" i="11"/>
  <c r="Z2" i="11" s="1"/>
  <c r="Y3" i="11"/>
  <c r="Y2" i="11" s="1"/>
  <c r="X3" i="11"/>
  <c r="X2" i="11" s="1"/>
  <c r="W3" i="11"/>
  <c r="W2" i="11" s="1"/>
  <c r="V3" i="11"/>
  <c r="V2" i="11" s="1"/>
  <c r="U3" i="11"/>
  <c r="U2" i="11" s="1"/>
  <c r="T3" i="11"/>
  <c r="T2" i="11" s="1"/>
  <c r="S3" i="11"/>
  <c r="S2" i="11" s="1"/>
  <c r="R3" i="11"/>
  <c r="R2" i="11" s="1"/>
  <c r="Q3" i="11"/>
  <c r="Q2" i="11" s="1"/>
  <c r="P3" i="11"/>
  <c r="P2" i="11" s="1"/>
  <c r="O3" i="11"/>
  <c r="O2" i="11" s="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G15" i="11"/>
  <c r="H15" i="11" s="1"/>
  <c r="G11" i="11" l="1"/>
  <c r="G12" i="11"/>
  <c r="H12" i="11"/>
  <c r="J8" i="1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AG8" i="11" s="1"/>
  <c r="AH8" i="11" s="1"/>
  <c r="AI8" i="11" s="1"/>
  <c r="AJ8" i="11" s="1"/>
  <c r="AK8" i="11" s="1"/>
  <c r="AL8" i="11" s="1"/>
  <c r="AM8" i="11" s="1"/>
  <c r="AN8" i="11" s="1"/>
  <c r="AO8" i="11" s="1"/>
  <c r="AP8" i="11" s="1"/>
  <c r="AQ8" i="11" s="1"/>
  <c r="AR8" i="11" s="1"/>
  <c r="AS8" i="11" s="1"/>
  <c r="AT8" i="11" s="1"/>
  <c r="AU8" i="11" s="1"/>
  <c r="AV8" i="11" s="1"/>
  <c r="AW8" i="11" s="1"/>
  <c r="AX8" i="11" s="1"/>
  <c r="AY8" i="11" s="1"/>
  <c r="AZ8" i="11" s="1"/>
  <c r="BA8" i="11" s="1"/>
  <c r="BB8" i="11" s="1"/>
  <c r="BC8" i="11" s="1"/>
  <c r="BD8" i="11" s="1"/>
  <c r="BE8" i="11" s="1"/>
  <c r="BF8" i="11" s="1"/>
  <c r="BG8" i="11" s="1"/>
  <c r="BH8" i="11" s="1"/>
  <c r="BI8" i="11" s="1"/>
  <c r="BJ8" i="11" s="1"/>
  <c r="BK8" i="11" s="1"/>
  <c r="BL8" i="11" s="1"/>
  <c r="BM8" i="11" s="1"/>
  <c r="BN8" i="11" s="1"/>
  <c r="BO8" i="11" s="1"/>
  <c r="BP8" i="11" s="1"/>
  <c r="BQ8" i="11" s="1"/>
  <c r="BR8" i="11" s="1"/>
  <c r="BS8" i="11" s="1"/>
  <c r="BT8" i="11" s="1"/>
  <c r="BU8" i="11" s="1"/>
  <c r="BV8" i="11" s="1"/>
  <c r="BW8" i="11" s="1"/>
  <c r="BX8" i="11" s="1"/>
  <c r="BY8" i="11" s="1"/>
  <c r="BZ8" i="11" s="1"/>
  <c r="CA8" i="11" s="1"/>
  <c r="CB8" i="11" s="1"/>
  <c r="CC8" i="11" s="1"/>
  <c r="CD8" i="11" s="1"/>
  <c r="CE8" i="11" s="1"/>
  <c r="CF8" i="11" s="1"/>
  <c r="CG8" i="11" s="1"/>
  <c r="CH8" i="11" s="1"/>
  <c r="CI8" i="11" s="1"/>
  <c r="CJ8" i="11" s="1"/>
  <c r="CK8" i="11" s="1"/>
  <c r="CL8" i="11" s="1"/>
  <c r="CM8" i="11" s="1"/>
  <c r="CN8" i="11" s="1"/>
  <c r="CO8" i="11" s="1"/>
  <c r="CP8" i="11" s="1"/>
  <c r="CQ8" i="11" s="1"/>
  <c r="J7" i="1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N3" i="11"/>
  <c r="N2" i="11" s="1"/>
  <c r="N1" i="11"/>
  <c r="C206" i="11" l="1"/>
  <c r="B206" i="11"/>
  <c r="C205" i="11"/>
  <c r="B205" i="11"/>
  <c r="C204" i="11"/>
  <c r="B204" i="11"/>
  <c r="C203" i="11"/>
  <c r="B203" i="11"/>
  <c r="C202" i="11"/>
  <c r="B202" i="11"/>
  <c r="C201" i="11"/>
  <c r="B201" i="11"/>
  <c r="C200" i="11"/>
  <c r="B200" i="11"/>
  <c r="C199" i="11"/>
  <c r="B199" i="11"/>
  <c r="C198" i="11"/>
  <c r="B198" i="11"/>
  <c r="C197" i="11"/>
  <c r="B197" i="11"/>
  <c r="C196" i="11"/>
  <c r="B196" i="11"/>
  <c r="C195" i="11"/>
  <c r="B195" i="11"/>
  <c r="C194" i="11"/>
  <c r="B194" i="11"/>
  <c r="C193" i="11"/>
  <c r="B193" i="11"/>
  <c r="C192" i="11"/>
  <c r="B192" i="11"/>
  <c r="C191" i="11"/>
  <c r="B191" i="11"/>
  <c r="C190" i="11"/>
  <c r="B190" i="11"/>
  <c r="C189" i="11"/>
  <c r="B189" i="11"/>
  <c r="C188" i="11"/>
  <c r="B188" i="11"/>
  <c r="C187" i="11"/>
  <c r="B187" i="11"/>
  <c r="C186" i="11"/>
  <c r="B186" i="11"/>
  <c r="C185" i="11"/>
  <c r="B185" i="11"/>
  <c r="C184" i="11"/>
  <c r="B184" i="11"/>
  <c r="C183" i="11"/>
  <c r="B183" i="11"/>
  <c r="C182" i="11"/>
  <c r="B182" i="11"/>
  <c r="C181" i="11"/>
  <c r="B181" i="11"/>
  <c r="C180" i="11"/>
  <c r="B180" i="11"/>
  <c r="C179" i="11"/>
  <c r="B179" i="11"/>
  <c r="C178" i="11"/>
  <c r="B178" i="11"/>
  <c r="C177" i="11"/>
  <c r="B177" i="11"/>
  <c r="C176" i="11"/>
  <c r="B176" i="11"/>
  <c r="C175" i="11"/>
  <c r="B175" i="11"/>
  <c r="C174" i="11"/>
  <c r="B174" i="11"/>
  <c r="C173" i="11"/>
  <c r="B173" i="11"/>
  <c r="C172" i="11"/>
  <c r="B172" i="11"/>
  <c r="C171" i="11"/>
  <c r="B171" i="11"/>
  <c r="C170" i="11"/>
  <c r="B170" i="11"/>
  <c r="C169" i="11"/>
  <c r="B169" i="11"/>
  <c r="C168" i="11"/>
  <c r="B168" i="11"/>
  <c r="C167" i="11"/>
  <c r="B167" i="11"/>
  <c r="C166" i="11"/>
  <c r="B166" i="11"/>
  <c r="C165" i="11"/>
  <c r="B165" i="11"/>
  <c r="C164" i="11"/>
  <c r="B164" i="11"/>
  <c r="C163" i="11"/>
  <c r="B163" i="11"/>
  <c r="C162" i="11"/>
  <c r="B162" i="11"/>
  <c r="C161" i="11"/>
  <c r="B161" i="11"/>
  <c r="C160" i="11"/>
  <c r="B160" i="11"/>
  <c r="C159" i="11"/>
  <c r="B159" i="11"/>
  <c r="C158" i="11"/>
  <c r="B158" i="11"/>
  <c r="C136" i="11"/>
  <c r="B136" i="11"/>
  <c r="C135" i="11"/>
  <c r="B135" i="11"/>
  <c r="C134" i="11"/>
  <c r="B134" i="11"/>
  <c r="C133" i="11"/>
  <c r="B133" i="11"/>
  <c r="C132" i="11"/>
  <c r="B132" i="11"/>
  <c r="C131" i="11"/>
  <c r="B131" i="11"/>
  <c r="C130" i="11"/>
  <c r="B130" i="11"/>
  <c r="C129" i="11"/>
  <c r="B129" i="11"/>
  <c r="C128" i="11"/>
  <c r="B128" i="11"/>
  <c r="C127" i="11"/>
  <c r="B127" i="11"/>
  <c r="C126" i="11"/>
  <c r="B126" i="11"/>
  <c r="C125" i="11"/>
  <c r="B125" i="11"/>
  <c r="C124" i="11"/>
  <c r="B124" i="11"/>
  <c r="C123" i="11"/>
  <c r="B123" i="11"/>
  <c r="C122" i="11"/>
  <c r="B122" i="11"/>
  <c r="C121" i="11"/>
  <c r="B121" i="11"/>
  <c r="C120" i="11"/>
  <c r="B120" i="11"/>
  <c r="C119" i="11"/>
  <c r="B119" i="11"/>
  <c r="C118" i="11"/>
  <c r="B118" i="11"/>
  <c r="C117" i="11"/>
  <c r="B117" i="11"/>
  <c r="C116" i="11"/>
  <c r="B116" i="11"/>
  <c r="C115" i="11"/>
  <c r="B115" i="11"/>
  <c r="C114" i="11"/>
  <c r="B114" i="11"/>
  <c r="C113" i="11"/>
  <c r="B113" i="11"/>
  <c r="C112" i="11"/>
  <c r="B112" i="11"/>
  <c r="C111" i="11"/>
  <c r="B111" i="11"/>
  <c r="C110" i="11"/>
  <c r="B110" i="11"/>
  <c r="C109" i="11"/>
  <c r="B109" i="11"/>
  <c r="C108" i="11"/>
  <c r="B108" i="11"/>
  <c r="C107" i="11"/>
  <c r="B107" i="11"/>
  <c r="C106" i="11"/>
  <c r="B106" i="11"/>
  <c r="C105" i="11"/>
  <c r="B105" i="11"/>
  <c r="C104" i="11"/>
  <c r="B104" i="11"/>
  <c r="C103" i="11"/>
  <c r="B103" i="11"/>
  <c r="C102" i="11"/>
  <c r="B102" i="11"/>
  <c r="C101" i="11"/>
  <c r="B101" i="11"/>
  <c r="C100" i="11"/>
  <c r="B100" i="11"/>
  <c r="C99" i="11"/>
  <c r="B99" i="11"/>
  <c r="C98" i="11"/>
  <c r="B98" i="11"/>
  <c r="C78" i="11"/>
  <c r="B78" i="11"/>
  <c r="C77" i="11"/>
  <c r="B77" i="11"/>
  <c r="C76" i="11"/>
  <c r="B76" i="11"/>
  <c r="C75" i="11"/>
  <c r="B75" i="11"/>
  <c r="C74" i="11"/>
  <c r="B74" i="11"/>
  <c r="C73" i="11"/>
  <c r="B73" i="11"/>
  <c r="C72" i="11"/>
  <c r="B72" i="11"/>
  <c r="C71" i="11"/>
  <c r="B71" i="11"/>
  <c r="C70" i="11"/>
  <c r="B70" i="11"/>
  <c r="C69" i="11"/>
  <c r="B69" i="11"/>
  <c r="C68" i="11"/>
  <c r="B68" i="11"/>
  <c r="B67" i="11"/>
  <c r="C67" i="11"/>
  <c r="C51" i="11"/>
  <c r="B51" i="11"/>
  <c r="C50" i="11"/>
  <c r="B50" i="11"/>
  <c r="C49" i="11"/>
  <c r="B49" i="11"/>
  <c r="C48" i="11"/>
  <c r="B48" i="11"/>
  <c r="C47" i="11"/>
  <c r="B47" i="11"/>
  <c r="C46" i="11"/>
  <c r="B46" i="11"/>
  <c r="C45" i="11"/>
  <c r="B45" i="11"/>
  <c r="C44" i="11"/>
  <c r="B44" i="11"/>
  <c r="C43" i="11"/>
  <c r="B43" i="11"/>
  <c r="C42" i="11"/>
  <c r="B42" i="11"/>
  <c r="C41" i="11"/>
  <c r="B41" i="11"/>
  <c r="C40" i="11"/>
  <c r="B40" i="11"/>
  <c r="C39" i="11"/>
  <c r="B39" i="11"/>
  <c r="C38" i="11"/>
  <c r="B38" i="11"/>
  <c r="C37" i="11"/>
  <c r="B37" i="11"/>
  <c r="C31" i="11"/>
  <c r="B31" i="11"/>
  <c r="C30" i="11"/>
  <c r="B30" i="11"/>
  <c r="C29" i="11"/>
  <c r="B29" i="11"/>
  <c r="C28" i="11"/>
  <c r="B28" i="11"/>
  <c r="C27" i="11"/>
  <c r="B27" i="11"/>
  <c r="C26" i="11"/>
  <c r="B26" i="11"/>
  <c r="C25" i="11"/>
  <c r="B25" i="11"/>
  <c r="C24" i="11"/>
  <c r="B24" i="11"/>
  <c r="C23" i="11"/>
  <c r="B23" i="11"/>
  <c r="C22" i="11"/>
  <c r="B22" i="11"/>
  <c r="C21" i="11"/>
  <c r="B21" i="11"/>
  <c r="C20" i="11"/>
  <c r="B20" i="11"/>
  <c r="C19" i="11"/>
  <c r="B19" i="11"/>
  <c r="M1" i="11" l="1"/>
  <c r="L1" i="11"/>
  <c r="K1" i="11"/>
  <c r="I1" i="11" l="1"/>
  <c r="H1" i="11" s="1"/>
  <c r="M3" i="11"/>
  <c r="M2" i="11" s="1"/>
  <c r="L3" i="11"/>
  <c r="L2" i="11" s="1"/>
  <c r="K3" i="11"/>
  <c r="K2" i="11" s="1"/>
  <c r="H10" i="11"/>
  <c r="B157" i="11"/>
  <c r="C157" i="11"/>
  <c r="B137" i="11"/>
  <c r="B97" i="11"/>
  <c r="B96" i="11"/>
  <c r="B95" i="11"/>
  <c r="B94" i="11"/>
  <c r="B93" i="11"/>
  <c r="B92" i="11"/>
  <c r="B91" i="11"/>
  <c r="B90" i="11"/>
  <c r="B89" i="11"/>
  <c r="B88" i="11"/>
  <c r="B55" i="11"/>
  <c r="B54" i="11"/>
  <c r="B53" i="11"/>
  <c r="B52" i="11"/>
  <c r="B36" i="11"/>
  <c r="B35" i="11"/>
  <c r="B34" i="11"/>
  <c r="B33" i="11"/>
  <c r="B32" i="11"/>
  <c r="B18" i="11"/>
  <c r="C137" i="11"/>
  <c r="C97" i="11"/>
  <c r="C96" i="11"/>
  <c r="C95" i="11"/>
  <c r="C94" i="11"/>
  <c r="C93" i="11"/>
  <c r="C92" i="11"/>
  <c r="C91" i="11"/>
  <c r="C90" i="11"/>
  <c r="C89" i="11"/>
  <c r="C88" i="11"/>
  <c r="C55" i="11"/>
  <c r="C54" i="11"/>
  <c r="C53" i="11"/>
  <c r="C52" i="11"/>
  <c r="C36" i="11"/>
  <c r="C35" i="11"/>
  <c r="C34" i="11"/>
  <c r="C33" i="11"/>
  <c r="C32" i="11"/>
  <c r="C18" i="11"/>
  <c r="AD4" i="4"/>
  <c r="AE4" i="4"/>
  <c r="G10" i="11" l="1"/>
  <c r="AE26" i="4" l="1"/>
  <c r="I10" i="10"/>
  <c r="I9" i="10"/>
  <c r="I8" i="10"/>
  <c r="AD132" i="4"/>
  <c r="AD131" i="4"/>
  <c r="AD130" i="4"/>
  <c r="AD129" i="4"/>
  <c r="AD128" i="4"/>
  <c r="AD127" i="4"/>
  <c r="AD126" i="4"/>
  <c r="AD125" i="4"/>
  <c r="AD124" i="4"/>
  <c r="AD123" i="4"/>
  <c r="AD122" i="4"/>
  <c r="AD121" i="4"/>
  <c r="AD120" i="4"/>
  <c r="AD119" i="4"/>
  <c r="AD118" i="4"/>
  <c r="AD117" i="4"/>
  <c r="AD116" i="4"/>
  <c r="AD115" i="4"/>
  <c r="AD114" i="4"/>
  <c r="AD113" i="4"/>
  <c r="AD112" i="4"/>
  <c r="AD111" i="4"/>
  <c r="AD110" i="4"/>
  <c r="AD109" i="4"/>
  <c r="AD108" i="4"/>
  <c r="AD107" i="4"/>
  <c r="AD106" i="4"/>
  <c r="AD105" i="4"/>
  <c r="AD104" i="4"/>
  <c r="AD103" i="4"/>
  <c r="AD102" i="4"/>
  <c r="AD101" i="4"/>
  <c r="AD100" i="4"/>
  <c r="AD99" i="4"/>
  <c r="AD98" i="4"/>
  <c r="AD97" i="4"/>
  <c r="AD96" i="4"/>
  <c r="AD95" i="4"/>
  <c r="AD94" i="4"/>
  <c r="AD93" i="4"/>
  <c r="AD92" i="4"/>
  <c r="AD91" i="4"/>
  <c r="AD90" i="4"/>
  <c r="AD89" i="4"/>
  <c r="AD88" i="4"/>
  <c r="AD87" i="4"/>
  <c r="AD86" i="4"/>
  <c r="AD85" i="4"/>
  <c r="AD84" i="4"/>
  <c r="AD83" i="4"/>
  <c r="AD82" i="4"/>
  <c r="AD80" i="4"/>
  <c r="AD79" i="4"/>
  <c r="AD78" i="4"/>
  <c r="AD77" i="4"/>
  <c r="AD76" i="4"/>
  <c r="AD75" i="4"/>
  <c r="AD74" i="4"/>
  <c r="AD73" i="4"/>
  <c r="AD72" i="4"/>
  <c r="AD71" i="4"/>
  <c r="AD70" i="4"/>
  <c r="AD69" i="4"/>
  <c r="AD68" i="4"/>
  <c r="AD67" i="4"/>
  <c r="AD66" i="4"/>
  <c r="AD65" i="4"/>
  <c r="AD64" i="4"/>
  <c r="AD63" i="4"/>
  <c r="AD62" i="4"/>
  <c r="AD61" i="4"/>
  <c r="AD60" i="4"/>
  <c r="AD59" i="4"/>
  <c r="AD58" i="4"/>
  <c r="AD57" i="4"/>
  <c r="AD56" i="4"/>
  <c r="AD55" i="4"/>
  <c r="AD54" i="4"/>
  <c r="AD53" i="4"/>
  <c r="AD52" i="4"/>
  <c r="AD51" i="4"/>
  <c r="AD50" i="4"/>
  <c r="AD49" i="4"/>
  <c r="AD48" i="4"/>
  <c r="AD46" i="4"/>
  <c r="AD44" i="4"/>
  <c r="AD41" i="4"/>
  <c r="AD40" i="4"/>
  <c r="AD39" i="4"/>
  <c r="AD38" i="4"/>
  <c r="AD37" i="4"/>
  <c r="AD36" i="4"/>
  <c r="AD35" i="4"/>
  <c r="AD34" i="4"/>
  <c r="AD33" i="4"/>
  <c r="AD32" i="4"/>
  <c r="AD31" i="4"/>
  <c r="AD30" i="4"/>
  <c r="AD29" i="4"/>
  <c r="AD28" i="4"/>
  <c r="AD27" i="4"/>
  <c r="AD25" i="4"/>
  <c r="AD24" i="4"/>
  <c r="AD23" i="4"/>
  <c r="AD22" i="4"/>
  <c r="AD21" i="4"/>
  <c r="AD20" i="4"/>
  <c r="AD19" i="4"/>
  <c r="AD18" i="4"/>
  <c r="AD17" i="4"/>
  <c r="AD16" i="4"/>
  <c r="AD15" i="4"/>
  <c r="AD14" i="4"/>
  <c r="AD13" i="4"/>
  <c r="AD12" i="4"/>
  <c r="AD11" i="4"/>
  <c r="AD10" i="4"/>
  <c r="AD9" i="4"/>
  <c r="AD8" i="4"/>
  <c r="AD7" i="4"/>
  <c r="AD6" i="4"/>
  <c r="AD5" i="4"/>
  <c r="AD539" i="4"/>
  <c r="AD538" i="4"/>
  <c r="AD537" i="4"/>
  <c r="AD536" i="4"/>
  <c r="AD535" i="4"/>
  <c r="AD534" i="4"/>
  <c r="AD533" i="4"/>
  <c r="AD532" i="4"/>
  <c r="AD531" i="4"/>
  <c r="AD530" i="4"/>
  <c r="AD529" i="4"/>
  <c r="AD528" i="4"/>
  <c r="AD527" i="4"/>
  <c r="AD526" i="4"/>
  <c r="AD525" i="4"/>
  <c r="AD524" i="4"/>
  <c r="AD523" i="4"/>
  <c r="AD522" i="4"/>
  <c r="AD521" i="4"/>
  <c r="AD520" i="4"/>
  <c r="AD519" i="4"/>
  <c r="AD518" i="4"/>
  <c r="AD517" i="4"/>
  <c r="AD516" i="4"/>
  <c r="AD515" i="4"/>
  <c r="AD514" i="4"/>
  <c r="AD513" i="4"/>
  <c r="AD512" i="4"/>
  <c r="AD511" i="4"/>
  <c r="AD510" i="4"/>
  <c r="AD509" i="4"/>
  <c r="AD508" i="4"/>
  <c r="AD507" i="4"/>
  <c r="AD506" i="4"/>
  <c r="AD505" i="4"/>
  <c r="AD504" i="4"/>
  <c r="AD503" i="4"/>
  <c r="AD502" i="4"/>
  <c r="AD501" i="4"/>
  <c r="AD500" i="4"/>
  <c r="AD499" i="4"/>
  <c r="AD498" i="4"/>
  <c r="AD497" i="4"/>
  <c r="AD496" i="4"/>
  <c r="AD495" i="4"/>
  <c r="AD494" i="4"/>
  <c r="AD493" i="4"/>
  <c r="AD492" i="4"/>
  <c r="AD491" i="4"/>
  <c r="AD490" i="4"/>
  <c r="AD489" i="4"/>
  <c r="AD488" i="4"/>
  <c r="AD487" i="4"/>
  <c r="AD486" i="4"/>
  <c r="AD485" i="4"/>
  <c r="AD484" i="4"/>
  <c r="AD483" i="4"/>
  <c r="AD482" i="4"/>
  <c r="AD481" i="4"/>
  <c r="AD480" i="4"/>
  <c r="AD479" i="4"/>
  <c r="AD478" i="4"/>
  <c r="AD477" i="4"/>
  <c r="AD476" i="4"/>
  <c r="AD475" i="4"/>
  <c r="AD474" i="4"/>
  <c r="AD473" i="4"/>
  <c r="AD472" i="4"/>
  <c r="AD471" i="4"/>
  <c r="AD470" i="4"/>
  <c r="AD469" i="4"/>
  <c r="AD468" i="4"/>
  <c r="AD467" i="4"/>
  <c r="AD466" i="4"/>
  <c r="AD465" i="4"/>
  <c r="AD464" i="4"/>
  <c r="AD463" i="4"/>
  <c r="AD462" i="4"/>
  <c r="AD461" i="4"/>
  <c r="AD460" i="4"/>
  <c r="AD459" i="4"/>
  <c r="AD458" i="4"/>
  <c r="AD457" i="4"/>
  <c r="AD456" i="4"/>
  <c r="AD455" i="4"/>
  <c r="AD454" i="4"/>
  <c r="AD453" i="4"/>
  <c r="AD452" i="4"/>
  <c r="AD451" i="4"/>
  <c r="AD450" i="4"/>
  <c r="AD449" i="4"/>
  <c r="AD448" i="4"/>
  <c r="AD447" i="4"/>
  <c r="AD446" i="4"/>
  <c r="AD445" i="4"/>
  <c r="AD444" i="4"/>
  <c r="AD443" i="4"/>
  <c r="AD442" i="4"/>
  <c r="AD441" i="4"/>
  <c r="AD440" i="4"/>
  <c r="AD439" i="4"/>
  <c r="AD438" i="4"/>
  <c r="AD437" i="4"/>
  <c r="AD436" i="4"/>
  <c r="AD435" i="4"/>
  <c r="AD434" i="4"/>
  <c r="AD433" i="4"/>
  <c r="AD432" i="4"/>
  <c r="AD431" i="4"/>
  <c r="AD430" i="4"/>
  <c r="AD429" i="4"/>
  <c r="AD428" i="4"/>
  <c r="AD427" i="4"/>
  <c r="AD426" i="4"/>
  <c r="AD425" i="4"/>
  <c r="AD424" i="4"/>
  <c r="AD423" i="4"/>
  <c r="AD422" i="4"/>
  <c r="AD421" i="4"/>
  <c r="AD420" i="4"/>
  <c r="AD419" i="4"/>
  <c r="AD418" i="4"/>
  <c r="AD417" i="4"/>
  <c r="AD416" i="4"/>
  <c r="AD415" i="4"/>
  <c r="AD414" i="4"/>
  <c r="AD413" i="4"/>
  <c r="AD412" i="4"/>
  <c r="AD411" i="4"/>
  <c r="AD409" i="4"/>
  <c r="AD408" i="4"/>
  <c r="AD407" i="4"/>
  <c r="AD406" i="4"/>
  <c r="AD405" i="4"/>
  <c r="AD404" i="4"/>
  <c r="AD403" i="4"/>
  <c r="AD402" i="4"/>
  <c r="AD401" i="4"/>
  <c r="AD400" i="4"/>
  <c r="AD399" i="4"/>
  <c r="AD398" i="4"/>
  <c r="AD397" i="4"/>
  <c r="AD396" i="4"/>
  <c r="AD395" i="4"/>
  <c r="AD394" i="4"/>
  <c r="AD393" i="4"/>
  <c r="AD392" i="4"/>
  <c r="AD391" i="4"/>
  <c r="AD390" i="4"/>
  <c r="AD389" i="4"/>
  <c r="AD388" i="4"/>
  <c r="AD387" i="4"/>
  <c r="AD386" i="4"/>
  <c r="AD385" i="4"/>
  <c r="AD384" i="4"/>
  <c r="AD383" i="4"/>
  <c r="AD382" i="4"/>
  <c r="AD381" i="4"/>
  <c r="AD380" i="4"/>
  <c r="AD379" i="4"/>
  <c r="AD378" i="4"/>
  <c r="AD377" i="4"/>
  <c r="AD376" i="4"/>
  <c r="AD375" i="4"/>
  <c r="AD374" i="4"/>
  <c r="AD373" i="4"/>
  <c r="AD372" i="4"/>
  <c r="AD371" i="4"/>
  <c r="AD370" i="4"/>
  <c r="AD369" i="4"/>
  <c r="AD368" i="4"/>
  <c r="AD367" i="4"/>
  <c r="AD366" i="4"/>
  <c r="AD365" i="4"/>
  <c r="AD364" i="4"/>
  <c r="AD363" i="4"/>
  <c r="AD362" i="4"/>
  <c r="AD360" i="4"/>
  <c r="AD359" i="4"/>
  <c r="AD358" i="4"/>
  <c r="AD357" i="4"/>
  <c r="AD356" i="4"/>
  <c r="AD355" i="4"/>
  <c r="AD354" i="4"/>
  <c r="AD353" i="4"/>
  <c r="AD352" i="4"/>
  <c r="AD351" i="4"/>
  <c r="AD350" i="4"/>
  <c r="AD349" i="4"/>
  <c r="AD348" i="4"/>
  <c r="AD347" i="4"/>
  <c r="AD346" i="4"/>
  <c r="AD345" i="4"/>
  <c r="AD344" i="4"/>
  <c r="AD343" i="4"/>
  <c r="AD342" i="4"/>
  <c r="AD341" i="4"/>
  <c r="AD340" i="4"/>
  <c r="AD339" i="4"/>
  <c r="AD338" i="4"/>
  <c r="AD337" i="4"/>
  <c r="AD336" i="4"/>
  <c r="AD335" i="4"/>
  <c r="AD334" i="4"/>
  <c r="AD333" i="4"/>
  <c r="AD332" i="4"/>
  <c r="AD331" i="4"/>
  <c r="AD330" i="4"/>
  <c r="AD329" i="4"/>
  <c r="AD328" i="4"/>
  <c r="AD327" i="4"/>
  <c r="AD326" i="4"/>
  <c r="AD325" i="4"/>
  <c r="AD324" i="4"/>
  <c r="AD323" i="4"/>
  <c r="AD322" i="4"/>
  <c r="AD321" i="4"/>
  <c r="AD320" i="4"/>
  <c r="AD319" i="4"/>
  <c r="AD318" i="4"/>
  <c r="AD317" i="4"/>
  <c r="AD316" i="4"/>
  <c r="AD315" i="4"/>
  <c r="AD314" i="4"/>
  <c r="AD313" i="4"/>
  <c r="AD312" i="4"/>
  <c r="AD311" i="4"/>
  <c r="AD310" i="4"/>
  <c r="AD309" i="4"/>
  <c r="AD308" i="4"/>
  <c r="AD307" i="4"/>
  <c r="AD306" i="4"/>
  <c r="AD305" i="4"/>
  <c r="AD304" i="4"/>
  <c r="AD303" i="4"/>
  <c r="AD302" i="4"/>
  <c r="AD301" i="4"/>
  <c r="AD300" i="4"/>
  <c r="AD299" i="4"/>
  <c r="AD297" i="4"/>
  <c r="AD296" i="4"/>
  <c r="AD295" i="4"/>
  <c r="AD294" i="4"/>
  <c r="AD293" i="4"/>
  <c r="AD292" i="4"/>
  <c r="AD291" i="4"/>
  <c r="AD290" i="4"/>
  <c r="AD288" i="4"/>
  <c r="AD287" i="4"/>
  <c r="AD286" i="4"/>
  <c r="AD285" i="4"/>
  <c r="AD284" i="4"/>
  <c r="AD283" i="4"/>
  <c r="AD282" i="4"/>
  <c r="AD281" i="4"/>
  <c r="AD280" i="4"/>
  <c r="AD279" i="4"/>
  <c r="AD277" i="4"/>
  <c r="AD276" i="4"/>
  <c r="AD275" i="4"/>
  <c r="AD274" i="4"/>
  <c r="AD273" i="4"/>
  <c r="AD272" i="4"/>
  <c r="AD271" i="4"/>
  <c r="AD270" i="4"/>
  <c r="AD269" i="4"/>
  <c r="AD268" i="4"/>
  <c r="AD267" i="4"/>
  <c r="AD266" i="4"/>
  <c r="AD264" i="4"/>
  <c r="AD262" i="4"/>
  <c r="AD260" i="4"/>
  <c r="AD259" i="4"/>
  <c r="AD258" i="4"/>
  <c r="AD257" i="4"/>
  <c r="AD256" i="4"/>
  <c r="AD255" i="4"/>
  <c r="AD254" i="4"/>
  <c r="AD253" i="4"/>
  <c r="AD252" i="4"/>
  <c r="AD251" i="4"/>
  <c r="AD248" i="4"/>
  <c r="AD247" i="4"/>
  <c r="AD245" i="4"/>
  <c r="AD244" i="4"/>
  <c r="AD243" i="4"/>
  <c r="AD242" i="4"/>
  <c r="AD241" i="4"/>
  <c r="AD240" i="4"/>
  <c r="AD239" i="4"/>
  <c r="AD238" i="4"/>
  <c r="AD237" i="4"/>
  <c r="AD236" i="4"/>
  <c r="AD235" i="4"/>
  <c r="AD234" i="4"/>
  <c r="AD233" i="4"/>
  <c r="AD232" i="4"/>
  <c r="AD231" i="4"/>
  <c r="AD230" i="4"/>
  <c r="AD229" i="4"/>
  <c r="AD228" i="4"/>
  <c r="AD227" i="4"/>
  <c r="AD226" i="4"/>
  <c r="AD225" i="4"/>
  <c r="AD224" i="4"/>
  <c r="AD223" i="4"/>
  <c r="AD222" i="4"/>
  <c r="AD219" i="4"/>
  <c r="AD218" i="4"/>
  <c r="AD217" i="4"/>
  <c r="AD216" i="4"/>
  <c r="AD215" i="4"/>
  <c r="AD214" i="4"/>
  <c r="AD209" i="4"/>
  <c r="AD207" i="4"/>
  <c r="AD206" i="4"/>
  <c r="AD205" i="4"/>
  <c r="AD201" i="4"/>
  <c r="AD200" i="4"/>
  <c r="AD199" i="4"/>
  <c r="AD198" i="4"/>
  <c r="AD196" i="4"/>
  <c r="AD193" i="4"/>
  <c r="AD192" i="4"/>
  <c r="AD191" i="4"/>
  <c r="AD190" i="4"/>
  <c r="AD189" i="4"/>
  <c r="AD188" i="4"/>
  <c r="AD187" i="4"/>
  <c r="AD186" i="4"/>
  <c r="AD185" i="4"/>
  <c r="AD184" i="4"/>
  <c r="AD183" i="4"/>
  <c r="AD182" i="4"/>
  <c r="AD181" i="4"/>
  <c r="AD180" i="4"/>
  <c r="AD179" i="4"/>
  <c r="AD178" i="4"/>
  <c r="AD177" i="4"/>
  <c r="AD175" i="4"/>
  <c r="AD174" i="4"/>
  <c r="AD173" i="4"/>
  <c r="AD172" i="4"/>
  <c r="AD171" i="4"/>
  <c r="AD170" i="4"/>
  <c r="AD169" i="4"/>
  <c r="AD168" i="4"/>
  <c r="AD167" i="4"/>
  <c r="AD166" i="4"/>
  <c r="AD165" i="4"/>
  <c r="AD164" i="4"/>
  <c r="AD163" i="4"/>
  <c r="AD162" i="4"/>
  <c r="AD161" i="4"/>
  <c r="AD160" i="4"/>
  <c r="AD159" i="4"/>
  <c r="AD158" i="4"/>
  <c r="AD157" i="4"/>
  <c r="AD156" i="4"/>
  <c r="AD155" i="4"/>
  <c r="AD154" i="4"/>
  <c r="AD153" i="4"/>
  <c r="AD152" i="4"/>
  <c r="AD151" i="4"/>
  <c r="AD150" i="4"/>
  <c r="AD149" i="4"/>
  <c r="AD148" i="4"/>
  <c r="AD147" i="4"/>
  <c r="AD146" i="4"/>
  <c r="AD145" i="4"/>
  <c r="AD144" i="4"/>
  <c r="AD143" i="4"/>
  <c r="AD142" i="4"/>
  <c r="AD141" i="4"/>
  <c r="AD140" i="4"/>
  <c r="AD139" i="4"/>
  <c r="AD138" i="4"/>
  <c r="AD137" i="4"/>
  <c r="AD136" i="4"/>
  <c r="AD135" i="4"/>
  <c r="AD134" i="4"/>
  <c r="AD133" i="4"/>
  <c r="AG424" i="4"/>
  <c r="AG536" i="4" l="1"/>
  <c r="AG535" i="4"/>
  <c r="AG534" i="4"/>
  <c r="AG532" i="4"/>
  <c r="AG528" i="4"/>
  <c r="AG527" i="4"/>
  <c r="AG526" i="4"/>
  <c r="AG525" i="4"/>
  <c r="AG524" i="4"/>
  <c r="AG523" i="4"/>
  <c r="AG522" i="4"/>
  <c r="AG518" i="4"/>
  <c r="AG517" i="4"/>
  <c r="AG516" i="4"/>
  <c r="AG509" i="4"/>
  <c r="AG508" i="4"/>
  <c r="AG507" i="4"/>
  <c r="AG506" i="4"/>
  <c r="AG504" i="4"/>
  <c r="AG503" i="4"/>
  <c r="AG502" i="4"/>
  <c r="AG500" i="4"/>
  <c r="AG499" i="4"/>
  <c r="AG497" i="4"/>
  <c r="AG495" i="4"/>
  <c r="AG494" i="4"/>
  <c r="AG493" i="4"/>
  <c r="AG492" i="4"/>
  <c r="AG491" i="4"/>
  <c r="AG490" i="4"/>
  <c r="AG489" i="4"/>
  <c r="AG488" i="4"/>
  <c r="AG487" i="4"/>
  <c r="AG486" i="4"/>
  <c r="AG485" i="4"/>
  <c r="AG484" i="4"/>
  <c r="AG483" i="4"/>
  <c r="AG482" i="4"/>
  <c r="AG481" i="4"/>
  <c r="AG480" i="4"/>
  <c r="AG479" i="4"/>
  <c r="AG478" i="4"/>
  <c r="AG477" i="4"/>
  <c r="AG476" i="4"/>
  <c r="AG475" i="4"/>
  <c r="AG474" i="4"/>
  <c r="AG473" i="4"/>
  <c r="AG472" i="4"/>
  <c r="AG471" i="4"/>
  <c r="AG470" i="4"/>
  <c r="AG469" i="4"/>
  <c r="AG468" i="4"/>
  <c r="AG467" i="4"/>
  <c r="AG466" i="4"/>
  <c r="AG465" i="4"/>
  <c r="AG464" i="4"/>
  <c r="AG463" i="4"/>
  <c r="AG462" i="4"/>
  <c r="AG461" i="4"/>
  <c r="AG460" i="4"/>
  <c r="AG459" i="4"/>
  <c r="AG458" i="4"/>
  <c r="AG457" i="4"/>
  <c r="AG456" i="4"/>
  <c r="AG455" i="4"/>
  <c r="AG454" i="4"/>
  <c r="AG453" i="4"/>
  <c r="AG451" i="4"/>
  <c r="AG450" i="4"/>
  <c r="AG449" i="4"/>
  <c r="AG448" i="4"/>
  <c r="AG447" i="4"/>
  <c r="AG446" i="4"/>
  <c r="AG445" i="4"/>
  <c r="AG444" i="4"/>
  <c r="AG443" i="4"/>
  <c r="AG442" i="4"/>
  <c r="AG441" i="4"/>
  <c r="AG440" i="4"/>
  <c r="AG439" i="4"/>
  <c r="AG438" i="4"/>
  <c r="AG437" i="4"/>
  <c r="AG436" i="4"/>
  <c r="AG435" i="4"/>
  <c r="AG433" i="4"/>
  <c r="AG432" i="4"/>
  <c r="AG431" i="4"/>
  <c r="AG430" i="4"/>
  <c r="AG429" i="4"/>
  <c r="AG428" i="4"/>
  <c r="AG427" i="4"/>
  <c r="AG426" i="4"/>
  <c r="AG425" i="4"/>
  <c r="AG422" i="4"/>
  <c r="AG421" i="4"/>
  <c r="AG420" i="4"/>
  <c r="AG419" i="4"/>
  <c r="AG418" i="4"/>
  <c r="AG417" i="4"/>
  <c r="AG416" i="4"/>
  <c r="AG415" i="4"/>
  <c r="AG414" i="4"/>
  <c r="AG413" i="4"/>
  <c r="AG412" i="4"/>
  <c r="AG411" i="4"/>
  <c r="AG410" i="4"/>
  <c r="AG409" i="4"/>
  <c r="AG408" i="4"/>
  <c r="AG407" i="4"/>
  <c r="AG406" i="4"/>
  <c r="AG405" i="4"/>
  <c r="AG404" i="4"/>
  <c r="AG403" i="4"/>
  <c r="AG402" i="4"/>
  <c r="AG401" i="4"/>
  <c r="AG400" i="4"/>
  <c r="AG399" i="4"/>
  <c r="AG398" i="4"/>
  <c r="AG397" i="4"/>
  <c r="AG396" i="4"/>
  <c r="AG395" i="4"/>
  <c r="AG394" i="4"/>
  <c r="AG393" i="4"/>
  <c r="AG392" i="4"/>
  <c r="AG391" i="4"/>
  <c r="AG390" i="4"/>
  <c r="AG389" i="4"/>
  <c r="AG388" i="4"/>
  <c r="AG387" i="4"/>
  <c r="AG386" i="4"/>
  <c r="AG385" i="4"/>
  <c r="AG384" i="4"/>
  <c r="AG383" i="4"/>
  <c r="AG382" i="4"/>
  <c r="AG381" i="4"/>
  <c r="AG380" i="4"/>
  <c r="AG379" i="4"/>
  <c r="AG378" i="4"/>
  <c r="AG377" i="4"/>
  <c r="AG376" i="4"/>
  <c r="AG375" i="4"/>
  <c r="AG374" i="4"/>
  <c r="AG372" i="4"/>
  <c r="AG371" i="4"/>
  <c r="AG370" i="4"/>
  <c r="AG369" i="4"/>
  <c r="AG368" i="4"/>
  <c r="AG367" i="4"/>
  <c r="AG366" i="4"/>
  <c r="AG365" i="4"/>
  <c r="AG364" i="4"/>
  <c r="AG363" i="4"/>
  <c r="AG362" i="4"/>
  <c r="AG361" i="4"/>
  <c r="AG360" i="4"/>
  <c r="AG359" i="4"/>
  <c r="AG358" i="4"/>
  <c r="AG357" i="4"/>
  <c r="AG356" i="4"/>
  <c r="AG355" i="4"/>
  <c r="AG354" i="4"/>
  <c r="AG353" i="4"/>
  <c r="AG352" i="4"/>
  <c r="AG351" i="4"/>
  <c r="AG350" i="4"/>
  <c r="AG349" i="4"/>
  <c r="AG348" i="4"/>
  <c r="AG347" i="4"/>
  <c r="AG346" i="4"/>
  <c r="AG345" i="4"/>
  <c r="AG344" i="4"/>
  <c r="AG343" i="4"/>
  <c r="AG342" i="4"/>
  <c r="AG341" i="4"/>
  <c r="AG340" i="4"/>
  <c r="AG339" i="4"/>
  <c r="AG338" i="4"/>
  <c r="AG337" i="4"/>
  <c r="AG336" i="4"/>
  <c r="AG335" i="4"/>
  <c r="AG334" i="4"/>
  <c r="AG333" i="4"/>
  <c r="AG332" i="4"/>
  <c r="AG331" i="4"/>
  <c r="AG330" i="4"/>
  <c r="AG329" i="4"/>
  <c r="AG328" i="4"/>
  <c r="AG327" i="4"/>
  <c r="AG326" i="4"/>
  <c r="AG325" i="4"/>
  <c r="AG324" i="4"/>
  <c r="AG323" i="4"/>
  <c r="AG322" i="4"/>
  <c r="AG321" i="4"/>
  <c r="AG320" i="4"/>
  <c r="AG319" i="4"/>
  <c r="AG318" i="4"/>
  <c r="AG317" i="4"/>
  <c r="AG316" i="4"/>
  <c r="AG315" i="4"/>
  <c r="AG314" i="4"/>
  <c r="AG313" i="4"/>
  <c r="AG312" i="4"/>
  <c r="AG311" i="4"/>
  <c r="AG310" i="4"/>
  <c r="AG309" i="4"/>
  <c r="AG308" i="4"/>
  <c r="AG307" i="4"/>
  <c r="AG306" i="4"/>
  <c r="AG305" i="4"/>
  <c r="AG304" i="4"/>
  <c r="AG303" i="4"/>
  <c r="AG302" i="4"/>
  <c r="AG301" i="4"/>
  <c r="AG300" i="4"/>
  <c r="AG299" i="4"/>
  <c r="AG298" i="4"/>
  <c r="AG297" i="4"/>
  <c r="AG296" i="4"/>
  <c r="AG295" i="4"/>
  <c r="AG294" i="4"/>
  <c r="AG293" i="4"/>
  <c r="AG292" i="4"/>
  <c r="AG291" i="4"/>
  <c r="AG290" i="4"/>
  <c r="AG289" i="4"/>
  <c r="AG288" i="4"/>
  <c r="AG287" i="4"/>
  <c r="AG286" i="4"/>
  <c r="AG285" i="4"/>
  <c r="AG284" i="4"/>
  <c r="AG283" i="4"/>
  <c r="AG282" i="4"/>
  <c r="AG281" i="4"/>
  <c r="AG280" i="4"/>
  <c r="AG279" i="4"/>
  <c r="AG278" i="4"/>
  <c r="AG277" i="4"/>
  <c r="AG276" i="4"/>
  <c r="AG275" i="4"/>
  <c r="AG274" i="4"/>
  <c r="AG273" i="4"/>
  <c r="AG272" i="4"/>
  <c r="AG271" i="4"/>
  <c r="AG270" i="4"/>
  <c r="AG269" i="4"/>
  <c r="AG268" i="4"/>
  <c r="AG267" i="4"/>
  <c r="AG266" i="4"/>
  <c r="AG265" i="4"/>
  <c r="AG264" i="4"/>
  <c r="AG263" i="4"/>
  <c r="AG262" i="4"/>
  <c r="AG261" i="4"/>
  <c r="AG260" i="4"/>
  <c r="AG259" i="4"/>
  <c r="AG258" i="4"/>
  <c r="AG257" i="4"/>
  <c r="AG256" i="4"/>
  <c r="AG255" i="4"/>
  <c r="AG254" i="4"/>
  <c r="AG253" i="4"/>
  <c r="AG252" i="4"/>
  <c r="AG251" i="4"/>
  <c r="AG250" i="4"/>
  <c r="AG249" i="4"/>
  <c r="AG248" i="4"/>
  <c r="AG247" i="4"/>
  <c r="AG246" i="4"/>
  <c r="AG245" i="4"/>
  <c r="AG244" i="4"/>
  <c r="AG243" i="4"/>
  <c r="AG242" i="4"/>
  <c r="AG241" i="4"/>
  <c r="AG240" i="4"/>
  <c r="AG239" i="4"/>
  <c r="AG238" i="4"/>
  <c r="AG237" i="4"/>
  <c r="AG236" i="4"/>
  <c r="AG235" i="4"/>
  <c r="AG234" i="4"/>
  <c r="AG233" i="4"/>
  <c r="AG232" i="4"/>
  <c r="AG231" i="4"/>
  <c r="AG230" i="4"/>
  <c r="AG229" i="4"/>
  <c r="AG228" i="4"/>
  <c r="AG227" i="4"/>
  <c r="AG226" i="4"/>
  <c r="AG225" i="4"/>
  <c r="AG224" i="4"/>
  <c r="AG223" i="4"/>
  <c r="AG222" i="4"/>
  <c r="AG221" i="4"/>
  <c r="AG220" i="4"/>
  <c r="AG219" i="4"/>
  <c r="AG218" i="4"/>
  <c r="AG217" i="4"/>
  <c r="AG216" i="4"/>
  <c r="AG215" i="4"/>
  <c r="AG214" i="4"/>
  <c r="AG213" i="4"/>
  <c r="AG212" i="4"/>
  <c r="AG211" i="4"/>
  <c r="AG210" i="4"/>
  <c r="AG208" i="4"/>
  <c r="AG207" i="4"/>
  <c r="AG206" i="4"/>
  <c r="AG205" i="4"/>
  <c r="AG204" i="4"/>
  <c r="AG203" i="4"/>
  <c r="AG202" i="4"/>
  <c r="AG201" i="4"/>
  <c r="AG200" i="4"/>
  <c r="AG199" i="4"/>
  <c r="AG198" i="4"/>
  <c r="AG197" i="4"/>
  <c r="AG196" i="4"/>
  <c r="AG195" i="4"/>
  <c r="AG194" i="4"/>
  <c r="AG193" i="4"/>
  <c r="AG192" i="4"/>
  <c r="AG191" i="4"/>
  <c r="AG190" i="4"/>
  <c r="AG189" i="4"/>
  <c r="AG188" i="4"/>
  <c r="AG187" i="4"/>
  <c r="AG186" i="4"/>
  <c r="AG185" i="4"/>
  <c r="AG184" i="4"/>
  <c r="AG183" i="4"/>
  <c r="AG182" i="4"/>
  <c r="AG181" i="4"/>
  <c r="AG180" i="4"/>
  <c r="AG179" i="4"/>
  <c r="AG178" i="4"/>
  <c r="AG177" i="4"/>
  <c r="AG176" i="4"/>
  <c r="AG175" i="4"/>
  <c r="AG174" i="4"/>
  <c r="AG173" i="4"/>
  <c r="AG172" i="4"/>
  <c r="AG171" i="4"/>
  <c r="AG170" i="4"/>
  <c r="AG169" i="4"/>
  <c r="AG168" i="4"/>
  <c r="AG167" i="4"/>
  <c r="AG166" i="4"/>
  <c r="AG165" i="4"/>
  <c r="AG164" i="4"/>
  <c r="AG163" i="4"/>
  <c r="AG162" i="4"/>
  <c r="AG161" i="4"/>
  <c r="AG160" i="4"/>
  <c r="AG159" i="4"/>
  <c r="AG158" i="4"/>
  <c r="AG157" i="4"/>
  <c r="AG156" i="4"/>
  <c r="AG155" i="4"/>
  <c r="AG154" i="4"/>
  <c r="AG153" i="4"/>
  <c r="AG152" i="4"/>
  <c r="AG151" i="4"/>
  <c r="AG150" i="4"/>
  <c r="AG149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G90" i="4"/>
  <c r="AG89" i="4"/>
  <c r="AG88" i="4"/>
  <c r="AG87" i="4"/>
  <c r="AG86" i="4"/>
  <c r="AG85" i="4"/>
  <c r="AG84" i="4"/>
  <c r="AG83" i="4"/>
  <c r="AG82" i="4"/>
  <c r="AG81" i="4"/>
  <c r="AG80" i="4"/>
  <c r="AG79" i="4"/>
  <c r="AG78" i="4"/>
  <c r="AG77" i="4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AG6" i="4"/>
  <c r="AG5" i="4"/>
  <c r="AG4" i="4"/>
  <c r="AG505" i="4"/>
  <c r="AJ539" i="4" l="1"/>
  <c r="AI539" i="4"/>
  <c r="AF539" i="4"/>
  <c r="AE539" i="4"/>
  <c r="AJ538" i="4"/>
  <c r="AI538" i="4"/>
  <c r="AH538" i="4"/>
  <c r="AF538" i="4"/>
  <c r="AE538" i="4"/>
  <c r="AJ537" i="4"/>
  <c r="AI537" i="4"/>
  <c r="AH537" i="4"/>
  <c r="AF537" i="4"/>
  <c r="AE537" i="4"/>
  <c r="AJ536" i="4"/>
  <c r="AI536" i="4"/>
  <c r="AH536" i="4"/>
  <c r="AF536" i="4"/>
  <c r="AE536" i="4"/>
  <c r="AJ535" i="4"/>
  <c r="AI535" i="4"/>
  <c r="AH535" i="4"/>
  <c r="AF535" i="4"/>
  <c r="AE535" i="4"/>
  <c r="AJ534" i="4"/>
  <c r="AI534" i="4"/>
  <c r="AH534" i="4"/>
  <c r="AF534" i="4"/>
  <c r="AE534" i="4"/>
  <c r="AJ533" i="4"/>
  <c r="AI533" i="4"/>
  <c r="AH533" i="4"/>
  <c r="AF533" i="4"/>
  <c r="AE533" i="4"/>
  <c r="AJ532" i="4"/>
  <c r="AI532" i="4"/>
  <c r="AH532" i="4"/>
  <c r="AF532" i="4"/>
  <c r="AE532" i="4"/>
  <c r="AJ531" i="4"/>
  <c r="AI531" i="4"/>
  <c r="AF531" i="4"/>
  <c r="AE531" i="4"/>
  <c r="AJ530" i="4"/>
  <c r="AI530" i="4"/>
  <c r="AH530" i="4"/>
  <c r="AF530" i="4"/>
  <c r="AE530" i="4"/>
  <c r="AJ529" i="4"/>
  <c r="AI529" i="4"/>
  <c r="AH529" i="4"/>
  <c r="AF529" i="4"/>
  <c r="AE529" i="4"/>
  <c r="AJ528" i="4"/>
  <c r="AI528" i="4"/>
  <c r="AH528" i="4"/>
  <c r="AF528" i="4"/>
  <c r="AE528" i="4"/>
  <c r="AJ527" i="4"/>
  <c r="AI527" i="4"/>
  <c r="AH527" i="4"/>
  <c r="AF527" i="4"/>
  <c r="AE527" i="4"/>
  <c r="AJ526" i="4"/>
  <c r="AI526" i="4"/>
  <c r="AH526" i="4"/>
  <c r="AF526" i="4"/>
  <c r="AE526" i="4"/>
  <c r="AJ525" i="4"/>
  <c r="AI525" i="4"/>
  <c r="AH525" i="4"/>
  <c r="AF525" i="4"/>
  <c r="AE525" i="4"/>
  <c r="AJ524" i="4"/>
  <c r="AI524" i="4"/>
  <c r="AH524" i="4"/>
  <c r="AF524" i="4"/>
  <c r="AE524" i="4"/>
  <c r="AJ523" i="4"/>
  <c r="AI523" i="4"/>
  <c r="AF523" i="4"/>
  <c r="AE523" i="4"/>
  <c r="AJ522" i="4"/>
  <c r="AI522" i="4"/>
  <c r="AH522" i="4"/>
  <c r="AF522" i="4"/>
  <c r="AE522" i="4"/>
  <c r="AJ521" i="4"/>
  <c r="AI521" i="4"/>
  <c r="AH521" i="4"/>
  <c r="AF521" i="4"/>
  <c r="AE521" i="4"/>
  <c r="AJ520" i="4"/>
  <c r="AI520" i="4"/>
  <c r="AH520" i="4"/>
  <c r="AF520" i="4"/>
  <c r="AE520" i="4"/>
  <c r="AJ519" i="4"/>
  <c r="AI519" i="4"/>
  <c r="AH519" i="4"/>
  <c r="AF519" i="4"/>
  <c r="AE519" i="4"/>
  <c r="AJ518" i="4"/>
  <c r="AI518" i="4"/>
  <c r="AH518" i="4"/>
  <c r="AF518" i="4"/>
  <c r="AE518" i="4"/>
  <c r="AJ517" i="4"/>
  <c r="AI517" i="4"/>
  <c r="AH517" i="4"/>
  <c r="AF517" i="4"/>
  <c r="AE517" i="4"/>
  <c r="AJ516" i="4"/>
  <c r="AI516" i="4"/>
  <c r="AH516" i="4"/>
  <c r="AJ515" i="4"/>
  <c r="AI515" i="4"/>
  <c r="AF515" i="4"/>
  <c r="AJ514" i="4"/>
  <c r="AI514" i="4"/>
  <c r="AH514" i="4"/>
  <c r="AF514" i="4"/>
  <c r="AE514" i="4"/>
  <c r="AJ513" i="4"/>
  <c r="AI513" i="4"/>
  <c r="AH513" i="4"/>
  <c r="AF513" i="4"/>
  <c r="AE513" i="4"/>
  <c r="AJ512" i="4"/>
  <c r="AI512" i="4"/>
  <c r="AH512" i="4"/>
  <c r="AF512" i="4"/>
  <c r="AE512" i="4"/>
  <c r="AJ511" i="4"/>
  <c r="AI511" i="4"/>
  <c r="AH511" i="4"/>
  <c r="AF511" i="4"/>
  <c r="AE511" i="4"/>
  <c r="AJ510" i="4"/>
  <c r="AI510" i="4"/>
  <c r="AH510" i="4"/>
  <c r="AF510" i="4"/>
  <c r="AE510" i="4"/>
  <c r="AJ509" i="4"/>
  <c r="AI509" i="4"/>
  <c r="AH509" i="4"/>
  <c r="AF509" i="4"/>
  <c r="AE509" i="4"/>
  <c r="AJ508" i="4"/>
  <c r="AI508" i="4"/>
  <c r="AH508" i="4"/>
  <c r="AF508" i="4"/>
  <c r="AE508" i="4"/>
  <c r="AJ507" i="4"/>
  <c r="AI507" i="4"/>
  <c r="AF507" i="4"/>
  <c r="AE507" i="4"/>
  <c r="AJ506" i="4"/>
  <c r="AI506" i="4"/>
  <c r="AH506" i="4"/>
  <c r="AF506" i="4"/>
  <c r="AE506" i="4"/>
  <c r="AJ505" i="4"/>
  <c r="AI505" i="4"/>
  <c r="AH505" i="4"/>
  <c r="AF505" i="4"/>
  <c r="AE505" i="4"/>
  <c r="AJ504" i="4"/>
  <c r="AI504" i="4"/>
  <c r="AH504" i="4"/>
  <c r="AF504" i="4"/>
  <c r="AE504" i="4"/>
  <c r="AJ503" i="4"/>
  <c r="AI503" i="4"/>
  <c r="AH503" i="4"/>
  <c r="AF503" i="4"/>
  <c r="AE503" i="4"/>
  <c r="AJ502" i="4"/>
  <c r="AI502" i="4"/>
  <c r="AH502" i="4"/>
  <c r="AF502" i="4"/>
  <c r="AE502" i="4"/>
  <c r="AJ501" i="4"/>
  <c r="AI501" i="4"/>
  <c r="AH501" i="4"/>
  <c r="AF501" i="4"/>
  <c r="AE501" i="4"/>
  <c r="AJ500" i="4"/>
  <c r="AI500" i="4"/>
  <c r="AH500" i="4"/>
  <c r="AJ499" i="4"/>
  <c r="AI499" i="4"/>
  <c r="AJ498" i="4"/>
  <c r="AI498" i="4"/>
  <c r="AH498" i="4"/>
  <c r="AF498" i="4"/>
  <c r="AE498" i="4"/>
  <c r="AJ497" i="4"/>
  <c r="AI497" i="4"/>
  <c r="AH497" i="4"/>
  <c r="AJ496" i="4"/>
  <c r="AI496" i="4"/>
  <c r="AH496" i="4"/>
  <c r="AF496" i="4"/>
  <c r="AE496" i="4"/>
  <c r="AJ495" i="4"/>
  <c r="AI495" i="4"/>
  <c r="AH495" i="4"/>
  <c r="AF495" i="4"/>
  <c r="AE495" i="4"/>
  <c r="AJ494" i="4"/>
  <c r="AI494" i="4"/>
  <c r="AH494" i="4"/>
  <c r="AF494" i="4"/>
  <c r="AE494" i="4"/>
  <c r="AJ493" i="4"/>
  <c r="AI493" i="4"/>
  <c r="AH493" i="4"/>
  <c r="AF493" i="4"/>
  <c r="AE493" i="4"/>
  <c r="AJ492" i="4"/>
  <c r="AI492" i="4"/>
  <c r="AH492" i="4"/>
  <c r="AF492" i="4"/>
  <c r="AE492" i="4"/>
  <c r="AJ491" i="4"/>
  <c r="AI491" i="4"/>
  <c r="AF491" i="4"/>
  <c r="AE491" i="4"/>
  <c r="AJ490" i="4"/>
  <c r="AI490" i="4"/>
  <c r="AH490" i="4"/>
  <c r="AF490" i="4"/>
  <c r="AE490" i="4"/>
  <c r="AJ489" i="4"/>
  <c r="AI489" i="4"/>
  <c r="AH489" i="4"/>
  <c r="AF489" i="4"/>
  <c r="AE489" i="4"/>
  <c r="AJ488" i="4"/>
  <c r="AI488" i="4"/>
  <c r="AH488" i="4"/>
  <c r="AF488" i="4"/>
  <c r="AE488" i="4"/>
  <c r="AJ487" i="4"/>
  <c r="AI487" i="4"/>
  <c r="AH487" i="4"/>
  <c r="AF487" i="4"/>
  <c r="AE487" i="4"/>
  <c r="AJ486" i="4"/>
  <c r="AI486" i="4"/>
  <c r="AH486" i="4"/>
  <c r="AF486" i="4"/>
  <c r="AE486" i="4"/>
  <c r="AJ485" i="4"/>
  <c r="AI485" i="4"/>
  <c r="AH485" i="4"/>
  <c r="AF485" i="4"/>
  <c r="AE485" i="4"/>
  <c r="AJ484" i="4"/>
  <c r="AI484" i="4"/>
  <c r="AH484" i="4"/>
  <c r="AF484" i="4"/>
  <c r="AE484" i="4"/>
  <c r="AJ483" i="4"/>
  <c r="AI483" i="4"/>
  <c r="AF483" i="4"/>
  <c r="AE483" i="4"/>
  <c r="AJ482" i="4"/>
  <c r="AI482" i="4"/>
  <c r="AH482" i="4"/>
  <c r="AF482" i="4"/>
  <c r="AE482" i="4"/>
  <c r="AJ481" i="4"/>
  <c r="AI481" i="4"/>
  <c r="AH481" i="4"/>
  <c r="AF481" i="4"/>
  <c r="AE481" i="4"/>
  <c r="AJ480" i="4"/>
  <c r="AI480" i="4"/>
  <c r="AH480" i="4"/>
  <c r="AF480" i="4"/>
  <c r="AE480" i="4"/>
  <c r="AJ479" i="4"/>
  <c r="AI479" i="4"/>
  <c r="AH479" i="4"/>
  <c r="AF479" i="4"/>
  <c r="AE479" i="4"/>
  <c r="AJ478" i="4"/>
  <c r="AI478" i="4"/>
  <c r="AH478" i="4"/>
  <c r="AF478" i="4"/>
  <c r="AE478" i="4"/>
  <c r="AJ477" i="4"/>
  <c r="AI477" i="4"/>
  <c r="AH477" i="4"/>
  <c r="AF477" i="4"/>
  <c r="AE477" i="4"/>
  <c r="AJ476" i="4"/>
  <c r="AI476" i="4"/>
  <c r="AH476" i="4"/>
  <c r="AF476" i="4"/>
  <c r="AE476" i="4"/>
  <c r="AJ475" i="4"/>
  <c r="AI475" i="4"/>
  <c r="AF475" i="4"/>
  <c r="AE475" i="4"/>
  <c r="AJ474" i="4"/>
  <c r="AI474" i="4"/>
  <c r="AH474" i="4"/>
  <c r="AF474" i="4"/>
  <c r="AE474" i="4"/>
  <c r="AJ473" i="4"/>
  <c r="AI473" i="4"/>
  <c r="AH473" i="4"/>
  <c r="AF473" i="4"/>
  <c r="AE473" i="4"/>
  <c r="AJ472" i="4"/>
  <c r="AI472" i="4"/>
  <c r="AH472" i="4"/>
  <c r="AF472" i="4"/>
  <c r="AE472" i="4"/>
  <c r="AJ471" i="4"/>
  <c r="AI471" i="4"/>
  <c r="AH471" i="4"/>
  <c r="AF471" i="4"/>
  <c r="AE471" i="4"/>
  <c r="AJ470" i="4"/>
  <c r="AI470" i="4"/>
  <c r="AH470" i="4"/>
  <c r="AF470" i="4"/>
  <c r="AE470" i="4"/>
  <c r="AJ469" i="4"/>
  <c r="AI469" i="4"/>
  <c r="AH469" i="4"/>
  <c r="AF469" i="4"/>
  <c r="AE469" i="4"/>
  <c r="AJ468" i="4"/>
  <c r="AI468" i="4"/>
  <c r="AH468" i="4"/>
  <c r="AF468" i="4"/>
  <c r="AE468" i="4"/>
  <c r="AJ467" i="4"/>
  <c r="AI467" i="4"/>
  <c r="AF467" i="4"/>
  <c r="AE467" i="4"/>
  <c r="AJ466" i="4"/>
  <c r="AI466" i="4"/>
  <c r="AH466" i="4"/>
  <c r="AF466" i="4"/>
  <c r="AE466" i="4"/>
  <c r="AJ465" i="4"/>
  <c r="AI465" i="4"/>
  <c r="AH465" i="4"/>
  <c r="AF465" i="4"/>
  <c r="AE465" i="4"/>
  <c r="AJ464" i="4"/>
  <c r="AI464" i="4"/>
  <c r="AH464" i="4"/>
  <c r="AF464" i="4"/>
  <c r="AE464" i="4"/>
  <c r="AJ463" i="4"/>
  <c r="AI463" i="4"/>
  <c r="AH463" i="4"/>
  <c r="AF463" i="4"/>
  <c r="AE463" i="4"/>
  <c r="AJ462" i="4"/>
  <c r="AI462" i="4"/>
  <c r="AH462" i="4"/>
  <c r="AJ461" i="4"/>
  <c r="AI461" i="4"/>
  <c r="AH461" i="4"/>
  <c r="AJ460" i="4"/>
  <c r="AI460" i="4"/>
  <c r="AH460" i="4"/>
  <c r="AF460" i="4"/>
  <c r="AE460" i="4"/>
  <c r="AJ459" i="4"/>
  <c r="AI459" i="4"/>
  <c r="AJ458" i="4"/>
  <c r="AI458" i="4"/>
  <c r="AH458" i="4"/>
  <c r="AF458" i="4"/>
  <c r="AE458" i="4"/>
  <c r="AJ457" i="4"/>
  <c r="AI457" i="4"/>
  <c r="AH457" i="4"/>
  <c r="AF457" i="4"/>
  <c r="AE457" i="4"/>
  <c r="AJ456" i="4"/>
  <c r="AI456" i="4"/>
  <c r="AH456" i="4"/>
  <c r="AF456" i="4"/>
  <c r="AE456" i="4"/>
  <c r="AJ455" i="4"/>
  <c r="AI455" i="4"/>
  <c r="AH455" i="4"/>
  <c r="AF455" i="4"/>
  <c r="AE455" i="4"/>
  <c r="AJ454" i="4"/>
  <c r="AI454" i="4"/>
  <c r="AH454" i="4"/>
  <c r="AF454" i="4"/>
  <c r="AE454" i="4"/>
  <c r="AJ453" i="4"/>
  <c r="AI453" i="4"/>
  <c r="AH453" i="4"/>
  <c r="AF453" i="4"/>
  <c r="AE453" i="4"/>
  <c r="AJ452" i="4"/>
  <c r="AI452" i="4"/>
  <c r="AH452" i="4"/>
  <c r="AF452" i="4"/>
  <c r="AE452" i="4"/>
  <c r="AJ451" i="4"/>
  <c r="AI451" i="4"/>
  <c r="AF451" i="4"/>
  <c r="AE451" i="4"/>
  <c r="AJ450" i="4"/>
  <c r="AI450" i="4"/>
  <c r="AH450" i="4"/>
  <c r="AF450" i="4"/>
  <c r="AE450" i="4"/>
  <c r="AJ449" i="4"/>
  <c r="AI449" i="4"/>
  <c r="AH449" i="4"/>
  <c r="AF449" i="4"/>
  <c r="AE449" i="4"/>
  <c r="AJ448" i="4"/>
  <c r="AI448" i="4"/>
  <c r="AH448" i="4"/>
  <c r="AF448" i="4"/>
  <c r="AE448" i="4"/>
  <c r="AJ447" i="4"/>
  <c r="AI447" i="4"/>
  <c r="AH447" i="4"/>
  <c r="AF447" i="4"/>
  <c r="AE447" i="4"/>
  <c r="AJ446" i="4"/>
  <c r="AI446" i="4"/>
  <c r="AH446" i="4"/>
  <c r="AF446" i="4"/>
  <c r="AE446" i="4"/>
  <c r="AJ445" i="4"/>
  <c r="AI445" i="4"/>
  <c r="AH445" i="4"/>
  <c r="AF445" i="4"/>
  <c r="AE445" i="4"/>
  <c r="AJ444" i="4"/>
  <c r="AI444" i="4"/>
  <c r="AH444" i="4"/>
  <c r="AF444" i="4"/>
  <c r="AE444" i="4"/>
  <c r="AJ443" i="4"/>
  <c r="AI443" i="4"/>
  <c r="AF443" i="4"/>
  <c r="AE443" i="4"/>
  <c r="AJ442" i="4"/>
  <c r="AI442" i="4"/>
  <c r="AH442" i="4"/>
  <c r="AF442" i="4"/>
  <c r="AE442" i="4"/>
  <c r="AJ441" i="4"/>
  <c r="AI441" i="4"/>
  <c r="AH441" i="4"/>
  <c r="AF441" i="4"/>
  <c r="AE441" i="4"/>
  <c r="AJ440" i="4"/>
  <c r="AI440" i="4"/>
  <c r="AH440" i="4"/>
  <c r="AF440" i="4"/>
  <c r="AE440" i="4"/>
  <c r="AJ439" i="4"/>
  <c r="AI439" i="4"/>
  <c r="AH439" i="4"/>
  <c r="AF439" i="4"/>
  <c r="AE439" i="4"/>
  <c r="AJ438" i="4"/>
  <c r="AI438" i="4"/>
  <c r="AH438" i="4"/>
  <c r="AF438" i="4"/>
  <c r="AE438" i="4"/>
  <c r="AJ437" i="4"/>
  <c r="AI437" i="4"/>
  <c r="AH437" i="4"/>
  <c r="AF437" i="4"/>
  <c r="AE437" i="4"/>
  <c r="AJ436" i="4"/>
  <c r="AI436" i="4"/>
  <c r="AH436" i="4"/>
  <c r="AF436" i="4"/>
  <c r="AE436" i="4"/>
  <c r="AJ435" i="4"/>
  <c r="AI435" i="4"/>
  <c r="AF435" i="4"/>
  <c r="AE435" i="4"/>
  <c r="AJ434" i="4"/>
  <c r="AI434" i="4"/>
  <c r="AH434" i="4"/>
  <c r="AF434" i="4"/>
  <c r="AE434" i="4"/>
  <c r="AJ433" i="4"/>
  <c r="AI433" i="4"/>
  <c r="AH433" i="4"/>
  <c r="AF433" i="4"/>
  <c r="AE433" i="4"/>
  <c r="AJ432" i="4"/>
  <c r="AI432" i="4"/>
  <c r="AH432" i="4"/>
  <c r="AF432" i="4"/>
  <c r="AE432" i="4"/>
  <c r="AJ431" i="4"/>
  <c r="AI431" i="4"/>
  <c r="AH431" i="4"/>
  <c r="AF431" i="4"/>
  <c r="AE431" i="4"/>
  <c r="AJ430" i="4"/>
  <c r="AI430" i="4"/>
  <c r="AH430" i="4"/>
  <c r="AF430" i="4"/>
  <c r="AE430" i="4"/>
  <c r="AJ429" i="4"/>
  <c r="AI429" i="4"/>
  <c r="AH429" i="4"/>
  <c r="AF429" i="4"/>
  <c r="AE429" i="4"/>
  <c r="AJ428" i="4"/>
  <c r="AI428" i="4"/>
  <c r="AH428" i="4"/>
  <c r="AF428" i="4"/>
  <c r="AE428" i="4"/>
  <c r="AJ427" i="4"/>
  <c r="AI427" i="4"/>
  <c r="AF427" i="4"/>
  <c r="AE427" i="4"/>
  <c r="AJ426" i="4"/>
  <c r="AI426" i="4"/>
  <c r="AH426" i="4"/>
  <c r="AF426" i="4"/>
  <c r="AE426" i="4"/>
  <c r="AJ425" i="4"/>
  <c r="AI425" i="4"/>
  <c r="AH425" i="4"/>
  <c r="AF425" i="4"/>
  <c r="AE425" i="4"/>
  <c r="AJ424" i="4"/>
  <c r="AI424" i="4"/>
  <c r="AH424" i="4"/>
  <c r="AF424" i="4"/>
  <c r="AE424" i="4"/>
  <c r="AJ423" i="4"/>
  <c r="AI423" i="4"/>
  <c r="AH423" i="4"/>
  <c r="AF423" i="4"/>
  <c r="AJ422" i="4"/>
  <c r="AI422" i="4"/>
  <c r="AH422" i="4"/>
  <c r="AF422" i="4"/>
  <c r="AE422" i="4"/>
  <c r="AJ421" i="4"/>
  <c r="AI421" i="4"/>
  <c r="AH421" i="4"/>
  <c r="AF421" i="4"/>
  <c r="AE421" i="4"/>
  <c r="AJ420" i="4"/>
  <c r="AI420" i="4"/>
  <c r="AH420" i="4"/>
  <c r="AF420" i="4"/>
  <c r="AE420" i="4"/>
  <c r="AJ419" i="4"/>
  <c r="AI419" i="4"/>
  <c r="AF419" i="4"/>
  <c r="AE419" i="4"/>
  <c r="AJ418" i="4"/>
  <c r="AI418" i="4"/>
  <c r="AH418" i="4"/>
  <c r="AF418" i="4"/>
  <c r="AE418" i="4"/>
  <c r="AJ417" i="4"/>
  <c r="AI417" i="4"/>
  <c r="AH417" i="4"/>
  <c r="AF417" i="4"/>
  <c r="AE417" i="4"/>
  <c r="AJ416" i="4"/>
  <c r="AI416" i="4"/>
  <c r="AH416" i="4"/>
  <c r="AF416" i="4"/>
  <c r="AE416" i="4"/>
  <c r="AJ415" i="4"/>
  <c r="AI415" i="4"/>
  <c r="AH415" i="4"/>
  <c r="AF415" i="4"/>
  <c r="AE415" i="4"/>
  <c r="AJ414" i="4"/>
  <c r="AI414" i="4"/>
  <c r="AH414" i="4"/>
  <c r="AF414" i="4"/>
  <c r="AE414" i="4"/>
  <c r="AJ413" i="4"/>
  <c r="AI413" i="4"/>
  <c r="AH413" i="4"/>
  <c r="AF413" i="4"/>
  <c r="AE413" i="4"/>
  <c r="AJ412" i="4"/>
  <c r="AI412" i="4"/>
  <c r="AH412" i="4"/>
  <c r="AF412" i="4"/>
  <c r="AE412" i="4"/>
  <c r="AJ411" i="4"/>
  <c r="AI411" i="4"/>
  <c r="AF411" i="4"/>
  <c r="AE411" i="4"/>
  <c r="AJ410" i="4"/>
  <c r="AI410" i="4"/>
  <c r="AH410" i="4"/>
  <c r="AF410" i="4"/>
  <c r="AE410" i="4"/>
  <c r="AJ409" i="4"/>
  <c r="AI409" i="4"/>
  <c r="AH409" i="4"/>
  <c r="AF409" i="4"/>
  <c r="AE409" i="4"/>
  <c r="AJ408" i="4"/>
  <c r="AI408" i="4"/>
  <c r="AH408" i="4"/>
  <c r="AF408" i="4"/>
  <c r="AE408" i="4"/>
  <c r="AJ407" i="4"/>
  <c r="AI407" i="4"/>
  <c r="AH407" i="4"/>
  <c r="AF407" i="4"/>
  <c r="AE407" i="4"/>
  <c r="AJ406" i="4"/>
  <c r="AI406" i="4"/>
  <c r="AH406" i="4"/>
  <c r="AF406" i="4"/>
  <c r="AE406" i="4"/>
  <c r="AJ405" i="4"/>
  <c r="AI405" i="4"/>
  <c r="AH405" i="4"/>
  <c r="AF405" i="4"/>
  <c r="AE405" i="4"/>
  <c r="AJ404" i="4"/>
  <c r="AI404" i="4"/>
  <c r="AH404" i="4"/>
  <c r="AF404" i="4"/>
  <c r="AE404" i="4"/>
  <c r="AJ403" i="4"/>
  <c r="AI403" i="4"/>
  <c r="AF403" i="4"/>
  <c r="AE403" i="4"/>
  <c r="AJ402" i="4"/>
  <c r="AI402" i="4"/>
  <c r="AH402" i="4"/>
  <c r="AF402" i="4"/>
  <c r="AE402" i="4"/>
  <c r="AJ401" i="4"/>
  <c r="AI401" i="4"/>
  <c r="AH401" i="4"/>
  <c r="AF401" i="4"/>
  <c r="AE401" i="4"/>
  <c r="AJ400" i="4"/>
  <c r="AI400" i="4"/>
  <c r="AH400" i="4"/>
  <c r="AF400" i="4"/>
  <c r="AE400" i="4"/>
  <c r="AJ399" i="4"/>
  <c r="AI399" i="4"/>
  <c r="AH399" i="4"/>
  <c r="AF399" i="4"/>
  <c r="AE399" i="4"/>
  <c r="AJ398" i="4"/>
  <c r="AI398" i="4"/>
  <c r="AH398" i="4"/>
  <c r="AF398" i="4"/>
  <c r="AE398" i="4"/>
  <c r="AJ397" i="4"/>
  <c r="AI397" i="4"/>
  <c r="AH397" i="4"/>
  <c r="AF397" i="4"/>
  <c r="AE397" i="4"/>
  <c r="AJ396" i="4"/>
  <c r="AI396" i="4"/>
  <c r="AH396" i="4"/>
  <c r="AF396" i="4"/>
  <c r="AE396" i="4"/>
  <c r="AJ395" i="4"/>
  <c r="AI395" i="4"/>
  <c r="AF395" i="4"/>
  <c r="AE395" i="4"/>
  <c r="AJ394" i="4"/>
  <c r="AI394" i="4"/>
  <c r="AH394" i="4"/>
  <c r="AF394" i="4"/>
  <c r="AE394" i="4"/>
  <c r="AJ393" i="4"/>
  <c r="AI393" i="4"/>
  <c r="AH393" i="4"/>
  <c r="AF393" i="4"/>
  <c r="AE393" i="4"/>
  <c r="AJ392" i="4"/>
  <c r="AI392" i="4"/>
  <c r="AH392" i="4"/>
  <c r="AF392" i="4"/>
  <c r="AE392" i="4"/>
  <c r="AJ391" i="4"/>
  <c r="AI391" i="4"/>
  <c r="AH391" i="4"/>
  <c r="AF391" i="4"/>
  <c r="AE391" i="4"/>
  <c r="AJ390" i="4"/>
  <c r="AI390" i="4"/>
  <c r="AH390" i="4"/>
  <c r="AF390" i="4"/>
  <c r="AE390" i="4"/>
  <c r="AJ389" i="4"/>
  <c r="AI389" i="4"/>
  <c r="AH389" i="4"/>
  <c r="AF389" i="4"/>
  <c r="AE389" i="4"/>
  <c r="AJ388" i="4"/>
  <c r="AI388" i="4"/>
  <c r="AH388" i="4"/>
  <c r="AF388" i="4"/>
  <c r="AE388" i="4"/>
  <c r="AJ387" i="4"/>
  <c r="AI387" i="4"/>
  <c r="AF387" i="4"/>
  <c r="AE387" i="4"/>
  <c r="AJ386" i="4"/>
  <c r="AI386" i="4"/>
  <c r="AH386" i="4"/>
  <c r="AF386" i="4"/>
  <c r="AE386" i="4"/>
  <c r="AJ385" i="4"/>
  <c r="AI385" i="4"/>
  <c r="AH385" i="4"/>
  <c r="AF385" i="4"/>
  <c r="AE385" i="4"/>
  <c r="AJ384" i="4"/>
  <c r="AI384" i="4"/>
  <c r="AH384" i="4"/>
  <c r="AF384" i="4"/>
  <c r="AE384" i="4"/>
  <c r="AJ383" i="4"/>
  <c r="AI383" i="4"/>
  <c r="AH383" i="4"/>
  <c r="AF383" i="4"/>
  <c r="AE383" i="4"/>
  <c r="AJ382" i="4"/>
  <c r="AI382" i="4"/>
  <c r="AH382" i="4"/>
  <c r="AF382" i="4"/>
  <c r="AE382" i="4"/>
  <c r="AJ381" i="4"/>
  <c r="AI381" i="4"/>
  <c r="AH381" i="4"/>
  <c r="AF381" i="4"/>
  <c r="AE381" i="4"/>
  <c r="AJ380" i="4"/>
  <c r="AI380" i="4"/>
  <c r="AH380" i="4"/>
  <c r="AF380" i="4"/>
  <c r="AE380" i="4"/>
  <c r="AJ379" i="4"/>
  <c r="AI379" i="4"/>
  <c r="AF379" i="4"/>
  <c r="AE379" i="4"/>
  <c r="AJ378" i="4"/>
  <c r="AI378" i="4"/>
  <c r="AH378" i="4"/>
  <c r="AF378" i="4"/>
  <c r="AE378" i="4"/>
  <c r="AJ377" i="4"/>
  <c r="AI377" i="4"/>
  <c r="AH377" i="4"/>
  <c r="AF377" i="4"/>
  <c r="AE377" i="4"/>
  <c r="AJ376" i="4"/>
  <c r="AI376" i="4"/>
  <c r="AH376" i="4"/>
  <c r="AF376" i="4"/>
  <c r="AE376" i="4"/>
  <c r="AJ375" i="4"/>
  <c r="AI375" i="4"/>
  <c r="AH375" i="4"/>
  <c r="AF375" i="4"/>
  <c r="AE375" i="4"/>
  <c r="AJ374" i="4"/>
  <c r="AI374" i="4"/>
  <c r="AH374" i="4"/>
  <c r="AF374" i="4"/>
  <c r="AE374" i="4"/>
  <c r="AJ373" i="4"/>
  <c r="AI373" i="4"/>
  <c r="AF373" i="4"/>
  <c r="AE373" i="4"/>
  <c r="AJ372" i="4"/>
  <c r="AI372" i="4"/>
  <c r="AH372" i="4"/>
  <c r="AF372" i="4"/>
  <c r="AE372" i="4"/>
  <c r="AJ371" i="4"/>
  <c r="AI371" i="4"/>
  <c r="AF371" i="4"/>
  <c r="AE371" i="4"/>
  <c r="AJ370" i="4"/>
  <c r="AI370" i="4"/>
  <c r="AH370" i="4"/>
  <c r="AF370" i="4"/>
  <c r="AE370" i="4"/>
  <c r="AJ369" i="4"/>
  <c r="AI369" i="4"/>
  <c r="AH369" i="4"/>
  <c r="AF369" i="4"/>
  <c r="AE369" i="4"/>
  <c r="AJ368" i="4"/>
  <c r="AI368" i="4"/>
  <c r="AH368" i="4"/>
  <c r="AF368" i="4"/>
  <c r="AE368" i="4"/>
  <c r="AJ367" i="4"/>
  <c r="AI367" i="4"/>
  <c r="AH367" i="4"/>
  <c r="AF367" i="4"/>
  <c r="AE367" i="4"/>
  <c r="AJ366" i="4"/>
  <c r="AI366" i="4"/>
  <c r="AH366" i="4"/>
  <c r="AF366" i="4"/>
  <c r="AE366" i="4"/>
  <c r="AJ365" i="4"/>
  <c r="AI365" i="4"/>
  <c r="AH365" i="4"/>
  <c r="AF365" i="4"/>
  <c r="AE365" i="4"/>
  <c r="AJ364" i="4"/>
  <c r="AI364" i="4"/>
  <c r="AH364" i="4"/>
  <c r="AJ363" i="4"/>
  <c r="AI363" i="4"/>
  <c r="AJ362" i="4"/>
  <c r="AI362" i="4"/>
  <c r="AH362" i="4"/>
  <c r="AF362" i="4"/>
  <c r="AE362" i="4"/>
  <c r="AJ361" i="4"/>
  <c r="AI361" i="4"/>
  <c r="AH361" i="4"/>
  <c r="AF361" i="4"/>
  <c r="AJ360" i="4"/>
  <c r="AI360" i="4"/>
  <c r="AH360" i="4"/>
  <c r="AF360" i="4"/>
  <c r="AE360" i="4"/>
  <c r="AJ359" i="4"/>
  <c r="AI359" i="4"/>
  <c r="AH359" i="4"/>
  <c r="AF359" i="4"/>
  <c r="AE359" i="4"/>
  <c r="AJ358" i="4"/>
  <c r="AI358" i="4"/>
  <c r="AH358" i="4"/>
  <c r="AF358" i="4"/>
  <c r="AE358" i="4"/>
  <c r="AJ357" i="4"/>
  <c r="AI357" i="4"/>
  <c r="AH357" i="4"/>
  <c r="AF357" i="4"/>
  <c r="AE357" i="4"/>
  <c r="AJ356" i="4"/>
  <c r="AI356" i="4"/>
  <c r="AH356" i="4"/>
  <c r="AF356" i="4"/>
  <c r="AE356" i="4"/>
  <c r="AJ355" i="4"/>
  <c r="AI355" i="4"/>
  <c r="AF355" i="4"/>
  <c r="AE355" i="4"/>
  <c r="AJ354" i="4"/>
  <c r="AI354" i="4"/>
  <c r="AH354" i="4"/>
  <c r="AF354" i="4"/>
  <c r="AE354" i="4"/>
  <c r="AJ353" i="4"/>
  <c r="AI353" i="4"/>
  <c r="AH353" i="4"/>
  <c r="AF353" i="4"/>
  <c r="AE353" i="4"/>
  <c r="AJ352" i="4"/>
  <c r="AI352" i="4"/>
  <c r="AH352" i="4"/>
  <c r="AF352" i="4"/>
  <c r="AE352" i="4"/>
  <c r="AJ351" i="4"/>
  <c r="AI351" i="4"/>
  <c r="AH351" i="4"/>
  <c r="AF351" i="4"/>
  <c r="AE351" i="4"/>
  <c r="AJ350" i="4"/>
  <c r="AI350" i="4"/>
  <c r="AH350" i="4"/>
  <c r="AF350" i="4"/>
  <c r="AE350" i="4"/>
  <c r="AJ349" i="4"/>
  <c r="AI349" i="4"/>
  <c r="AH349" i="4"/>
  <c r="AF349" i="4"/>
  <c r="AE349" i="4"/>
  <c r="AJ348" i="4"/>
  <c r="AI348" i="4"/>
  <c r="AH348" i="4"/>
  <c r="AF348" i="4"/>
  <c r="AE348" i="4"/>
  <c r="AJ347" i="4"/>
  <c r="AI347" i="4"/>
  <c r="AF347" i="4"/>
  <c r="AE347" i="4"/>
  <c r="AJ346" i="4"/>
  <c r="AI346" i="4"/>
  <c r="AH346" i="4"/>
  <c r="AF346" i="4"/>
  <c r="AE346" i="4"/>
  <c r="AJ345" i="4"/>
  <c r="AI345" i="4"/>
  <c r="AH345" i="4"/>
  <c r="AF345" i="4"/>
  <c r="AE345" i="4"/>
  <c r="AJ344" i="4"/>
  <c r="AI344" i="4"/>
  <c r="AH344" i="4"/>
  <c r="AF344" i="4"/>
  <c r="AE344" i="4"/>
  <c r="AJ343" i="4"/>
  <c r="AI343" i="4"/>
  <c r="AH343" i="4"/>
  <c r="AF343" i="4"/>
  <c r="AE343" i="4"/>
  <c r="AJ342" i="4"/>
  <c r="AI342" i="4"/>
  <c r="AH342" i="4"/>
  <c r="AF342" i="4"/>
  <c r="AE342" i="4"/>
  <c r="AJ341" i="4"/>
  <c r="AI341" i="4"/>
  <c r="AH341" i="4"/>
  <c r="AF341" i="4"/>
  <c r="AE341" i="4"/>
  <c r="AJ340" i="4"/>
  <c r="AI340" i="4"/>
  <c r="AH340" i="4"/>
  <c r="AF340" i="4"/>
  <c r="AE340" i="4"/>
  <c r="AJ339" i="4"/>
  <c r="AI339" i="4"/>
  <c r="AF339" i="4"/>
  <c r="AE339" i="4"/>
  <c r="AJ338" i="4"/>
  <c r="AI338" i="4"/>
  <c r="AH338" i="4"/>
  <c r="AF338" i="4"/>
  <c r="AE338" i="4"/>
  <c r="AJ337" i="4"/>
  <c r="AI337" i="4"/>
  <c r="AH337" i="4"/>
  <c r="AF337" i="4"/>
  <c r="AE337" i="4"/>
  <c r="AJ336" i="4"/>
  <c r="AI336" i="4"/>
  <c r="AH336" i="4"/>
  <c r="AF336" i="4"/>
  <c r="AE336" i="4"/>
  <c r="AJ335" i="4"/>
  <c r="AI335" i="4"/>
  <c r="AH335" i="4"/>
  <c r="AF335" i="4"/>
  <c r="AE335" i="4"/>
  <c r="AJ334" i="4"/>
  <c r="AI334" i="4"/>
  <c r="AH334" i="4"/>
  <c r="AF334" i="4"/>
  <c r="AE334" i="4"/>
  <c r="AJ333" i="4"/>
  <c r="AI333" i="4"/>
  <c r="AH333" i="4"/>
  <c r="AF333" i="4"/>
  <c r="AE333" i="4"/>
  <c r="AJ332" i="4"/>
  <c r="AI332" i="4"/>
  <c r="AH332" i="4"/>
  <c r="AF332" i="4"/>
  <c r="AE332" i="4"/>
  <c r="AJ331" i="4"/>
  <c r="AI331" i="4"/>
  <c r="AF331" i="4"/>
  <c r="AE331" i="4"/>
  <c r="AJ330" i="4"/>
  <c r="AI330" i="4"/>
  <c r="AH330" i="4"/>
  <c r="AF330" i="4"/>
  <c r="AE330" i="4"/>
  <c r="AJ329" i="4"/>
  <c r="AI329" i="4"/>
  <c r="AH329" i="4"/>
  <c r="AF329" i="4"/>
  <c r="AE329" i="4"/>
  <c r="AJ328" i="4"/>
  <c r="AI328" i="4"/>
  <c r="AH328" i="4"/>
  <c r="AF328" i="4"/>
  <c r="AE328" i="4"/>
  <c r="AJ327" i="4"/>
  <c r="AI327" i="4"/>
  <c r="AH327" i="4"/>
  <c r="AF327" i="4"/>
  <c r="AE327" i="4"/>
  <c r="AJ326" i="4"/>
  <c r="AI326" i="4"/>
  <c r="AH326" i="4"/>
  <c r="AF326" i="4"/>
  <c r="AE326" i="4"/>
  <c r="AJ325" i="4"/>
  <c r="AI325" i="4"/>
  <c r="AH325" i="4"/>
  <c r="AF325" i="4"/>
  <c r="AE325" i="4"/>
  <c r="AJ324" i="4"/>
  <c r="AI324" i="4"/>
  <c r="AH324" i="4"/>
  <c r="AF324" i="4"/>
  <c r="AE324" i="4"/>
  <c r="AJ323" i="4"/>
  <c r="AI323" i="4"/>
  <c r="AF323" i="4"/>
  <c r="AE323" i="4"/>
  <c r="AJ322" i="4"/>
  <c r="AI322" i="4"/>
  <c r="AH322" i="4"/>
  <c r="AF322" i="4"/>
  <c r="AE322" i="4"/>
  <c r="AJ321" i="4"/>
  <c r="AI321" i="4"/>
  <c r="AH321" i="4"/>
  <c r="AF321" i="4"/>
  <c r="AE321" i="4"/>
  <c r="AJ320" i="4"/>
  <c r="AI320" i="4"/>
  <c r="AH320" i="4"/>
  <c r="AF320" i="4"/>
  <c r="AE320" i="4"/>
  <c r="AJ319" i="4"/>
  <c r="AI319" i="4"/>
  <c r="AH319" i="4"/>
  <c r="AF319" i="4"/>
  <c r="AE319" i="4"/>
  <c r="AJ318" i="4"/>
  <c r="AI318" i="4"/>
  <c r="AH318" i="4"/>
  <c r="AF318" i="4"/>
  <c r="AE318" i="4"/>
  <c r="AJ317" i="4"/>
  <c r="AI317" i="4"/>
  <c r="AH317" i="4"/>
  <c r="AF317" i="4"/>
  <c r="AE317" i="4"/>
  <c r="AJ316" i="4"/>
  <c r="AI316" i="4"/>
  <c r="AH316" i="4"/>
  <c r="AF316" i="4"/>
  <c r="AE316" i="4"/>
  <c r="AJ315" i="4"/>
  <c r="AI315" i="4"/>
  <c r="AF315" i="4"/>
  <c r="AE315" i="4"/>
  <c r="AJ314" i="4"/>
  <c r="AI314" i="4"/>
  <c r="AH314" i="4"/>
  <c r="AF314" i="4"/>
  <c r="AE314" i="4"/>
  <c r="AJ313" i="4"/>
  <c r="AI313" i="4"/>
  <c r="AH313" i="4"/>
  <c r="AF313" i="4"/>
  <c r="AE313" i="4"/>
  <c r="AJ312" i="4"/>
  <c r="AI312" i="4"/>
  <c r="AH312" i="4"/>
  <c r="AF312" i="4"/>
  <c r="AE312" i="4"/>
  <c r="AJ311" i="4"/>
  <c r="AI311" i="4"/>
  <c r="AH311" i="4"/>
  <c r="AF311" i="4"/>
  <c r="AE311" i="4"/>
  <c r="AJ310" i="4"/>
  <c r="AI310" i="4"/>
  <c r="AH310" i="4"/>
  <c r="AF310" i="4"/>
  <c r="AE310" i="4"/>
  <c r="AJ309" i="4"/>
  <c r="AI309" i="4"/>
  <c r="AH309" i="4"/>
  <c r="AF309" i="4"/>
  <c r="AE309" i="4"/>
  <c r="AJ308" i="4"/>
  <c r="AI308" i="4"/>
  <c r="AH308" i="4"/>
  <c r="AF308" i="4"/>
  <c r="AE308" i="4"/>
  <c r="AJ307" i="4"/>
  <c r="AI307" i="4"/>
  <c r="AF307" i="4"/>
  <c r="AE307" i="4"/>
  <c r="AJ306" i="4"/>
  <c r="AI306" i="4"/>
  <c r="AH306" i="4"/>
  <c r="AF306" i="4"/>
  <c r="AE306" i="4"/>
  <c r="AJ305" i="4"/>
  <c r="AI305" i="4"/>
  <c r="AH305" i="4"/>
  <c r="AF305" i="4"/>
  <c r="AE305" i="4"/>
  <c r="AJ304" i="4"/>
  <c r="AI304" i="4"/>
  <c r="AH304" i="4"/>
  <c r="AF304" i="4"/>
  <c r="AE304" i="4"/>
  <c r="AJ303" i="4"/>
  <c r="AI303" i="4"/>
  <c r="AH303" i="4"/>
  <c r="AF303" i="4"/>
  <c r="AJ302" i="4"/>
  <c r="AI302" i="4"/>
  <c r="AH302" i="4"/>
  <c r="AF302" i="4"/>
  <c r="AE302" i="4"/>
  <c r="AJ301" i="4"/>
  <c r="AI301" i="4"/>
  <c r="AH301" i="4"/>
  <c r="AF301" i="4"/>
  <c r="AJ300" i="4"/>
  <c r="AI300" i="4"/>
  <c r="AH300" i="4"/>
  <c r="AF300" i="4"/>
  <c r="AE300" i="4"/>
  <c r="AJ299" i="4"/>
  <c r="AI299" i="4"/>
  <c r="AF299" i="4"/>
  <c r="AE299" i="4"/>
  <c r="AJ298" i="4"/>
  <c r="AI298" i="4"/>
  <c r="AH298" i="4"/>
  <c r="AF298" i="4"/>
  <c r="AE298" i="4"/>
  <c r="AJ297" i="4"/>
  <c r="AI297" i="4"/>
  <c r="AH297" i="4"/>
  <c r="AF297" i="4"/>
  <c r="AE297" i="4"/>
  <c r="AJ296" i="4"/>
  <c r="AI296" i="4"/>
  <c r="AH296" i="4"/>
  <c r="AF296" i="4"/>
  <c r="AE296" i="4"/>
  <c r="AJ295" i="4"/>
  <c r="AI295" i="4"/>
  <c r="AH295" i="4"/>
  <c r="AF295" i="4"/>
  <c r="AE295" i="4"/>
  <c r="AJ294" i="4"/>
  <c r="AI294" i="4"/>
  <c r="AH294" i="4"/>
  <c r="AF294" i="4"/>
  <c r="AE294" i="4"/>
  <c r="AJ293" i="4"/>
  <c r="AI293" i="4"/>
  <c r="AH293" i="4"/>
  <c r="AF293" i="4"/>
  <c r="AE293" i="4"/>
  <c r="AJ292" i="4"/>
  <c r="AI292" i="4"/>
  <c r="AH292" i="4"/>
  <c r="AF292" i="4"/>
  <c r="AE292" i="4"/>
  <c r="AJ291" i="4"/>
  <c r="AI291" i="4"/>
  <c r="AF291" i="4"/>
  <c r="AE291" i="4"/>
  <c r="AJ290" i="4"/>
  <c r="AI290" i="4"/>
  <c r="AH290" i="4"/>
  <c r="AF290" i="4"/>
  <c r="AE290" i="4"/>
  <c r="AJ289" i="4"/>
  <c r="AI289" i="4"/>
  <c r="AH289" i="4"/>
  <c r="AF289" i="4"/>
  <c r="AE289" i="4"/>
  <c r="AJ288" i="4"/>
  <c r="AI288" i="4"/>
  <c r="AH288" i="4"/>
  <c r="AF288" i="4"/>
  <c r="AE288" i="4"/>
  <c r="AJ287" i="4"/>
  <c r="AI287" i="4"/>
  <c r="AH287" i="4"/>
  <c r="AF287" i="4"/>
  <c r="AJ286" i="4"/>
  <c r="AI286" i="4"/>
  <c r="AH286" i="4"/>
  <c r="AF286" i="4"/>
  <c r="AJ285" i="4"/>
  <c r="AI285" i="4"/>
  <c r="AH285" i="4"/>
  <c r="AF285" i="4"/>
  <c r="AE285" i="4"/>
  <c r="AJ284" i="4"/>
  <c r="AI284" i="4"/>
  <c r="AH284" i="4"/>
  <c r="AF284" i="4"/>
  <c r="AE284" i="4"/>
  <c r="AJ283" i="4"/>
  <c r="AI283" i="4"/>
  <c r="AF283" i="4"/>
  <c r="AE283" i="4"/>
  <c r="AJ282" i="4"/>
  <c r="AI282" i="4"/>
  <c r="AH282" i="4"/>
  <c r="AF282" i="4"/>
  <c r="AE282" i="4"/>
  <c r="AJ281" i="4"/>
  <c r="AI281" i="4"/>
  <c r="AH281" i="4"/>
  <c r="AF281" i="4"/>
  <c r="AE281" i="4"/>
  <c r="AJ280" i="4"/>
  <c r="AI280" i="4"/>
  <c r="AH280" i="4"/>
  <c r="AF280" i="4"/>
  <c r="AE280" i="4"/>
  <c r="AJ279" i="4"/>
  <c r="AI279" i="4"/>
  <c r="AH279" i="4"/>
  <c r="AF279" i="4"/>
  <c r="AE279" i="4"/>
  <c r="AJ278" i="4"/>
  <c r="AI278" i="4"/>
  <c r="AH278" i="4"/>
  <c r="AF278" i="4"/>
  <c r="AE278" i="4"/>
  <c r="AJ277" i="4"/>
  <c r="AI277" i="4"/>
  <c r="AH277" i="4"/>
  <c r="AF277" i="4"/>
  <c r="AE277" i="4"/>
  <c r="AJ276" i="4"/>
  <c r="AI276" i="4"/>
  <c r="AH276" i="4"/>
  <c r="AF276" i="4"/>
  <c r="AE276" i="4"/>
  <c r="AJ275" i="4"/>
  <c r="AI275" i="4"/>
  <c r="AF275" i="4"/>
  <c r="AE275" i="4"/>
  <c r="AJ274" i="4"/>
  <c r="AI274" i="4"/>
  <c r="AH274" i="4"/>
  <c r="AF274" i="4"/>
  <c r="AE274" i="4"/>
  <c r="AJ273" i="4"/>
  <c r="AI273" i="4"/>
  <c r="AH273" i="4"/>
  <c r="AF273" i="4"/>
  <c r="AE273" i="4"/>
  <c r="AJ272" i="4"/>
  <c r="AI272" i="4"/>
  <c r="AH272" i="4"/>
  <c r="AF272" i="4"/>
  <c r="AE272" i="4"/>
  <c r="AJ271" i="4"/>
  <c r="AI271" i="4"/>
  <c r="AH271" i="4"/>
  <c r="AF271" i="4"/>
  <c r="AE271" i="4"/>
  <c r="AJ270" i="4"/>
  <c r="AI270" i="4"/>
  <c r="AH270" i="4"/>
  <c r="AF270" i="4"/>
  <c r="AE270" i="4"/>
  <c r="AJ269" i="4"/>
  <c r="AI269" i="4"/>
  <c r="AH269" i="4"/>
  <c r="AF269" i="4"/>
  <c r="AE269" i="4"/>
  <c r="AJ268" i="4"/>
  <c r="AI268" i="4"/>
  <c r="AH268" i="4"/>
  <c r="AF268" i="4"/>
  <c r="AE268" i="4"/>
  <c r="AJ267" i="4"/>
  <c r="AI267" i="4"/>
  <c r="AF267" i="4"/>
  <c r="AE267" i="4"/>
  <c r="AJ266" i="4"/>
  <c r="AI266" i="4"/>
  <c r="AH266" i="4"/>
  <c r="AF266" i="4"/>
  <c r="AE266" i="4"/>
  <c r="AJ265" i="4"/>
  <c r="AI265" i="4"/>
  <c r="AH265" i="4"/>
  <c r="AF265" i="4"/>
  <c r="AE265" i="4"/>
  <c r="AJ264" i="4"/>
  <c r="AI264" i="4"/>
  <c r="AH264" i="4"/>
  <c r="AF264" i="4"/>
  <c r="AE264" i="4"/>
  <c r="AJ263" i="4"/>
  <c r="AI263" i="4"/>
  <c r="AH263" i="4"/>
  <c r="AF263" i="4"/>
  <c r="AJ262" i="4"/>
  <c r="AI262" i="4"/>
  <c r="AH262" i="4"/>
  <c r="AF262" i="4"/>
  <c r="AE262" i="4"/>
  <c r="AJ261" i="4"/>
  <c r="AI261" i="4"/>
  <c r="AH261" i="4"/>
  <c r="AF261" i="4"/>
  <c r="AE261" i="4"/>
  <c r="AJ260" i="4"/>
  <c r="AI260" i="4"/>
  <c r="AH260" i="4"/>
  <c r="AF260" i="4"/>
  <c r="AE260" i="4"/>
  <c r="AJ259" i="4"/>
  <c r="AI259" i="4"/>
  <c r="AF259" i="4"/>
  <c r="AE259" i="4"/>
  <c r="AJ258" i="4"/>
  <c r="AI258" i="4"/>
  <c r="AH258" i="4"/>
  <c r="AF258" i="4"/>
  <c r="AE258" i="4"/>
  <c r="AJ257" i="4"/>
  <c r="AI257" i="4"/>
  <c r="AH257" i="4"/>
  <c r="AF257" i="4"/>
  <c r="AE257" i="4"/>
  <c r="AJ256" i="4"/>
  <c r="AI256" i="4"/>
  <c r="AH256" i="4"/>
  <c r="AF256" i="4"/>
  <c r="AE256" i="4"/>
  <c r="AJ255" i="4"/>
  <c r="AI255" i="4"/>
  <c r="AH255" i="4"/>
  <c r="AF255" i="4"/>
  <c r="AE255" i="4"/>
  <c r="AJ254" i="4"/>
  <c r="AI254" i="4"/>
  <c r="AH254" i="4"/>
  <c r="AJ253" i="4"/>
  <c r="AI253" i="4"/>
  <c r="AH253" i="4"/>
  <c r="AF253" i="4"/>
  <c r="AE253" i="4"/>
  <c r="AJ252" i="4"/>
  <c r="AI252" i="4"/>
  <c r="AH252" i="4"/>
  <c r="AF252" i="4"/>
  <c r="AE252" i="4"/>
  <c r="AJ251" i="4"/>
  <c r="AI251" i="4"/>
  <c r="AH251" i="4"/>
  <c r="AF251" i="4"/>
  <c r="AE251" i="4"/>
  <c r="AJ250" i="4"/>
  <c r="AI250" i="4"/>
  <c r="AH250" i="4"/>
  <c r="AJ249" i="4"/>
  <c r="AI249" i="4"/>
  <c r="AH249" i="4"/>
  <c r="AF249" i="4"/>
  <c r="AJ248" i="4"/>
  <c r="AI248" i="4"/>
  <c r="AH248" i="4"/>
  <c r="AF248" i="4"/>
  <c r="AE248" i="4"/>
  <c r="AJ247" i="4"/>
  <c r="AI247" i="4"/>
  <c r="AH247" i="4"/>
  <c r="AF247" i="4"/>
  <c r="AE247" i="4"/>
  <c r="AJ246" i="4"/>
  <c r="AI246" i="4"/>
  <c r="AH246" i="4"/>
  <c r="AF246" i="4"/>
  <c r="AE246" i="4"/>
  <c r="AJ245" i="4"/>
  <c r="AI245" i="4"/>
  <c r="AH245" i="4"/>
  <c r="AF245" i="4"/>
  <c r="AE245" i="4"/>
  <c r="AJ244" i="4"/>
  <c r="AI244" i="4"/>
  <c r="AH244" i="4"/>
  <c r="AF244" i="4"/>
  <c r="AE244" i="4"/>
  <c r="AJ243" i="4"/>
  <c r="AI243" i="4"/>
  <c r="AH243" i="4"/>
  <c r="AF243" i="4"/>
  <c r="AE243" i="4"/>
  <c r="AJ242" i="4"/>
  <c r="AI242" i="4"/>
  <c r="AH242" i="4"/>
  <c r="AF242" i="4"/>
  <c r="AE242" i="4"/>
  <c r="AJ241" i="4"/>
  <c r="AI241" i="4"/>
  <c r="AH241" i="4"/>
  <c r="AF241" i="4"/>
  <c r="AE241" i="4"/>
  <c r="AJ240" i="4"/>
  <c r="AI240" i="4"/>
  <c r="AH240" i="4"/>
  <c r="AF240" i="4"/>
  <c r="AE240" i="4"/>
  <c r="AJ239" i="4"/>
  <c r="AI239" i="4"/>
  <c r="AH239" i="4"/>
  <c r="AF239" i="4"/>
  <c r="AE239" i="4"/>
  <c r="AJ238" i="4"/>
  <c r="AI238" i="4"/>
  <c r="AH238" i="4"/>
  <c r="AF238" i="4"/>
  <c r="AE238" i="4"/>
  <c r="AJ237" i="4"/>
  <c r="AI237" i="4"/>
  <c r="AH237" i="4"/>
  <c r="AF237" i="4"/>
  <c r="AE237" i="4"/>
  <c r="AJ236" i="4"/>
  <c r="AI236" i="4"/>
  <c r="AH236" i="4"/>
  <c r="AF236" i="4"/>
  <c r="AE236" i="4"/>
  <c r="AJ235" i="4"/>
  <c r="AI235" i="4"/>
  <c r="AH235" i="4"/>
  <c r="AF235" i="4"/>
  <c r="AE235" i="4"/>
  <c r="AJ234" i="4"/>
  <c r="AI234" i="4"/>
  <c r="AH234" i="4"/>
  <c r="AF234" i="4"/>
  <c r="AE234" i="4"/>
  <c r="AJ233" i="4"/>
  <c r="AI233" i="4"/>
  <c r="AH233" i="4"/>
  <c r="AF233" i="4"/>
  <c r="AE233" i="4"/>
  <c r="AJ232" i="4"/>
  <c r="AI232" i="4"/>
  <c r="AH232" i="4"/>
  <c r="AF232" i="4"/>
  <c r="AE232" i="4"/>
  <c r="AJ231" i="4"/>
  <c r="AI231" i="4"/>
  <c r="AH231" i="4"/>
  <c r="AF231" i="4"/>
  <c r="AE231" i="4"/>
  <c r="AJ230" i="4"/>
  <c r="AI230" i="4"/>
  <c r="AH230" i="4"/>
  <c r="AF230" i="4"/>
  <c r="AE230" i="4"/>
  <c r="AJ229" i="4"/>
  <c r="AI229" i="4"/>
  <c r="AH229" i="4"/>
  <c r="AF229" i="4"/>
  <c r="AE229" i="4"/>
  <c r="AJ228" i="4"/>
  <c r="AI228" i="4"/>
  <c r="AH228" i="4"/>
  <c r="AF228" i="4"/>
  <c r="AE228" i="4"/>
  <c r="AJ227" i="4"/>
  <c r="AI227" i="4"/>
  <c r="AH227" i="4"/>
  <c r="AF227" i="4"/>
  <c r="AE227" i="4"/>
  <c r="AJ226" i="4"/>
  <c r="AI226" i="4"/>
  <c r="AH226" i="4"/>
  <c r="AF226" i="4"/>
  <c r="AE226" i="4"/>
  <c r="AJ225" i="4"/>
  <c r="AI225" i="4"/>
  <c r="AH225" i="4"/>
  <c r="AF225" i="4"/>
  <c r="AE225" i="4"/>
  <c r="AJ224" i="4"/>
  <c r="AI224" i="4"/>
  <c r="AH224" i="4"/>
  <c r="AF224" i="4"/>
  <c r="AE224" i="4"/>
  <c r="AJ223" i="4"/>
  <c r="AI223" i="4"/>
  <c r="AH223" i="4"/>
  <c r="AF223" i="4"/>
  <c r="AE223" i="4"/>
  <c r="AJ222" i="4"/>
  <c r="AI222" i="4"/>
  <c r="AH222" i="4"/>
  <c r="AF222" i="4"/>
  <c r="AE222" i="4"/>
  <c r="AJ221" i="4"/>
  <c r="AI221" i="4"/>
  <c r="AH221" i="4"/>
  <c r="AF221" i="4"/>
  <c r="AE221" i="4"/>
  <c r="AJ220" i="4"/>
  <c r="AI220" i="4"/>
  <c r="AH220" i="4"/>
  <c r="AF220" i="4"/>
  <c r="AE220" i="4"/>
  <c r="AJ219" i="4"/>
  <c r="AI219" i="4"/>
  <c r="AH219" i="4"/>
  <c r="AF219" i="4"/>
  <c r="AE219" i="4"/>
  <c r="AJ218" i="4"/>
  <c r="AI218" i="4"/>
  <c r="AH218" i="4"/>
  <c r="AF218" i="4"/>
  <c r="AE218" i="4"/>
  <c r="AJ217" i="4"/>
  <c r="AI217" i="4"/>
  <c r="AH217" i="4"/>
  <c r="AF217" i="4"/>
  <c r="AE217" i="4"/>
  <c r="AJ216" i="4"/>
  <c r="AI216" i="4"/>
  <c r="AH216" i="4"/>
  <c r="AF216" i="4"/>
  <c r="AE216" i="4"/>
  <c r="AJ215" i="4"/>
  <c r="AI215" i="4"/>
  <c r="AH215" i="4"/>
  <c r="AF215" i="4"/>
  <c r="AE215" i="4"/>
  <c r="AJ214" i="4"/>
  <c r="AI214" i="4"/>
  <c r="AH214" i="4"/>
  <c r="AJ213" i="4"/>
  <c r="AI213" i="4"/>
  <c r="AH213" i="4"/>
  <c r="AF213" i="4"/>
  <c r="AE213" i="4"/>
  <c r="AJ212" i="4"/>
  <c r="AI212" i="4"/>
  <c r="AH212" i="4"/>
  <c r="AF212" i="4"/>
  <c r="AE212" i="4"/>
  <c r="AJ211" i="4"/>
  <c r="AI211" i="4"/>
  <c r="AH211" i="4"/>
  <c r="AF211" i="4"/>
  <c r="AE211" i="4"/>
  <c r="AJ210" i="4"/>
  <c r="AI210" i="4"/>
  <c r="AH210" i="4"/>
  <c r="AF210" i="4"/>
  <c r="AE210" i="4"/>
  <c r="AJ209" i="4"/>
  <c r="AI209" i="4"/>
  <c r="AH209" i="4"/>
  <c r="AF209" i="4"/>
  <c r="AJ208" i="4"/>
  <c r="AI208" i="4"/>
  <c r="AH208" i="4"/>
  <c r="AF208" i="4"/>
  <c r="AJ207" i="4"/>
  <c r="AI207" i="4"/>
  <c r="AH207" i="4"/>
  <c r="AF207" i="4"/>
  <c r="AE207" i="4"/>
  <c r="AJ206" i="4"/>
  <c r="AI206" i="4"/>
  <c r="AH206" i="4"/>
  <c r="AF206" i="4"/>
  <c r="AE206" i="4"/>
  <c r="AJ205" i="4"/>
  <c r="AI205" i="4"/>
  <c r="AH205" i="4"/>
  <c r="AF205" i="4"/>
  <c r="AE205" i="4"/>
  <c r="AJ204" i="4"/>
  <c r="AI204" i="4"/>
  <c r="AH204" i="4"/>
  <c r="AF204" i="4"/>
  <c r="AE204" i="4"/>
  <c r="AJ203" i="4"/>
  <c r="AI203" i="4"/>
  <c r="AH203" i="4"/>
  <c r="AF203" i="4"/>
  <c r="AE203" i="4"/>
  <c r="AJ202" i="4"/>
  <c r="AI202" i="4"/>
  <c r="AH202" i="4"/>
  <c r="AF202" i="4"/>
  <c r="AE202" i="4"/>
  <c r="AJ201" i="4"/>
  <c r="AI201" i="4"/>
  <c r="AH201" i="4"/>
  <c r="AF201" i="4"/>
  <c r="AE201" i="4"/>
  <c r="AJ200" i="4"/>
  <c r="AI200" i="4"/>
  <c r="AH200" i="4"/>
  <c r="AF200" i="4"/>
  <c r="AE200" i="4"/>
  <c r="AJ199" i="4"/>
  <c r="AI199" i="4"/>
  <c r="AH199" i="4"/>
  <c r="AF199" i="4"/>
  <c r="AE199" i="4"/>
  <c r="AJ198" i="4"/>
  <c r="AI198" i="4"/>
  <c r="AH198" i="4"/>
  <c r="AF198" i="4"/>
  <c r="AE198" i="4"/>
  <c r="AJ197" i="4"/>
  <c r="AI197" i="4"/>
  <c r="AH197" i="4"/>
  <c r="AF197" i="4"/>
  <c r="AE197" i="4"/>
  <c r="AJ196" i="4"/>
  <c r="AI196" i="4"/>
  <c r="AH196" i="4"/>
  <c r="AF196" i="4"/>
  <c r="AE196" i="4"/>
  <c r="AJ195" i="4"/>
  <c r="AI195" i="4"/>
  <c r="AH195" i="4"/>
  <c r="AF195" i="4"/>
  <c r="AJ194" i="4"/>
  <c r="AI194" i="4"/>
  <c r="AH194" i="4"/>
  <c r="AF194" i="4"/>
  <c r="AJ193" i="4"/>
  <c r="AI193" i="4"/>
  <c r="AH193" i="4"/>
  <c r="AF193" i="4"/>
  <c r="AE193" i="4"/>
  <c r="AJ192" i="4"/>
  <c r="AI192" i="4"/>
  <c r="AH192" i="4"/>
  <c r="AF192" i="4"/>
  <c r="AE192" i="4"/>
  <c r="AJ191" i="4"/>
  <c r="AI191" i="4"/>
  <c r="AH191" i="4"/>
  <c r="AF191" i="4"/>
  <c r="AE191" i="4"/>
  <c r="AJ190" i="4"/>
  <c r="AI190" i="4"/>
  <c r="AH190" i="4"/>
  <c r="AF190" i="4"/>
  <c r="AE190" i="4"/>
  <c r="AJ189" i="4"/>
  <c r="AI189" i="4"/>
  <c r="AH189" i="4"/>
  <c r="AF189" i="4"/>
  <c r="AE189" i="4"/>
  <c r="AJ188" i="4"/>
  <c r="AI188" i="4"/>
  <c r="AH188" i="4"/>
  <c r="AF188" i="4"/>
  <c r="AE188" i="4"/>
  <c r="AJ187" i="4"/>
  <c r="AI187" i="4"/>
  <c r="AH187" i="4"/>
  <c r="AF187" i="4"/>
  <c r="AE187" i="4"/>
  <c r="AJ186" i="4"/>
  <c r="AI186" i="4"/>
  <c r="AH186" i="4"/>
  <c r="AF186" i="4"/>
  <c r="AE186" i="4"/>
  <c r="AJ185" i="4"/>
  <c r="AI185" i="4"/>
  <c r="AH185" i="4"/>
  <c r="AF185" i="4"/>
  <c r="AE185" i="4"/>
  <c r="AJ184" i="4"/>
  <c r="AI184" i="4"/>
  <c r="AH184" i="4"/>
  <c r="AF184" i="4"/>
  <c r="AE184" i="4"/>
  <c r="AJ183" i="4"/>
  <c r="AI183" i="4"/>
  <c r="AH183" i="4"/>
  <c r="AF183" i="4"/>
  <c r="AE183" i="4"/>
  <c r="AJ182" i="4"/>
  <c r="AI182" i="4"/>
  <c r="AH182" i="4"/>
  <c r="AF182" i="4"/>
  <c r="AE182" i="4"/>
  <c r="AJ181" i="4"/>
  <c r="AI181" i="4"/>
  <c r="AH181" i="4"/>
  <c r="AF181" i="4"/>
  <c r="AE181" i="4"/>
  <c r="AJ180" i="4"/>
  <c r="AI180" i="4"/>
  <c r="AH180" i="4"/>
  <c r="AF180" i="4"/>
  <c r="AE180" i="4"/>
  <c r="AJ179" i="4"/>
  <c r="AI179" i="4"/>
  <c r="AH179" i="4"/>
  <c r="AF179" i="4"/>
  <c r="AE179" i="4"/>
  <c r="AJ178" i="4"/>
  <c r="AI178" i="4"/>
  <c r="AH178" i="4"/>
  <c r="AF178" i="4"/>
  <c r="AE178" i="4"/>
  <c r="AJ177" i="4"/>
  <c r="AI177" i="4"/>
  <c r="AH177" i="4"/>
  <c r="AF177" i="4"/>
  <c r="AE177" i="4"/>
  <c r="AJ176" i="4"/>
  <c r="AI176" i="4"/>
  <c r="AH176" i="4"/>
  <c r="AF176" i="4"/>
  <c r="AE176" i="4"/>
  <c r="AJ175" i="4"/>
  <c r="AI175" i="4"/>
  <c r="AH175" i="4"/>
  <c r="AF175" i="4"/>
  <c r="AE175" i="4"/>
  <c r="AJ174" i="4"/>
  <c r="AI174" i="4"/>
  <c r="AH174" i="4"/>
  <c r="AF174" i="4"/>
  <c r="AE174" i="4"/>
  <c r="AJ173" i="4"/>
  <c r="AI173" i="4"/>
  <c r="AH173" i="4"/>
  <c r="AF173" i="4"/>
  <c r="AE173" i="4"/>
  <c r="AJ172" i="4"/>
  <c r="AI172" i="4"/>
  <c r="AH172" i="4"/>
  <c r="AF172" i="4"/>
  <c r="AE172" i="4"/>
  <c r="AJ171" i="4"/>
  <c r="AI171" i="4"/>
  <c r="AH171" i="4"/>
  <c r="AF171" i="4"/>
  <c r="AE171" i="4"/>
  <c r="AJ170" i="4"/>
  <c r="AI170" i="4"/>
  <c r="AH170" i="4"/>
  <c r="AF170" i="4"/>
  <c r="AE170" i="4"/>
  <c r="AJ169" i="4"/>
  <c r="AI169" i="4"/>
  <c r="AH169" i="4"/>
  <c r="AF169" i="4"/>
  <c r="AE169" i="4"/>
  <c r="AJ168" i="4"/>
  <c r="AI168" i="4"/>
  <c r="AH168" i="4"/>
  <c r="AF168" i="4"/>
  <c r="AE168" i="4"/>
  <c r="AJ167" i="4"/>
  <c r="AI167" i="4"/>
  <c r="AH167" i="4"/>
  <c r="AF167" i="4"/>
  <c r="AE167" i="4"/>
  <c r="AJ166" i="4"/>
  <c r="AI166" i="4"/>
  <c r="AH166" i="4"/>
  <c r="AF166" i="4"/>
  <c r="AE166" i="4"/>
  <c r="AJ165" i="4"/>
  <c r="AI165" i="4"/>
  <c r="AH165" i="4"/>
  <c r="AF165" i="4"/>
  <c r="AE165" i="4"/>
  <c r="AJ164" i="4"/>
  <c r="AI164" i="4"/>
  <c r="AH164" i="4"/>
  <c r="AF164" i="4"/>
  <c r="AE164" i="4"/>
  <c r="AJ163" i="4"/>
  <c r="AI163" i="4"/>
  <c r="AH163" i="4"/>
  <c r="AF163" i="4"/>
  <c r="AE163" i="4"/>
  <c r="AJ162" i="4"/>
  <c r="AI162" i="4"/>
  <c r="AH162" i="4"/>
  <c r="AF162" i="4"/>
  <c r="AE162" i="4"/>
  <c r="AJ161" i="4"/>
  <c r="AI161" i="4"/>
  <c r="AH161" i="4"/>
  <c r="AF161" i="4"/>
  <c r="AE161" i="4"/>
  <c r="AJ160" i="4"/>
  <c r="AI160" i="4"/>
  <c r="AH160" i="4"/>
  <c r="AF160" i="4"/>
  <c r="AE160" i="4"/>
  <c r="AJ159" i="4"/>
  <c r="AI159" i="4"/>
  <c r="AH159" i="4"/>
  <c r="AF159" i="4"/>
  <c r="AE159" i="4"/>
  <c r="AJ158" i="4"/>
  <c r="AI158" i="4"/>
  <c r="AH158" i="4"/>
  <c r="AF158" i="4"/>
  <c r="AE158" i="4"/>
  <c r="AJ157" i="4"/>
  <c r="AI157" i="4"/>
  <c r="AH157" i="4"/>
  <c r="AF157" i="4"/>
  <c r="AE157" i="4"/>
  <c r="AJ156" i="4"/>
  <c r="AI156" i="4"/>
  <c r="AH156" i="4"/>
  <c r="AF156" i="4"/>
  <c r="AE156" i="4"/>
  <c r="AJ155" i="4"/>
  <c r="AI155" i="4"/>
  <c r="AH155" i="4"/>
  <c r="AF155" i="4"/>
  <c r="AE155" i="4"/>
  <c r="AJ154" i="4"/>
  <c r="AI154" i="4"/>
  <c r="AH154" i="4"/>
  <c r="AF154" i="4"/>
  <c r="AE154" i="4"/>
  <c r="AJ153" i="4"/>
  <c r="AI153" i="4"/>
  <c r="AH153" i="4"/>
  <c r="AF153" i="4"/>
  <c r="AE153" i="4"/>
  <c r="AJ152" i="4"/>
  <c r="AI152" i="4"/>
  <c r="AH152" i="4"/>
  <c r="AF152" i="4"/>
  <c r="AE152" i="4"/>
  <c r="AJ151" i="4"/>
  <c r="AI151" i="4"/>
  <c r="AH151" i="4"/>
  <c r="AF151" i="4"/>
  <c r="AE151" i="4"/>
  <c r="AJ150" i="4"/>
  <c r="AI150" i="4"/>
  <c r="AH150" i="4"/>
  <c r="AF150" i="4"/>
  <c r="AE150" i="4"/>
  <c r="AJ149" i="4"/>
  <c r="AI149" i="4"/>
  <c r="AH149" i="4"/>
  <c r="AF149" i="4"/>
  <c r="AE149" i="4"/>
  <c r="AJ148" i="4"/>
  <c r="AI148" i="4"/>
  <c r="AH148" i="4"/>
  <c r="AF148" i="4"/>
  <c r="AE148" i="4"/>
  <c r="AJ147" i="4"/>
  <c r="AI147" i="4"/>
  <c r="AH147" i="4"/>
  <c r="AF147" i="4"/>
  <c r="AE147" i="4"/>
  <c r="AJ146" i="4"/>
  <c r="AI146" i="4"/>
  <c r="AH146" i="4"/>
  <c r="AF146" i="4"/>
  <c r="AE146" i="4"/>
  <c r="AJ145" i="4"/>
  <c r="AI145" i="4"/>
  <c r="AH145" i="4"/>
  <c r="AF145" i="4"/>
  <c r="AE145" i="4"/>
  <c r="AJ144" i="4"/>
  <c r="AI144" i="4"/>
  <c r="AH144" i="4"/>
  <c r="AF144" i="4"/>
  <c r="AE144" i="4"/>
  <c r="AJ143" i="4"/>
  <c r="AI143" i="4"/>
  <c r="AH143" i="4"/>
  <c r="AF143" i="4"/>
  <c r="AE143" i="4"/>
  <c r="AJ142" i="4"/>
  <c r="AI142" i="4"/>
  <c r="AH142" i="4"/>
  <c r="AF142" i="4"/>
  <c r="AE142" i="4"/>
  <c r="AJ141" i="4"/>
  <c r="AI141" i="4"/>
  <c r="AH141" i="4"/>
  <c r="AF141" i="4"/>
  <c r="AE141" i="4"/>
  <c r="AJ140" i="4"/>
  <c r="AI140" i="4"/>
  <c r="AH140" i="4"/>
  <c r="AF140" i="4"/>
  <c r="AE140" i="4"/>
  <c r="AJ139" i="4"/>
  <c r="AI139" i="4"/>
  <c r="AH139" i="4"/>
  <c r="AF139" i="4"/>
  <c r="AE139" i="4"/>
  <c r="AJ138" i="4"/>
  <c r="AI138" i="4"/>
  <c r="AH138" i="4"/>
  <c r="AF138" i="4"/>
  <c r="AE138" i="4"/>
  <c r="AJ137" i="4"/>
  <c r="AI137" i="4"/>
  <c r="AH137" i="4"/>
  <c r="AF137" i="4"/>
  <c r="AE137" i="4"/>
  <c r="AJ136" i="4"/>
  <c r="AI136" i="4"/>
  <c r="AH136" i="4"/>
  <c r="AF136" i="4"/>
  <c r="AE136" i="4"/>
  <c r="AJ135" i="4"/>
  <c r="AI135" i="4"/>
  <c r="AH135" i="4"/>
  <c r="AF135" i="4"/>
  <c r="AE135" i="4"/>
  <c r="AJ134" i="4"/>
  <c r="AI134" i="4"/>
  <c r="AH134" i="4"/>
  <c r="AF134" i="4"/>
  <c r="AE134" i="4"/>
  <c r="AJ133" i="4"/>
  <c r="AI133" i="4"/>
  <c r="AH133" i="4"/>
  <c r="AF133" i="4"/>
  <c r="AE133" i="4"/>
  <c r="AJ132" i="4"/>
  <c r="AI132" i="4"/>
  <c r="AH132" i="4"/>
  <c r="AF132" i="4"/>
  <c r="AE132" i="4"/>
  <c r="AJ131" i="4"/>
  <c r="AI131" i="4"/>
  <c r="AH131" i="4"/>
  <c r="AF131" i="4"/>
  <c r="AE131" i="4"/>
  <c r="AJ130" i="4"/>
  <c r="AI130" i="4"/>
  <c r="AH130" i="4"/>
  <c r="AF130" i="4"/>
  <c r="AE130" i="4"/>
  <c r="AJ129" i="4"/>
  <c r="AI129" i="4"/>
  <c r="AH129" i="4"/>
  <c r="AF129" i="4"/>
  <c r="AE129" i="4"/>
  <c r="AJ128" i="4"/>
  <c r="AI128" i="4"/>
  <c r="AH128" i="4"/>
  <c r="AF128" i="4"/>
  <c r="AE128" i="4"/>
  <c r="AJ127" i="4"/>
  <c r="AI127" i="4"/>
  <c r="AH127" i="4"/>
  <c r="AF127" i="4"/>
  <c r="AE127" i="4"/>
  <c r="AJ126" i="4"/>
  <c r="AI126" i="4"/>
  <c r="AH126" i="4"/>
  <c r="AF126" i="4"/>
  <c r="AE126" i="4"/>
  <c r="AJ125" i="4"/>
  <c r="AI125" i="4"/>
  <c r="AH125" i="4"/>
  <c r="AF125" i="4"/>
  <c r="AE125" i="4"/>
  <c r="AJ124" i="4"/>
  <c r="AI124" i="4"/>
  <c r="AH124" i="4"/>
  <c r="AF124" i="4"/>
  <c r="AE124" i="4"/>
  <c r="AJ123" i="4"/>
  <c r="AI123" i="4"/>
  <c r="AH123" i="4"/>
  <c r="AF123" i="4"/>
  <c r="AE123" i="4"/>
  <c r="AJ122" i="4"/>
  <c r="AI122" i="4"/>
  <c r="AH122" i="4"/>
  <c r="AF122" i="4"/>
  <c r="AE122" i="4"/>
  <c r="AJ121" i="4"/>
  <c r="AI121" i="4"/>
  <c r="AH121" i="4"/>
  <c r="AF121" i="4"/>
  <c r="AE121" i="4"/>
  <c r="AJ120" i="4"/>
  <c r="AI120" i="4"/>
  <c r="AH120" i="4"/>
  <c r="AF120" i="4"/>
  <c r="AE120" i="4"/>
  <c r="AJ119" i="4"/>
  <c r="AI119" i="4"/>
  <c r="AH119" i="4"/>
  <c r="AF119" i="4"/>
  <c r="AE119" i="4"/>
  <c r="AJ118" i="4"/>
  <c r="AI118" i="4"/>
  <c r="AH118" i="4"/>
  <c r="AF118" i="4"/>
  <c r="AE118" i="4"/>
  <c r="AJ117" i="4"/>
  <c r="AI117" i="4"/>
  <c r="AH117" i="4"/>
  <c r="AF117" i="4"/>
  <c r="AE117" i="4"/>
  <c r="AJ116" i="4"/>
  <c r="AI116" i="4"/>
  <c r="AH116" i="4"/>
  <c r="AF116" i="4"/>
  <c r="AE116" i="4"/>
  <c r="AJ115" i="4"/>
  <c r="AI115" i="4"/>
  <c r="AH115" i="4"/>
  <c r="AF115" i="4"/>
  <c r="AE115" i="4"/>
  <c r="AJ114" i="4"/>
  <c r="AI114" i="4"/>
  <c r="AH114" i="4"/>
  <c r="AF114" i="4"/>
  <c r="AE114" i="4"/>
  <c r="AJ113" i="4"/>
  <c r="AI113" i="4"/>
  <c r="AH113" i="4"/>
  <c r="AF113" i="4"/>
  <c r="AE113" i="4"/>
  <c r="AJ112" i="4"/>
  <c r="AI112" i="4"/>
  <c r="AH112" i="4"/>
  <c r="AF112" i="4"/>
  <c r="AE112" i="4"/>
  <c r="AJ111" i="4"/>
  <c r="AI111" i="4"/>
  <c r="AH111" i="4"/>
  <c r="AF111" i="4"/>
  <c r="AE111" i="4"/>
  <c r="AJ110" i="4"/>
  <c r="AI110" i="4"/>
  <c r="AH110" i="4"/>
  <c r="AF110" i="4"/>
  <c r="AE110" i="4"/>
  <c r="AJ109" i="4"/>
  <c r="AI109" i="4"/>
  <c r="AH109" i="4"/>
  <c r="AF109" i="4"/>
  <c r="AE109" i="4"/>
  <c r="AJ108" i="4"/>
  <c r="AI108" i="4"/>
  <c r="AH108" i="4"/>
  <c r="AF108" i="4"/>
  <c r="AE108" i="4"/>
  <c r="AJ107" i="4"/>
  <c r="AI107" i="4"/>
  <c r="AH107" i="4"/>
  <c r="AF107" i="4"/>
  <c r="AE107" i="4"/>
  <c r="AJ106" i="4"/>
  <c r="AI106" i="4"/>
  <c r="AH106" i="4"/>
  <c r="AF106" i="4"/>
  <c r="AE106" i="4"/>
  <c r="AJ105" i="4"/>
  <c r="AI105" i="4"/>
  <c r="AH105" i="4"/>
  <c r="AF105" i="4"/>
  <c r="AE105" i="4"/>
  <c r="AJ104" i="4"/>
  <c r="AI104" i="4"/>
  <c r="AH104" i="4"/>
  <c r="AF104" i="4"/>
  <c r="AE104" i="4"/>
  <c r="AJ103" i="4"/>
  <c r="AI103" i="4"/>
  <c r="AH103" i="4"/>
  <c r="AF103" i="4"/>
  <c r="AE103" i="4"/>
  <c r="AJ102" i="4"/>
  <c r="AI102" i="4"/>
  <c r="AH102" i="4"/>
  <c r="AF102" i="4"/>
  <c r="AE102" i="4"/>
  <c r="AJ101" i="4"/>
  <c r="AI101" i="4"/>
  <c r="AH101" i="4"/>
  <c r="AF101" i="4"/>
  <c r="AE101" i="4"/>
  <c r="AJ100" i="4"/>
  <c r="AI100" i="4"/>
  <c r="AH100" i="4"/>
  <c r="AF100" i="4"/>
  <c r="AE100" i="4"/>
  <c r="AJ99" i="4"/>
  <c r="AI99" i="4"/>
  <c r="AH99" i="4"/>
  <c r="AF99" i="4"/>
  <c r="AE99" i="4"/>
  <c r="AJ98" i="4"/>
  <c r="AI98" i="4"/>
  <c r="AH98" i="4"/>
  <c r="AF98" i="4"/>
  <c r="AE98" i="4"/>
  <c r="AJ97" i="4"/>
  <c r="AI97" i="4"/>
  <c r="AH97" i="4"/>
  <c r="AF97" i="4"/>
  <c r="AE97" i="4"/>
  <c r="AJ96" i="4"/>
  <c r="AI96" i="4"/>
  <c r="AH96" i="4"/>
  <c r="AF96" i="4"/>
  <c r="AE96" i="4"/>
  <c r="AJ95" i="4"/>
  <c r="AI95" i="4"/>
  <c r="AH95" i="4"/>
  <c r="AF95" i="4"/>
  <c r="AE95" i="4"/>
  <c r="AJ94" i="4"/>
  <c r="AI94" i="4"/>
  <c r="AH94" i="4"/>
  <c r="AF94" i="4"/>
  <c r="AJ93" i="4"/>
  <c r="AI93" i="4"/>
  <c r="AH93" i="4"/>
  <c r="AF93" i="4"/>
  <c r="AE93" i="4"/>
  <c r="AJ92" i="4"/>
  <c r="AI92" i="4"/>
  <c r="AH92" i="4"/>
  <c r="AF92" i="4"/>
  <c r="AE92" i="4"/>
  <c r="AJ91" i="4"/>
  <c r="AI91" i="4"/>
  <c r="AH91" i="4"/>
  <c r="AF91" i="4"/>
  <c r="AE91" i="4"/>
  <c r="AJ90" i="4"/>
  <c r="AI90" i="4"/>
  <c r="AH90" i="4"/>
  <c r="AF90" i="4"/>
  <c r="AE90" i="4"/>
  <c r="AJ89" i="4"/>
  <c r="AI89" i="4"/>
  <c r="AH89" i="4"/>
  <c r="AF89" i="4"/>
  <c r="AE89" i="4"/>
  <c r="AJ88" i="4"/>
  <c r="AI88" i="4"/>
  <c r="AH88" i="4"/>
  <c r="AF88" i="4"/>
  <c r="AE88" i="4"/>
  <c r="AJ87" i="4"/>
  <c r="AI87" i="4"/>
  <c r="AH87" i="4"/>
  <c r="AF87" i="4"/>
  <c r="AE87" i="4"/>
  <c r="AJ86" i="4"/>
  <c r="AI86" i="4"/>
  <c r="AH86" i="4"/>
  <c r="AF86" i="4"/>
  <c r="AE86" i="4"/>
  <c r="AJ85" i="4"/>
  <c r="AI85" i="4"/>
  <c r="AH85" i="4"/>
  <c r="AF85" i="4"/>
  <c r="AE85" i="4"/>
  <c r="AJ84" i="4"/>
  <c r="AI84" i="4"/>
  <c r="AH84" i="4"/>
  <c r="AF84" i="4"/>
  <c r="AE84" i="4"/>
  <c r="AJ83" i="4"/>
  <c r="AI83" i="4"/>
  <c r="AH83" i="4"/>
  <c r="AF83" i="4"/>
  <c r="AE83" i="4"/>
  <c r="AJ82" i="4"/>
  <c r="AI82" i="4"/>
  <c r="AH82" i="4"/>
  <c r="AF82" i="4"/>
  <c r="AE82" i="4"/>
  <c r="AJ81" i="4"/>
  <c r="AI81" i="4"/>
  <c r="AH81" i="4"/>
  <c r="AF81" i="4"/>
  <c r="AJ80" i="4"/>
  <c r="AI80" i="4"/>
  <c r="AH80" i="4"/>
  <c r="AF80" i="4"/>
  <c r="AE80" i="4"/>
  <c r="AJ79" i="4"/>
  <c r="AI79" i="4"/>
  <c r="AH79" i="4"/>
  <c r="AF79" i="4"/>
  <c r="AE79" i="4"/>
  <c r="AJ78" i="4"/>
  <c r="AI78" i="4"/>
  <c r="AH78" i="4"/>
  <c r="AF78" i="4"/>
  <c r="AE78" i="4"/>
  <c r="AJ77" i="4"/>
  <c r="AI77" i="4"/>
  <c r="AH77" i="4"/>
  <c r="AF77" i="4"/>
  <c r="AE77" i="4"/>
  <c r="AJ76" i="4"/>
  <c r="AI76" i="4"/>
  <c r="AH76" i="4"/>
  <c r="AF76" i="4"/>
  <c r="AE76" i="4"/>
  <c r="AJ75" i="4"/>
  <c r="AI75" i="4"/>
  <c r="AH75" i="4"/>
  <c r="AF75" i="4"/>
  <c r="AE75" i="4"/>
  <c r="AJ74" i="4"/>
  <c r="AI74" i="4"/>
  <c r="AH74" i="4"/>
  <c r="AF74" i="4"/>
  <c r="AE74" i="4"/>
  <c r="AJ73" i="4"/>
  <c r="AI73" i="4"/>
  <c r="AH73" i="4"/>
  <c r="AF73" i="4"/>
  <c r="AE73" i="4"/>
  <c r="AJ72" i="4"/>
  <c r="AI72" i="4"/>
  <c r="AH72" i="4"/>
  <c r="AF72" i="4"/>
  <c r="AE72" i="4"/>
  <c r="AJ71" i="4"/>
  <c r="AI71" i="4"/>
  <c r="AH71" i="4"/>
  <c r="AF71" i="4"/>
  <c r="AE71" i="4"/>
  <c r="AJ70" i="4"/>
  <c r="AI70" i="4"/>
  <c r="AH70" i="4"/>
  <c r="AF70" i="4"/>
  <c r="AE70" i="4"/>
  <c r="AJ69" i="4"/>
  <c r="AI69" i="4"/>
  <c r="AH69" i="4"/>
  <c r="AF69" i="4"/>
  <c r="AE69" i="4"/>
  <c r="AJ68" i="4"/>
  <c r="AI68" i="4"/>
  <c r="AH68" i="4"/>
  <c r="AF68" i="4"/>
  <c r="AE68" i="4"/>
  <c r="AJ67" i="4"/>
  <c r="AI67" i="4"/>
  <c r="AH67" i="4"/>
  <c r="AF67" i="4"/>
  <c r="AE67" i="4"/>
  <c r="AJ66" i="4"/>
  <c r="AI66" i="4"/>
  <c r="AH66" i="4"/>
  <c r="AF66" i="4"/>
  <c r="AE66" i="4"/>
  <c r="AJ65" i="4"/>
  <c r="AI65" i="4"/>
  <c r="AH65" i="4"/>
  <c r="AF65" i="4"/>
  <c r="AE65" i="4"/>
  <c r="AJ64" i="4"/>
  <c r="AI64" i="4"/>
  <c r="AH64" i="4"/>
  <c r="AF64" i="4"/>
  <c r="AE64" i="4"/>
  <c r="AJ63" i="4"/>
  <c r="AI63" i="4"/>
  <c r="AH63" i="4"/>
  <c r="AF63" i="4"/>
  <c r="AE63" i="4"/>
  <c r="AJ62" i="4"/>
  <c r="AI62" i="4"/>
  <c r="AH62" i="4"/>
  <c r="AF62" i="4"/>
  <c r="AE62" i="4"/>
  <c r="AJ61" i="4"/>
  <c r="AI61" i="4"/>
  <c r="AH61" i="4"/>
  <c r="AF61" i="4"/>
  <c r="AE61" i="4"/>
  <c r="AJ60" i="4"/>
  <c r="AI60" i="4"/>
  <c r="AH60" i="4"/>
  <c r="AF60" i="4"/>
  <c r="AE60" i="4"/>
  <c r="AJ59" i="4"/>
  <c r="AI59" i="4"/>
  <c r="AH59" i="4"/>
  <c r="AF59" i="4"/>
  <c r="AE59" i="4"/>
  <c r="AJ58" i="4"/>
  <c r="AI58" i="4"/>
  <c r="AH58" i="4"/>
  <c r="AF58" i="4"/>
  <c r="AE58" i="4"/>
  <c r="AJ57" i="4"/>
  <c r="AI57" i="4"/>
  <c r="AH57" i="4"/>
  <c r="AF57" i="4"/>
  <c r="AE57" i="4"/>
  <c r="AJ56" i="4"/>
  <c r="AI56" i="4"/>
  <c r="AH56" i="4"/>
  <c r="AF56" i="4"/>
  <c r="AE56" i="4"/>
  <c r="AJ55" i="4"/>
  <c r="AI55" i="4"/>
  <c r="AH55" i="4"/>
  <c r="AF55" i="4"/>
  <c r="AE55" i="4"/>
  <c r="AJ54" i="4"/>
  <c r="AI54" i="4"/>
  <c r="AH54" i="4"/>
  <c r="AF54" i="4"/>
  <c r="AE54" i="4"/>
  <c r="AJ53" i="4"/>
  <c r="AI53" i="4"/>
  <c r="AH53" i="4"/>
  <c r="AF53" i="4"/>
  <c r="AE53" i="4"/>
  <c r="AJ52" i="4"/>
  <c r="AI52" i="4"/>
  <c r="AH52" i="4"/>
  <c r="AF52" i="4"/>
  <c r="AE52" i="4"/>
  <c r="AJ51" i="4"/>
  <c r="AI51" i="4"/>
  <c r="AH51" i="4"/>
  <c r="AF51" i="4"/>
  <c r="AE51" i="4"/>
  <c r="AJ50" i="4"/>
  <c r="AI50" i="4"/>
  <c r="AH50" i="4"/>
  <c r="AF50" i="4"/>
  <c r="AE50" i="4"/>
  <c r="AJ49" i="4"/>
  <c r="AI49" i="4"/>
  <c r="AH49" i="4"/>
  <c r="AF49" i="4"/>
  <c r="AE49" i="4"/>
  <c r="AJ48" i="4"/>
  <c r="AI48" i="4"/>
  <c r="AH48" i="4"/>
  <c r="AF48" i="4"/>
  <c r="AE48" i="4"/>
  <c r="AJ47" i="4"/>
  <c r="AI47" i="4"/>
  <c r="AH47" i="4"/>
  <c r="AF47" i="4"/>
  <c r="AE47" i="4"/>
  <c r="AJ46" i="4"/>
  <c r="AI46" i="4"/>
  <c r="AH46" i="4"/>
  <c r="AF46" i="4"/>
  <c r="AE46" i="4"/>
  <c r="AJ45" i="4"/>
  <c r="AI45" i="4"/>
  <c r="AH45" i="4"/>
  <c r="AF45" i="4"/>
  <c r="AJ44" i="4"/>
  <c r="AI44" i="4"/>
  <c r="AH44" i="4"/>
  <c r="AF44" i="4"/>
  <c r="AE44" i="4"/>
  <c r="AJ43" i="4"/>
  <c r="AI43" i="4"/>
  <c r="AH43" i="4"/>
  <c r="AF43" i="4"/>
  <c r="AE43" i="4"/>
  <c r="AJ42" i="4"/>
  <c r="AI42" i="4"/>
  <c r="AH42" i="4"/>
  <c r="AF42" i="4"/>
  <c r="AE42" i="4"/>
  <c r="AJ41" i="4"/>
  <c r="AI41" i="4"/>
  <c r="AH41" i="4"/>
  <c r="AF41" i="4"/>
  <c r="AE41" i="4"/>
  <c r="AJ40" i="4"/>
  <c r="AI40" i="4"/>
  <c r="AH40" i="4"/>
  <c r="AF40" i="4"/>
  <c r="AE40" i="4"/>
  <c r="AJ39" i="4"/>
  <c r="AI39" i="4"/>
  <c r="AH39" i="4"/>
  <c r="AF39" i="4"/>
  <c r="AE39" i="4"/>
  <c r="AJ38" i="4"/>
  <c r="AI38" i="4"/>
  <c r="AH38" i="4"/>
  <c r="AF38" i="4"/>
  <c r="AE38" i="4"/>
  <c r="AJ37" i="4"/>
  <c r="AI37" i="4"/>
  <c r="AH37" i="4"/>
  <c r="AF37" i="4"/>
  <c r="AE37" i="4"/>
  <c r="AJ36" i="4"/>
  <c r="AI36" i="4"/>
  <c r="AH36" i="4"/>
  <c r="AF36" i="4"/>
  <c r="AE36" i="4"/>
  <c r="AJ35" i="4"/>
  <c r="AI35" i="4"/>
  <c r="AH35" i="4"/>
  <c r="AF35" i="4"/>
  <c r="AE35" i="4"/>
  <c r="AJ34" i="4"/>
  <c r="AI34" i="4"/>
  <c r="AH34" i="4"/>
  <c r="AF34" i="4"/>
  <c r="AE34" i="4"/>
  <c r="AJ33" i="4"/>
  <c r="AI33" i="4"/>
  <c r="AH33" i="4"/>
  <c r="AF33" i="4"/>
  <c r="AE33" i="4"/>
  <c r="AJ32" i="4"/>
  <c r="AI32" i="4"/>
  <c r="AH32" i="4"/>
  <c r="AF32" i="4"/>
  <c r="AE32" i="4"/>
  <c r="AJ31" i="4"/>
  <c r="AI31" i="4"/>
  <c r="AH31" i="4"/>
  <c r="AF31" i="4"/>
  <c r="AE31" i="4"/>
  <c r="AJ30" i="4"/>
  <c r="AI30" i="4"/>
  <c r="AH30" i="4"/>
  <c r="AF30" i="4"/>
  <c r="AE30" i="4"/>
  <c r="AJ29" i="4"/>
  <c r="AI29" i="4"/>
  <c r="AH29" i="4"/>
  <c r="AF29" i="4"/>
  <c r="AE29" i="4"/>
  <c r="AJ28" i="4"/>
  <c r="AI28" i="4"/>
  <c r="AH28" i="4"/>
  <c r="AF28" i="4"/>
  <c r="AE28" i="4"/>
  <c r="AJ27" i="4"/>
  <c r="AI27" i="4"/>
  <c r="AH27" i="4"/>
  <c r="AF27" i="4"/>
  <c r="AE27" i="4"/>
  <c r="AJ26" i="4"/>
  <c r="AI26" i="4"/>
  <c r="AH26" i="4"/>
  <c r="AF26" i="4"/>
  <c r="AJ25" i="4"/>
  <c r="AI25" i="4"/>
  <c r="AH25" i="4"/>
  <c r="AF25" i="4"/>
  <c r="AE25" i="4"/>
  <c r="AJ24" i="4"/>
  <c r="AI24" i="4"/>
  <c r="AH24" i="4"/>
  <c r="AF24" i="4"/>
  <c r="AE24" i="4"/>
  <c r="AJ23" i="4"/>
  <c r="AI23" i="4"/>
  <c r="AH23" i="4"/>
  <c r="AF23" i="4"/>
  <c r="AE23" i="4"/>
  <c r="AJ22" i="4"/>
  <c r="AI22" i="4"/>
  <c r="AH22" i="4"/>
  <c r="AF22" i="4"/>
  <c r="AE22" i="4"/>
  <c r="AJ21" i="4"/>
  <c r="AI21" i="4"/>
  <c r="AH21" i="4"/>
  <c r="AF21" i="4"/>
  <c r="AE21" i="4"/>
  <c r="AJ20" i="4"/>
  <c r="AI20" i="4"/>
  <c r="AH20" i="4"/>
  <c r="AF20" i="4"/>
  <c r="AE20" i="4"/>
  <c r="AJ19" i="4"/>
  <c r="AI19" i="4"/>
  <c r="AH19" i="4"/>
  <c r="AF19" i="4"/>
  <c r="AJ18" i="4"/>
  <c r="AI18" i="4"/>
  <c r="AH18" i="4"/>
  <c r="AF18" i="4"/>
  <c r="AE18" i="4"/>
  <c r="AJ17" i="4"/>
  <c r="AI17" i="4"/>
  <c r="AH17" i="4"/>
  <c r="AF17" i="4"/>
  <c r="AE17" i="4"/>
  <c r="AJ16" i="4"/>
  <c r="AI16" i="4"/>
  <c r="AH16" i="4"/>
  <c r="AF16" i="4"/>
  <c r="AE16" i="4"/>
  <c r="AJ15" i="4"/>
  <c r="AI15" i="4"/>
  <c r="AH15" i="4"/>
  <c r="AF15" i="4"/>
  <c r="AE15" i="4"/>
  <c r="AJ14" i="4"/>
  <c r="AI14" i="4"/>
  <c r="AF14" i="4"/>
  <c r="AE14" i="4"/>
  <c r="AJ13" i="4"/>
  <c r="AI13" i="4"/>
  <c r="AH13" i="4"/>
  <c r="AF13" i="4"/>
  <c r="AE13" i="4"/>
  <c r="AJ12" i="4"/>
  <c r="AI12" i="4"/>
  <c r="AH12" i="4"/>
  <c r="AF12" i="4"/>
  <c r="AE12" i="4"/>
  <c r="AJ11" i="4"/>
  <c r="AI11" i="4"/>
  <c r="AH11" i="4"/>
  <c r="AF11" i="4"/>
  <c r="AE11" i="4"/>
  <c r="AJ10" i="4"/>
  <c r="AI10" i="4"/>
  <c r="AH10" i="4"/>
  <c r="AF10" i="4"/>
  <c r="AE10" i="4"/>
  <c r="AJ9" i="4"/>
  <c r="AI9" i="4"/>
  <c r="AH9" i="4"/>
  <c r="AF9" i="4"/>
  <c r="AE9" i="4"/>
  <c r="AJ8" i="4"/>
  <c r="AI8" i="4"/>
  <c r="AH8" i="4"/>
  <c r="AF8" i="4"/>
  <c r="AE8" i="4"/>
  <c r="AJ7" i="4"/>
  <c r="AI7" i="4"/>
  <c r="AH7" i="4"/>
  <c r="AF7" i="4"/>
  <c r="AE7" i="4"/>
  <c r="AJ6" i="4"/>
  <c r="AI6" i="4"/>
  <c r="AH6" i="4"/>
  <c r="AF6" i="4"/>
  <c r="AE6" i="4"/>
  <c r="AJ5" i="4"/>
  <c r="AI5" i="4"/>
  <c r="AH5" i="4"/>
  <c r="AF5" i="4"/>
  <c r="AE5" i="4"/>
  <c r="AH4" i="4"/>
  <c r="AJ4" i="4"/>
  <c r="AI4" i="4"/>
  <c r="AF4" i="4"/>
  <c r="AK6" i="4" l="1"/>
  <c r="AK27" i="4"/>
  <c r="AK392" i="4"/>
  <c r="AK397" i="4"/>
  <c r="AK410" i="4"/>
  <c r="AK415" i="4"/>
  <c r="AK420" i="4"/>
  <c r="AK433" i="4"/>
  <c r="AK438" i="4"/>
  <c r="AK456" i="4"/>
  <c r="AK474" i="4"/>
  <c r="AK479" i="4"/>
  <c r="AK484" i="4"/>
  <c r="AK35" i="4"/>
  <c r="AK43" i="4"/>
  <c r="AK51" i="4"/>
  <c r="AK59" i="4"/>
  <c r="AK67" i="4"/>
  <c r="AK75" i="4"/>
  <c r="AK83" i="4"/>
  <c r="AK91" i="4"/>
  <c r="AK99" i="4"/>
  <c r="AK107" i="4"/>
  <c r="AK115" i="4"/>
  <c r="AK123" i="4"/>
  <c r="AK131" i="4"/>
  <c r="AK139" i="4"/>
  <c r="AK147" i="4"/>
  <c r="AK155" i="4"/>
  <c r="AK163" i="4"/>
  <c r="AK171" i="4"/>
  <c r="AK179" i="4"/>
  <c r="AK187" i="4"/>
  <c r="AK195" i="4"/>
  <c r="AK203" i="4"/>
  <c r="AK211" i="4"/>
  <c r="AK219" i="4"/>
  <c r="AK227" i="4"/>
  <c r="AK235" i="4"/>
  <c r="AK243" i="4"/>
  <c r="AK251" i="4"/>
  <c r="AK264" i="4"/>
  <c r="AK269" i="4"/>
  <c r="AK282" i="4"/>
  <c r="AK292" i="4"/>
  <c r="AK305" i="4"/>
  <c r="AK310" i="4"/>
  <c r="AK328" i="4"/>
  <c r="AK333" i="4"/>
  <c r="AK346" i="4"/>
  <c r="AK351" i="4"/>
  <c r="AK356" i="4"/>
  <c r="AK369" i="4"/>
  <c r="AK374" i="4"/>
  <c r="AK529" i="4"/>
  <c r="AK534" i="4"/>
  <c r="AK71" i="4"/>
  <c r="AK79" i="4"/>
  <c r="AK87" i="4"/>
  <c r="AK95" i="4"/>
  <c r="AK103" i="4"/>
  <c r="AK111" i="4"/>
  <c r="AK119" i="4"/>
  <c r="AK127" i="4"/>
  <c r="AK135" i="4"/>
  <c r="AK8" i="4"/>
  <c r="AK21" i="4"/>
  <c r="AK29" i="4"/>
  <c r="AK37" i="4"/>
  <c r="AK45" i="4"/>
  <c r="AK53" i="4"/>
  <c r="AK61" i="4"/>
  <c r="AK69" i="4"/>
  <c r="AK77" i="4"/>
  <c r="AK85" i="4"/>
  <c r="AK93" i="4"/>
  <c r="AK101" i="4"/>
  <c r="AK109" i="4"/>
  <c r="AK117" i="4"/>
  <c r="AK125" i="4"/>
  <c r="AK141" i="4"/>
  <c r="AK149" i="4"/>
  <c r="AK173" i="4"/>
  <c r="AK197" i="4"/>
  <c r="AK205" i="4"/>
  <c r="AK213" i="4"/>
  <c r="AK237" i="4"/>
  <c r="AK253" i="4"/>
  <c r="AK266" i="4"/>
  <c r="AK276" i="4"/>
  <c r="AK294" i="4"/>
  <c r="AK317" i="4"/>
  <c r="AK330" i="4"/>
  <c r="AK340" i="4"/>
  <c r="AK358" i="4"/>
  <c r="AK376" i="4"/>
  <c r="AK381" i="4"/>
  <c r="AK394" i="4"/>
  <c r="AK399" i="4"/>
  <c r="AK404" i="4"/>
  <c r="AK417" i="4"/>
  <c r="AK422" i="4"/>
  <c r="AK440" i="4"/>
  <c r="AK445" i="4"/>
  <c r="AK458" i="4"/>
  <c r="AK463" i="4"/>
  <c r="AK468" i="4"/>
  <c r="AK481" i="4"/>
  <c r="AK486" i="4"/>
  <c r="AK504" i="4"/>
  <c r="AK509" i="4"/>
  <c r="AK522" i="4"/>
  <c r="AK527" i="4"/>
  <c r="AK532" i="4"/>
  <c r="AK157" i="4"/>
  <c r="AK165" i="4"/>
  <c r="AK181" i="4"/>
  <c r="AK189" i="4"/>
  <c r="AK221" i="4"/>
  <c r="AK229" i="4"/>
  <c r="AK245" i="4"/>
  <c r="AK271" i="4"/>
  <c r="AK289" i="4"/>
  <c r="AK312" i="4"/>
  <c r="AK335" i="4"/>
  <c r="AK353" i="4"/>
  <c r="AK5" i="4"/>
  <c r="AK13" i="4"/>
  <c r="AK18" i="4"/>
  <c r="AK26" i="4"/>
  <c r="AK34" i="4"/>
  <c r="AK42" i="4"/>
  <c r="AK50" i="4"/>
  <c r="AK58" i="4"/>
  <c r="AK66" i="4"/>
  <c r="AK74" i="4"/>
  <c r="AK82" i="4"/>
  <c r="AK502" i="4"/>
  <c r="AK520" i="4"/>
  <c r="AK525" i="4"/>
  <c r="AK538" i="4"/>
  <c r="AK11" i="4"/>
  <c r="AK16" i="4"/>
  <c r="AK24" i="4"/>
  <c r="AK32" i="4"/>
  <c r="AK40" i="4"/>
  <c r="AK48" i="4"/>
  <c r="AK56" i="4"/>
  <c r="AK64" i="4"/>
  <c r="AK72" i="4"/>
  <c r="AK80" i="4"/>
  <c r="AK88" i="4"/>
  <c r="AK96" i="4"/>
  <c r="AK104" i="4"/>
  <c r="AK112" i="4"/>
  <c r="AK120" i="4"/>
  <c r="AK128" i="4"/>
  <c r="AK136" i="4"/>
  <c r="AK144" i="4"/>
  <c r="AK152" i="4"/>
  <c r="AK160" i="4"/>
  <c r="AK168" i="4"/>
  <c r="AK176" i="4"/>
  <c r="AK184" i="4"/>
  <c r="AK192" i="4"/>
  <c r="AK200" i="4"/>
  <c r="AK208" i="4"/>
  <c r="AK216" i="4"/>
  <c r="AK224" i="4"/>
  <c r="AK232" i="4"/>
  <c r="AK240" i="4"/>
  <c r="AK248" i="4"/>
  <c r="AK256" i="4"/>
  <c r="AK261" i="4"/>
  <c r="AK274" i="4"/>
  <c r="AK279" i="4"/>
  <c r="AK284" i="4"/>
  <c r="AK297" i="4"/>
  <c r="AK302" i="4"/>
  <c r="AK320" i="4"/>
  <c r="AK325" i="4"/>
  <c r="AK338" i="4"/>
  <c r="AK343" i="4"/>
  <c r="AK348" i="4"/>
  <c r="AK361" i="4"/>
  <c r="AK366" i="4"/>
  <c r="AK384" i="4"/>
  <c r="AK389" i="4"/>
  <c r="AK402" i="4"/>
  <c r="AK407" i="4"/>
  <c r="AK412" i="4"/>
  <c r="AK425" i="4"/>
  <c r="AK430" i="4"/>
  <c r="AK448" i="4"/>
  <c r="AK453" i="4"/>
  <c r="AK466" i="4"/>
  <c r="AK471" i="4"/>
  <c r="AK476" i="4"/>
  <c r="AK489" i="4"/>
  <c r="AK494" i="4"/>
  <c r="AK512" i="4"/>
  <c r="AK517" i="4"/>
  <c r="AK530" i="4"/>
  <c r="AK535" i="4"/>
  <c r="AK90" i="4"/>
  <c r="AK98" i="4"/>
  <c r="AK106" i="4"/>
  <c r="AK114" i="4"/>
  <c r="AK122" i="4"/>
  <c r="AK130" i="4"/>
  <c r="AK138" i="4"/>
  <c r="AK146" i="4"/>
  <c r="AK154" i="4"/>
  <c r="AK162" i="4"/>
  <c r="AK170" i="4"/>
  <c r="AK178" i="4"/>
  <c r="AK186" i="4"/>
  <c r="AK194" i="4"/>
  <c r="AK202" i="4"/>
  <c r="AK210" i="4"/>
  <c r="AK218" i="4"/>
  <c r="AK226" i="4"/>
  <c r="AK234" i="4"/>
  <c r="AK242" i="4"/>
  <c r="AK258" i="4"/>
  <c r="AK263" i="4"/>
  <c r="AK268" i="4"/>
  <c r="AK281" i="4"/>
  <c r="AK304" i="4"/>
  <c r="AK309" i="4"/>
  <c r="AK322" i="4"/>
  <c r="AK327" i="4"/>
  <c r="AK332" i="4"/>
  <c r="AK345" i="4"/>
  <c r="AK350" i="4"/>
  <c r="AK368" i="4"/>
  <c r="AK373" i="4"/>
  <c r="AK386" i="4"/>
  <c r="AK391" i="4"/>
  <c r="AK396" i="4"/>
  <c r="AK409" i="4"/>
  <c r="AK414" i="4"/>
  <c r="AK432" i="4"/>
  <c r="AK437" i="4"/>
  <c r="AK450" i="4"/>
  <c r="AK455" i="4"/>
  <c r="AK460" i="4"/>
  <c r="AK473" i="4"/>
  <c r="AK478" i="4"/>
  <c r="AK496" i="4"/>
  <c r="AK501" i="4"/>
  <c r="AK514" i="4"/>
  <c r="AK519" i="4"/>
  <c r="AK524" i="4"/>
  <c r="AK537" i="4"/>
  <c r="AK10" i="4"/>
  <c r="AK31" i="4"/>
  <c r="AK39" i="4"/>
  <c r="AK47" i="4"/>
  <c r="AK55" i="4"/>
  <c r="AK63" i="4"/>
  <c r="AK143" i="4"/>
  <c r="AK151" i="4"/>
  <c r="AK159" i="4"/>
  <c r="AK167" i="4"/>
  <c r="AK175" i="4"/>
  <c r="AK183" i="4"/>
  <c r="AK191" i="4"/>
  <c r="AK199" i="4"/>
  <c r="AK207" i="4"/>
  <c r="AK215" i="4"/>
  <c r="AK223" i="4"/>
  <c r="AK231" i="4"/>
  <c r="AK239" i="4"/>
  <c r="AK247" i="4"/>
  <c r="AK255" i="4"/>
  <c r="AK260" i="4"/>
  <c r="AK273" i="4"/>
  <c r="AK278" i="4"/>
  <c r="AK296" i="4"/>
  <c r="AK314" i="4"/>
  <c r="AK319" i="4"/>
  <c r="AK324" i="4"/>
  <c r="AK337" i="4"/>
  <c r="AK342" i="4"/>
  <c r="AK360" i="4"/>
  <c r="AK365" i="4"/>
  <c r="AK378" i="4"/>
  <c r="AK383" i="4"/>
  <c r="AK388" i="4"/>
  <c r="AK401" i="4"/>
  <c r="AK406" i="4"/>
  <c r="AK424" i="4"/>
  <c r="AK429" i="4"/>
  <c r="AK442" i="4"/>
  <c r="AK447" i="4"/>
  <c r="AK452" i="4"/>
  <c r="AK465" i="4"/>
  <c r="AK470" i="4"/>
  <c r="AK488" i="4"/>
  <c r="AK493" i="4"/>
  <c r="AK506" i="4"/>
  <c r="AK511" i="4"/>
  <c r="AK23" i="4"/>
  <c r="AK28" i="4"/>
  <c r="AK44" i="4"/>
  <c r="AK52" i="4"/>
  <c r="AK60" i="4"/>
  <c r="AK68" i="4"/>
  <c r="AK76" i="4"/>
  <c r="AK84" i="4"/>
  <c r="AK92" i="4"/>
  <c r="AK100" i="4"/>
  <c r="AK108" i="4"/>
  <c r="AK116" i="4"/>
  <c r="AK124" i="4"/>
  <c r="AK132" i="4"/>
  <c r="AK140" i="4"/>
  <c r="AK148" i="4"/>
  <c r="AK156" i="4"/>
  <c r="AK164" i="4"/>
  <c r="AK172" i="4"/>
  <c r="AK180" i="4"/>
  <c r="AK188" i="4"/>
  <c r="AK196" i="4"/>
  <c r="AK204" i="4"/>
  <c r="AK212" i="4"/>
  <c r="AK220" i="4"/>
  <c r="AK228" i="4"/>
  <c r="AK236" i="4"/>
  <c r="AK244" i="4"/>
  <c r="AK252" i="4"/>
  <c r="AK265" i="4"/>
  <c r="AK270" i="4"/>
  <c r="AK288" i="4"/>
  <c r="AK293" i="4"/>
  <c r="AK306" i="4"/>
  <c r="AK311" i="4"/>
  <c r="AK316" i="4"/>
  <c r="AK329" i="4"/>
  <c r="AK334" i="4"/>
  <c r="AK352" i="4"/>
  <c r="AK357" i="4"/>
  <c r="AK370" i="4"/>
  <c r="AK375" i="4"/>
  <c r="AK380" i="4"/>
  <c r="AK393" i="4"/>
  <c r="AK398" i="4"/>
  <c r="AK416" i="4"/>
  <c r="AK421" i="4"/>
  <c r="AK434" i="4"/>
  <c r="AK439" i="4"/>
  <c r="AK444" i="4"/>
  <c r="AK457" i="4"/>
  <c r="AK480" i="4"/>
  <c r="AK485" i="4"/>
  <c r="AK498" i="4"/>
  <c r="AK503" i="4"/>
  <c r="AK508" i="4"/>
  <c r="AK521" i="4"/>
  <c r="AK526" i="4"/>
  <c r="AK15" i="4"/>
  <c r="AK7" i="4"/>
  <c r="AK20" i="4"/>
  <c r="AK36" i="4"/>
  <c r="AK4" i="4"/>
  <c r="AK12" i="4"/>
  <c r="AK17" i="4"/>
  <c r="AK25" i="4"/>
  <c r="AK33" i="4"/>
  <c r="AK41" i="4"/>
  <c r="AK49" i="4"/>
  <c r="AK57" i="4"/>
  <c r="AK65" i="4"/>
  <c r="AK73" i="4"/>
  <c r="AK81" i="4"/>
  <c r="AK89" i="4"/>
  <c r="AK97" i="4"/>
  <c r="AK105" i="4"/>
  <c r="AK113" i="4"/>
  <c r="AK121" i="4"/>
  <c r="AK129" i="4"/>
  <c r="AK137" i="4"/>
  <c r="AK145" i="4"/>
  <c r="AK153" i="4"/>
  <c r="AK161" i="4"/>
  <c r="AK169" i="4"/>
  <c r="AK177" i="4"/>
  <c r="AK185" i="4"/>
  <c r="AK193" i="4"/>
  <c r="AK201" i="4"/>
  <c r="AK217" i="4"/>
  <c r="AK225" i="4"/>
  <c r="AK233" i="4"/>
  <c r="AK241" i="4"/>
  <c r="AK257" i="4"/>
  <c r="AK262" i="4"/>
  <c r="AK280" i="4"/>
  <c r="AK285" i="4"/>
  <c r="AK298" i="4"/>
  <c r="AK308" i="4"/>
  <c r="AK321" i="4"/>
  <c r="AK326" i="4"/>
  <c r="AK344" i="4"/>
  <c r="AK349" i="4"/>
  <c r="AK362" i="4"/>
  <c r="AK367" i="4"/>
  <c r="AK372" i="4"/>
  <c r="AK385" i="4"/>
  <c r="AK390" i="4"/>
  <c r="AK408" i="4"/>
  <c r="AK413" i="4"/>
  <c r="AK426" i="4"/>
  <c r="AK431" i="4"/>
  <c r="AK436" i="4"/>
  <c r="AK449" i="4"/>
  <c r="AK454" i="4"/>
  <c r="AK472" i="4"/>
  <c r="AK477" i="4"/>
  <c r="AK490" i="4"/>
  <c r="AK495" i="4"/>
  <c r="AK513" i="4"/>
  <c r="AK518" i="4"/>
  <c r="AK536" i="4"/>
  <c r="AK9" i="4"/>
  <c r="AK22" i="4"/>
  <c r="AK30" i="4"/>
  <c r="AK38" i="4"/>
  <c r="AK46" i="4"/>
  <c r="AK54" i="4"/>
  <c r="AK62" i="4"/>
  <c r="AK70" i="4"/>
  <c r="AK78" i="4"/>
  <c r="AK86" i="4"/>
  <c r="AK102" i="4"/>
  <c r="AK110" i="4"/>
  <c r="AK118" i="4"/>
  <c r="AK126" i="4"/>
  <c r="AK134" i="4"/>
  <c r="AK142" i="4"/>
  <c r="AK150" i="4"/>
  <c r="AK158" i="4"/>
  <c r="AK166" i="4"/>
  <c r="AK174" i="4"/>
  <c r="AK182" i="4"/>
  <c r="AK190" i="4"/>
  <c r="AK198" i="4"/>
  <c r="AK206" i="4"/>
  <c r="AK222" i="4"/>
  <c r="AK230" i="4"/>
  <c r="AK238" i="4"/>
  <c r="AK246" i="4"/>
  <c r="AK272" i="4"/>
  <c r="AK277" i="4"/>
  <c r="AK290" i="4"/>
  <c r="AK295" i="4"/>
  <c r="AK300" i="4"/>
  <c r="AK313" i="4"/>
  <c r="AK318" i="4"/>
  <c r="AK336" i="4"/>
  <c r="AK341" i="4"/>
  <c r="AK354" i="4"/>
  <c r="AK359" i="4"/>
  <c r="AK377" i="4"/>
  <c r="AK382" i="4"/>
  <c r="AK400" i="4"/>
  <c r="AK405" i="4"/>
  <c r="AK418" i="4"/>
  <c r="AK428" i="4"/>
  <c r="AK441" i="4"/>
  <c r="AK446" i="4"/>
  <c r="AK464" i="4"/>
  <c r="AK469" i="4"/>
  <c r="AK482" i="4"/>
  <c r="AK487" i="4"/>
  <c r="AK492" i="4"/>
  <c r="AK505" i="4"/>
  <c r="AK510" i="4"/>
  <c r="AK528" i="4"/>
  <c r="AK533" i="4"/>
  <c r="AK133" i="4"/>
  <c r="AH14" i="4"/>
  <c r="AK14" i="4" s="1"/>
  <c r="AH259" i="4"/>
  <c r="AK259" i="4" s="1"/>
  <c r="AH267" i="4"/>
  <c r="AK267" i="4" s="1"/>
  <c r="AH275" i="4"/>
  <c r="AK275" i="4" s="1"/>
  <c r="AH283" i="4"/>
  <c r="AK283" i="4" s="1"/>
  <c r="AH291" i="4"/>
  <c r="AK291" i="4" s="1"/>
  <c r="AH299" i="4"/>
  <c r="AK299" i="4" s="1"/>
  <c r="AH307" i="4"/>
  <c r="AK307" i="4" s="1"/>
  <c r="AH315" i="4"/>
  <c r="AK315" i="4" s="1"/>
  <c r="AH323" i="4"/>
  <c r="AK323" i="4" s="1"/>
  <c r="AH331" i="4"/>
  <c r="AK331" i="4" s="1"/>
  <c r="AH339" i="4"/>
  <c r="AK339" i="4" s="1"/>
  <c r="AH347" i="4"/>
  <c r="AK347" i="4" s="1"/>
  <c r="AH355" i="4"/>
  <c r="AK355" i="4" s="1"/>
  <c r="AH363" i="4"/>
  <c r="AH371" i="4"/>
  <c r="AK371" i="4" s="1"/>
  <c r="AH379" i="4"/>
  <c r="AK379" i="4" s="1"/>
  <c r="AH387" i="4"/>
  <c r="AK387" i="4" s="1"/>
  <c r="AH395" i="4"/>
  <c r="AK395" i="4" s="1"/>
  <c r="AH403" i="4"/>
  <c r="AK403" i="4" s="1"/>
  <c r="AH411" i="4"/>
  <c r="AK411" i="4" s="1"/>
  <c r="AH419" i="4"/>
  <c r="AK419" i="4" s="1"/>
  <c r="AH427" i="4"/>
  <c r="AK427" i="4" s="1"/>
  <c r="AH435" i="4"/>
  <c r="AK435" i="4" s="1"/>
  <c r="AH443" i="4"/>
  <c r="AK443" i="4" s="1"/>
  <c r="AH451" i="4"/>
  <c r="AK451" i="4" s="1"/>
  <c r="AH459" i="4"/>
  <c r="AH467" i="4"/>
  <c r="AK467" i="4" s="1"/>
  <c r="AH475" i="4"/>
  <c r="AK475" i="4" s="1"/>
  <c r="AH483" i="4"/>
  <c r="AK483" i="4" s="1"/>
  <c r="AH491" i="4"/>
  <c r="AK491" i="4" s="1"/>
  <c r="AH499" i="4"/>
  <c r="AH507" i="4"/>
  <c r="AK507" i="4" s="1"/>
  <c r="AH515" i="4"/>
  <c r="AH523" i="4"/>
  <c r="AK523" i="4" s="1"/>
  <c r="AH531" i="4"/>
  <c r="AK531" i="4" s="1"/>
  <c r="AH539" i="4"/>
  <c r="AK539" i="4" s="1"/>
  <c r="D25" i="8" l="1"/>
  <c r="C11" i="8"/>
  <c r="C2" i="8"/>
  <c r="D23" i="8"/>
  <c r="D22" i="8"/>
  <c r="D16" i="8"/>
  <c r="D19" i="8"/>
  <c r="D21" i="8"/>
  <c r="D18" i="8"/>
  <c r="D17" i="8"/>
  <c r="D28" i="8"/>
  <c r="D24" i="8"/>
  <c r="D27" i="8"/>
  <c r="D15" i="8"/>
  <c r="D20" i="8"/>
  <c r="D26" i="8" l="1"/>
  <c r="D29" i="8" s="1"/>
  <c r="D7" i="8"/>
  <c r="Y445" i="4"/>
  <c r="Y444" i="4"/>
  <c r="Y443" i="4"/>
  <c r="Y442" i="4"/>
  <c r="Y441" i="4"/>
  <c r="Y440" i="4"/>
  <c r="Y439" i="4"/>
  <c r="Y190" i="4"/>
  <c r="Y438" i="4"/>
  <c r="Y437" i="4"/>
  <c r="Y436" i="4"/>
  <c r="Y435" i="4"/>
  <c r="Y433" i="4"/>
  <c r="Y432" i="4"/>
  <c r="Y431" i="4"/>
  <c r="Y430" i="4"/>
  <c r="Y429" i="4"/>
  <c r="Y428" i="4"/>
  <c r="Y427" i="4"/>
  <c r="Y170" i="4"/>
  <c r="Y169" i="4"/>
  <c r="Y168" i="4"/>
  <c r="Y167" i="4"/>
  <c r="Y166" i="4"/>
  <c r="Y165" i="4"/>
  <c r="Y143" i="4"/>
  <c r="Y142" i="4"/>
  <c r="Y536" i="4"/>
  <c r="Y532" i="4"/>
  <c r="Y531" i="4"/>
  <c r="Y530" i="4"/>
  <c r="Y529" i="4"/>
  <c r="Y452" i="4"/>
  <c r="Y388" i="4"/>
  <c r="Y375" i="4"/>
  <c r="Y374" i="4"/>
  <c r="Y373" i="4"/>
  <c r="Y371" i="4"/>
  <c r="Y370" i="4"/>
  <c r="Y515" i="4"/>
  <c r="Y474" i="4"/>
  <c r="Y463" i="4"/>
  <c r="Y460" i="4"/>
  <c r="Y450" i="4"/>
  <c r="Y353" i="4"/>
  <c r="Y346" i="4"/>
  <c r="Y342" i="4"/>
  <c r="Y303" i="4"/>
  <c r="Y301" i="4"/>
  <c r="Y287" i="4"/>
  <c r="Y286" i="4"/>
  <c r="Y249" i="4"/>
  <c r="Y246" i="4"/>
  <c r="Y222" i="4"/>
  <c r="Y209" i="4"/>
  <c r="Y187" i="4"/>
  <c r="Y176" i="4"/>
  <c r="Y174" i="4"/>
  <c r="Y173" i="4"/>
  <c r="Y172" i="4"/>
  <c r="Y171" i="4"/>
  <c r="Y94" i="4"/>
  <c r="Y76" i="4"/>
  <c r="Y65" i="4"/>
  <c r="Y63" i="4"/>
  <c r="Y54" i="4"/>
  <c r="Y52" i="4"/>
  <c r="Y27" i="4"/>
  <c r="Y19" i="4"/>
  <c r="Y18" i="4"/>
  <c r="Y13" i="4"/>
  <c r="Y12" i="4"/>
  <c r="Y5" i="4"/>
  <c r="Y4" i="4"/>
  <c r="Y368" i="4"/>
  <c r="Y261" i="4"/>
  <c r="Y258" i="4"/>
  <c r="Y241" i="4"/>
  <c r="Y533" i="4"/>
  <c r="Y476" i="4"/>
  <c r="Y466" i="4"/>
  <c r="Y457" i="4"/>
  <c r="Y455" i="4"/>
  <c r="Y453" i="4"/>
  <c r="Y449" i="4"/>
  <c r="Y448" i="4"/>
  <c r="Y447" i="4"/>
  <c r="Y446" i="4"/>
  <c r="Y423" i="4"/>
  <c r="Y410" i="4"/>
  <c r="Y369" i="4"/>
  <c r="Y264" i="4"/>
  <c r="Y238" i="4"/>
  <c r="Y237" i="4"/>
  <c r="Y236" i="4"/>
  <c r="Y231" i="4"/>
  <c r="Y220" i="4"/>
  <c r="Y210" i="4"/>
  <c r="Y196" i="4"/>
  <c r="Y184" i="4"/>
  <c r="Y183" i="4"/>
  <c r="Y178" i="4"/>
  <c r="Y177" i="4"/>
  <c r="Y514" i="4"/>
  <c r="Y513" i="4"/>
  <c r="Y512" i="4"/>
  <c r="Y511" i="4"/>
  <c r="Y510" i="4"/>
  <c r="Y501" i="4"/>
  <c r="Y500" i="4"/>
  <c r="Y499" i="4"/>
  <c r="Y498" i="4"/>
  <c r="Y497" i="4"/>
  <c r="Y496" i="4"/>
  <c r="Y127" i="4"/>
  <c r="Y539" i="4"/>
  <c r="Y538" i="4"/>
  <c r="Y537" i="4"/>
  <c r="Y535" i="4"/>
  <c r="Y534" i="4"/>
  <c r="Y525" i="4"/>
  <c r="Y524" i="4"/>
  <c r="Y523" i="4"/>
  <c r="Y522" i="4"/>
  <c r="Y521" i="4"/>
  <c r="Y520" i="4"/>
  <c r="Y519" i="4"/>
  <c r="Y516" i="4"/>
  <c r="Y509" i="4"/>
  <c r="Y508" i="4"/>
  <c r="Y507" i="4"/>
  <c r="Y506" i="4"/>
  <c r="Y505" i="4"/>
  <c r="Y504" i="4"/>
  <c r="Y503" i="4"/>
  <c r="Y502" i="4"/>
  <c r="Y495" i="4"/>
  <c r="Y494" i="4"/>
  <c r="Y493" i="4"/>
  <c r="Y492" i="4"/>
  <c r="Y434" i="4"/>
  <c r="Y415" i="4"/>
  <c r="Y408" i="4"/>
  <c r="Y407" i="4"/>
  <c r="Y406" i="4"/>
  <c r="Y405" i="4"/>
  <c r="Y404" i="4"/>
  <c r="Y403" i="4"/>
  <c r="Y402" i="4"/>
  <c r="Y401" i="4"/>
  <c r="Y164" i="4"/>
  <c r="Y163" i="4"/>
  <c r="Y162" i="4"/>
  <c r="Y161" i="4"/>
  <c r="Y160" i="4"/>
  <c r="Y159" i="4"/>
  <c r="Y158" i="4"/>
  <c r="Y157" i="4"/>
  <c r="Y156" i="4"/>
  <c r="Y155" i="4"/>
  <c r="Y154" i="4"/>
  <c r="Y153" i="4"/>
  <c r="Y152" i="4"/>
  <c r="Y151" i="4"/>
  <c r="Y150" i="4"/>
  <c r="Y149" i="4"/>
  <c r="Y148" i="4"/>
  <c r="Y147" i="4"/>
  <c r="Y146" i="4"/>
  <c r="Y145" i="4"/>
  <c r="Y126" i="4"/>
  <c r="Y125" i="4"/>
  <c r="Y124" i="4"/>
  <c r="Y123" i="4"/>
  <c r="Y122" i="4"/>
  <c r="Y121" i="4"/>
  <c r="Y120" i="4"/>
  <c r="Y119" i="4"/>
  <c r="Y118" i="4"/>
  <c r="Y117" i="4"/>
  <c r="Y116" i="4"/>
  <c r="Y115" i="4"/>
  <c r="Y114" i="4"/>
  <c r="Y113" i="4"/>
  <c r="Y112" i="4"/>
  <c r="Y111" i="4"/>
  <c r="Y110" i="4"/>
  <c r="Y109" i="4"/>
  <c r="Y108" i="4"/>
  <c r="Y107" i="4"/>
  <c r="Y106" i="4"/>
  <c r="Y105" i="4"/>
  <c r="Y104" i="4"/>
  <c r="Y103" i="4"/>
  <c r="Y102" i="4"/>
  <c r="Y101" i="4"/>
  <c r="Y100" i="4"/>
  <c r="Y99" i="4"/>
  <c r="Y98" i="4"/>
  <c r="Y97" i="4"/>
  <c r="Y96" i="4"/>
  <c r="Y95" i="4"/>
  <c r="Y528" i="4"/>
  <c r="Y409" i="4"/>
  <c r="Y400" i="4"/>
  <c r="Y399" i="4"/>
  <c r="Y398" i="4"/>
  <c r="Y397" i="4"/>
  <c r="Y396" i="4"/>
  <c r="Y395" i="4"/>
  <c r="Y394" i="4"/>
  <c r="Y393" i="4"/>
  <c r="Y392" i="4"/>
  <c r="Y391" i="4"/>
  <c r="Y390" i="4"/>
  <c r="Y389" i="4"/>
  <c r="Y387" i="4"/>
  <c r="Y386" i="4"/>
  <c r="Y385" i="4"/>
  <c r="Y384" i="4"/>
  <c r="Y383" i="4"/>
  <c r="Y382" i="4"/>
  <c r="Y381" i="4"/>
  <c r="Y380" i="4"/>
  <c r="Y379" i="4"/>
  <c r="Y378" i="4"/>
  <c r="Y377" i="4"/>
  <c r="Y376" i="4"/>
  <c r="Y372" i="4"/>
  <c r="Y527" i="4"/>
  <c r="Y526" i="4"/>
  <c r="Y518" i="4"/>
  <c r="Y517" i="4"/>
  <c r="Y491" i="4"/>
  <c r="Y490" i="4"/>
  <c r="Y489" i="4"/>
  <c r="Y488" i="4"/>
  <c r="Y487" i="4"/>
  <c r="Y486" i="4"/>
  <c r="Y485" i="4"/>
  <c r="Y484" i="4"/>
  <c r="Y483" i="4"/>
  <c r="Y482" i="4"/>
  <c r="Y481" i="4"/>
  <c r="Y480" i="4"/>
  <c r="Y479" i="4"/>
  <c r="Y478" i="4"/>
  <c r="Y477" i="4"/>
  <c r="Y475" i="4"/>
  <c r="Y473" i="4"/>
  <c r="Y472" i="4"/>
  <c r="Y471" i="4"/>
  <c r="Y470" i="4"/>
  <c r="Y469" i="4"/>
  <c r="Y468" i="4"/>
  <c r="Y467" i="4"/>
  <c r="Y465" i="4"/>
  <c r="Y464" i="4"/>
  <c r="Y458" i="4"/>
  <c r="Y456" i="4"/>
  <c r="Y454" i="4"/>
  <c r="Y451" i="4"/>
  <c r="Y426" i="4"/>
  <c r="Y425" i="4"/>
  <c r="Y424" i="4"/>
  <c r="Y422" i="4"/>
  <c r="Y421" i="4"/>
  <c r="Y420" i="4"/>
  <c r="Y419" i="4"/>
  <c r="Y418" i="4"/>
  <c r="Y417" i="4"/>
  <c r="Y416" i="4"/>
  <c r="Y414" i="4"/>
  <c r="Y413" i="4"/>
  <c r="Y412" i="4"/>
  <c r="Y411" i="4"/>
  <c r="Y367" i="4"/>
  <c r="Y366" i="4"/>
  <c r="Y365" i="4"/>
  <c r="Y362" i="4"/>
  <c r="Y361" i="4"/>
  <c r="Y360" i="4"/>
  <c r="Y359" i="4"/>
  <c r="Y358" i="4"/>
  <c r="Y357" i="4"/>
  <c r="Y356" i="4"/>
  <c r="Y355" i="4"/>
  <c r="Y354" i="4"/>
  <c r="Y352" i="4"/>
  <c r="Y351" i="4"/>
  <c r="Y350" i="4"/>
  <c r="Y349" i="4"/>
  <c r="Y348" i="4"/>
  <c r="Y347" i="4"/>
  <c r="Y345" i="4"/>
  <c r="Y344" i="4"/>
  <c r="Y343" i="4"/>
  <c r="Y341" i="4"/>
  <c r="Y340" i="4"/>
  <c r="Y339" i="4"/>
  <c r="Y338" i="4"/>
  <c r="Y337" i="4"/>
  <c r="Y336" i="4"/>
  <c r="Y335" i="4"/>
  <c r="Y334" i="4"/>
  <c r="Y333" i="4"/>
  <c r="Y332" i="4"/>
  <c r="Y331" i="4"/>
  <c r="Y330" i="4"/>
  <c r="Y329" i="4"/>
  <c r="Y328" i="4"/>
  <c r="Y327" i="4"/>
  <c r="Y326" i="4"/>
  <c r="Y325" i="4"/>
  <c r="Y324" i="4"/>
  <c r="Y323" i="4"/>
  <c r="Y322" i="4"/>
  <c r="Y321" i="4"/>
  <c r="Y320" i="4"/>
  <c r="Y319" i="4"/>
  <c r="Y318" i="4"/>
  <c r="Y317" i="4"/>
  <c r="Y316" i="4"/>
  <c r="Y315" i="4"/>
  <c r="Y314" i="4"/>
  <c r="Y313" i="4"/>
  <c r="Y312" i="4"/>
  <c r="Y311" i="4"/>
  <c r="Y310" i="4"/>
  <c r="Y309" i="4"/>
  <c r="Y308" i="4"/>
  <c r="Y307" i="4"/>
  <c r="Y306" i="4"/>
  <c r="Y305" i="4"/>
  <c r="Y304" i="4"/>
  <c r="Y302" i="4"/>
  <c r="Y300" i="4"/>
  <c r="Y299" i="4"/>
  <c r="Y298" i="4"/>
  <c r="Y297" i="4"/>
  <c r="Y296" i="4"/>
  <c r="Y295" i="4"/>
  <c r="Y294" i="4"/>
  <c r="Y293" i="4"/>
  <c r="Y292" i="4"/>
  <c r="Y291" i="4"/>
  <c r="Y290" i="4"/>
  <c r="Y289" i="4"/>
  <c r="Y288" i="4"/>
  <c r="Y285" i="4"/>
  <c r="Y284" i="4"/>
  <c r="Y283" i="4"/>
  <c r="Y282" i="4"/>
  <c r="Y281" i="4"/>
  <c r="Y280" i="4"/>
  <c r="Y279" i="4"/>
  <c r="Y278" i="4"/>
  <c r="Y277" i="4"/>
  <c r="Y276" i="4"/>
  <c r="Y275" i="4"/>
  <c r="Y274" i="4"/>
  <c r="Y273" i="4"/>
  <c r="Y272" i="4"/>
  <c r="Y271" i="4"/>
  <c r="Y270" i="4"/>
  <c r="Y269" i="4"/>
  <c r="Y268" i="4"/>
  <c r="Y267" i="4"/>
  <c r="Y266" i="4"/>
  <c r="Y265" i="4"/>
  <c r="Y263" i="4"/>
  <c r="Y262" i="4"/>
  <c r="Y260" i="4"/>
  <c r="Y259" i="4"/>
  <c r="Y257" i="4"/>
  <c r="Y256" i="4"/>
  <c r="Y255" i="4"/>
  <c r="Y253" i="4"/>
  <c r="Y252" i="4"/>
  <c r="Y251" i="4"/>
  <c r="Y248" i="4"/>
  <c r="Y247" i="4"/>
  <c r="Y245" i="4"/>
  <c r="Y244" i="4"/>
  <c r="Y243" i="4"/>
  <c r="Y242" i="4"/>
  <c r="Y240" i="4"/>
  <c r="Y239" i="4"/>
  <c r="Y235" i="4"/>
  <c r="Y234" i="4"/>
  <c r="Y233" i="4"/>
  <c r="Y232" i="4"/>
  <c r="Y230" i="4"/>
  <c r="Y229" i="4"/>
  <c r="Y228" i="4"/>
  <c r="Y227" i="4"/>
  <c r="Y226" i="4"/>
  <c r="Y225" i="4"/>
  <c r="Y224" i="4"/>
  <c r="Y223" i="4"/>
  <c r="Y221" i="4"/>
  <c r="Y219" i="4"/>
  <c r="Y218" i="4"/>
  <c r="Y217" i="4"/>
  <c r="Y216" i="4"/>
  <c r="Y215" i="4"/>
  <c r="Y213" i="4"/>
  <c r="Y212" i="4"/>
  <c r="Y211" i="4"/>
  <c r="Y208" i="4"/>
  <c r="Y207" i="4"/>
  <c r="Y206" i="4"/>
  <c r="Y205" i="4"/>
  <c r="Y204" i="4"/>
  <c r="Y203" i="4"/>
  <c r="Y202" i="4"/>
  <c r="Y201" i="4"/>
  <c r="Y200" i="4"/>
  <c r="Y199" i="4"/>
  <c r="Y198" i="4"/>
  <c r="Y197" i="4"/>
  <c r="Y195" i="4"/>
  <c r="Y194" i="4"/>
  <c r="Y193" i="4"/>
  <c r="Y192" i="4"/>
  <c r="Y191" i="4"/>
  <c r="Y189" i="4"/>
  <c r="Y188" i="4"/>
  <c r="Y186" i="4"/>
  <c r="Y185" i="4"/>
  <c r="Y182" i="4"/>
  <c r="Y181" i="4"/>
  <c r="Y180" i="4"/>
  <c r="Y179" i="4"/>
  <c r="Y175" i="4"/>
  <c r="Y144" i="4"/>
  <c r="Y141" i="4"/>
  <c r="Y140" i="4"/>
  <c r="Y139" i="4"/>
  <c r="Y138" i="4"/>
  <c r="Y137" i="4"/>
  <c r="Y136" i="4"/>
  <c r="Y135" i="4"/>
  <c r="Y134" i="4"/>
  <c r="Y133" i="4"/>
  <c r="Y132" i="4"/>
  <c r="Y131" i="4"/>
  <c r="Y130" i="4"/>
  <c r="Y129" i="4"/>
  <c r="Y128" i="4"/>
  <c r="Y93" i="4"/>
  <c r="Y92" i="4"/>
  <c r="Y91" i="4"/>
  <c r="Y90" i="4"/>
  <c r="Y89" i="4"/>
  <c r="Y88" i="4"/>
  <c r="Y87" i="4"/>
  <c r="Y86" i="4"/>
  <c r="Y85" i="4"/>
  <c r="Y84" i="4"/>
  <c r="Y83" i="4"/>
  <c r="Y82" i="4"/>
  <c r="Y81" i="4"/>
  <c r="Y80" i="4"/>
  <c r="Y79" i="4"/>
  <c r="Y78" i="4"/>
  <c r="Y77" i="4"/>
  <c r="Y75" i="4"/>
  <c r="Y74" i="4"/>
  <c r="Y73" i="4"/>
  <c r="Y72" i="4"/>
  <c r="Y71" i="4"/>
  <c r="Y70" i="4"/>
  <c r="Y69" i="4"/>
  <c r="Y68" i="4"/>
  <c r="Y67" i="4"/>
  <c r="Y66" i="4"/>
  <c r="Y64" i="4"/>
  <c r="Y62" i="4"/>
  <c r="Y61" i="4"/>
  <c r="Y60" i="4"/>
  <c r="Y59" i="4"/>
  <c r="Y58" i="4"/>
  <c r="Y57" i="4"/>
  <c r="Y56" i="4"/>
  <c r="Y55" i="4"/>
  <c r="Y53" i="4"/>
  <c r="Y51" i="4"/>
  <c r="Y50" i="4"/>
  <c r="Y49" i="4"/>
  <c r="Y48" i="4"/>
  <c r="Y47" i="4"/>
  <c r="Y46" i="4"/>
  <c r="Y45" i="4"/>
  <c r="Y44" i="4"/>
  <c r="Y43" i="4"/>
  <c r="Y42" i="4"/>
  <c r="Y41" i="4"/>
  <c r="Y40" i="4"/>
  <c r="Y39" i="4"/>
  <c r="Y38" i="4"/>
  <c r="Y37" i="4"/>
  <c r="Y36" i="4"/>
  <c r="Y35" i="4"/>
  <c r="Y34" i="4"/>
  <c r="Y33" i="4"/>
  <c r="Y32" i="4"/>
  <c r="Y31" i="4"/>
  <c r="Y30" i="4"/>
  <c r="Y29" i="4"/>
  <c r="Y28" i="4"/>
  <c r="Y26" i="4"/>
  <c r="Y25" i="4"/>
  <c r="Y24" i="4"/>
  <c r="Y23" i="4"/>
  <c r="Y22" i="4"/>
  <c r="Y21" i="4"/>
  <c r="Y20" i="4"/>
  <c r="Y17" i="4"/>
  <c r="Y16" i="4"/>
  <c r="Y15" i="4"/>
  <c r="Y14" i="4"/>
  <c r="Y11" i="4"/>
  <c r="Y10" i="4"/>
  <c r="Y9" i="4"/>
  <c r="Y8" i="4"/>
  <c r="Y7" i="4"/>
  <c r="Y6" i="4"/>
  <c r="D6" i="8"/>
  <c r="D5" i="8"/>
  <c r="D8" i="8" l="1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B444" i="1"/>
  <c r="U444" i="1" s="1"/>
  <c r="B443" i="1"/>
  <c r="U443" i="1" s="1"/>
  <c r="B442" i="1"/>
  <c r="U442" i="1" s="1"/>
  <c r="B441" i="1"/>
  <c r="U441" i="1" s="1"/>
  <c r="B440" i="1"/>
  <c r="U440" i="1" s="1"/>
  <c r="B439" i="1"/>
  <c r="U439" i="1" s="1"/>
  <c r="B438" i="1"/>
  <c r="U438" i="1" s="1"/>
  <c r="B437" i="1"/>
  <c r="U437" i="1" s="1"/>
  <c r="B436" i="1"/>
  <c r="U436" i="1" s="1"/>
  <c r="B435" i="1"/>
  <c r="U435" i="1" s="1"/>
  <c r="B434" i="1"/>
  <c r="U434" i="1" s="1"/>
  <c r="B433" i="1"/>
  <c r="U433" i="1" s="1"/>
  <c r="B432" i="1"/>
  <c r="U432" i="1" s="1"/>
  <c r="B431" i="1"/>
  <c r="U431" i="1" s="1"/>
  <c r="B430" i="1"/>
  <c r="U430" i="1" s="1"/>
  <c r="B429" i="1"/>
  <c r="U429" i="1" s="1"/>
  <c r="B428" i="1"/>
  <c r="U428" i="1" s="1"/>
  <c r="B427" i="1"/>
  <c r="U427" i="1" s="1"/>
  <c r="B426" i="1"/>
  <c r="U426" i="1" s="1"/>
  <c r="B425" i="1"/>
  <c r="U425" i="1" s="1"/>
  <c r="B424" i="1"/>
  <c r="U424" i="1" s="1"/>
  <c r="B423" i="1"/>
  <c r="U423" i="1" s="1"/>
  <c r="B422" i="1"/>
  <c r="U422" i="1" s="1"/>
  <c r="B421" i="1"/>
  <c r="U421" i="1" s="1"/>
  <c r="B420" i="1"/>
  <c r="U420" i="1" s="1"/>
  <c r="B419" i="1"/>
  <c r="U419" i="1" s="1"/>
  <c r="B418" i="1"/>
  <c r="U418" i="1" s="1"/>
  <c r="B417" i="1"/>
  <c r="U417" i="1" s="1"/>
  <c r="B416" i="1"/>
  <c r="U416" i="1" s="1"/>
  <c r="B415" i="1"/>
  <c r="U415" i="1" s="1"/>
  <c r="B414" i="1"/>
  <c r="U414" i="1" s="1"/>
  <c r="B413" i="1"/>
  <c r="U413" i="1" s="1"/>
  <c r="B412" i="1"/>
  <c r="U412" i="1" s="1"/>
  <c r="B411" i="1"/>
  <c r="U411" i="1" s="1"/>
  <c r="B410" i="1"/>
  <c r="U410" i="1" s="1"/>
  <c r="B409" i="1"/>
  <c r="U409" i="1" s="1"/>
  <c r="B408" i="1"/>
  <c r="U408" i="1" s="1"/>
  <c r="B407" i="1"/>
  <c r="U407" i="1" s="1"/>
  <c r="B406" i="1"/>
  <c r="U406" i="1" s="1"/>
  <c r="B405" i="1"/>
  <c r="U405" i="1" s="1"/>
  <c r="B404" i="1"/>
  <c r="U404" i="1" s="1"/>
  <c r="B403" i="1"/>
  <c r="U403" i="1" s="1"/>
  <c r="B402" i="1"/>
  <c r="U402" i="1" s="1"/>
  <c r="B401" i="1"/>
  <c r="U401" i="1" s="1"/>
  <c r="B400" i="1"/>
  <c r="U400" i="1" s="1"/>
  <c r="B399" i="1"/>
  <c r="U399" i="1" s="1"/>
  <c r="B398" i="1"/>
  <c r="U398" i="1" s="1"/>
  <c r="B397" i="1"/>
  <c r="U397" i="1" s="1"/>
  <c r="B396" i="1"/>
  <c r="U396" i="1" s="1"/>
  <c r="B395" i="1"/>
  <c r="U395" i="1" s="1"/>
  <c r="B394" i="1"/>
  <c r="U394" i="1" s="1"/>
  <c r="B393" i="1"/>
  <c r="U393" i="1" s="1"/>
  <c r="B392" i="1"/>
  <c r="U392" i="1" s="1"/>
  <c r="B391" i="1"/>
  <c r="U391" i="1" s="1"/>
  <c r="B390" i="1"/>
  <c r="U390" i="1" s="1"/>
  <c r="B389" i="1"/>
  <c r="U389" i="1" s="1"/>
  <c r="B388" i="1"/>
  <c r="U388" i="1" s="1"/>
  <c r="B387" i="1"/>
  <c r="U387" i="1" s="1"/>
  <c r="B386" i="1"/>
  <c r="U386" i="1" s="1"/>
  <c r="B385" i="1"/>
  <c r="U385" i="1" s="1"/>
  <c r="B384" i="1"/>
  <c r="U384" i="1" s="1"/>
  <c r="B383" i="1"/>
  <c r="U383" i="1" s="1"/>
  <c r="B382" i="1"/>
  <c r="U382" i="1" s="1"/>
  <c r="B381" i="1"/>
  <c r="U381" i="1" s="1"/>
  <c r="B380" i="1"/>
  <c r="U380" i="1" s="1"/>
  <c r="B379" i="1"/>
  <c r="U379" i="1" s="1"/>
  <c r="B378" i="1"/>
  <c r="U378" i="1" s="1"/>
  <c r="B377" i="1"/>
  <c r="U377" i="1" s="1"/>
  <c r="B376" i="1"/>
  <c r="U376" i="1" s="1"/>
  <c r="B375" i="1"/>
  <c r="U375" i="1" s="1"/>
  <c r="B374" i="1"/>
  <c r="U374" i="1" s="1"/>
  <c r="B373" i="1"/>
  <c r="U373" i="1" s="1"/>
  <c r="B372" i="1"/>
  <c r="U372" i="1" s="1"/>
  <c r="B371" i="1"/>
  <c r="U371" i="1" s="1"/>
  <c r="B370" i="1"/>
  <c r="U370" i="1" s="1"/>
  <c r="B369" i="1"/>
  <c r="U369" i="1" s="1"/>
  <c r="B368" i="1"/>
  <c r="U368" i="1" s="1"/>
  <c r="B367" i="1"/>
  <c r="U367" i="1" s="1"/>
  <c r="B366" i="1"/>
  <c r="U366" i="1" s="1"/>
  <c r="B365" i="1"/>
  <c r="U365" i="1" s="1"/>
  <c r="B364" i="1"/>
  <c r="U364" i="1" s="1"/>
  <c r="B363" i="1"/>
  <c r="U363" i="1" s="1"/>
  <c r="B362" i="1"/>
  <c r="U362" i="1" s="1"/>
  <c r="B361" i="1"/>
  <c r="U361" i="1" s="1"/>
  <c r="B360" i="1"/>
  <c r="U360" i="1" s="1"/>
  <c r="B359" i="1"/>
  <c r="U359" i="1" s="1"/>
  <c r="B358" i="1"/>
  <c r="U358" i="1" s="1"/>
  <c r="B357" i="1"/>
  <c r="U357" i="1" s="1"/>
  <c r="B356" i="1"/>
  <c r="U356" i="1" s="1"/>
  <c r="B355" i="1"/>
  <c r="U355" i="1" s="1"/>
  <c r="B354" i="1"/>
  <c r="U354" i="1" s="1"/>
  <c r="B353" i="1"/>
  <c r="U353" i="1" s="1"/>
  <c r="B352" i="1"/>
  <c r="U352" i="1" s="1"/>
  <c r="B351" i="1"/>
  <c r="U351" i="1" s="1"/>
  <c r="B350" i="1"/>
  <c r="U350" i="1" s="1"/>
  <c r="B349" i="1"/>
  <c r="U349" i="1" s="1"/>
  <c r="B348" i="1"/>
  <c r="U348" i="1" s="1"/>
  <c r="B347" i="1"/>
  <c r="U347" i="1" s="1"/>
  <c r="B346" i="1"/>
  <c r="U346" i="1" s="1"/>
  <c r="B345" i="1"/>
  <c r="U345" i="1" s="1"/>
  <c r="B344" i="1"/>
  <c r="U344" i="1" s="1"/>
  <c r="B343" i="1"/>
  <c r="U343" i="1" s="1"/>
  <c r="B342" i="1"/>
  <c r="U342" i="1" s="1"/>
  <c r="B341" i="1"/>
  <c r="U341" i="1" s="1"/>
  <c r="B340" i="1"/>
  <c r="U340" i="1" s="1"/>
  <c r="B339" i="1"/>
  <c r="U339" i="1" s="1"/>
  <c r="B338" i="1"/>
  <c r="U338" i="1" s="1"/>
  <c r="B337" i="1"/>
  <c r="U337" i="1" s="1"/>
  <c r="B336" i="1"/>
  <c r="U336" i="1" s="1"/>
  <c r="B335" i="1"/>
  <c r="U335" i="1" s="1"/>
  <c r="B334" i="1"/>
  <c r="U334" i="1" s="1"/>
  <c r="B333" i="1"/>
  <c r="U333" i="1" s="1"/>
  <c r="B332" i="1"/>
  <c r="U332" i="1" s="1"/>
  <c r="B331" i="1"/>
  <c r="U331" i="1" s="1"/>
  <c r="B330" i="1"/>
  <c r="U330" i="1" s="1"/>
  <c r="B329" i="1"/>
  <c r="U329" i="1" s="1"/>
  <c r="B328" i="1"/>
  <c r="U328" i="1" s="1"/>
  <c r="B327" i="1"/>
  <c r="U327" i="1" s="1"/>
  <c r="B326" i="1"/>
  <c r="U326" i="1" s="1"/>
  <c r="B325" i="1"/>
  <c r="U325" i="1" s="1"/>
  <c r="B324" i="1"/>
  <c r="U324" i="1" s="1"/>
  <c r="B323" i="1"/>
  <c r="U323" i="1" s="1"/>
  <c r="B322" i="1"/>
  <c r="U322" i="1" s="1"/>
  <c r="B321" i="1"/>
  <c r="U321" i="1" s="1"/>
  <c r="B320" i="1"/>
  <c r="U320" i="1" s="1"/>
  <c r="B319" i="1"/>
  <c r="U319" i="1" s="1"/>
  <c r="B318" i="1"/>
  <c r="U318" i="1" s="1"/>
  <c r="B317" i="1"/>
  <c r="U317" i="1" s="1"/>
  <c r="B316" i="1"/>
  <c r="U316" i="1" s="1"/>
  <c r="B315" i="1"/>
  <c r="U315" i="1" s="1"/>
  <c r="B314" i="1"/>
  <c r="U314" i="1" s="1"/>
  <c r="B313" i="1"/>
  <c r="U313" i="1" s="1"/>
  <c r="B312" i="1"/>
  <c r="U312" i="1" s="1"/>
  <c r="B311" i="1"/>
  <c r="U311" i="1" s="1"/>
  <c r="B310" i="1"/>
  <c r="U310" i="1" s="1"/>
  <c r="B309" i="1"/>
  <c r="U309" i="1" s="1"/>
  <c r="B308" i="1"/>
  <c r="U308" i="1" s="1"/>
  <c r="B307" i="1"/>
  <c r="U307" i="1" s="1"/>
  <c r="B306" i="1"/>
  <c r="U306" i="1" s="1"/>
  <c r="B305" i="1"/>
  <c r="U305" i="1" s="1"/>
  <c r="B304" i="1"/>
  <c r="U304" i="1" s="1"/>
  <c r="B303" i="1"/>
  <c r="U303" i="1" s="1"/>
  <c r="B302" i="1"/>
  <c r="U302" i="1" s="1"/>
  <c r="B301" i="1"/>
  <c r="U301" i="1" s="1"/>
  <c r="B300" i="1"/>
  <c r="U300" i="1" s="1"/>
  <c r="B299" i="1"/>
  <c r="U299" i="1" s="1"/>
  <c r="B298" i="1"/>
  <c r="U298" i="1" s="1"/>
  <c r="B297" i="1"/>
  <c r="U297" i="1" s="1"/>
  <c r="B296" i="1"/>
  <c r="U296" i="1" s="1"/>
  <c r="B295" i="1"/>
  <c r="U295" i="1" s="1"/>
  <c r="B294" i="1"/>
  <c r="U294" i="1" s="1"/>
  <c r="B293" i="1"/>
  <c r="U293" i="1" s="1"/>
  <c r="B292" i="1"/>
  <c r="U292" i="1" s="1"/>
  <c r="B291" i="1"/>
  <c r="U291" i="1" s="1"/>
  <c r="B290" i="1"/>
  <c r="U290" i="1" s="1"/>
  <c r="B289" i="1"/>
  <c r="U289" i="1" s="1"/>
  <c r="B288" i="1"/>
  <c r="U288" i="1" s="1"/>
  <c r="B287" i="1"/>
  <c r="U287" i="1" s="1"/>
  <c r="B286" i="1"/>
  <c r="U286" i="1" s="1"/>
  <c r="B285" i="1"/>
  <c r="U285" i="1" s="1"/>
  <c r="B284" i="1"/>
  <c r="U284" i="1" s="1"/>
  <c r="B283" i="1"/>
  <c r="U283" i="1" s="1"/>
  <c r="B282" i="1"/>
  <c r="U282" i="1" s="1"/>
  <c r="B281" i="1"/>
  <c r="U281" i="1" s="1"/>
  <c r="B280" i="1"/>
  <c r="U280" i="1" s="1"/>
  <c r="B279" i="1"/>
  <c r="U279" i="1" s="1"/>
  <c r="B278" i="1"/>
  <c r="U278" i="1" s="1"/>
  <c r="B277" i="1"/>
  <c r="U277" i="1" s="1"/>
  <c r="B276" i="1"/>
  <c r="U276" i="1" s="1"/>
  <c r="B275" i="1"/>
  <c r="U275" i="1" s="1"/>
  <c r="B274" i="1"/>
  <c r="U274" i="1" s="1"/>
  <c r="B273" i="1"/>
  <c r="U273" i="1" s="1"/>
  <c r="B272" i="1"/>
  <c r="U272" i="1" s="1"/>
  <c r="B271" i="1"/>
  <c r="U271" i="1" s="1"/>
  <c r="B270" i="1"/>
  <c r="U270" i="1" s="1"/>
  <c r="B269" i="1"/>
  <c r="U269" i="1" s="1"/>
  <c r="B268" i="1"/>
  <c r="U268" i="1" s="1"/>
  <c r="B267" i="1"/>
  <c r="U267" i="1" s="1"/>
  <c r="B266" i="1"/>
  <c r="U266" i="1" s="1"/>
  <c r="B265" i="1"/>
  <c r="U265" i="1" s="1"/>
  <c r="B264" i="1"/>
  <c r="U264" i="1" s="1"/>
  <c r="B263" i="1"/>
  <c r="U263" i="1" s="1"/>
  <c r="B262" i="1"/>
  <c r="U262" i="1" s="1"/>
  <c r="B261" i="1"/>
  <c r="U261" i="1" s="1"/>
  <c r="B260" i="1"/>
  <c r="U260" i="1" s="1"/>
  <c r="B259" i="1"/>
  <c r="U259" i="1" s="1"/>
  <c r="B258" i="1"/>
  <c r="U258" i="1" s="1"/>
  <c r="B257" i="1"/>
  <c r="U257" i="1" s="1"/>
  <c r="B256" i="1"/>
  <c r="U256" i="1" s="1"/>
  <c r="B255" i="1"/>
  <c r="U255" i="1" s="1"/>
  <c r="B254" i="1"/>
  <c r="U254" i="1" s="1"/>
  <c r="B253" i="1"/>
  <c r="U253" i="1" s="1"/>
  <c r="B252" i="1"/>
  <c r="U252" i="1" s="1"/>
  <c r="B251" i="1"/>
  <c r="U251" i="1" s="1"/>
  <c r="B250" i="1"/>
  <c r="U250" i="1" s="1"/>
  <c r="B249" i="1"/>
  <c r="U249" i="1" s="1"/>
  <c r="B248" i="1"/>
  <c r="U248" i="1" s="1"/>
  <c r="B247" i="1"/>
  <c r="U247" i="1" s="1"/>
  <c r="B246" i="1"/>
  <c r="U246" i="1" s="1"/>
  <c r="B245" i="1"/>
  <c r="U245" i="1" s="1"/>
  <c r="B244" i="1"/>
  <c r="U244" i="1" s="1"/>
  <c r="B243" i="1"/>
  <c r="U243" i="1" s="1"/>
  <c r="B242" i="1"/>
  <c r="U242" i="1" s="1"/>
  <c r="B241" i="1"/>
  <c r="U241" i="1" s="1"/>
  <c r="B240" i="1"/>
  <c r="U240" i="1" s="1"/>
  <c r="B239" i="1"/>
  <c r="U239" i="1" s="1"/>
  <c r="B238" i="1"/>
  <c r="U238" i="1" s="1"/>
  <c r="B237" i="1"/>
  <c r="U237" i="1" s="1"/>
  <c r="B236" i="1"/>
  <c r="U236" i="1" s="1"/>
  <c r="B235" i="1"/>
  <c r="U235" i="1" s="1"/>
  <c r="B234" i="1"/>
  <c r="U234" i="1" s="1"/>
  <c r="B233" i="1"/>
  <c r="U233" i="1" s="1"/>
  <c r="B232" i="1"/>
  <c r="U232" i="1" s="1"/>
  <c r="B231" i="1"/>
  <c r="U231" i="1" s="1"/>
  <c r="B230" i="1"/>
  <c r="U230" i="1" s="1"/>
  <c r="B229" i="1"/>
  <c r="U229" i="1" s="1"/>
  <c r="B228" i="1"/>
  <c r="U228" i="1" s="1"/>
  <c r="B227" i="1"/>
  <c r="U227" i="1" s="1"/>
  <c r="B226" i="1"/>
  <c r="U226" i="1" s="1"/>
  <c r="B225" i="1"/>
  <c r="U225" i="1" s="1"/>
  <c r="B224" i="1"/>
  <c r="U224" i="1" s="1"/>
  <c r="B223" i="1"/>
  <c r="U223" i="1" s="1"/>
  <c r="B222" i="1"/>
  <c r="U222" i="1" s="1"/>
  <c r="B221" i="1"/>
  <c r="U221" i="1" s="1"/>
  <c r="B220" i="1"/>
  <c r="U220" i="1" s="1"/>
  <c r="B219" i="1"/>
  <c r="U219" i="1" s="1"/>
  <c r="B218" i="1"/>
  <c r="U218" i="1" s="1"/>
  <c r="B217" i="1"/>
  <c r="U217" i="1" s="1"/>
  <c r="B216" i="1"/>
  <c r="U216" i="1" s="1"/>
  <c r="B215" i="1"/>
  <c r="U215" i="1" s="1"/>
  <c r="B214" i="1"/>
  <c r="U214" i="1" s="1"/>
  <c r="B213" i="1"/>
  <c r="U213" i="1" s="1"/>
  <c r="B212" i="1"/>
  <c r="U212" i="1" s="1"/>
  <c r="B211" i="1"/>
  <c r="U211" i="1" s="1"/>
  <c r="B210" i="1"/>
  <c r="U210" i="1" s="1"/>
  <c r="B209" i="1"/>
  <c r="U209" i="1" s="1"/>
  <c r="B208" i="1"/>
  <c r="U208" i="1" s="1"/>
  <c r="B207" i="1"/>
  <c r="U207" i="1" s="1"/>
  <c r="B206" i="1"/>
  <c r="U206" i="1" s="1"/>
  <c r="B205" i="1"/>
  <c r="U205" i="1" s="1"/>
  <c r="B204" i="1"/>
  <c r="U204" i="1" s="1"/>
  <c r="B203" i="1"/>
  <c r="U203" i="1" s="1"/>
  <c r="B202" i="1"/>
  <c r="U202" i="1" s="1"/>
  <c r="B201" i="1"/>
  <c r="U201" i="1" s="1"/>
  <c r="B200" i="1"/>
  <c r="U200" i="1" s="1"/>
  <c r="B199" i="1"/>
  <c r="U199" i="1" s="1"/>
  <c r="B198" i="1"/>
  <c r="U198" i="1" s="1"/>
  <c r="B197" i="1"/>
  <c r="U197" i="1" s="1"/>
  <c r="B196" i="1"/>
  <c r="U196" i="1" s="1"/>
  <c r="B195" i="1"/>
  <c r="U195" i="1" s="1"/>
  <c r="B194" i="1"/>
  <c r="U194" i="1" s="1"/>
  <c r="B193" i="1"/>
  <c r="U193" i="1" s="1"/>
  <c r="B192" i="1"/>
  <c r="U192" i="1" s="1"/>
  <c r="B191" i="1"/>
  <c r="U191" i="1" s="1"/>
  <c r="B190" i="1"/>
  <c r="U190" i="1" s="1"/>
  <c r="B189" i="1"/>
  <c r="U189" i="1" s="1"/>
  <c r="B188" i="1"/>
  <c r="U188" i="1" s="1"/>
  <c r="B187" i="1"/>
  <c r="U187" i="1" s="1"/>
  <c r="B186" i="1"/>
  <c r="U186" i="1" s="1"/>
  <c r="B185" i="1"/>
  <c r="U185" i="1" s="1"/>
  <c r="B184" i="1"/>
  <c r="U184" i="1" s="1"/>
  <c r="B183" i="1"/>
  <c r="U183" i="1" s="1"/>
  <c r="B182" i="1"/>
  <c r="U182" i="1" s="1"/>
  <c r="B181" i="1"/>
  <c r="U181" i="1" s="1"/>
  <c r="B180" i="1"/>
  <c r="U180" i="1" s="1"/>
  <c r="B179" i="1"/>
  <c r="U179" i="1" s="1"/>
  <c r="B178" i="1"/>
  <c r="U178" i="1" s="1"/>
  <c r="B177" i="1"/>
  <c r="U177" i="1" s="1"/>
  <c r="B176" i="1"/>
  <c r="U176" i="1" s="1"/>
  <c r="B175" i="1"/>
  <c r="U175" i="1" s="1"/>
  <c r="B174" i="1"/>
  <c r="U174" i="1" s="1"/>
  <c r="B173" i="1"/>
  <c r="U173" i="1" s="1"/>
  <c r="B172" i="1"/>
  <c r="U172" i="1" s="1"/>
  <c r="B171" i="1"/>
  <c r="U171" i="1" s="1"/>
  <c r="B170" i="1"/>
  <c r="U170" i="1" s="1"/>
  <c r="B169" i="1"/>
  <c r="U169" i="1" s="1"/>
  <c r="B168" i="1"/>
  <c r="U168" i="1" s="1"/>
  <c r="B167" i="1"/>
  <c r="U167" i="1" s="1"/>
  <c r="B166" i="1"/>
  <c r="U166" i="1" s="1"/>
  <c r="B165" i="1"/>
  <c r="U165" i="1" s="1"/>
  <c r="B164" i="1"/>
  <c r="U164" i="1" s="1"/>
  <c r="B163" i="1"/>
  <c r="U163" i="1" s="1"/>
  <c r="B162" i="1"/>
  <c r="U162" i="1" s="1"/>
  <c r="B161" i="1"/>
  <c r="U161" i="1" s="1"/>
  <c r="B160" i="1"/>
  <c r="U160" i="1" s="1"/>
  <c r="B159" i="1"/>
  <c r="U159" i="1" s="1"/>
  <c r="B158" i="1"/>
  <c r="U158" i="1" s="1"/>
  <c r="B157" i="1"/>
  <c r="U157" i="1" s="1"/>
  <c r="B156" i="1"/>
  <c r="U156" i="1" s="1"/>
  <c r="B155" i="1"/>
  <c r="U155" i="1" s="1"/>
  <c r="B154" i="1"/>
  <c r="U154" i="1" s="1"/>
  <c r="B153" i="1"/>
  <c r="U153" i="1" s="1"/>
  <c r="B152" i="1"/>
  <c r="U152" i="1" s="1"/>
  <c r="B151" i="1"/>
  <c r="U151" i="1" s="1"/>
  <c r="B150" i="1"/>
  <c r="U150" i="1" s="1"/>
  <c r="B149" i="1"/>
  <c r="U149" i="1" s="1"/>
  <c r="B148" i="1"/>
  <c r="U148" i="1" s="1"/>
  <c r="B147" i="1"/>
  <c r="U147" i="1" s="1"/>
  <c r="B146" i="1"/>
  <c r="U146" i="1" s="1"/>
  <c r="B145" i="1"/>
  <c r="U145" i="1" s="1"/>
  <c r="B144" i="1"/>
  <c r="U144" i="1" s="1"/>
  <c r="B143" i="1"/>
  <c r="U143" i="1" s="1"/>
  <c r="B142" i="1"/>
  <c r="U142" i="1" s="1"/>
  <c r="B141" i="1"/>
  <c r="U141" i="1" s="1"/>
  <c r="B140" i="1"/>
  <c r="U140" i="1" s="1"/>
  <c r="B139" i="1"/>
  <c r="U139" i="1" s="1"/>
  <c r="B138" i="1"/>
  <c r="U138" i="1" s="1"/>
  <c r="B137" i="1"/>
  <c r="U137" i="1" s="1"/>
  <c r="B136" i="1"/>
  <c r="U136" i="1" s="1"/>
  <c r="B135" i="1"/>
  <c r="U135" i="1" s="1"/>
  <c r="B134" i="1"/>
  <c r="U134" i="1" s="1"/>
  <c r="B133" i="1"/>
  <c r="U133" i="1" s="1"/>
  <c r="B132" i="1"/>
  <c r="U132" i="1" s="1"/>
  <c r="B131" i="1"/>
  <c r="U131" i="1" s="1"/>
  <c r="B130" i="1"/>
  <c r="U130" i="1" s="1"/>
  <c r="B129" i="1"/>
  <c r="U129" i="1" s="1"/>
  <c r="B128" i="1"/>
  <c r="U128" i="1" s="1"/>
  <c r="B127" i="1"/>
  <c r="U127" i="1" s="1"/>
  <c r="B126" i="1"/>
  <c r="U126" i="1" s="1"/>
  <c r="B125" i="1"/>
  <c r="U125" i="1" s="1"/>
  <c r="B124" i="1"/>
  <c r="U124" i="1" s="1"/>
  <c r="B123" i="1"/>
  <c r="U123" i="1" s="1"/>
  <c r="B122" i="1"/>
  <c r="U122" i="1" s="1"/>
  <c r="B121" i="1"/>
  <c r="U121" i="1" s="1"/>
  <c r="B120" i="1"/>
  <c r="U120" i="1" s="1"/>
  <c r="B119" i="1"/>
  <c r="U119" i="1" s="1"/>
  <c r="B118" i="1"/>
  <c r="U118" i="1" s="1"/>
  <c r="B117" i="1"/>
  <c r="U117" i="1" s="1"/>
  <c r="B116" i="1"/>
  <c r="U116" i="1" s="1"/>
  <c r="B115" i="1"/>
  <c r="U115" i="1" s="1"/>
  <c r="B114" i="1"/>
  <c r="U114" i="1" s="1"/>
  <c r="B113" i="1"/>
  <c r="U113" i="1" s="1"/>
  <c r="B112" i="1"/>
  <c r="U112" i="1" s="1"/>
  <c r="B111" i="1"/>
  <c r="U111" i="1" s="1"/>
  <c r="B110" i="1"/>
  <c r="U110" i="1" s="1"/>
  <c r="B109" i="1"/>
  <c r="U109" i="1" s="1"/>
  <c r="B108" i="1"/>
  <c r="U108" i="1" s="1"/>
  <c r="B107" i="1"/>
  <c r="U107" i="1" s="1"/>
  <c r="B106" i="1"/>
  <c r="U106" i="1" s="1"/>
  <c r="B105" i="1"/>
  <c r="U105" i="1" s="1"/>
  <c r="B104" i="1"/>
  <c r="U104" i="1" s="1"/>
  <c r="B103" i="1"/>
  <c r="U103" i="1" s="1"/>
  <c r="B102" i="1"/>
  <c r="U102" i="1" s="1"/>
  <c r="B101" i="1"/>
  <c r="U101" i="1" s="1"/>
  <c r="B100" i="1"/>
  <c r="U100" i="1" s="1"/>
  <c r="B99" i="1"/>
  <c r="U99" i="1" s="1"/>
  <c r="B98" i="1"/>
  <c r="U98" i="1" s="1"/>
  <c r="B97" i="1"/>
  <c r="U97" i="1" s="1"/>
  <c r="B96" i="1"/>
  <c r="U96" i="1" s="1"/>
  <c r="B95" i="1"/>
  <c r="U95" i="1" s="1"/>
  <c r="B94" i="1"/>
  <c r="U94" i="1" s="1"/>
  <c r="B93" i="1"/>
  <c r="U93" i="1" s="1"/>
  <c r="B92" i="1"/>
  <c r="U92" i="1" s="1"/>
  <c r="B91" i="1"/>
  <c r="U91" i="1" s="1"/>
  <c r="B90" i="1"/>
  <c r="U90" i="1" s="1"/>
  <c r="B89" i="1"/>
  <c r="U89" i="1" s="1"/>
  <c r="B88" i="1"/>
  <c r="U88" i="1" s="1"/>
  <c r="B87" i="1"/>
  <c r="U87" i="1" s="1"/>
  <c r="B86" i="1"/>
  <c r="U86" i="1" s="1"/>
  <c r="B85" i="1"/>
  <c r="U85" i="1" s="1"/>
  <c r="B84" i="1"/>
  <c r="U84" i="1" s="1"/>
  <c r="B83" i="1"/>
  <c r="U83" i="1" s="1"/>
  <c r="B82" i="1"/>
  <c r="U82" i="1" s="1"/>
  <c r="B81" i="1"/>
  <c r="U81" i="1" s="1"/>
  <c r="B80" i="1"/>
  <c r="U80" i="1" s="1"/>
  <c r="B79" i="1"/>
  <c r="U79" i="1" s="1"/>
  <c r="B78" i="1"/>
  <c r="U78" i="1" s="1"/>
  <c r="B77" i="1"/>
  <c r="U77" i="1" s="1"/>
  <c r="B76" i="1"/>
  <c r="U76" i="1" s="1"/>
  <c r="B75" i="1"/>
  <c r="U75" i="1" s="1"/>
  <c r="B74" i="1"/>
  <c r="U74" i="1" s="1"/>
  <c r="B73" i="1"/>
  <c r="U73" i="1" s="1"/>
  <c r="B72" i="1"/>
  <c r="U72" i="1" s="1"/>
  <c r="B71" i="1"/>
  <c r="U71" i="1" s="1"/>
  <c r="B70" i="1"/>
  <c r="U70" i="1" s="1"/>
  <c r="B69" i="1"/>
  <c r="U69" i="1" s="1"/>
  <c r="B68" i="1"/>
  <c r="U68" i="1" s="1"/>
  <c r="B67" i="1"/>
  <c r="U67" i="1" s="1"/>
  <c r="B66" i="1"/>
  <c r="U66" i="1" s="1"/>
  <c r="B65" i="1"/>
  <c r="U65" i="1" s="1"/>
  <c r="B64" i="1"/>
  <c r="U64" i="1" s="1"/>
  <c r="B63" i="1"/>
  <c r="U63" i="1" s="1"/>
  <c r="B62" i="1"/>
  <c r="U62" i="1" s="1"/>
  <c r="B61" i="1"/>
  <c r="U61" i="1" s="1"/>
  <c r="B60" i="1"/>
  <c r="U60" i="1" s="1"/>
  <c r="B59" i="1"/>
  <c r="U59" i="1" s="1"/>
  <c r="B58" i="1"/>
  <c r="U58" i="1" s="1"/>
  <c r="B57" i="1"/>
  <c r="U57" i="1" s="1"/>
  <c r="B56" i="1"/>
  <c r="U56" i="1" s="1"/>
  <c r="B55" i="1"/>
  <c r="U55" i="1" s="1"/>
  <c r="B54" i="1"/>
  <c r="U54" i="1" s="1"/>
  <c r="B53" i="1"/>
  <c r="U53" i="1" s="1"/>
  <c r="B52" i="1"/>
  <c r="U52" i="1" s="1"/>
  <c r="B51" i="1"/>
  <c r="U51" i="1" s="1"/>
  <c r="B50" i="1"/>
  <c r="U50" i="1" s="1"/>
  <c r="B49" i="1"/>
  <c r="U49" i="1" s="1"/>
  <c r="B48" i="1"/>
  <c r="U48" i="1" s="1"/>
  <c r="B47" i="1"/>
  <c r="U47" i="1" s="1"/>
  <c r="B46" i="1"/>
  <c r="U46" i="1" s="1"/>
  <c r="B45" i="1"/>
  <c r="U45" i="1" s="1"/>
  <c r="B44" i="1"/>
  <c r="U44" i="1" s="1"/>
  <c r="B43" i="1"/>
  <c r="U43" i="1" s="1"/>
  <c r="B42" i="1"/>
  <c r="U42" i="1" s="1"/>
  <c r="B41" i="1"/>
  <c r="U41" i="1" s="1"/>
  <c r="B40" i="1"/>
  <c r="U40" i="1" s="1"/>
  <c r="B39" i="1"/>
  <c r="U39" i="1" s="1"/>
  <c r="B38" i="1"/>
  <c r="U38" i="1" s="1"/>
  <c r="B37" i="1"/>
  <c r="U37" i="1" s="1"/>
  <c r="B36" i="1"/>
  <c r="U36" i="1" s="1"/>
  <c r="B35" i="1"/>
  <c r="U35" i="1" s="1"/>
  <c r="B34" i="1"/>
  <c r="U34" i="1" s="1"/>
  <c r="B33" i="1"/>
  <c r="U33" i="1" s="1"/>
  <c r="B32" i="1"/>
  <c r="U32" i="1" s="1"/>
  <c r="B31" i="1"/>
  <c r="U31" i="1" s="1"/>
  <c r="B30" i="1"/>
  <c r="U30" i="1" s="1"/>
  <c r="B29" i="1"/>
  <c r="U29" i="1" s="1"/>
  <c r="B28" i="1"/>
  <c r="U28" i="1" s="1"/>
  <c r="B27" i="1"/>
  <c r="U27" i="1" s="1"/>
  <c r="B26" i="1"/>
  <c r="U26" i="1" s="1"/>
  <c r="B25" i="1"/>
  <c r="U25" i="1" s="1"/>
  <c r="B24" i="1"/>
  <c r="U24" i="1" s="1"/>
  <c r="B23" i="1"/>
  <c r="U23" i="1" s="1"/>
  <c r="B22" i="1"/>
  <c r="U22" i="1" s="1"/>
  <c r="B21" i="1"/>
  <c r="U21" i="1" s="1"/>
  <c r="B20" i="1"/>
  <c r="U20" i="1" s="1"/>
  <c r="B19" i="1"/>
  <c r="U19" i="1" s="1"/>
  <c r="B18" i="1"/>
  <c r="U18" i="1" s="1"/>
  <c r="B17" i="1"/>
  <c r="U17" i="1" s="1"/>
  <c r="B16" i="1"/>
  <c r="U16" i="1" s="1"/>
  <c r="B15" i="1"/>
  <c r="U15" i="1" s="1"/>
  <c r="B14" i="1"/>
  <c r="U14" i="1" s="1"/>
  <c r="B13" i="1"/>
  <c r="U13" i="1" s="1"/>
  <c r="B12" i="1"/>
  <c r="U12" i="1" s="1"/>
  <c r="B11" i="1"/>
  <c r="U11" i="1" s="1"/>
  <c r="B10" i="1"/>
  <c r="U10" i="1" s="1"/>
  <c r="B9" i="1"/>
  <c r="U9" i="1" s="1"/>
  <c r="B8" i="1"/>
  <c r="U8" i="1" s="1"/>
  <c r="B7" i="1"/>
  <c r="U7" i="1" s="1"/>
  <c r="B6" i="1"/>
  <c r="U6" i="1" s="1"/>
  <c r="B5" i="1"/>
  <c r="U5" i="1" s="1"/>
  <c r="B4" i="1"/>
  <c r="U4" i="1" s="1"/>
  <c r="B3" i="1"/>
  <c r="U3" i="1" s="1"/>
  <c r="B2" i="1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539" i="4"/>
  <c r="AA539" i="4" s="1"/>
  <c r="B538" i="4"/>
  <c r="AA538" i="4" s="1"/>
  <c r="B537" i="4"/>
  <c r="AA537" i="4" s="1"/>
  <c r="B536" i="4"/>
  <c r="AA536" i="4" s="1"/>
  <c r="B535" i="4"/>
  <c r="AA535" i="4" s="1"/>
  <c r="B534" i="4"/>
  <c r="AA534" i="4" s="1"/>
  <c r="B533" i="4"/>
  <c r="AA533" i="4" s="1"/>
  <c r="B532" i="4"/>
  <c r="AA532" i="4" s="1"/>
  <c r="B531" i="4"/>
  <c r="AA531" i="4" s="1"/>
  <c r="B530" i="4"/>
  <c r="AA530" i="4" s="1"/>
  <c r="B529" i="4"/>
  <c r="AA529" i="4" s="1"/>
  <c r="B528" i="4"/>
  <c r="AA528" i="4" s="1"/>
  <c r="B527" i="4"/>
  <c r="AA527" i="4" s="1"/>
  <c r="B526" i="4"/>
  <c r="AA526" i="4" s="1"/>
  <c r="B525" i="4"/>
  <c r="AA525" i="4" s="1"/>
  <c r="B524" i="4"/>
  <c r="AA524" i="4" s="1"/>
  <c r="B523" i="4"/>
  <c r="AA523" i="4" s="1"/>
  <c r="B522" i="4"/>
  <c r="AA522" i="4" s="1"/>
  <c r="B521" i="4"/>
  <c r="AA521" i="4" s="1"/>
  <c r="B520" i="4"/>
  <c r="AA520" i="4" s="1"/>
  <c r="B519" i="4"/>
  <c r="AA519" i="4" s="1"/>
  <c r="B518" i="4"/>
  <c r="AA518" i="4" s="1"/>
  <c r="B517" i="4"/>
  <c r="AA517" i="4" s="1"/>
  <c r="B516" i="4"/>
  <c r="AA516" i="4" s="1"/>
  <c r="B515" i="4"/>
  <c r="AA515" i="4" s="1"/>
  <c r="B514" i="4"/>
  <c r="AA514" i="4" s="1"/>
  <c r="B513" i="4"/>
  <c r="AA513" i="4" s="1"/>
  <c r="B512" i="4"/>
  <c r="AA512" i="4" s="1"/>
  <c r="B511" i="4"/>
  <c r="AA511" i="4" s="1"/>
  <c r="B510" i="4"/>
  <c r="AA510" i="4" s="1"/>
  <c r="B509" i="4"/>
  <c r="AA509" i="4" s="1"/>
  <c r="B508" i="4"/>
  <c r="AA508" i="4" s="1"/>
  <c r="B507" i="4"/>
  <c r="AA507" i="4" s="1"/>
  <c r="B506" i="4"/>
  <c r="AA506" i="4" s="1"/>
  <c r="B505" i="4"/>
  <c r="AA505" i="4" s="1"/>
  <c r="B504" i="4"/>
  <c r="AA504" i="4" s="1"/>
  <c r="B503" i="4"/>
  <c r="AA503" i="4" s="1"/>
  <c r="B502" i="4"/>
  <c r="AA502" i="4" s="1"/>
  <c r="B501" i="4"/>
  <c r="AA501" i="4" s="1"/>
  <c r="B500" i="4"/>
  <c r="AA500" i="4" s="1"/>
  <c r="B499" i="4"/>
  <c r="AA499" i="4" s="1"/>
  <c r="B498" i="4"/>
  <c r="AA498" i="4" s="1"/>
  <c r="B497" i="4"/>
  <c r="AA497" i="4" s="1"/>
  <c r="B496" i="4"/>
  <c r="AA496" i="4" s="1"/>
  <c r="B495" i="4"/>
  <c r="AA495" i="4" s="1"/>
  <c r="B494" i="4"/>
  <c r="AA494" i="4" s="1"/>
  <c r="B493" i="4"/>
  <c r="AA493" i="4" s="1"/>
  <c r="B492" i="4"/>
  <c r="AA492" i="4" s="1"/>
  <c r="B491" i="4"/>
  <c r="AA491" i="4" s="1"/>
  <c r="B490" i="4"/>
  <c r="AA490" i="4" s="1"/>
  <c r="B489" i="4"/>
  <c r="AA489" i="4" s="1"/>
  <c r="B488" i="4"/>
  <c r="AA488" i="4" s="1"/>
  <c r="B487" i="4"/>
  <c r="AA487" i="4" s="1"/>
  <c r="B486" i="4"/>
  <c r="AA486" i="4" s="1"/>
  <c r="B485" i="4"/>
  <c r="AA485" i="4" s="1"/>
  <c r="B484" i="4"/>
  <c r="AA484" i="4" s="1"/>
  <c r="B483" i="4"/>
  <c r="AA483" i="4" s="1"/>
  <c r="B482" i="4"/>
  <c r="AA482" i="4" s="1"/>
  <c r="B481" i="4"/>
  <c r="AA481" i="4" s="1"/>
  <c r="B480" i="4"/>
  <c r="AA480" i="4" s="1"/>
  <c r="B479" i="4"/>
  <c r="AA479" i="4" s="1"/>
  <c r="B478" i="4"/>
  <c r="AA478" i="4" s="1"/>
  <c r="B477" i="4"/>
  <c r="AA477" i="4" s="1"/>
  <c r="B476" i="4"/>
  <c r="AA476" i="4" s="1"/>
  <c r="B475" i="4"/>
  <c r="AA475" i="4" s="1"/>
  <c r="B474" i="4"/>
  <c r="AA474" i="4" s="1"/>
  <c r="B473" i="4"/>
  <c r="AA473" i="4" s="1"/>
  <c r="B472" i="4"/>
  <c r="AA472" i="4" s="1"/>
  <c r="B471" i="4"/>
  <c r="AA471" i="4" s="1"/>
  <c r="B470" i="4"/>
  <c r="AA470" i="4" s="1"/>
  <c r="B469" i="4"/>
  <c r="AA469" i="4" s="1"/>
  <c r="B468" i="4"/>
  <c r="AA468" i="4" s="1"/>
  <c r="B467" i="4"/>
  <c r="AA467" i="4" s="1"/>
  <c r="B466" i="4"/>
  <c r="AA466" i="4" s="1"/>
  <c r="B465" i="4"/>
  <c r="AA465" i="4" s="1"/>
  <c r="B464" i="4"/>
  <c r="AA464" i="4" s="1"/>
  <c r="B463" i="4"/>
  <c r="AA463" i="4" s="1"/>
  <c r="B462" i="4"/>
  <c r="AA462" i="4" s="1"/>
  <c r="B461" i="4"/>
  <c r="AA461" i="4" s="1"/>
  <c r="B460" i="4"/>
  <c r="AA460" i="4" s="1"/>
  <c r="B459" i="4"/>
  <c r="AA459" i="4" s="1"/>
  <c r="B458" i="4"/>
  <c r="AA458" i="4" s="1"/>
  <c r="B457" i="4"/>
  <c r="AA457" i="4" s="1"/>
  <c r="B456" i="4"/>
  <c r="AA456" i="4" s="1"/>
  <c r="B455" i="4"/>
  <c r="AA455" i="4" s="1"/>
  <c r="B454" i="4"/>
  <c r="AA454" i="4" s="1"/>
  <c r="B453" i="4"/>
  <c r="AA453" i="4" s="1"/>
  <c r="B452" i="4"/>
  <c r="AA452" i="4" s="1"/>
  <c r="B451" i="4"/>
  <c r="AA451" i="4" s="1"/>
  <c r="B450" i="4"/>
  <c r="AA450" i="4" s="1"/>
  <c r="B449" i="4"/>
  <c r="AA449" i="4" s="1"/>
  <c r="B448" i="4"/>
  <c r="AA448" i="4" s="1"/>
  <c r="B447" i="4"/>
  <c r="AA447" i="4" s="1"/>
  <c r="B446" i="4"/>
  <c r="AA446" i="4" s="1"/>
  <c r="B445" i="4"/>
  <c r="AA445" i="4" s="1"/>
  <c r="B444" i="4"/>
  <c r="AA444" i="4" s="1"/>
  <c r="B443" i="4"/>
  <c r="AA443" i="4" s="1"/>
  <c r="B442" i="4"/>
  <c r="AA442" i="4" s="1"/>
  <c r="B441" i="4"/>
  <c r="AA441" i="4" s="1"/>
  <c r="B440" i="4"/>
  <c r="AA440" i="4" s="1"/>
  <c r="B439" i="4"/>
  <c r="AA439" i="4" s="1"/>
  <c r="B438" i="4"/>
  <c r="AA438" i="4" s="1"/>
  <c r="B437" i="4"/>
  <c r="AA437" i="4" s="1"/>
  <c r="B436" i="4"/>
  <c r="AA436" i="4" s="1"/>
  <c r="B435" i="4"/>
  <c r="AA435" i="4" s="1"/>
  <c r="B434" i="4"/>
  <c r="AA434" i="4" s="1"/>
  <c r="B433" i="4"/>
  <c r="AA433" i="4" s="1"/>
  <c r="B432" i="4"/>
  <c r="AA432" i="4" s="1"/>
  <c r="B431" i="4"/>
  <c r="AA431" i="4" s="1"/>
  <c r="B430" i="4"/>
  <c r="AA430" i="4" s="1"/>
  <c r="B429" i="4"/>
  <c r="AA429" i="4" s="1"/>
  <c r="B428" i="4"/>
  <c r="AA428" i="4" s="1"/>
  <c r="B427" i="4"/>
  <c r="AA427" i="4" s="1"/>
  <c r="B426" i="4"/>
  <c r="AA426" i="4" s="1"/>
  <c r="B425" i="4"/>
  <c r="AA425" i="4" s="1"/>
  <c r="B424" i="4"/>
  <c r="AA424" i="4" s="1"/>
  <c r="B423" i="4"/>
  <c r="AA423" i="4" s="1"/>
  <c r="B422" i="4"/>
  <c r="AA422" i="4" s="1"/>
  <c r="B421" i="4"/>
  <c r="AA421" i="4" s="1"/>
  <c r="B420" i="4"/>
  <c r="AA420" i="4" s="1"/>
  <c r="B419" i="4"/>
  <c r="AA419" i="4" s="1"/>
  <c r="B418" i="4"/>
  <c r="AA418" i="4" s="1"/>
  <c r="B417" i="4"/>
  <c r="AA417" i="4" s="1"/>
  <c r="B416" i="4"/>
  <c r="AA416" i="4" s="1"/>
  <c r="B415" i="4"/>
  <c r="AA415" i="4" s="1"/>
  <c r="B414" i="4"/>
  <c r="AA414" i="4" s="1"/>
  <c r="B413" i="4"/>
  <c r="AA413" i="4" s="1"/>
  <c r="B412" i="4"/>
  <c r="AA412" i="4" s="1"/>
  <c r="B411" i="4"/>
  <c r="AA411" i="4" s="1"/>
  <c r="B410" i="4"/>
  <c r="AA410" i="4" s="1"/>
  <c r="B409" i="4"/>
  <c r="AA409" i="4" s="1"/>
  <c r="B408" i="4"/>
  <c r="AA408" i="4" s="1"/>
  <c r="B407" i="4"/>
  <c r="AA407" i="4" s="1"/>
  <c r="B406" i="4"/>
  <c r="AA406" i="4" s="1"/>
  <c r="B405" i="4"/>
  <c r="AA405" i="4" s="1"/>
  <c r="B404" i="4"/>
  <c r="AA404" i="4" s="1"/>
  <c r="B403" i="4"/>
  <c r="AA403" i="4" s="1"/>
  <c r="B402" i="4"/>
  <c r="AA402" i="4" s="1"/>
  <c r="B401" i="4"/>
  <c r="AA401" i="4" s="1"/>
  <c r="B400" i="4"/>
  <c r="AA400" i="4" s="1"/>
  <c r="B399" i="4"/>
  <c r="AA399" i="4" s="1"/>
  <c r="B398" i="4"/>
  <c r="AA398" i="4" s="1"/>
  <c r="B397" i="4"/>
  <c r="AA397" i="4" s="1"/>
  <c r="B396" i="4"/>
  <c r="AA396" i="4" s="1"/>
  <c r="B395" i="4"/>
  <c r="AA395" i="4" s="1"/>
  <c r="B394" i="4"/>
  <c r="AA394" i="4" s="1"/>
  <c r="B393" i="4"/>
  <c r="AA393" i="4" s="1"/>
  <c r="B392" i="4"/>
  <c r="AA392" i="4" s="1"/>
  <c r="B391" i="4"/>
  <c r="AA391" i="4" s="1"/>
  <c r="B390" i="4"/>
  <c r="AA390" i="4" s="1"/>
  <c r="B389" i="4"/>
  <c r="AA389" i="4" s="1"/>
  <c r="B388" i="4"/>
  <c r="AA388" i="4" s="1"/>
  <c r="B387" i="4"/>
  <c r="AA387" i="4" s="1"/>
  <c r="B386" i="4"/>
  <c r="AA386" i="4" s="1"/>
  <c r="B385" i="4"/>
  <c r="AA385" i="4" s="1"/>
  <c r="B384" i="4"/>
  <c r="AA384" i="4" s="1"/>
  <c r="B383" i="4"/>
  <c r="AA383" i="4" s="1"/>
  <c r="B382" i="4"/>
  <c r="AA382" i="4" s="1"/>
  <c r="B381" i="4"/>
  <c r="AA381" i="4" s="1"/>
  <c r="B380" i="4"/>
  <c r="AA380" i="4" s="1"/>
  <c r="B379" i="4"/>
  <c r="AA379" i="4" s="1"/>
  <c r="B378" i="4"/>
  <c r="AA378" i="4" s="1"/>
  <c r="B377" i="4"/>
  <c r="AA377" i="4" s="1"/>
  <c r="B376" i="4"/>
  <c r="AA376" i="4" s="1"/>
  <c r="B375" i="4"/>
  <c r="AA375" i="4" s="1"/>
  <c r="B374" i="4"/>
  <c r="AA374" i="4" s="1"/>
  <c r="B373" i="4"/>
  <c r="AA373" i="4" s="1"/>
  <c r="B372" i="4"/>
  <c r="AA372" i="4" s="1"/>
  <c r="B371" i="4"/>
  <c r="AA371" i="4" s="1"/>
  <c r="B370" i="4"/>
  <c r="AA370" i="4" s="1"/>
  <c r="B369" i="4"/>
  <c r="AA369" i="4" s="1"/>
  <c r="B368" i="4"/>
  <c r="AA368" i="4" s="1"/>
  <c r="B367" i="4"/>
  <c r="AA367" i="4" s="1"/>
  <c r="B366" i="4"/>
  <c r="AA366" i="4" s="1"/>
  <c r="B365" i="4"/>
  <c r="AA365" i="4" s="1"/>
  <c r="B364" i="4"/>
  <c r="AA364" i="4" s="1"/>
  <c r="B363" i="4"/>
  <c r="AA363" i="4" s="1"/>
  <c r="B362" i="4"/>
  <c r="AA362" i="4" s="1"/>
  <c r="B361" i="4"/>
  <c r="AA361" i="4" s="1"/>
  <c r="B360" i="4"/>
  <c r="AA360" i="4" s="1"/>
  <c r="B359" i="4"/>
  <c r="AA359" i="4" s="1"/>
  <c r="B358" i="4"/>
  <c r="AA358" i="4" s="1"/>
  <c r="B357" i="4"/>
  <c r="AA357" i="4" s="1"/>
  <c r="B356" i="4"/>
  <c r="AA356" i="4" s="1"/>
  <c r="B355" i="4"/>
  <c r="AA355" i="4" s="1"/>
  <c r="B354" i="4"/>
  <c r="AA354" i="4" s="1"/>
  <c r="B353" i="4"/>
  <c r="AA353" i="4" s="1"/>
  <c r="B352" i="4"/>
  <c r="AA352" i="4" s="1"/>
  <c r="B351" i="4"/>
  <c r="AA351" i="4" s="1"/>
  <c r="B350" i="4"/>
  <c r="AA350" i="4" s="1"/>
  <c r="B349" i="4"/>
  <c r="AA349" i="4" s="1"/>
  <c r="B348" i="4"/>
  <c r="AA348" i="4" s="1"/>
  <c r="B347" i="4"/>
  <c r="AA347" i="4" s="1"/>
  <c r="B346" i="4"/>
  <c r="AA346" i="4" s="1"/>
  <c r="B345" i="4"/>
  <c r="AA345" i="4" s="1"/>
  <c r="B344" i="4"/>
  <c r="AA344" i="4" s="1"/>
  <c r="B343" i="4"/>
  <c r="AA343" i="4" s="1"/>
  <c r="B342" i="4"/>
  <c r="AA342" i="4" s="1"/>
  <c r="B341" i="4"/>
  <c r="AA341" i="4" s="1"/>
  <c r="B340" i="4"/>
  <c r="AA340" i="4" s="1"/>
  <c r="B339" i="4"/>
  <c r="AA339" i="4" s="1"/>
  <c r="B338" i="4"/>
  <c r="AA338" i="4" s="1"/>
  <c r="B337" i="4"/>
  <c r="AA337" i="4" s="1"/>
  <c r="B336" i="4"/>
  <c r="AA336" i="4" s="1"/>
  <c r="B335" i="4"/>
  <c r="AA335" i="4" s="1"/>
  <c r="B334" i="4"/>
  <c r="AA334" i="4" s="1"/>
  <c r="B333" i="4"/>
  <c r="AA333" i="4" s="1"/>
  <c r="B332" i="4"/>
  <c r="AA332" i="4" s="1"/>
  <c r="B331" i="4"/>
  <c r="AA331" i="4" s="1"/>
  <c r="B330" i="4"/>
  <c r="AA330" i="4" s="1"/>
  <c r="B329" i="4"/>
  <c r="AA329" i="4" s="1"/>
  <c r="B328" i="4"/>
  <c r="AA328" i="4" s="1"/>
  <c r="B327" i="4"/>
  <c r="AA327" i="4" s="1"/>
  <c r="B326" i="4"/>
  <c r="AA326" i="4" s="1"/>
  <c r="B325" i="4"/>
  <c r="AA325" i="4" s="1"/>
  <c r="B324" i="4"/>
  <c r="AA324" i="4" s="1"/>
  <c r="B323" i="4"/>
  <c r="AA323" i="4" s="1"/>
  <c r="B322" i="4"/>
  <c r="AA322" i="4" s="1"/>
  <c r="B321" i="4"/>
  <c r="AA321" i="4" s="1"/>
  <c r="B320" i="4"/>
  <c r="AA320" i="4" s="1"/>
  <c r="B319" i="4"/>
  <c r="AA319" i="4" s="1"/>
  <c r="B318" i="4"/>
  <c r="AA318" i="4" s="1"/>
  <c r="B317" i="4"/>
  <c r="AA317" i="4" s="1"/>
  <c r="B316" i="4"/>
  <c r="AA316" i="4" s="1"/>
  <c r="B315" i="4"/>
  <c r="AA315" i="4" s="1"/>
  <c r="B314" i="4"/>
  <c r="AA314" i="4" s="1"/>
  <c r="B313" i="4"/>
  <c r="AA313" i="4" s="1"/>
  <c r="B312" i="4"/>
  <c r="AA312" i="4" s="1"/>
  <c r="B311" i="4"/>
  <c r="AA311" i="4" s="1"/>
  <c r="B310" i="4"/>
  <c r="AA310" i="4" s="1"/>
  <c r="B309" i="4"/>
  <c r="AA309" i="4" s="1"/>
  <c r="B308" i="4"/>
  <c r="AA308" i="4" s="1"/>
  <c r="B307" i="4"/>
  <c r="AA307" i="4" s="1"/>
  <c r="B306" i="4"/>
  <c r="AA306" i="4" s="1"/>
  <c r="B305" i="4"/>
  <c r="AA305" i="4" s="1"/>
  <c r="B304" i="4"/>
  <c r="AA304" i="4" s="1"/>
  <c r="B303" i="4"/>
  <c r="AA303" i="4" s="1"/>
  <c r="B302" i="4"/>
  <c r="AA302" i="4" s="1"/>
  <c r="B301" i="4"/>
  <c r="AA301" i="4" s="1"/>
  <c r="B300" i="4"/>
  <c r="AA300" i="4" s="1"/>
  <c r="B299" i="4"/>
  <c r="AA299" i="4" s="1"/>
  <c r="B298" i="4"/>
  <c r="AA298" i="4" s="1"/>
  <c r="B297" i="4"/>
  <c r="AA297" i="4" s="1"/>
  <c r="B296" i="4"/>
  <c r="AA296" i="4" s="1"/>
  <c r="B295" i="4"/>
  <c r="AA295" i="4" s="1"/>
  <c r="B294" i="4"/>
  <c r="AA294" i="4" s="1"/>
  <c r="B293" i="4"/>
  <c r="AA293" i="4" s="1"/>
  <c r="B292" i="4"/>
  <c r="AA292" i="4" s="1"/>
  <c r="B291" i="4"/>
  <c r="AA291" i="4" s="1"/>
  <c r="B290" i="4"/>
  <c r="AA290" i="4" s="1"/>
  <c r="B289" i="4"/>
  <c r="AA289" i="4" s="1"/>
  <c r="B288" i="4"/>
  <c r="AA288" i="4" s="1"/>
  <c r="B287" i="4"/>
  <c r="AA287" i="4" s="1"/>
  <c r="B286" i="4"/>
  <c r="AA286" i="4" s="1"/>
  <c r="B285" i="4"/>
  <c r="AA285" i="4" s="1"/>
  <c r="B284" i="4"/>
  <c r="AA284" i="4" s="1"/>
  <c r="B283" i="4"/>
  <c r="AA283" i="4" s="1"/>
  <c r="B282" i="4"/>
  <c r="AA282" i="4" s="1"/>
  <c r="B281" i="4"/>
  <c r="AA281" i="4" s="1"/>
  <c r="B280" i="4"/>
  <c r="AA280" i="4" s="1"/>
  <c r="B279" i="4"/>
  <c r="AA279" i="4" s="1"/>
  <c r="B278" i="4"/>
  <c r="AA278" i="4" s="1"/>
  <c r="B277" i="4"/>
  <c r="AA277" i="4" s="1"/>
  <c r="B276" i="4"/>
  <c r="AA276" i="4" s="1"/>
  <c r="B275" i="4"/>
  <c r="AA275" i="4" s="1"/>
  <c r="B274" i="4"/>
  <c r="AA274" i="4" s="1"/>
  <c r="B273" i="4"/>
  <c r="AA273" i="4" s="1"/>
  <c r="B272" i="4"/>
  <c r="AA272" i="4" s="1"/>
  <c r="B271" i="4"/>
  <c r="AA271" i="4" s="1"/>
  <c r="B270" i="4"/>
  <c r="AA270" i="4" s="1"/>
  <c r="B269" i="4"/>
  <c r="AA269" i="4" s="1"/>
  <c r="B268" i="4"/>
  <c r="AA268" i="4" s="1"/>
  <c r="B267" i="4"/>
  <c r="AA267" i="4" s="1"/>
  <c r="B266" i="4"/>
  <c r="AA266" i="4" s="1"/>
  <c r="B265" i="4"/>
  <c r="AA265" i="4" s="1"/>
  <c r="B264" i="4"/>
  <c r="AA264" i="4" s="1"/>
  <c r="B263" i="4"/>
  <c r="AA263" i="4" s="1"/>
  <c r="B262" i="4"/>
  <c r="AA262" i="4" s="1"/>
  <c r="B261" i="4"/>
  <c r="AA261" i="4" s="1"/>
  <c r="B260" i="4"/>
  <c r="AA260" i="4" s="1"/>
  <c r="B259" i="4"/>
  <c r="AA259" i="4" s="1"/>
  <c r="B258" i="4"/>
  <c r="AA258" i="4" s="1"/>
  <c r="B257" i="4"/>
  <c r="AA257" i="4" s="1"/>
  <c r="B256" i="4"/>
  <c r="AA256" i="4" s="1"/>
  <c r="B255" i="4"/>
  <c r="AA255" i="4" s="1"/>
  <c r="B254" i="4"/>
  <c r="AA254" i="4" s="1"/>
  <c r="B253" i="4"/>
  <c r="AA253" i="4" s="1"/>
  <c r="B252" i="4"/>
  <c r="AA252" i="4" s="1"/>
  <c r="B251" i="4"/>
  <c r="AA251" i="4" s="1"/>
  <c r="B250" i="4"/>
  <c r="AA250" i="4" s="1"/>
  <c r="B249" i="4"/>
  <c r="AA249" i="4" s="1"/>
  <c r="B248" i="4"/>
  <c r="AA248" i="4" s="1"/>
  <c r="B247" i="4"/>
  <c r="AA247" i="4" s="1"/>
  <c r="B246" i="4"/>
  <c r="AA246" i="4" s="1"/>
  <c r="B245" i="4"/>
  <c r="AA245" i="4" s="1"/>
  <c r="B244" i="4"/>
  <c r="AA244" i="4" s="1"/>
  <c r="B243" i="4"/>
  <c r="AA243" i="4" s="1"/>
  <c r="B242" i="4"/>
  <c r="AA242" i="4" s="1"/>
  <c r="B241" i="4"/>
  <c r="AA241" i="4" s="1"/>
  <c r="B240" i="4"/>
  <c r="AA240" i="4" s="1"/>
  <c r="B239" i="4"/>
  <c r="AA239" i="4" s="1"/>
  <c r="B238" i="4"/>
  <c r="AA238" i="4" s="1"/>
  <c r="B237" i="4"/>
  <c r="AA237" i="4" s="1"/>
  <c r="B236" i="4"/>
  <c r="AA236" i="4" s="1"/>
  <c r="B235" i="4"/>
  <c r="AA235" i="4" s="1"/>
  <c r="B234" i="4"/>
  <c r="AA234" i="4" s="1"/>
  <c r="B233" i="4"/>
  <c r="AA233" i="4" s="1"/>
  <c r="B232" i="4"/>
  <c r="AA232" i="4" s="1"/>
  <c r="B231" i="4"/>
  <c r="AA231" i="4" s="1"/>
  <c r="B230" i="4"/>
  <c r="AA230" i="4" s="1"/>
  <c r="B229" i="4"/>
  <c r="AA229" i="4" s="1"/>
  <c r="B228" i="4"/>
  <c r="AA228" i="4" s="1"/>
  <c r="B227" i="4"/>
  <c r="AA227" i="4" s="1"/>
  <c r="B226" i="4"/>
  <c r="AA226" i="4" s="1"/>
  <c r="B225" i="4"/>
  <c r="AA225" i="4" s="1"/>
  <c r="B224" i="4"/>
  <c r="AA224" i="4" s="1"/>
  <c r="B223" i="4"/>
  <c r="AA223" i="4" s="1"/>
  <c r="B222" i="4"/>
  <c r="AA222" i="4" s="1"/>
  <c r="B221" i="4"/>
  <c r="AA221" i="4" s="1"/>
  <c r="B220" i="4"/>
  <c r="AA220" i="4" s="1"/>
  <c r="B219" i="4"/>
  <c r="AA219" i="4" s="1"/>
  <c r="B218" i="4"/>
  <c r="AA218" i="4" s="1"/>
  <c r="B217" i="4"/>
  <c r="AA217" i="4" s="1"/>
  <c r="B216" i="4"/>
  <c r="AA216" i="4" s="1"/>
  <c r="B215" i="4"/>
  <c r="AA215" i="4" s="1"/>
  <c r="B214" i="4"/>
  <c r="AA214" i="4" s="1"/>
  <c r="B213" i="4"/>
  <c r="AA213" i="4" s="1"/>
  <c r="B212" i="4"/>
  <c r="AA212" i="4" s="1"/>
  <c r="B211" i="4"/>
  <c r="AA211" i="4" s="1"/>
  <c r="B210" i="4"/>
  <c r="AA210" i="4" s="1"/>
  <c r="B209" i="4"/>
  <c r="AA209" i="4" s="1"/>
  <c r="B208" i="4"/>
  <c r="AA208" i="4" s="1"/>
  <c r="B207" i="4"/>
  <c r="AA207" i="4" s="1"/>
  <c r="B206" i="4"/>
  <c r="AA206" i="4" s="1"/>
  <c r="B205" i="4"/>
  <c r="AA205" i="4" s="1"/>
  <c r="B204" i="4"/>
  <c r="AA204" i="4" s="1"/>
  <c r="B203" i="4"/>
  <c r="AA203" i="4" s="1"/>
  <c r="B202" i="4"/>
  <c r="AA202" i="4" s="1"/>
  <c r="B201" i="4"/>
  <c r="AA201" i="4" s="1"/>
  <c r="B200" i="4"/>
  <c r="AA200" i="4" s="1"/>
  <c r="B199" i="4"/>
  <c r="AA199" i="4" s="1"/>
  <c r="B198" i="4"/>
  <c r="AA198" i="4" s="1"/>
  <c r="B197" i="4"/>
  <c r="AA197" i="4" s="1"/>
  <c r="B196" i="4"/>
  <c r="AA196" i="4" s="1"/>
  <c r="B195" i="4"/>
  <c r="AA195" i="4" s="1"/>
  <c r="B194" i="4"/>
  <c r="AA194" i="4" s="1"/>
  <c r="B193" i="4"/>
  <c r="AA193" i="4" s="1"/>
  <c r="B192" i="4"/>
  <c r="AA192" i="4" s="1"/>
  <c r="B191" i="4"/>
  <c r="AA191" i="4" s="1"/>
  <c r="B190" i="4"/>
  <c r="AA190" i="4" s="1"/>
  <c r="B189" i="4"/>
  <c r="AA189" i="4" s="1"/>
  <c r="B188" i="4"/>
  <c r="AA188" i="4" s="1"/>
  <c r="B187" i="4"/>
  <c r="AA187" i="4" s="1"/>
  <c r="B186" i="4"/>
  <c r="AA186" i="4" s="1"/>
  <c r="B185" i="4"/>
  <c r="AA185" i="4" s="1"/>
  <c r="B184" i="4"/>
  <c r="AA184" i="4" s="1"/>
  <c r="B183" i="4"/>
  <c r="AA183" i="4" s="1"/>
  <c r="B182" i="4"/>
  <c r="AA182" i="4" s="1"/>
  <c r="B181" i="4"/>
  <c r="AA181" i="4" s="1"/>
  <c r="B180" i="4"/>
  <c r="AA180" i="4" s="1"/>
  <c r="B179" i="4"/>
  <c r="AA179" i="4" s="1"/>
  <c r="B178" i="4"/>
  <c r="AA178" i="4" s="1"/>
  <c r="B177" i="4"/>
  <c r="AA177" i="4" s="1"/>
  <c r="B176" i="4"/>
  <c r="AA176" i="4" s="1"/>
  <c r="B175" i="4"/>
  <c r="AA175" i="4" s="1"/>
  <c r="B174" i="4"/>
  <c r="AA174" i="4" s="1"/>
  <c r="B173" i="4"/>
  <c r="AA173" i="4" s="1"/>
  <c r="B172" i="4"/>
  <c r="AA172" i="4" s="1"/>
  <c r="B171" i="4"/>
  <c r="AA171" i="4" s="1"/>
  <c r="B170" i="4"/>
  <c r="AA170" i="4" s="1"/>
  <c r="B169" i="4"/>
  <c r="AA169" i="4" s="1"/>
  <c r="B168" i="4"/>
  <c r="AA168" i="4" s="1"/>
  <c r="B167" i="4"/>
  <c r="AA167" i="4" s="1"/>
  <c r="B166" i="4"/>
  <c r="AA166" i="4" s="1"/>
  <c r="B165" i="4"/>
  <c r="AA165" i="4" s="1"/>
  <c r="B164" i="4"/>
  <c r="AA164" i="4" s="1"/>
  <c r="B163" i="4"/>
  <c r="AA163" i="4" s="1"/>
  <c r="B162" i="4"/>
  <c r="AA162" i="4" s="1"/>
  <c r="B161" i="4"/>
  <c r="AA161" i="4" s="1"/>
  <c r="B160" i="4"/>
  <c r="AA160" i="4" s="1"/>
  <c r="B159" i="4"/>
  <c r="AA159" i="4" s="1"/>
  <c r="B158" i="4"/>
  <c r="AA158" i="4" s="1"/>
  <c r="B157" i="4"/>
  <c r="AA157" i="4" s="1"/>
  <c r="B156" i="4"/>
  <c r="AA156" i="4" s="1"/>
  <c r="B155" i="4"/>
  <c r="AA155" i="4" s="1"/>
  <c r="B154" i="4"/>
  <c r="AA154" i="4" s="1"/>
  <c r="B153" i="4"/>
  <c r="AA153" i="4" s="1"/>
  <c r="B152" i="4"/>
  <c r="AA152" i="4" s="1"/>
  <c r="B151" i="4"/>
  <c r="AA151" i="4" s="1"/>
  <c r="B150" i="4"/>
  <c r="AA150" i="4" s="1"/>
  <c r="B149" i="4"/>
  <c r="AA149" i="4" s="1"/>
  <c r="B148" i="4"/>
  <c r="AA148" i="4" s="1"/>
  <c r="B147" i="4"/>
  <c r="AA147" i="4" s="1"/>
  <c r="B146" i="4"/>
  <c r="AA146" i="4" s="1"/>
  <c r="B145" i="4"/>
  <c r="AA145" i="4" s="1"/>
  <c r="B144" i="4"/>
  <c r="AA144" i="4" s="1"/>
  <c r="B143" i="4"/>
  <c r="AA143" i="4" s="1"/>
  <c r="B142" i="4"/>
  <c r="AA142" i="4" s="1"/>
  <c r="B141" i="4"/>
  <c r="AA141" i="4" s="1"/>
  <c r="B140" i="4"/>
  <c r="AA140" i="4" s="1"/>
  <c r="B139" i="4"/>
  <c r="AA139" i="4" s="1"/>
  <c r="B138" i="4"/>
  <c r="AA138" i="4" s="1"/>
  <c r="B137" i="4"/>
  <c r="AA137" i="4" s="1"/>
  <c r="B136" i="4"/>
  <c r="AA136" i="4" s="1"/>
  <c r="B135" i="4"/>
  <c r="AA135" i="4" s="1"/>
  <c r="B134" i="4"/>
  <c r="AA134" i="4" s="1"/>
  <c r="B133" i="4"/>
  <c r="AA133" i="4" s="1"/>
  <c r="B132" i="4"/>
  <c r="AA132" i="4" s="1"/>
  <c r="B131" i="4"/>
  <c r="AA131" i="4" s="1"/>
  <c r="B130" i="4"/>
  <c r="AA130" i="4" s="1"/>
  <c r="B129" i="4"/>
  <c r="AA129" i="4" s="1"/>
  <c r="B128" i="4"/>
  <c r="AA128" i="4" s="1"/>
  <c r="B127" i="4"/>
  <c r="AA127" i="4" s="1"/>
  <c r="B126" i="4"/>
  <c r="AA126" i="4" s="1"/>
  <c r="B125" i="4"/>
  <c r="AA125" i="4" s="1"/>
  <c r="B124" i="4"/>
  <c r="AA124" i="4" s="1"/>
  <c r="B123" i="4"/>
  <c r="AA123" i="4" s="1"/>
  <c r="B122" i="4"/>
  <c r="AA122" i="4" s="1"/>
  <c r="B121" i="4"/>
  <c r="AA121" i="4" s="1"/>
  <c r="B120" i="4"/>
  <c r="AA120" i="4" s="1"/>
  <c r="B119" i="4"/>
  <c r="AA119" i="4" s="1"/>
  <c r="B118" i="4"/>
  <c r="AA118" i="4" s="1"/>
  <c r="B117" i="4"/>
  <c r="AA117" i="4" s="1"/>
  <c r="B116" i="4"/>
  <c r="AA116" i="4" s="1"/>
  <c r="B115" i="4"/>
  <c r="AA115" i="4" s="1"/>
  <c r="B114" i="4"/>
  <c r="AA114" i="4" s="1"/>
  <c r="B113" i="4"/>
  <c r="AA113" i="4" s="1"/>
  <c r="B112" i="4"/>
  <c r="AA112" i="4" s="1"/>
  <c r="B111" i="4"/>
  <c r="AA111" i="4" s="1"/>
  <c r="B110" i="4"/>
  <c r="AA110" i="4" s="1"/>
  <c r="B109" i="4"/>
  <c r="AA109" i="4" s="1"/>
  <c r="B108" i="4"/>
  <c r="AA108" i="4" s="1"/>
  <c r="B107" i="4"/>
  <c r="AA107" i="4" s="1"/>
  <c r="B106" i="4"/>
  <c r="AA106" i="4" s="1"/>
  <c r="B105" i="4"/>
  <c r="AA105" i="4" s="1"/>
  <c r="B104" i="4"/>
  <c r="AA104" i="4" s="1"/>
  <c r="B103" i="4"/>
  <c r="AA103" i="4" s="1"/>
  <c r="B102" i="4"/>
  <c r="AA102" i="4" s="1"/>
  <c r="B101" i="4"/>
  <c r="AA101" i="4" s="1"/>
  <c r="B100" i="4"/>
  <c r="AA100" i="4" s="1"/>
  <c r="B99" i="4"/>
  <c r="AA99" i="4" s="1"/>
  <c r="B98" i="4"/>
  <c r="AA98" i="4" s="1"/>
  <c r="B97" i="4"/>
  <c r="AA97" i="4" s="1"/>
  <c r="B96" i="4"/>
  <c r="AA96" i="4" s="1"/>
  <c r="B95" i="4"/>
  <c r="AA95" i="4" s="1"/>
  <c r="B94" i="4"/>
  <c r="AA94" i="4" s="1"/>
  <c r="B93" i="4"/>
  <c r="AA93" i="4" s="1"/>
  <c r="B92" i="4"/>
  <c r="AA92" i="4" s="1"/>
  <c r="B91" i="4"/>
  <c r="AA91" i="4" s="1"/>
  <c r="B90" i="4"/>
  <c r="AA90" i="4" s="1"/>
  <c r="B89" i="4"/>
  <c r="AA89" i="4" s="1"/>
  <c r="B88" i="4"/>
  <c r="AA88" i="4" s="1"/>
  <c r="B87" i="4"/>
  <c r="AA87" i="4" s="1"/>
  <c r="B86" i="4"/>
  <c r="AA86" i="4" s="1"/>
  <c r="B85" i="4"/>
  <c r="AA85" i="4" s="1"/>
  <c r="B84" i="4"/>
  <c r="AA84" i="4" s="1"/>
  <c r="B83" i="4"/>
  <c r="AA83" i="4" s="1"/>
  <c r="B82" i="4"/>
  <c r="AA82" i="4" s="1"/>
  <c r="B81" i="4"/>
  <c r="AA81" i="4" s="1"/>
  <c r="B80" i="4"/>
  <c r="AA80" i="4" s="1"/>
  <c r="B79" i="4"/>
  <c r="AA79" i="4" s="1"/>
  <c r="B78" i="4"/>
  <c r="AA78" i="4" s="1"/>
  <c r="B77" i="4"/>
  <c r="AA77" i="4" s="1"/>
  <c r="B76" i="4"/>
  <c r="AA76" i="4" s="1"/>
  <c r="B75" i="4"/>
  <c r="AA75" i="4" s="1"/>
  <c r="B74" i="4"/>
  <c r="AA74" i="4" s="1"/>
  <c r="B73" i="4"/>
  <c r="AA73" i="4" s="1"/>
  <c r="B72" i="4"/>
  <c r="AA72" i="4" s="1"/>
  <c r="B71" i="4"/>
  <c r="AA71" i="4" s="1"/>
  <c r="B70" i="4"/>
  <c r="AA70" i="4" s="1"/>
  <c r="B69" i="4"/>
  <c r="AA69" i="4" s="1"/>
  <c r="B68" i="4"/>
  <c r="AA68" i="4" s="1"/>
  <c r="B67" i="4"/>
  <c r="AA67" i="4" s="1"/>
  <c r="B66" i="4"/>
  <c r="AA66" i="4" s="1"/>
  <c r="B65" i="4"/>
  <c r="AA65" i="4" s="1"/>
  <c r="B64" i="4"/>
  <c r="AA64" i="4" s="1"/>
  <c r="B63" i="4"/>
  <c r="AA63" i="4" s="1"/>
  <c r="B62" i="4"/>
  <c r="AA62" i="4" s="1"/>
  <c r="B61" i="4"/>
  <c r="AA61" i="4" s="1"/>
  <c r="B60" i="4"/>
  <c r="AA60" i="4" s="1"/>
  <c r="B59" i="4"/>
  <c r="AA59" i="4" s="1"/>
  <c r="B58" i="4"/>
  <c r="AA58" i="4" s="1"/>
  <c r="B57" i="4"/>
  <c r="AA57" i="4" s="1"/>
  <c r="B56" i="4"/>
  <c r="AA56" i="4" s="1"/>
  <c r="B55" i="4"/>
  <c r="AA55" i="4" s="1"/>
  <c r="B54" i="4"/>
  <c r="AA54" i="4" s="1"/>
  <c r="B53" i="4"/>
  <c r="AA53" i="4" s="1"/>
  <c r="B52" i="4"/>
  <c r="AA52" i="4" s="1"/>
  <c r="B51" i="4"/>
  <c r="AA51" i="4" s="1"/>
  <c r="B50" i="4"/>
  <c r="AA50" i="4" s="1"/>
  <c r="B49" i="4"/>
  <c r="AA49" i="4" s="1"/>
  <c r="B48" i="4"/>
  <c r="AA48" i="4" s="1"/>
  <c r="B47" i="4"/>
  <c r="AA47" i="4" s="1"/>
  <c r="B46" i="4"/>
  <c r="AA46" i="4" s="1"/>
  <c r="B45" i="4"/>
  <c r="AA45" i="4" s="1"/>
  <c r="B44" i="4"/>
  <c r="AA44" i="4" s="1"/>
  <c r="B43" i="4"/>
  <c r="AA43" i="4" s="1"/>
  <c r="B42" i="4"/>
  <c r="AA42" i="4" s="1"/>
  <c r="B41" i="4"/>
  <c r="AA41" i="4" s="1"/>
  <c r="B40" i="4"/>
  <c r="AA40" i="4" s="1"/>
  <c r="B39" i="4"/>
  <c r="AA39" i="4" s="1"/>
  <c r="B38" i="4"/>
  <c r="AA38" i="4" s="1"/>
  <c r="B37" i="4"/>
  <c r="AA37" i="4" s="1"/>
  <c r="B36" i="4"/>
  <c r="AA36" i="4" s="1"/>
  <c r="B35" i="4"/>
  <c r="AA35" i="4" s="1"/>
  <c r="B34" i="4"/>
  <c r="AA34" i="4" s="1"/>
  <c r="B33" i="4"/>
  <c r="AA33" i="4" s="1"/>
  <c r="B32" i="4"/>
  <c r="AA32" i="4" s="1"/>
  <c r="B31" i="4"/>
  <c r="AA31" i="4" s="1"/>
  <c r="B30" i="4"/>
  <c r="AA30" i="4" s="1"/>
  <c r="B29" i="4"/>
  <c r="AA29" i="4" s="1"/>
  <c r="B28" i="4"/>
  <c r="AA28" i="4" s="1"/>
  <c r="B27" i="4"/>
  <c r="AA27" i="4" s="1"/>
  <c r="B26" i="4"/>
  <c r="AA26" i="4" s="1"/>
  <c r="B25" i="4"/>
  <c r="AA25" i="4" s="1"/>
  <c r="B24" i="4"/>
  <c r="AA24" i="4" s="1"/>
  <c r="B23" i="4"/>
  <c r="AA23" i="4" s="1"/>
  <c r="B22" i="4"/>
  <c r="AA22" i="4" s="1"/>
  <c r="B21" i="4"/>
  <c r="AA21" i="4" s="1"/>
  <c r="B20" i="4"/>
  <c r="AA20" i="4" s="1"/>
  <c r="B19" i="4"/>
  <c r="AA19" i="4" s="1"/>
  <c r="B18" i="4"/>
  <c r="AA18" i="4" s="1"/>
  <c r="B17" i="4"/>
  <c r="AA17" i="4" s="1"/>
  <c r="B16" i="4"/>
  <c r="AA16" i="4" s="1"/>
  <c r="B15" i="4"/>
  <c r="AA15" i="4" s="1"/>
  <c r="B14" i="4"/>
  <c r="AA14" i="4" s="1"/>
  <c r="B13" i="4"/>
  <c r="AA13" i="4" s="1"/>
  <c r="B12" i="4"/>
  <c r="AA12" i="4" s="1"/>
  <c r="B11" i="4"/>
  <c r="AA11" i="4" s="1"/>
  <c r="B10" i="4"/>
  <c r="AA10" i="4" s="1"/>
  <c r="B9" i="4"/>
  <c r="AA9" i="4" s="1"/>
  <c r="B8" i="4"/>
  <c r="AA8" i="4" s="1"/>
  <c r="B7" i="4"/>
  <c r="AA7" i="4" s="1"/>
  <c r="B6" i="4"/>
  <c r="AA6" i="4" s="1"/>
  <c r="B5" i="4"/>
  <c r="AA5" i="4" s="1"/>
  <c r="B4" i="4"/>
  <c r="G44" i="13" l="1"/>
  <c r="H44" i="13" s="1"/>
  <c r="AA4" i="4"/>
  <c r="G85" i="13"/>
  <c r="H85" i="13" s="1"/>
  <c r="G149" i="13"/>
  <c r="H149" i="13" s="1"/>
  <c r="G95" i="13"/>
  <c r="H95" i="13" s="1"/>
  <c r="G93" i="13"/>
  <c r="G213" i="13"/>
  <c r="H213" i="13" s="1"/>
  <c r="G177" i="13"/>
  <c r="H177" i="13" s="1"/>
  <c r="G142" i="13"/>
  <c r="H142" i="13" s="1"/>
  <c r="G169" i="13"/>
  <c r="H169" i="13" s="1"/>
  <c r="G105" i="13"/>
  <c r="H105" i="13" s="1"/>
  <c r="G77" i="13"/>
  <c r="H77" i="13" s="1"/>
  <c r="G182" i="13"/>
  <c r="H182" i="13" s="1"/>
  <c r="G198" i="13"/>
  <c r="H198" i="13" s="1"/>
  <c r="G91" i="13"/>
  <c r="H91" i="13" s="1"/>
  <c r="G132" i="13"/>
  <c r="H132" i="13" s="1"/>
  <c r="G140" i="13"/>
  <c r="H140" i="13" s="1"/>
  <c r="G151" i="13"/>
  <c r="H151" i="13" s="1"/>
  <c r="G144" i="13"/>
  <c r="H144" i="13" s="1"/>
  <c r="G63" i="13"/>
  <c r="H63" i="13" s="1"/>
  <c r="G86" i="13"/>
  <c r="H86" i="13" s="1"/>
  <c r="G23" i="13"/>
  <c r="G31" i="13"/>
  <c r="H31" i="13" s="1"/>
  <c r="G83" i="13"/>
  <c r="H83" i="13" s="1"/>
  <c r="G224" i="13"/>
  <c r="H224" i="13" s="1"/>
  <c r="G200" i="13"/>
  <c r="H200" i="13" s="1"/>
  <c r="G143" i="13"/>
  <c r="H143" i="13" s="1"/>
  <c r="G194" i="13"/>
  <c r="H194" i="13" s="1"/>
  <c r="G202" i="13"/>
  <c r="H202" i="13" s="1"/>
  <c r="G216" i="13"/>
  <c r="H216" i="13" s="1"/>
  <c r="G64" i="13"/>
  <c r="H64" i="13" s="1"/>
  <c r="G153" i="13"/>
  <c r="H153" i="13" s="1"/>
  <c r="G185" i="13"/>
  <c r="H185" i="13" s="1"/>
  <c r="G225" i="13"/>
  <c r="H225" i="13" s="1"/>
  <c r="G201" i="13"/>
  <c r="H201" i="13" s="1"/>
  <c r="G55" i="13"/>
  <c r="H55" i="13" s="1"/>
  <c r="G212" i="13"/>
  <c r="H212" i="13" s="1"/>
  <c r="G219" i="13"/>
  <c r="H219" i="13" s="1"/>
  <c r="G101" i="13"/>
  <c r="H101" i="13" s="1"/>
  <c r="G110" i="13"/>
  <c r="H110" i="13" s="1"/>
  <c r="G125" i="13"/>
  <c r="H125" i="13" s="1"/>
  <c r="G47" i="13"/>
  <c r="H47" i="13" s="1"/>
  <c r="G124" i="13"/>
  <c r="H124" i="13" s="1"/>
  <c r="G163" i="13"/>
  <c r="H163" i="13" s="1"/>
  <c r="G180" i="13"/>
  <c r="H180" i="13" s="1"/>
  <c r="G170" i="13"/>
  <c r="H170" i="13" s="1"/>
  <c r="G70" i="13"/>
  <c r="H70" i="13" s="1"/>
  <c r="G75" i="13"/>
  <c r="H75" i="13" s="1"/>
  <c r="G76" i="13"/>
  <c r="H76" i="13" s="1"/>
  <c r="G39" i="13"/>
  <c r="H39" i="13" s="1"/>
  <c r="G214" i="13"/>
  <c r="H214" i="13" s="1"/>
  <c r="G209" i="13"/>
  <c r="H209" i="13" s="1"/>
  <c r="G118" i="13"/>
  <c r="H118" i="13" s="1"/>
  <c r="G174" i="13"/>
  <c r="H174" i="13" s="1"/>
  <c r="G82" i="13"/>
  <c r="H82" i="13" s="1"/>
  <c r="G97" i="13"/>
  <c r="H97" i="13" s="1"/>
  <c r="G98" i="13"/>
  <c r="H98" i="13" s="1"/>
  <c r="G66" i="13"/>
  <c r="H66" i="13" s="1"/>
  <c r="G114" i="13"/>
  <c r="H114" i="13" s="1"/>
  <c r="G207" i="13"/>
  <c r="H207" i="13" s="1"/>
  <c r="G221" i="13"/>
  <c r="H221" i="13" s="1"/>
  <c r="G188" i="13"/>
  <c r="H188" i="13" s="1"/>
  <c r="G158" i="13"/>
  <c r="H158" i="13" s="1"/>
  <c r="G27" i="13"/>
  <c r="H27" i="13" s="1"/>
  <c r="G42" i="13"/>
  <c r="H42" i="13" s="1"/>
  <c r="G35" i="13"/>
  <c r="H35" i="13" s="1"/>
  <c r="G227" i="13"/>
  <c r="H227" i="13" s="1"/>
  <c r="G32" i="13"/>
  <c r="H32" i="13" s="1"/>
  <c r="G48" i="13"/>
  <c r="H48" i="13" s="1"/>
  <c r="G51" i="13"/>
  <c r="H51" i="13" s="1"/>
  <c r="G166" i="13"/>
  <c r="H166" i="13" s="1"/>
  <c r="G106" i="13"/>
  <c r="H106" i="13" s="1"/>
  <c r="G103" i="13"/>
  <c r="H103" i="13" s="1"/>
  <c r="G172" i="13"/>
  <c r="H172" i="13" s="1"/>
  <c r="G30" i="13"/>
  <c r="H30" i="13" s="1"/>
  <c r="G181" i="13"/>
  <c r="H181" i="13" s="1"/>
  <c r="G122" i="13"/>
  <c r="H122" i="13" s="1"/>
  <c r="G104" i="13"/>
  <c r="H104" i="13" s="1"/>
  <c r="G112" i="13"/>
  <c r="H112" i="13" s="1"/>
  <c r="G59" i="13"/>
  <c r="H59" i="13" s="1"/>
  <c r="G147" i="13"/>
  <c r="H147" i="13" s="1"/>
  <c r="G220" i="13"/>
  <c r="H220" i="13" s="1"/>
  <c r="G79" i="13"/>
  <c r="H79" i="13" s="1"/>
  <c r="G187" i="13"/>
  <c r="H187" i="13" s="1"/>
  <c r="G37" i="13"/>
  <c r="H37" i="13" s="1"/>
  <c r="G196" i="13"/>
  <c r="H196" i="13" s="1"/>
  <c r="G56" i="13"/>
  <c r="H56" i="13" s="1"/>
  <c r="G34" i="13"/>
  <c r="H34" i="13" s="1"/>
  <c r="G215" i="13"/>
  <c r="H215" i="13" s="1"/>
  <c r="G115" i="13"/>
  <c r="H115" i="13" s="1"/>
  <c r="G36" i="13"/>
  <c r="H36" i="13" s="1"/>
  <c r="G193" i="13"/>
  <c r="H193" i="13" s="1"/>
  <c r="G73" i="13"/>
  <c r="H73" i="13" s="1"/>
  <c r="G178" i="13"/>
  <c r="H178" i="13" s="1"/>
  <c r="G190" i="13"/>
  <c r="H190" i="13" s="1"/>
  <c r="G146" i="13"/>
  <c r="H146" i="13" s="1"/>
  <c r="G157" i="13"/>
  <c r="H157" i="13" s="1"/>
  <c r="G128" i="13"/>
  <c r="H128" i="13" s="1"/>
  <c r="G113" i="13"/>
  <c r="H113" i="13" s="1"/>
  <c r="G192" i="13"/>
  <c r="H192" i="13" s="1"/>
  <c r="G102" i="13"/>
  <c r="H102" i="13" s="1"/>
  <c r="G80" i="13"/>
  <c r="H80" i="13" s="1"/>
  <c r="G90" i="13"/>
  <c r="H90" i="13" s="1"/>
  <c r="G33" i="13"/>
  <c r="H33" i="13" s="1"/>
  <c r="G29" i="13"/>
  <c r="H29" i="13" s="1"/>
  <c r="G61" i="13"/>
  <c r="H61" i="13" s="1"/>
  <c r="G129" i="13"/>
  <c r="H129" i="13" s="1"/>
  <c r="G88" i="13"/>
  <c r="H88" i="13" s="1"/>
  <c r="G211" i="13"/>
  <c r="H211" i="13" s="1"/>
  <c r="G152" i="13"/>
  <c r="H152" i="13" s="1"/>
  <c r="G134" i="13"/>
  <c r="H134" i="13" s="1"/>
  <c r="G135" i="13"/>
  <c r="H135" i="13" s="1"/>
  <c r="G117" i="13"/>
  <c r="H117" i="13" s="1"/>
  <c r="G203" i="13"/>
  <c r="H203" i="13" s="1"/>
  <c r="G65" i="13"/>
  <c r="H65" i="13" s="1"/>
  <c r="G120" i="13"/>
  <c r="H120" i="13" s="1"/>
  <c r="G155" i="13"/>
  <c r="H155" i="13" s="1"/>
  <c r="G45" i="13"/>
  <c r="H45" i="13" s="1"/>
  <c r="G223" i="13"/>
  <c r="H223" i="13" s="1"/>
  <c r="G46" i="13"/>
  <c r="H46" i="13" s="1"/>
  <c r="G136" i="13"/>
  <c r="H136" i="13" s="1"/>
  <c r="G197" i="13"/>
  <c r="H197" i="13" s="1"/>
  <c r="G195" i="13"/>
  <c r="H195" i="13" s="1"/>
  <c r="G217" i="13"/>
  <c r="H217" i="13" s="1"/>
  <c r="G183" i="13"/>
  <c r="H183" i="13" s="1"/>
  <c r="G168" i="13"/>
  <c r="H168" i="13" s="1"/>
  <c r="G141" i="13"/>
  <c r="H141" i="13" s="1"/>
  <c r="G184" i="13"/>
  <c r="H184" i="13" s="1"/>
  <c r="G127" i="13"/>
  <c r="H127" i="13" s="1"/>
  <c r="G175" i="13"/>
  <c r="H175" i="13" s="1"/>
  <c r="G167" i="13"/>
  <c r="H167" i="13" s="1"/>
  <c r="G54" i="13"/>
  <c r="H54" i="13" s="1"/>
  <c r="G89" i="13"/>
  <c r="H89" i="13" s="1"/>
  <c r="G69" i="13"/>
  <c r="H69" i="13" s="1"/>
  <c r="G226" i="13"/>
  <c r="H226" i="13" s="1"/>
  <c r="G199" i="13"/>
  <c r="H199" i="13" s="1"/>
  <c r="G78" i="13"/>
  <c r="H78" i="13" s="1"/>
  <c r="G40" i="13"/>
  <c r="H40" i="13" s="1"/>
  <c r="G52" i="13"/>
  <c r="H52" i="13" s="1"/>
  <c r="G138" i="13"/>
  <c r="H138" i="13" s="1"/>
  <c r="G205" i="13"/>
  <c r="H205" i="13" s="1"/>
  <c r="G189" i="13"/>
  <c r="H189" i="13" s="1"/>
  <c r="G57" i="13"/>
  <c r="H57" i="13" s="1"/>
  <c r="G165" i="13"/>
  <c r="H165" i="13" s="1"/>
  <c r="G38" i="13"/>
  <c r="H38" i="13" s="1"/>
  <c r="G229" i="13"/>
  <c r="H229" i="13" s="1"/>
  <c r="G210" i="13"/>
  <c r="H210" i="13" s="1"/>
  <c r="G156" i="13"/>
  <c r="H156" i="13" s="1"/>
  <c r="G186" i="13"/>
  <c r="H186" i="13" s="1"/>
  <c r="G108" i="13"/>
  <c r="H108" i="13" s="1"/>
  <c r="G162" i="13"/>
  <c r="G60" i="13"/>
  <c r="H60" i="13" s="1"/>
  <c r="G67" i="13"/>
  <c r="H67" i="13" s="1"/>
  <c r="G94" i="13"/>
  <c r="H94" i="13" s="1"/>
  <c r="G84" i="13"/>
  <c r="H84" i="13" s="1"/>
  <c r="G68" i="13"/>
  <c r="H68" i="13" s="1"/>
  <c r="G154" i="13"/>
  <c r="H154" i="13" s="1"/>
  <c r="G164" i="13"/>
  <c r="H164" i="13" s="1"/>
  <c r="G191" i="13"/>
  <c r="H191" i="13" s="1"/>
  <c r="G121" i="13"/>
  <c r="H121" i="13" s="1"/>
  <c r="G204" i="13"/>
  <c r="H204" i="13" s="1"/>
  <c r="G109" i="13"/>
  <c r="H109" i="13" s="1"/>
  <c r="G176" i="13"/>
  <c r="H176" i="13" s="1"/>
  <c r="G206" i="13"/>
  <c r="H206" i="13" s="1"/>
  <c r="G49" i="13"/>
  <c r="H49" i="13" s="1"/>
  <c r="G99" i="13"/>
  <c r="H99" i="13" s="1"/>
  <c r="G25" i="13"/>
  <c r="H25" i="13" s="1"/>
  <c r="G26" i="13"/>
  <c r="H26" i="13" s="1"/>
  <c r="G116" i="13"/>
  <c r="H116" i="13" s="1"/>
  <c r="G100" i="13"/>
  <c r="H100" i="13" s="1"/>
  <c r="G123" i="13"/>
  <c r="H123" i="13" s="1"/>
  <c r="G62" i="13"/>
  <c r="H62" i="13" s="1"/>
  <c r="G24" i="13"/>
  <c r="H24" i="13" s="1"/>
  <c r="G72" i="13"/>
  <c r="G208" i="13"/>
  <c r="H208" i="13" s="1"/>
  <c r="G126" i="13"/>
  <c r="H126" i="13" s="1"/>
  <c r="G171" i="13"/>
  <c r="H171" i="13" s="1"/>
  <c r="G133" i="13"/>
  <c r="H133" i="13" s="1"/>
  <c r="G53" i="13"/>
  <c r="H53" i="13" s="1"/>
  <c r="G28" i="13"/>
  <c r="H28" i="13" s="1"/>
  <c r="G228" i="13"/>
  <c r="H228" i="13" s="1"/>
  <c r="G139" i="13"/>
  <c r="H139" i="13" s="1"/>
  <c r="G87" i="13"/>
  <c r="H87" i="13" s="1"/>
  <c r="G160" i="13"/>
  <c r="H160" i="13" s="1"/>
  <c r="G41" i="13"/>
  <c r="H41" i="13" s="1"/>
  <c r="G107" i="13"/>
  <c r="H107" i="13" s="1"/>
  <c r="G179" i="13"/>
  <c r="H179" i="13" s="1"/>
  <c r="G119" i="13"/>
  <c r="H119" i="13" s="1"/>
  <c r="G130" i="13"/>
  <c r="H130" i="13" s="1"/>
  <c r="G131" i="13"/>
  <c r="H131" i="13" s="1"/>
  <c r="G150" i="13"/>
  <c r="H150" i="13" s="1"/>
  <c r="G111" i="13"/>
  <c r="H111" i="13" s="1"/>
  <c r="G58" i="13"/>
  <c r="H58" i="13" s="1"/>
  <c r="G96" i="13"/>
  <c r="H96" i="13" s="1"/>
  <c r="G222" i="13"/>
  <c r="H222" i="13" s="1"/>
  <c r="G145" i="13"/>
  <c r="H145" i="13" s="1"/>
  <c r="G74" i="13"/>
  <c r="H74" i="13" s="1"/>
  <c r="G81" i="13"/>
  <c r="H81" i="13" s="1"/>
  <c r="G159" i="13"/>
  <c r="H159" i="13" s="1"/>
  <c r="G148" i="13"/>
  <c r="H148" i="13" s="1"/>
  <c r="G50" i="13"/>
  <c r="H50" i="13" s="1"/>
  <c r="G137" i="13"/>
  <c r="H137" i="13" s="1"/>
  <c r="G173" i="13"/>
  <c r="H173" i="13" s="1"/>
  <c r="G43" i="13"/>
  <c r="H43" i="13" s="1"/>
  <c r="G218" i="13"/>
  <c r="H218" i="13" s="1"/>
  <c r="G98" i="12"/>
  <c r="H98" i="12" s="1"/>
  <c r="G138" i="12"/>
  <c r="H138" i="12" s="1"/>
  <c r="G117" i="12"/>
  <c r="H117" i="12" s="1"/>
  <c r="G206" i="12"/>
  <c r="H206" i="12" s="1"/>
  <c r="G205" i="12"/>
  <c r="H205" i="12" s="1"/>
  <c r="G127" i="12"/>
  <c r="H127" i="12" s="1"/>
  <c r="G224" i="12"/>
  <c r="H224" i="12" s="1"/>
  <c r="G193" i="12"/>
  <c r="H193" i="12" s="1"/>
  <c r="G83" i="12"/>
  <c r="H83" i="12" s="1"/>
  <c r="G143" i="12"/>
  <c r="H143" i="12" s="1"/>
  <c r="G220" i="12"/>
  <c r="H220" i="12" s="1"/>
  <c r="G217" i="12"/>
  <c r="H217" i="12" s="1"/>
  <c r="G212" i="12"/>
  <c r="H212" i="12" s="1"/>
  <c r="G81" i="12"/>
  <c r="H81" i="12" s="1"/>
  <c r="G128" i="12"/>
  <c r="H128" i="12" s="1"/>
  <c r="G136" i="12"/>
  <c r="H136" i="12" s="1"/>
  <c r="G186" i="12"/>
  <c r="H186" i="12" s="1"/>
  <c r="G176" i="12"/>
  <c r="H176" i="12" s="1"/>
  <c r="G211" i="12"/>
  <c r="H211" i="12" s="1"/>
  <c r="G134" i="12"/>
  <c r="H134" i="12" s="1"/>
  <c r="G142" i="12"/>
  <c r="H142" i="12" s="1"/>
  <c r="G109" i="12"/>
  <c r="H109" i="12" s="1"/>
  <c r="G114" i="12"/>
  <c r="H114" i="12" s="1"/>
  <c r="G154" i="12"/>
  <c r="H154" i="12" s="1"/>
  <c r="G125" i="12"/>
  <c r="H125" i="12" s="1"/>
  <c r="G214" i="12"/>
  <c r="H214" i="12" s="1"/>
  <c r="G86" i="12"/>
  <c r="H86" i="12" s="1"/>
  <c r="G135" i="12"/>
  <c r="H135" i="12" s="1"/>
  <c r="G116" i="12"/>
  <c r="H116" i="12" s="1"/>
  <c r="G201" i="12"/>
  <c r="H201" i="12" s="1"/>
  <c r="G164" i="12"/>
  <c r="H164" i="12" s="1"/>
  <c r="G96" i="12"/>
  <c r="H96" i="12" s="1"/>
  <c r="G204" i="12"/>
  <c r="H204" i="12" s="1"/>
  <c r="G167" i="12"/>
  <c r="H167" i="12" s="1"/>
  <c r="G104" i="12"/>
  <c r="H104" i="12" s="1"/>
  <c r="G112" i="12"/>
  <c r="H112" i="12" s="1"/>
  <c r="G100" i="12"/>
  <c r="H100" i="12" s="1"/>
  <c r="G221" i="12"/>
  <c r="H221" i="12" s="1"/>
  <c r="G89" i="12"/>
  <c r="H89" i="12" s="1"/>
  <c r="G178" i="12"/>
  <c r="H178" i="12" s="1"/>
  <c r="G158" i="12"/>
  <c r="H158" i="12" s="1"/>
  <c r="G148" i="12"/>
  <c r="H148" i="12" s="1"/>
  <c r="G197" i="12"/>
  <c r="H197" i="12" s="1"/>
  <c r="G137" i="12"/>
  <c r="H137" i="12" s="1"/>
  <c r="G145" i="12"/>
  <c r="H145" i="12" s="1"/>
  <c r="G180" i="12"/>
  <c r="H180" i="12" s="1"/>
  <c r="G130" i="12"/>
  <c r="H130" i="12" s="1"/>
  <c r="G91" i="12"/>
  <c r="H91" i="12" s="1"/>
  <c r="G133" i="12"/>
  <c r="H133" i="12" s="1"/>
  <c r="G222" i="12"/>
  <c r="H222" i="12" s="1"/>
  <c r="G159" i="12"/>
  <c r="H159" i="12" s="1"/>
  <c r="G209" i="12"/>
  <c r="H209" i="12" s="1"/>
  <c r="G132" i="12"/>
  <c r="H132" i="12" s="1"/>
  <c r="G120" i="12"/>
  <c r="H120" i="12" s="1"/>
  <c r="G79" i="12"/>
  <c r="H79" i="12" s="1"/>
  <c r="G203" i="12"/>
  <c r="H203" i="12" s="1"/>
  <c r="G219" i="12"/>
  <c r="H219" i="12" s="1"/>
  <c r="G111" i="12"/>
  <c r="H111" i="12" s="1"/>
  <c r="G216" i="12"/>
  <c r="H216" i="12" s="1"/>
  <c r="G146" i="12"/>
  <c r="H146" i="12" s="1"/>
  <c r="G99" i="12"/>
  <c r="H99" i="12" s="1"/>
  <c r="G141" i="12"/>
  <c r="H141" i="12" s="1"/>
  <c r="G151" i="12"/>
  <c r="H151" i="12" s="1"/>
  <c r="G162" i="12"/>
  <c r="H162" i="12" s="1"/>
  <c r="G97" i="12"/>
  <c r="H97" i="12" s="1"/>
  <c r="G113" i="12"/>
  <c r="H113" i="12" s="1"/>
  <c r="G126" i="12"/>
  <c r="H126" i="12" s="1"/>
  <c r="G182" i="12"/>
  <c r="H182" i="12" s="1"/>
  <c r="G122" i="12"/>
  <c r="H122" i="12" s="1"/>
  <c r="G82" i="12"/>
  <c r="H82" i="12" s="1"/>
  <c r="G107" i="12"/>
  <c r="H107" i="12" s="1"/>
  <c r="G149" i="12"/>
  <c r="H149" i="12" s="1"/>
  <c r="G108" i="12"/>
  <c r="H108" i="12" s="1"/>
  <c r="G175" i="12"/>
  <c r="H175" i="12" s="1"/>
  <c r="G196" i="12"/>
  <c r="H196" i="12" s="1"/>
  <c r="G165" i="12"/>
  <c r="H165" i="12" s="1"/>
  <c r="G170" i="12"/>
  <c r="H170" i="12" s="1"/>
  <c r="G155" i="12"/>
  <c r="H155" i="12" s="1"/>
  <c r="G184" i="12"/>
  <c r="H184" i="12" s="1"/>
  <c r="G210" i="12"/>
  <c r="H210" i="12" s="1"/>
  <c r="G150" i="12"/>
  <c r="H150" i="12" s="1"/>
  <c r="G163" i="12"/>
  <c r="H163" i="12" s="1"/>
  <c r="G115" i="12"/>
  <c r="H115" i="12" s="1"/>
  <c r="G172" i="12"/>
  <c r="H172" i="12" s="1"/>
  <c r="G173" i="12"/>
  <c r="H173" i="12" s="1"/>
  <c r="G183" i="12"/>
  <c r="H183" i="12" s="1"/>
  <c r="G92" i="12"/>
  <c r="H92" i="12" s="1"/>
  <c r="G118" i="12"/>
  <c r="H118" i="12" s="1"/>
  <c r="G202" i="12"/>
  <c r="H202" i="12" s="1"/>
  <c r="G192" i="12"/>
  <c r="H192" i="12" s="1"/>
  <c r="G190" i="12"/>
  <c r="H190" i="12" s="1"/>
  <c r="G153" i="12"/>
  <c r="H153" i="12" s="1"/>
  <c r="G171" i="12"/>
  <c r="H171" i="12" s="1"/>
  <c r="G123" i="12"/>
  <c r="H123" i="12" s="1"/>
  <c r="G124" i="12"/>
  <c r="H124" i="12" s="1"/>
  <c r="G189" i="12"/>
  <c r="H189" i="12" s="1"/>
  <c r="G191" i="12"/>
  <c r="H191" i="12" s="1"/>
  <c r="G213" i="12"/>
  <c r="H213" i="12" s="1"/>
  <c r="G223" i="12"/>
  <c r="H223" i="12" s="1"/>
  <c r="G80" i="12"/>
  <c r="H80" i="12" s="1"/>
  <c r="G95" i="12"/>
  <c r="H95" i="12" s="1"/>
  <c r="G218" i="12"/>
  <c r="H218" i="12" s="1"/>
  <c r="G198" i="12"/>
  <c r="H198" i="12" s="1"/>
  <c r="G179" i="12"/>
  <c r="H179" i="12" s="1"/>
  <c r="G131" i="12"/>
  <c r="H131" i="12" s="1"/>
  <c r="G84" i="12"/>
  <c r="H84" i="12" s="1"/>
  <c r="G94" i="12"/>
  <c r="H94" i="12" s="1"/>
  <c r="G199" i="12"/>
  <c r="H199" i="12" s="1"/>
  <c r="G188" i="12"/>
  <c r="H188" i="12" s="1"/>
  <c r="G121" i="12"/>
  <c r="H121" i="12" s="1"/>
  <c r="G129" i="12"/>
  <c r="H129" i="12" s="1"/>
  <c r="G208" i="12"/>
  <c r="H208" i="12" s="1"/>
  <c r="G187" i="12"/>
  <c r="H187" i="12" s="1"/>
  <c r="G139" i="12"/>
  <c r="H139" i="12" s="1"/>
  <c r="G181" i="12"/>
  <c r="H181" i="12" s="1"/>
  <c r="G102" i="12"/>
  <c r="H102" i="12" s="1"/>
  <c r="G207" i="12"/>
  <c r="H207" i="12" s="1"/>
  <c r="G160" i="12"/>
  <c r="H160" i="12" s="1"/>
  <c r="G144" i="12"/>
  <c r="H144" i="12" s="1"/>
  <c r="G194" i="12"/>
  <c r="H194" i="12" s="1"/>
  <c r="G140" i="12"/>
  <c r="H140" i="12" s="1"/>
  <c r="G161" i="12"/>
  <c r="H161" i="12" s="1"/>
  <c r="G169" i="12"/>
  <c r="H169" i="12" s="1"/>
  <c r="G185" i="12"/>
  <c r="H185" i="12" s="1"/>
  <c r="G195" i="12"/>
  <c r="H195" i="12" s="1"/>
  <c r="G147" i="12"/>
  <c r="H147" i="12" s="1"/>
  <c r="G85" i="12"/>
  <c r="H85" i="12" s="1"/>
  <c r="G110" i="12"/>
  <c r="H110" i="12" s="1"/>
  <c r="G215" i="12"/>
  <c r="H215" i="12" s="1"/>
  <c r="G168" i="12"/>
  <c r="H168" i="12" s="1"/>
  <c r="G152" i="12"/>
  <c r="H152" i="12" s="1"/>
  <c r="G105" i="12"/>
  <c r="H105" i="12" s="1"/>
  <c r="G166" i="12"/>
  <c r="H166" i="12" s="1"/>
  <c r="G174" i="12"/>
  <c r="H174" i="12" s="1"/>
  <c r="G103" i="12"/>
  <c r="H103" i="12" s="1"/>
  <c r="G177" i="12"/>
  <c r="H177" i="12" s="1"/>
  <c r="G119" i="12"/>
  <c r="H119" i="12" s="1"/>
  <c r="G90" i="12"/>
  <c r="H90" i="12" s="1"/>
  <c r="G93" i="12"/>
  <c r="H93" i="12" s="1"/>
  <c r="G200" i="12"/>
  <c r="H200" i="12" s="1"/>
  <c r="G106" i="12"/>
  <c r="H106" i="12" s="1"/>
  <c r="G101" i="12"/>
  <c r="H101" i="12" s="1"/>
  <c r="G77" i="12"/>
  <c r="H77" i="12" s="1"/>
  <c r="G60" i="12"/>
  <c r="H60" i="12" s="1"/>
  <c r="G44" i="12"/>
  <c r="H44" i="12" s="1"/>
  <c r="G28" i="12"/>
  <c r="H28" i="12" s="1"/>
  <c r="G76" i="12"/>
  <c r="H76" i="12" s="1"/>
  <c r="G59" i="12"/>
  <c r="H59" i="12" s="1"/>
  <c r="G43" i="12"/>
  <c r="H43" i="12" s="1"/>
  <c r="G27" i="12"/>
  <c r="H27" i="12" s="1"/>
  <c r="G75" i="12"/>
  <c r="H75" i="12" s="1"/>
  <c r="G58" i="12"/>
  <c r="H58" i="12" s="1"/>
  <c r="G42" i="12"/>
  <c r="H42" i="12" s="1"/>
  <c r="G26" i="12"/>
  <c r="H26" i="12" s="1"/>
  <c r="G46" i="12"/>
  <c r="H46" i="12" s="1"/>
  <c r="G74" i="12"/>
  <c r="H74" i="12" s="1"/>
  <c r="G57" i="12"/>
  <c r="H57" i="12" s="1"/>
  <c r="G41" i="12"/>
  <c r="H41" i="12" s="1"/>
  <c r="G25" i="12"/>
  <c r="H25" i="12" s="1"/>
  <c r="G45" i="12"/>
  <c r="H45" i="12" s="1"/>
  <c r="G73" i="12"/>
  <c r="H73" i="12" s="1"/>
  <c r="G56" i="12"/>
  <c r="H56" i="12" s="1"/>
  <c r="G40" i="12"/>
  <c r="H40" i="12" s="1"/>
  <c r="G24" i="12"/>
  <c r="H24" i="12" s="1"/>
  <c r="G61" i="12"/>
  <c r="H61" i="12" s="1"/>
  <c r="G157" i="12"/>
  <c r="G72" i="12"/>
  <c r="H72" i="12" s="1"/>
  <c r="G55" i="12"/>
  <c r="H55" i="12" s="1"/>
  <c r="G39" i="12"/>
  <c r="H39" i="12" s="1"/>
  <c r="G23" i="12"/>
  <c r="H23" i="12" s="1"/>
  <c r="G19" i="12"/>
  <c r="H19" i="12" s="1"/>
  <c r="G71" i="12"/>
  <c r="H71" i="12" s="1"/>
  <c r="G54" i="12"/>
  <c r="H54" i="12" s="1"/>
  <c r="G38" i="12"/>
  <c r="H38" i="12" s="1"/>
  <c r="G22" i="12"/>
  <c r="H22" i="12" s="1"/>
  <c r="G78" i="12"/>
  <c r="H78" i="12" s="1"/>
  <c r="G70" i="12"/>
  <c r="H70" i="12" s="1"/>
  <c r="G53" i="12"/>
  <c r="H53" i="12" s="1"/>
  <c r="G37" i="12"/>
  <c r="H37" i="12" s="1"/>
  <c r="G21" i="12"/>
  <c r="H21" i="12" s="1"/>
  <c r="G35" i="12"/>
  <c r="H35" i="12" s="1"/>
  <c r="G30" i="12"/>
  <c r="H30" i="12" s="1"/>
  <c r="G29" i="12"/>
  <c r="H29" i="12" s="1"/>
  <c r="G69" i="12"/>
  <c r="H69" i="12" s="1"/>
  <c r="G52" i="12"/>
  <c r="H52" i="12" s="1"/>
  <c r="G36" i="12"/>
  <c r="H36" i="12" s="1"/>
  <c r="G20" i="12"/>
  <c r="H20" i="12" s="1"/>
  <c r="G68" i="12"/>
  <c r="H68" i="12" s="1"/>
  <c r="G51" i="12"/>
  <c r="H51" i="12" s="1"/>
  <c r="G67" i="12"/>
  <c r="G50" i="12"/>
  <c r="H50" i="12" s="1"/>
  <c r="G34" i="12"/>
  <c r="H34" i="12" s="1"/>
  <c r="G18" i="12"/>
  <c r="G62" i="12"/>
  <c r="H62" i="12" s="1"/>
  <c r="G88" i="12"/>
  <c r="G65" i="12"/>
  <c r="H65" i="12" s="1"/>
  <c r="G49" i="12"/>
  <c r="H49" i="12" s="1"/>
  <c r="G33" i="12"/>
  <c r="H33" i="12" s="1"/>
  <c r="G63" i="12"/>
  <c r="H63" i="12" s="1"/>
  <c r="G47" i="12"/>
  <c r="H47" i="12" s="1"/>
  <c r="G31" i="12"/>
  <c r="H31" i="12" s="1"/>
  <c r="G64" i="12"/>
  <c r="H64" i="12" s="1"/>
  <c r="G48" i="12"/>
  <c r="H48" i="12" s="1"/>
  <c r="G32" i="12"/>
  <c r="H32" i="12" s="1"/>
  <c r="G224" i="11"/>
  <c r="H224" i="11" s="1"/>
  <c r="I224" i="11" s="1"/>
  <c r="G222" i="11"/>
  <c r="H222" i="11" s="1"/>
  <c r="I222" i="11" s="1"/>
  <c r="H218" i="11"/>
  <c r="I218" i="11" s="1"/>
  <c r="G154" i="11"/>
  <c r="H154" i="11" s="1"/>
  <c r="I154" i="11" s="1"/>
  <c r="H217" i="11"/>
  <c r="I217" i="11" s="1"/>
  <c r="G216" i="11"/>
  <c r="H216" i="11" s="1"/>
  <c r="I216" i="11" s="1"/>
  <c r="G153" i="11"/>
  <c r="H153" i="11" s="1"/>
  <c r="I153" i="11" s="1"/>
  <c r="G147" i="11"/>
  <c r="H147" i="11" s="1"/>
  <c r="I147" i="11" s="1"/>
  <c r="H219" i="11"/>
  <c r="I219" i="11" s="1"/>
  <c r="H152" i="11"/>
  <c r="I152" i="11" s="1"/>
  <c r="G223" i="11"/>
  <c r="H223" i="11" s="1"/>
  <c r="I223" i="11" s="1"/>
  <c r="H221" i="11"/>
  <c r="I221" i="11" s="1"/>
  <c r="H220" i="11"/>
  <c r="I220" i="11" s="1"/>
  <c r="G155" i="11"/>
  <c r="H155" i="11" s="1"/>
  <c r="I155" i="11" s="1"/>
  <c r="H151" i="11"/>
  <c r="I151" i="11" s="1"/>
  <c r="H150" i="11"/>
  <c r="I150" i="11" s="1"/>
  <c r="H149" i="11"/>
  <c r="I149" i="11" s="1"/>
  <c r="H148" i="11"/>
  <c r="I148" i="11" s="1"/>
  <c r="H79" i="11"/>
  <c r="I79" i="11" s="1"/>
  <c r="H83" i="11"/>
  <c r="I83" i="11" s="1"/>
  <c r="H82" i="11"/>
  <c r="I82" i="11" s="1"/>
  <c r="H81" i="11"/>
  <c r="I81" i="11" s="1"/>
  <c r="H80" i="11"/>
  <c r="I80" i="11" s="1"/>
  <c r="H63" i="11"/>
  <c r="I63" i="11" s="1"/>
  <c r="H56" i="11"/>
  <c r="I56" i="11" s="1"/>
  <c r="H64" i="11"/>
  <c r="I64" i="11" s="1"/>
  <c r="H57" i="11"/>
  <c r="I57" i="11" s="1"/>
  <c r="H65" i="11"/>
  <c r="I65" i="11" s="1"/>
  <c r="H58" i="11"/>
  <c r="I58" i="11" s="1"/>
  <c r="H59" i="11"/>
  <c r="I59" i="11" s="1"/>
  <c r="H61" i="11"/>
  <c r="I61" i="11" s="1"/>
  <c r="H62" i="11"/>
  <c r="I62" i="11" s="1"/>
  <c r="H60" i="11"/>
  <c r="I60" i="11" s="1"/>
  <c r="G84" i="11"/>
  <c r="H84" i="11" s="1"/>
  <c r="I84" i="11" s="1"/>
  <c r="G85" i="11"/>
  <c r="H85" i="11" s="1"/>
  <c r="I85" i="11" s="1"/>
  <c r="G86" i="11"/>
  <c r="H86" i="11" s="1"/>
  <c r="I86" i="11" s="1"/>
  <c r="G179" i="11"/>
  <c r="H179" i="11" s="1"/>
  <c r="I179" i="11" s="1"/>
  <c r="G158" i="11"/>
  <c r="H158" i="11" s="1"/>
  <c r="I158" i="11" s="1"/>
  <c r="G129" i="11"/>
  <c r="H129" i="11" s="1"/>
  <c r="I129" i="11" s="1"/>
  <c r="G77" i="11"/>
  <c r="H77" i="11" s="1"/>
  <c r="I77" i="11" s="1"/>
  <c r="G136" i="11"/>
  <c r="H136" i="11" s="1"/>
  <c r="I136" i="11" s="1"/>
  <c r="G183" i="11"/>
  <c r="H183" i="11" s="1"/>
  <c r="I183" i="11" s="1"/>
  <c r="G124" i="11"/>
  <c r="H124" i="11" s="1"/>
  <c r="I124" i="11" s="1"/>
  <c r="G110" i="11"/>
  <c r="H110" i="11" s="1"/>
  <c r="I110" i="11" s="1"/>
  <c r="G194" i="11"/>
  <c r="H194" i="11" s="1"/>
  <c r="I194" i="11" s="1"/>
  <c r="G107" i="11"/>
  <c r="H107" i="11" s="1"/>
  <c r="I107" i="11" s="1"/>
  <c r="G115" i="11"/>
  <c r="H115" i="11" s="1"/>
  <c r="I115" i="11" s="1"/>
  <c r="G189" i="11"/>
  <c r="H189" i="11" s="1"/>
  <c r="I189" i="11" s="1"/>
  <c r="G98" i="11"/>
  <c r="H98" i="11" s="1"/>
  <c r="I98" i="11" s="1"/>
  <c r="G178" i="11"/>
  <c r="H178" i="11" s="1"/>
  <c r="I178" i="11" s="1"/>
  <c r="G168" i="11"/>
  <c r="H168" i="11" s="1"/>
  <c r="I168" i="11" s="1"/>
  <c r="G205" i="11"/>
  <c r="H205" i="11" s="1"/>
  <c r="I205" i="11" s="1"/>
  <c r="G105" i="11"/>
  <c r="H105" i="11" s="1"/>
  <c r="I105" i="11" s="1"/>
  <c r="G160" i="11"/>
  <c r="H160" i="11" s="1"/>
  <c r="I160" i="11" s="1"/>
  <c r="G128" i="11"/>
  <c r="H128" i="11" s="1"/>
  <c r="I128" i="11" s="1"/>
  <c r="G72" i="11"/>
  <c r="H72" i="11" s="1"/>
  <c r="I72" i="11" s="1"/>
  <c r="G186" i="11"/>
  <c r="H186" i="11" s="1"/>
  <c r="I186" i="11" s="1"/>
  <c r="G187" i="11"/>
  <c r="H187" i="11" s="1"/>
  <c r="I187" i="11" s="1"/>
  <c r="G104" i="11"/>
  <c r="H104" i="11" s="1"/>
  <c r="I104" i="11" s="1"/>
  <c r="G191" i="11"/>
  <c r="H191" i="11" s="1"/>
  <c r="I191" i="11" s="1"/>
  <c r="G172" i="11"/>
  <c r="H172" i="11" s="1"/>
  <c r="I172" i="11" s="1"/>
  <c r="G161" i="11"/>
  <c r="H161" i="11" s="1"/>
  <c r="I161" i="11" s="1"/>
  <c r="G102" i="11"/>
  <c r="H102" i="11" s="1"/>
  <c r="I102" i="11" s="1"/>
  <c r="G123" i="11"/>
  <c r="H123" i="11" s="1"/>
  <c r="I123" i="11" s="1"/>
  <c r="G99" i="11"/>
  <c r="H99" i="11" s="1"/>
  <c r="I99" i="11" s="1"/>
  <c r="G199" i="11"/>
  <c r="H199" i="11" s="1"/>
  <c r="I199" i="11" s="1"/>
  <c r="G180" i="11"/>
  <c r="H180" i="11" s="1"/>
  <c r="I180" i="11" s="1"/>
  <c r="G198" i="11"/>
  <c r="H198" i="11" s="1"/>
  <c r="I198" i="11" s="1"/>
  <c r="G120" i="11"/>
  <c r="H120" i="11" s="1"/>
  <c r="I120" i="11" s="1"/>
  <c r="G131" i="11"/>
  <c r="H131" i="11" s="1"/>
  <c r="I131" i="11" s="1"/>
  <c r="G49" i="11"/>
  <c r="H49" i="11" s="1"/>
  <c r="I49" i="11" s="1"/>
  <c r="G184" i="11"/>
  <c r="H184" i="11" s="1"/>
  <c r="I184" i="11" s="1"/>
  <c r="G188" i="11"/>
  <c r="H188" i="11" s="1"/>
  <c r="I188" i="11" s="1"/>
  <c r="G176" i="11"/>
  <c r="H176" i="11" s="1"/>
  <c r="I176" i="11" s="1"/>
  <c r="G134" i="11"/>
  <c r="H134" i="11" s="1"/>
  <c r="I134" i="11" s="1"/>
  <c r="G108" i="11"/>
  <c r="H108" i="11" s="1"/>
  <c r="I108" i="11" s="1"/>
  <c r="G75" i="11"/>
  <c r="H75" i="11" s="1"/>
  <c r="I75" i="11" s="1"/>
  <c r="G200" i="11"/>
  <c r="H200" i="11" s="1"/>
  <c r="I200" i="11" s="1"/>
  <c r="G196" i="11"/>
  <c r="H196" i="11" s="1"/>
  <c r="I196" i="11" s="1"/>
  <c r="G159" i="11"/>
  <c r="H159" i="11" s="1"/>
  <c r="I159" i="11" s="1"/>
  <c r="G121" i="11"/>
  <c r="H121" i="11" s="1"/>
  <c r="I121" i="11" s="1"/>
  <c r="G101" i="11"/>
  <c r="H101" i="11" s="1"/>
  <c r="I101" i="11" s="1"/>
  <c r="G51" i="11"/>
  <c r="H51" i="11" s="1"/>
  <c r="I51" i="11" s="1"/>
  <c r="G204" i="11"/>
  <c r="H204" i="11" s="1"/>
  <c r="I204" i="11" s="1"/>
  <c r="G162" i="11"/>
  <c r="H162" i="11" s="1"/>
  <c r="I162" i="11" s="1"/>
  <c r="G167" i="11"/>
  <c r="H167" i="11" s="1"/>
  <c r="I167" i="11" s="1"/>
  <c r="G114" i="11"/>
  <c r="H114" i="11" s="1"/>
  <c r="I114" i="11" s="1"/>
  <c r="G106" i="11"/>
  <c r="H106" i="11" s="1"/>
  <c r="I106" i="11" s="1"/>
  <c r="G48" i="11"/>
  <c r="H48" i="11" s="1"/>
  <c r="I48" i="11" s="1"/>
  <c r="G192" i="11"/>
  <c r="H192" i="11" s="1"/>
  <c r="I192" i="11" s="1"/>
  <c r="G165" i="11"/>
  <c r="H165" i="11" s="1"/>
  <c r="I165" i="11" s="1"/>
  <c r="G175" i="11"/>
  <c r="H175" i="11" s="1"/>
  <c r="I175" i="11" s="1"/>
  <c r="G50" i="11"/>
  <c r="H50" i="11" s="1"/>
  <c r="I50" i="11" s="1"/>
  <c r="G100" i="11"/>
  <c r="H100" i="11" s="1"/>
  <c r="I100" i="11" s="1"/>
  <c r="G76" i="11"/>
  <c r="H76" i="11" s="1"/>
  <c r="I76" i="11" s="1"/>
  <c r="G177" i="11"/>
  <c r="H177" i="11" s="1"/>
  <c r="I177" i="11" s="1"/>
  <c r="G173" i="11"/>
  <c r="H173" i="11" s="1"/>
  <c r="I173" i="11" s="1"/>
  <c r="G195" i="11"/>
  <c r="H195" i="11" s="1"/>
  <c r="I195" i="11" s="1"/>
  <c r="G119" i="11"/>
  <c r="H119" i="11" s="1"/>
  <c r="I119" i="11" s="1"/>
  <c r="G117" i="11"/>
  <c r="H117" i="11" s="1"/>
  <c r="I117" i="11" s="1"/>
  <c r="G70" i="11"/>
  <c r="H70" i="11" s="1"/>
  <c r="I70" i="11" s="1"/>
  <c r="G181" i="11"/>
  <c r="H181" i="11" s="1"/>
  <c r="I181" i="11" s="1"/>
  <c r="G185" i="11"/>
  <c r="H185" i="11" s="1"/>
  <c r="I185" i="11" s="1"/>
  <c r="G197" i="11"/>
  <c r="H197" i="11" s="1"/>
  <c r="I197" i="11" s="1"/>
  <c r="G127" i="11"/>
  <c r="H127" i="11" s="1"/>
  <c r="I127" i="11" s="1"/>
  <c r="G133" i="11"/>
  <c r="H133" i="11" s="1"/>
  <c r="I133" i="11" s="1"/>
  <c r="G74" i="11"/>
  <c r="H74" i="11" s="1"/>
  <c r="I74" i="11" s="1"/>
  <c r="G193" i="11"/>
  <c r="H193" i="11" s="1"/>
  <c r="I193" i="11" s="1"/>
  <c r="G169" i="11"/>
  <c r="H169" i="11" s="1"/>
  <c r="I169" i="11" s="1"/>
  <c r="G103" i="11"/>
  <c r="H103" i="11" s="1"/>
  <c r="I103" i="11" s="1"/>
  <c r="G135" i="11"/>
  <c r="H135" i="11" s="1"/>
  <c r="I135" i="11" s="1"/>
  <c r="G132" i="11"/>
  <c r="H132" i="11" s="1"/>
  <c r="I132" i="11" s="1"/>
  <c r="G68" i="11"/>
  <c r="H68" i="11" s="1"/>
  <c r="I68" i="11" s="1"/>
  <c r="G201" i="11"/>
  <c r="H201" i="11" s="1"/>
  <c r="I201" i="11" s="1"/>
  <c r="G170" i="11"/>
  <c r="H170" i="11" s="1"/>
  <c r="I170" i="11" s="1"/>
  <c r="G118" i="11"/>
  <c r="H118" i="11" s="1"/>
  <c r="I118" i="11" s="1"/>
  <c r="G126" i="11"/>
  <c r="H126" i="11" s="1"/>
  <c r="I126" i="11" s="1"/>
  <c r="G109" i="11"/>
  <c r="H109" i="11" s="1"/>
  <c r="I109" i="11" s="1"/>
  <c r="G78" i="11"/>
  <c r="H78" i="11" s="1"/>
  <c r="I78" i="11" s="1"/>
  <c r="G182" i="11"/>
  <c r="H182" i="11" s="1"/>
  <c r="I182" i="11" s="1"/>
  <c r="G203" i="11"/>
  <c r="H203" i="11" s="1"/>
  <c r="I203" i="11" s="1"/>
  <c r="G171" i="11"/>
  <c r="H171" i="11" s="1"/>
  <c r="I171" i="11" s="1"/>
  <c r="G111" i="11"/>
  <c r="H111" i="11" s="1"/>
  <c r="I111" i="11" s="1"/>
  <c r="G113" i="11"/>
  <c r="H113" i="11" s="1"/>
  <c r="I113" i="11" s="1"/>
  <c r="G125" i="11"/>
  <c r="H125" i="11" s="1"/>
  <c r="I125" i="11" s="1"/>
  <c r="G71" i="11"/>
  <c r="H71" i="11" s="1"/>
  <c r="I71" i="11" s="1"/>
  <c r="G190" i="11"/>
  <c r="H190" i="11" s="1"/>
  <c r="I190" i="11" s="1"/>
  <c r="G202" i="11"/>
  <c r="H202" i="11" s="1"/>
  <c r="I202" i="11" s="1"/>
  <c r="G164" i="11"/>
  <c r="H164" i="11" s="1"/>
  <c r="I164" i="11" s="1"/>
  <c r="G69" i="11"/>
  <c r="H69" i="11" s="1"/>
  <c r="I69" i="11" s="1"/>
  <c r="G122" i="11"/>
  <c r="H122" i="11" s="1"/>
  <c r="I122" i="11" s="1"/>
  <c r="G67" i="11"/>
  <c r="H67" i="11" s="1"/>
  <c r="I67" i="11" s="1"/>
  <c r="G112" i="11"/>
  <c r="H112" i="11" s="1"/>
  <c r="I112" i="11" s="1"/>
  <c r="G73" i="11"/>
  <c r="H73" i="11" s="1"/>
  <c r="I73" i="11" s="1"/>
  <c r="G166" i="11"/>
  <c r="H166" i="11" s="1"/>
  <c r="I166" i="11" s="1"/>
  <c r="G116" i="11"/>
  <c r="H116" i="11" s="1"/>
  <c r="I116" i="11" s="1"/>
  <c r="G174" i="11"/>
  <c r="H174" i="11" s="1"/>
  <c r="I174" i="11" s="1"/>
  <c r="G130" i="11"/>
  <c r="H130" i="11" s="1"/>
  <c r="I130" i="11" s="1"/>
  <c r="G163" i="11"/>
  <c r="H163" i="11" s="1"/>
  <c r="I163" i="11" s="1"/>
  <c r="G206" i="11"/>
  <c r="H206" i="11" s="1"/>
  <c r="I206" i="11" s="1"/>
  <c r="G55" i="11"/>
  <c r="H55" i="11" s="1"/>
  <c r="I55" i="11" s="1"/>
  <c r="G54" i="11"/>
  <c r="H54" i="11" s="1"/>
  <c r="I54" i="11" s="1"/>
  <c r="G52" i="11"/>
  <c r="H52" i="11" s="1"/>
  <c r="I52" i="11" s="1"/>
  <c r="G53" i="11"/>
  <c r="H53" i="11" s="1"/>
  <c r="I53" i="11" s="1"/>
  <c r="G29" i="11"/>
  <c r="H29" i="11" s="1"/>
  <c r="I29" i="11" s="1"/>
  <c r="G41" i="11"/>
  <c r="H41" i="11" s="1"/>
  <c r="I41" i="11" s="1"/>
  <c r="G30" i="11"/>
  <c r="H30" i="11" s="1"/>
  <c r="I30" i="11" s="1"/>
  <c r="G37" i="11"/>
  <c r="H37" i="11" s="1"/>
  <c r="I37" i="11" s="1"/>
  <c r="G31" i="11"/>
  <c r="H31" i="11" s="1"/>
  <c r="I31" i="11" s="1"/>
  <c r="G45" i="11"/>
  <c r="H45" i="11" s="1"/>
  <c r="I45" i="11" s="1"/>
  <c r="G24" i="11"/>
  <c r="H24" i="11" s="1"/>
  <c r="I24" i="11" s="1"/>
  <c r="G23" i="11"/>
  <c r="H23" i="11" s="1"/>
  <c r="I23" i="11" s="1"/>
  <c r="G28" i="11"/>
  <c r="H28" i="11" s="1"/>
  <c r="I28" i="11" s="1"/>
  <c r="G38" i="11"/>
  <c r="H38" i="11" s="1"/>
  <c r="I38" i="11" s="1"/>
  <c r="G25" i="11"/>
  <c r="H25" i="11" s="1"/>
  <c r="I25" i="11" s="1"/>
  <c r="G46" i="11"/>
  <c r="H46" i="11" s="1"/>
  <c r="I46" i="11" s="1"/>
  <c r="G26" i="11"/>
  <c r="H26" i="11" s="1"/>
  <c r="I26" i="11" s="1"/>
  <c r="G39" i="11"/>
  <c r="H39" i="11" s="1"/>
  <c r="I39" i="11" s="1"/>
  <c r="G47" i="11"/>
  <c r="H47" i="11" s="1"/>
  <c r="I47" i="11" s="1"/>
  <c r="G19" i="11"/>
  <c r="H19" i="11" s="1"/>
  <c r="I19" i="11" s="1"/>
  <c r="G27" i="11"/>
  <c r="H27" i="11" s="1"/>
  <c r="I27" i="11" s="1"/>
  <c r="G43" i="11"/>
  <c r="H43" i="11" s="1"/>
  <c r="I43" i="11" s="1"/>
  <c r="G20" i="11"/>
  <c r="H20" i="11" s="1"/>
  <c r="I20" i="11" s="1"/>
  <c r="G22" i="11"/>
  <c r="H22" i="11" s="1"/>
  <c r="I22" i="11" s="1"/>
  <c r="G40" i="11"/>
  <c r="H40" i="11" s="1"/>
  <c r="I40" i="11" s="1"/>
  <c r="G42" i="11"/>
  <c r="H42" i="11" s="1"/>
  <c r="I42" i="11" s="1"/>
  <c r="G44" i="11"/>
  <c r="H44" i="11" s="1"/>
  <c r="I44" i="11" s="1"/>
  <c r="G21" i="11"/>
  <c r="H21" i="11" s="1"/>
  <c r="I21" i="11" s="1"/>
  <c r="G90" i="11"/>
  <c r="H90" i="11" s="1"/>
  <c r="I90" i="11" s="1"/>
  <c r="G137" i="11"/>
  <c r="H137" i="11" s="1"/>
  <c r="I137" i="11" s="1"/>
  <c r="G89" i="11"/>
  <c r="H89" i="11" s="1"/>
  <c r="I89" i="11" s="1"/>
  <c r="G88" i="11"/>
  <c r="H88" i="11" s="1"/>
  <c r="I88" i="11" s="1"/>
  <c r="G93" i="11"/>
  <c r="H93" i="11" s="1"/>
  <c r="I93" i="11" s="1"/>
  <c r="G95" i="11"/>
  <c r="H95" i="11" s="1"/>
  <c r="I95" i="11" s="1"/>
  <c r="G96" i="11"/>
  <c r="H96" i="11" s="1"/>
  <c r="I96" i="11" s="1"/>
  <c r="G97" i="11"/>
  <c r="H97" i="11" s="1"/>
  <c r="I97" i="11" s="1"/>
  <c r="G94" i="11"/>
  <c r="H94" i="11" s="1"/>
  <c r="I94" i="11" s="1"/>
  <c r="G91" i="11"/>
  <c r="H91" i="11" s="1"/>
  <c r="I91" i="11" s="1"/>
  <c r="G92" i="11"/>
  <c r="H92" i="11" s="1"/>
  <c r="I92" i="11" s="1"/>
  <c r="G157" i="11"/>
  <c r="H157" i="11" s="1"/>
  <c r="I157" i="11" s="1"/>
  <c r="G34" i="11"/>
  <c r="H34" i="11" s="1"/>
  <c r="I34" i="11" s="1"/>
  <c r="G18" i="11"/>
  <c r="H18" i="11" s="1"/>
  <c r="G33" i="11"/>
  <c r="H33" i="11" s="1"/>
  <c r="I33" i="11" s="1"/>
  <c r="G32" i="11"/>
  <c r="H32" i="11" s="1"/>
  <c r="I32" i="11" s="1"/>
  <c r="G35" i="11"/>
  <c r="H35" i="11" s="1"/>
  <c r="I35" i="11" s="1"/>
  <c r="G36" i="11"/>
  <c r="H36" i="11" s="1"/>
  <c r="I36" i="11" s="1"/>
  <c r="W30" i="4"/>
  <c r="X30" i="4"/>
  <c r="W78" i="4"/>
  <c r="X78" i="4"/>
  <c r="W126" i="4"/>
  <c r="X126" i="4"/>
  <c r="W174" i="4"/>
  <c r="X174" i="4"/>
  <c r="W214" i="4"/>
  <c r="X214" i="4"/>
  <c r="W254" i="4"/>
  <c r="X254" i="4"/>
  <c r="W294" i="4"/>
  <c r="X294" i="4"/>
  <c r="W334" i="4"/>
  <c r="X334" i="4"/>
  <c r="W382" i="4"/>
  <c r="X382" i="4"/>
  <c r="W430" i="4"/>
  <c r="X430" i="4"/>
  <c r="W462" i="4"/>
  <c r="X462" i="4"/>
  <c r="W502" i="4"/>
  <c r="X502" i="4"/>
  <c r="W63" i="4"/>
  <c r="X63" i="4"/>
  <c r="W111" i="4"/>
  <c r="X111" i="4"/>
  <c r="W159" i="4"/>
  <c r="X159" i="4"/>
  <c r="W199" i="4"/>
  <c r="X199" i="4"/>
  <c r="W231" i="4"/>
  <c r="X231" i="4"/>
  <c r="W271" i="4"/>
  <c r="X271" i="4"/>
  <c r="W287" i="4"/>
  <c r="X287" i="4"/>
  <c r="W335" i="4"/>
  <c r="X335" i="4"/>
  <c r="W359" i="4"/>
  <c r="X359" i="4"/>
  <c r="W399" i="4"/>
  <c r="X399" i="4"/>
  <c r="W423" i="4"/>
  <c r="X423" i="4"/>
  <c r="W447" i="4"/>
  <c r="X447" i="4"/>
  <c r="W471" i="4"/>
  <c r="X471" i="4"/>
  <c r="W495" i="4"/>
  <c r="X495" i="4"/>
  <c r="W527" i="4"/>
  <c r="X527" i="4"/>
  <c r="W8" i="4"/>
  <c r="X8" i="4"/>
  <c r="W16" i="4"/>
  <c r="X16" i="4"/>
  <c r="W24" i="4"/>
  <c r="X24" i="4"/>
  <c r="W32" i="4"/>
  <c r="X32" i="4"/>
  <c r="W40" i="4"/>
  <c r="X40" i="4"/>
  <c r="W48" i="4"/>
  <c r="X48" i="4"/>
  <c r="W56" i="4"/>
  <c r="X56" i="4"/>
  <c r="W64" i="4"/>
  <c r="X64" i="4"/>
  <c r="W72" i="4"/>
  <c r="X72" i="4"/>
  <c r="W80" i="4"/>
  <c r="X80" i="4"/>
  <c r="W88" i="4"/>
  <c r="X88" i="4"/>
  <c r="W96" i="4"/>
  <c r="X96" i="4"/>
  <c r="W104" i="4"/>
  <c r="X104" i="4"/>
  <c r="W112" i="4"/>
  <c r="X112" i="4"/>
  <c r="W120" i="4"/>
  <c r="X120" i="4"/>
  <c r="W128" i="4"/>
  <c r="X128" i="4"/>
  <c r="W136" i="4"/>
  <c r="X136" i="4"/>
  <c r="W144" i="4"/>
  <c r="X144" i="4"/>
  <c r="W152" i="4"/>
  <c r="X152" i="4"/>
  <c r="W160" i="4"/>
  <c r="X160" i="4"/>
  <c r="W168" i="4"/>
  <c r="X168" i="4"/>
  <c r="W176" i="4"/>
  <c r="X176" i="4"/>
  <c r="W184" i="4"/>
  <c r="X184" i="4"/>
  <c r="W192" i="4"/>
  <c r="X192" i="4"/>
  <c r="W200" i="4"/>
  <c r="X200" i="4"/>
  <c r="W208" i="4"/>
  <c r="X208" i="4"/>
  <c r="W216" i="4"/>
  <c r="X216" i="4"/>
  <c r="W224" i="4"/>
  <c r="X224" i="4"/>
  <c r="W232" i="4"/>
  <c r="X232" i="4"/>
  <c r="W240" i="4"/>
  <c r="X240" i="4"/>
  <c r="W248" i="4"/>
  <c r="X248" i="4"/>
  <c r="W256" i="4"/>
  <c r="X256" i="4"/>
  <c r="W264" i="4"/>
  <c r="X264" i="4"/>
  <c r="W272" i="4"/>
  <c r="X272" i="4"/>
  <c r="W280" i="4"/>
  <c r="X280" i="4"/>
  <c r="W288" i="4"/>
  <c r="X288" i="4"/>
  <c r="W296" i="4"/>
  <c r="X296" i="4"/>
  <c r="W304" i="4"/>
  <c r="X304" i="4"/>
  <c r="W312" i="4"/>
  <c r="X312" i="4"/>
  <c r="W320" i="4"/>
  <c r="X320" i="4"/>
  <c r="W328" i="4"/>
  <c r="X328" i="4"/>
  <c r="W336" i="4"/>
  <c r="X336" i="4"/>
  <c r="W344" i="4"/>
  <c r="X344" i="4"/>
  <c r="W352" i="4"/>
  <c r="X352" i="4"/>
  <c r="W360" i="4"/>
  <c r="X360" i="4"/>
  <c r="W368" i="4"/>
  <c r="X368" i="4"/>
  <c r="W376" i="4"/>
  <c r="X376" i="4"/>
  <c r="W384" i="4"/>
  <c r="X384" i="4"/>
  <c r="W392" i="4"/>
  <c r="X392" i="4"/>
  <c r="W400" i="4"/>
  <c r="X400" i="4"/>
  <c r="W408" i="4"/>
  <c r="X408" i="4"/>
  <c r="W416" i="4"/>
  <c r="X416" i="4"/>
  <c r="W424" i="4"/>
  <c r="X424" i="4"/>
  <c r="W432" i="4"/>
  <c r="X432" i="4"/>
  <c r="W440" i="4"/>
  <c r="X440" i="4"/>
  <c r="W448" i="4"/>
  <c r="X448" i="4"/>
  <c r="W456" i="4"/>
  <c r="X456" i="4"/>
  <c r="W464" i="4"/>
  <c r="X464" i="4"/>
  <c r="W472" i="4"/>
  <c r="X472" i="4"/>
  <c r="W480" i="4"/>
  <c r="X480" i="4"/>
  <c r="W488" i="4"/>
  <c r="X488" i="4"/>
  <c r="W496" i="4"/>
  <c r="X496" i="4"/>
  <c r="W504" i="4"/>
  <c r="X504" i="4"/>
  <c r="W512" i="4"/>
  <c r="X512" i="4"/>
  <c r="W520" i="4"/>
  <c r="X520" i="4"/>
  <c r="W528" i="4"/>
  <c r="X528" i="4"/>
  <c r="W536" i="4"/>
  <c r="X536" i="4"/>
  <c r="W14" i="4"/>
  <c r="X14" i="4"/>
  <c r="W62" i="4"/>
  <c r="X62" i="4"/>
  <c r="W118" i="4"/>
  <c r="X118" i="4"/>
  <c r="W166" i="4"/>
  <c r="X166" i="4"/>
  <c r="W222" i="4"/>
  <c r="X222" i="4"/>
  <c r="W286" i="4"/>
  <c r="X286" i="4"/>
  <c r="W350" i="4"/>
  <c r="X350" i="4"/>
  <c r="W398" i="4"/>
  <c r="X398" i="4"/>
  <c r="W454" i="4"/>
  <c r="X454" i="4"/>
  <c r="W534" i="4"/>
  <c r="X534" i="4"/>
  <c r="W39" i="4"/>
  <c r="X39" i="4"/>
  <c r="W79" i="4"/>
  <c r="X79" i="4"/>
  <c r="W127" i="4"/>
  <c r="X127" i="4"/>
  <c r="W183" i="4"/>
  <c r="X183" i="4"/>
  <c r="W255" i="4"/>
  <c r="X255" i="4"/>
  <c r="W311" i="4"/>
  <c r="X311" i="4"/>
  <c r="W367" i="4"/>
  <c r="X367" i="4"/>
  <c r="W415" i="4"/>
  <c r="X415" i="4"/>
  <c r="W439" i="4"/>
  <c r="X439" i="4"/>
  <c r="W479" i="4"/>
  <c r="X479" i="4"/>
  <c r="W519" i="4"/>
  <c r="X519" i="4"/>
  <c r="W9" i="4"/>
  <c r="X9" i="4"/>
  <c r="W25" i="4"/>
  <c r="X25" i="4"/>
  <c r="W33" i="4"/>
  <c r="X33" i="4"/>
  <c r="W41" i="4"/>
  <c r="X41" i="4"/>
  <c r="W49" i="4"/>
  <c r="X49" i="4"/>
  <c r="W57" i="4"/>
  <c r="X57" i="4"/>
  <c r="W65" i="4"/>
  <c r="X65" i="4"/>
  <c r="W73" i="4"/>
  <c r="X73" i="4"/>
  <c r="W81" i="4"/>
  <c r="X81" i="4"/>
  <c r="W89" i="4"/>
  <c r="X89" i="4"/>
  <c r="W97" i="4"/>
  <c r="X97" i="4"/>
  <c r="W105" i="4"/>
  <c r="X105" i="4"/>
  <c r="W113" i="4"/>
  <c r="X113" i="4"/>
  <c r="W121" i="4"/>
  <c r="X121" i="4"/>
  <c r="W129" i="4"/>
  <c r="X129" i="4"/>
  <c r="W137" i="4"/>
  <c r="X137" i="4"/>
  <c r="W145" i="4"/>
  <c r="X145" i="4"/>
  <c r="W153" i="4"/>
  <c r="X153" i="4"/>
  <c r="W161" i="4"/>
  <c r="X161" i="4"/>
  <c r="W169" i="4"/>
  <c r="X169" i="4"/>
  <c r="W177" i="4"/>
  <c r="X177" i="4"/>
  <c r="W185" i="4"/>
  <c r="X185" i="4"/>
  <c r="W193" i="4"/>
  <c r="X193" i="4"/>
  <c r="W201" i="4"/>
  <c r="X201" i="4"/>
  <c r="W209" i="4"/>
  <c r="X209" i="4"/>
  <c r="W217" i="4"/>
  <c r="X217" i="4"/>
  <c r="W225" i="4"/>
  <c r="X225" i="4"/>
  <c r="W233" i="4"/>
  <c r="X233" i="4"/>
  <c r="W241" i="4"/>
  <c r="X241" i="4"/>
  <c r="W249" i="4"/>
  <c r="X249" i="4"/>
  <c r="W257" i="4"/>
  <c r="X257" i="4"/>
  <c r="W265" i="4"/>
  <c r="X265" i="4"/>
  <c r="W273" i="4"/>
  <c r="X273" i="4"/>
  <c r="W281" i="4"/>
  <c r="X281" i="4"/>
  <c r="W289" i="4"/>
  <c r="X289" i="4"/>
  <c r="W297" i="4"/>
  <c r="X297" i="4"/>
  <c r="W305" i="4"/>
  <c r="X305" i="4"/>
  <c r="W313" i="4"/>
  <c r="X313" i="4"/>
  <c r="W321" i="4"/>
  <c r="X321" i="4"/>
  <c r="W329" i="4"/>
  <c r="X329" i="4"/>
  <c r="W337" i="4"/>
  <c r="X337" i="4"/>
  <c r="W345" i="4"/>
  <c r="X345" i="4"/>
  <c r="W353" i="4"/>
  <c r="X353" i="4"/>
  <c r="W361" i="4"/>
  <c r="X361" i="4"/>
  <c r="W369" i="4"/>
  <c r="X369" i="4"/>
  <c r="W377" i="4"/>
  <c r="X377" i="4"/>
  <c r="W385" i="4"/>
  <c r="X385" i="4"/>
  <c r="W393" i="4"/>
  <c r="X393" i="4"/>
  <c r="W401" i="4"/>
  <c r="X401" i="4"/>
  <c r="W409" i="4"/>
  <c r="X409" i="4"/>
  <c r="W417" i="4"/>
  <c r="X417" i="4"/>
  <c r="W425" i="4"/>
  <c r="X425" i="4"/>
  <c r="W433" i="4"/>
  <c r="X433" i="4"/>
  <c r="W441" i="4"/>
  <c r="X441" i="4"/>
  <c r="W449" i="4"/>
  <c r="X449" i="4"/>
  <c r="W457" i="4"/>
  <c r="X457" i="4"/>
  <c r="W465" i="4"/>
  <c r="X465" i="4"/>
  <c r="W473" i="4"/>
  <c r="X473" i="4"/>
  <c r="W481" i="4"/>
  <c r="X481" i="4"/>
  <c r="W489" i="4"/>
  <c r="X489" i="4"/>
  <c r="W497" i="4"/>
  <c r="X497" i="4"/>
  <c r="W505" i="4"/>
  <c r="X505" i="4"/>
  <c r="W513" i="4"/>
  <c r="X513" i="4"/>
  <c r="W521" i="4"/>
  <c r="X521" i="4"/>
  <c r="W529" i="4"/>
  <c r="X529" i="4"/>
  <c r="W537" i="4"/>
  <c r="X537" i="4"/>
  <c r="W22" i="4"/>
  <c r="X22" i="4"/>
  <c r="W70" i="4"/>
  <c r="X70" i="4"/>
  <c r="W102" i="4"/>
  <c r="X102" i="4"/>
  <c r="W150" i="4"/>
  <c r="X150" i="4"/>
  <c r="W198" i="4"/>
  <c r="X198" i="4"/>
  <c r="W246" i="4"/>
  <c r="X246" i="4"/>
  <c r="W302" i="4"/>
  <c r="X302" i="4"/>
  <c r="W342" i="4"/>
  <c r="X342" i="4"/>
  <c r="W374" i="4"/>
  <c r="X374" i="4"/>
  <c r="W422" i="4"/>
  <c r="X422" i="4"/>
  <c r="W486" i="4"/>
  <c r="X486" i="4"/>
  <c r="W518" i="4"/>
  <c r="X518" i="4"/>
  <c r="W7" i="4"/>
  <c r="X7" i="4"/>
  <c r="W47" i="4"/>
  <c r="X47" i="4"/>
  <c r="W87" i="4"/>
  <c r="X87" i="4"/>
  <c r="W151" i="4"/>
  <c r="X151" i="4"/>
  <c r="W207" i="4"/>
  <c r="X207" i="4"/>
  <c r="W239" i="4"/>
  <c r="X239" i="4"/>
  <c r="W295" i="4"/>
  <c r="X295" i="4"/>
  <c r="W327" i="4"/>
  <c r="X327" i="4"/>
  <c r="W343" i="4"/>
  <c r="X343" i="4"/>
  <c r="W375" i="4"/>
  <c r="X375" i="4"/>
  <c r="W407" i="4"/>
  <c r="X407" i="4"/>
  <c r="W431" i="4"/>
  <c r="X431" i="4"/>
  <c r="W455" i="4"/>
  <c r="X455" i="4"/>
  <c r="W463" i="4"/>
  <c r="X463" i="4"/>
  <c r="W511" i="4"/>
  <c r="X511" i="4"/>
  <c r="W535" i="4"/>
  <c r="X535" i="4"/>
  <c r="W17" i="4"/>
  <c r="X17" i="4"/>
  <c r="W10" i="4"/>
  <c r="X10" i="4"/>
  <c r="W18" i="4"/>
  <c r="X18" i="4"/>
  <c r="W26" i="4"/>
  <c r="X26" i="4"/>
  <c r="W34" i="4"/>
  <c r="X34" i="4"/>
  <c r="W42" i="4"/>
  <c r="X42" i="4"/>
  <c r="W50" i="4"/>
  <c r="X50" i="4"/>
  <c r="W58" i="4"/>
  <c r="X58" i="4"/>
  <c r="W66" i="4"/>
  <c r="X66" i="4"/>
  <c r="W74" i="4"/>
  <c r="X74" i="4"/>
  <c r="W82" i="4"/>
  <c r="X82" i="4"/>
  <c r="W90" i="4"/>
  <c r="X90" i="4"/>
  <c r="W98" i="4"/>
  <c r="X98" i="4"/>
  <c r="W106" i="4"/>
  <c r="X106" i="4"/>
  <c r="W114" i="4"/>
  <c r="X114" i="4"/>
  <c r="W122" i="4"/>
  <c r="X122" i="4"/>
  <c r="W130" i="4"/>
  <c r="X130" i="4"/>
  <c r="W138" i="4"/>
  <c r="X138" i="4"/>
  <c r="W146" i="4"/>
  <c r="X146" i="4"/>
  <c r="W154" i="4"/>
  <c r="X154" i="4"/>
  <c r="W162" i="4"/>
  <c r="X162" i="4"/>
  <c r="W170" i="4"/>
  <c r="X170" i="4"/>
  <c r="W178" i="4"/>
  <c r="X178" i="4"/>
  <c r="W186" i="4"/>
  <c r="X186" i="4"/>
  <c r="W194" i="4"/>
  <c r="X194" i="4"/>
  <c r="W202" i="4"/>
  <c r="X202" i="4"/>
  <c r="W210" i="4"/>
  <c r="X210" i="4"/>
  <c r="W218" i="4"/>
  <c r="X218" i="4"/>
  <c r="W226" i="4"/>
  <c r="X226" i="4"/>
  <c r="W234" i="4"/>
  <c r="X234" i="4"/>
  <c r="W242" i="4"/>
  <c r="X242" i="4"/>
  <c r="W250" i="4"/>
  <c r="X250" i="4"/>
  <c r="W258" i="4"/>
  <c r="X258" i="4"/>
  <c r="W266" i="4"/>
  <c r="X266" i="4"/>
  <c r="W274" i="4"/>
  <c r="X274" i="4"/>
  <c r="W282" i="4"/>
  <c r="X282" i="4"/>
  <c r="W290" i="4"/>
  <c r="X290" i="4"/>
  <c r="W298" i="4"/>
  <c r="X298" i="4"/>
  <c r="W306" i="4"/>
  <c r="X306" i="4"/>
  <c r="W314" i="4"/>
  <c r="X314" i="4"/>
  <c r="W322" i="4"/>
  <c r="X322" i="4"/>
  <c r="W330" i="4"/>
  <c r="X330" i="4"/>
  <c r="W338" i="4"/>
  <c r="X338" i="4"/>
  <c r="W346" i="4"/>
  <c r="X346" i="4"/>
  <c r="W354" i="4"/>
  <c r="X354" i="4"/>
  <c r="W362" i="4"/>
  <c r="X362" i="4"/>
  <c r="W370" i="4"/>
  <c r="X370" i="4"/>
  <c r="W378" i="4"/>
  <c r="X378" i="4"/>
  <c r="W386" i="4"/>
  <c r="X386" i="4"/>
  <c r="W394" i="4"/>
  <c r="X394" i="4"/>
  <c r="W402" i="4"/>
  <c r="X402" i="4"/>
  <c r="W410" i="4"/>
  <c r="X410" i="4"/>
  <c r="W418" i="4"/>
  <c r="X418" i="4"/>
  <c r="W426" i="4"/>
  <c r="X426" i="4"/>
  <c r="W434" i="4"/>
  <c r="X434" i="4"/>
  <c r="W442" i="4"/>
  <c r="X442" i="4"/>
  <c r="W450" i="4"/>
  <c r="X450" i="4"/>
  <c r="W458" i="4"/>
  <c r="X458" i="4"/>
  <c r="W466" i="4"/>
  <c r="X466" i="4"/>
  <c r="W474" i="4"/>
  <c r="X474" i="4"/>
  <c r="W482" i="4"/>
  <c r="X482" i="4"/>
  <c r="W490" i="4"/>
  <c r="X490" i="4"/>
  <c r="W498" i="4"/>
  <c r="X498" i="4"/>
  <c r="W506" i="4"/>
  <c r="X506" i="4"/>
  <c r="W514" i="4"/>
  <c r="X514" i="4"/>
  <c r="W522" i="4"/>
  <c r="X522" i="4"/>
  <c r="W530" i="4"/>
  <c r="X530" i="4"/>
  <c r="W538" i="4"/>
  <c r="X538" i="4"/>
  <c r="W46" i="4"/>
  <c r="X46" i="4"/>
  <c r="W110" i="4"/>
  <c r="X110" i="4"/>
  <c r="W158" i="4"/>
  <c r="X158" i="4"/>
  <c r="W206" i="4"/>
  <c r="X206" i="4"/>
  <c r="W262" i="4"/>
  <c r="X262" i="4"/>
  <c r="W310" i="4"/>
  <c r="X310" i="4"/>
  <c r="W358" i="4"/>
  <c r="X358" i="4"/>
  <c r="W406" i="4"/>
  <c r="X406" i="4"/>
  <c r="W446" i="4"/>
  <c r="X446" i="4"/>
  <c r="W470" i="4"/>
  <c r="X470" i="4"/>
  <c r="W510" i="4"/>
  <c r="X510" i="4"/>
  <c r="W31" i="4"/>
  <c r="X31" i="4"/>
  <c r="W95" i="4"/>
  <c r="X95" i="4"/>
  <c r="W143" i="4"/>
  <c r="X143" i="4"/>
  <c r="W191" i="4"/>
  <c r="X191" i="4"/>
  <c r="W247" i="4"/>
  <c r="X247" i="4"/>
  <c r="W319" i="4"/>
  <c r="X319" i="4"/>
  <c r="W391" i="4"/>
  <c r="X391" i="4"/>
  <c r="W503" i="4"/>
  <c r="X503" i="4"/>
  <c r="W11" i="4"/>
  <c r="X11" i="4"/>
  <c r="W19" i="4"/>
  <c r="X19" i="4"/>
  <c r="W43" i="4"/>
  <c r="X43" i="4"/>
  <c r="W51" i="4"/>
  <c r="X51" i="4"/>
  <c r="W75" i="4"/>
  <c r="X75" i="4"/>
  <c r="W91" i="4"/>
  <c r="X91" i="4"/>
  <c r="W107" i="4"/>
  <c r="X107" i="4"/>
  <c r="W123" i="4"/>
  <c r="X123" i="4"/>
  <c r="W139" i="4"/>
  <c r="X139" i="4"/>
  <c r="W155" i="4"/>
  <c r="X155" i="4"/>
  <c r="W163" i="4"/>
  <c r="X163" i="4"/>
  <c r="W171" i="4"/>
  <c r="X171" i="4"/>
  <c r="W179" i="4"/>
  <c r="X179" i="4"/>
  <c r="W187" i="4"/>
  <c r="X187" i="4"/>
  <c r="W195" i="4"/>
  <c r="X195" i="4"/>
  <c r="W203" i="4"/>
  <c r="X203" i="4"/>
  <c r="W211" i="4"/>
  <c r="X211" i="4"/>
  <c r="W219" i="4"/>
  <c r="X219" i="4"/>
  <c r="W227" i="4"/>
  <c r="X227" i="4"/>
  <c r="W235" i="4"/>
  <c r="X235" i="4"/>
  <c r="W243" i="4"/>
  <c r="X243" i="4"/>
  <c r="W251" i="4"/>
  <c r="X251" i="4"/>
  <c r="W259" i="4"/>
  <c r="X259" i="4"/>
  <c r="W267" i="4"/>
  <c r="X267" i="4"/>
  <c r="W275" i="4"/>
  <c r="X275" i="4"/>
  <c r="W283" i="4"/>
  <c r="X283" i="4"/>
  <c r="W291" i="4"/>
  <c r="X291" i="4"/>
  <c r="W299" i="4"/>
  <c r="X299" i="4"/>
  <c r="W307" i="4"/>
  <c r="X307" i="4"/>
  <c r="W315" i="4"/>
  <c r="X315" i="4"/>
  <c r="W323" i="4"/>
  <c r="X323" i="4"/>
  <c r="W331" i="4"/>
  <c r="X331" i="4"/>
  <c r="W339" i="4"/>
  <c r="X339" i="4"/>
  <c r="W347" i="4"/>
  <c r="X347" i="4"/>
  <c r="W355" i="4"/>
  <c r="X355" i="4"/>
  <c r="W363" i="4"/>
  <c r="X363" i="4"/>
  <c r="W371" i="4"/>
  <c r="X371" i="4"/>
  <c r="W379" i="4"/>
  <c r="X379" i="4"/>
  <c r="W387" i="4"/>
  <c r="X387" i="4"/>
  <c r="W395" i="4"/>
  <c r="X395" i="4"/>
  <c r="W403" i="4"/>
  <c r="X403" i="4"/>
  <c r="W411" i="4"/>
  <c r="X411" i="4"/>
  <c r="W419" i="4"/>
  <c r="X419" i="4"/>
  <c r="W427" i="4"/>
  <c r="X427" i="4"/>
  <c r="W435" i="4"/>
  <c r="X435" i="4"/>
  <c r="W443" i="4"/>
  <c r="X443" i="4"/>
  <c r="W451" i="4"/>
  <c r="X451" i="4"/>
  <c r="W459" i="4"/>
  <c r="X459" i="4"/>
  <c r="W467" i="4"/>
  <c r="X467" i="4"/>
  <c r="W475" i="4"/>
  <c r="X475" i="4"/>
  <c r="W483" i="4"/>
  <c r="X483" i="4"/>
  <c r="W491" i="4"/>
  <c r="X491" i="4"/>
  <c r="W499" i="4"/>
  <c r="X499" i="4"/>
  <c r="W507" i="4"/>
  <c r="X507" i="4"/>
  <c r="W515" i="4"/>
  <c r="X515" i="4"/>
  <c r="W523" i="4"/>
  <c r="X523" i="4"/>
  <c r="W531" i="4"/>
  <c r="X531" i="4"/>
  <c r="W539" i="4"/>
  <c r="X539" i="4"/>
  <c r="W38" i="4"/>
  <c r="X38" i="4"/>
  <c r="W86" i="4"/>
  <c r="X86" i="4"/>
  <c r="W134" i="4"/>
  <c r="X134" i="4"/>
  <c r="W182" i="4"/>
  <c r="X182" i="4"/>
  <c r="W230" i="4"/>
  <c r="X230" i="4"/>
  <c r="W278" i="4"/>
  <c r="X278" i="4"/>
  <c r="W326" i="4"/>
  <c r="X326" i="4"/>
  <c r="W390" i="4"/>
  <c r="X390" i="4"/>
  <c r="W438" i="4"/>
  <c r="X438" i="4"/>
  <c r="W494" i="4"/>
  <c r="X494" i="4"/>
  <c r="W15" i="4"/>
  <c r="X15" i="4"/>
  <c r="W71" i="4"/>
  <c r="X71" i="4"/>
  <c r="W119" i="4"/>
  <c r="X119" i="4"/>
  <c r="W175" i="4"/>
  <c r="X175" i="4"/>
  <c r="W215" i="4"/>
  <c r="X215" i="4"/>
  <c r="W263" i="4"/>
  <c r="X263" i="4"/>
  <c r="W303" i="4"/>
  <c r="X303" i="4"/>
  <c r="W351" i="4"/>
  <c r="X351" i="4"/>
  <c r="W487" i="4"/>
  <c r="X487" i="4"/>
  <c r="W27" i="4"/>
  <c r="X27" i="4"/>
  <c r="W35" i="4"/>
  <c r="X35" i="4"/>
  <c r="W59" i="4"/>
  <c r="X59" i="4"/>
  <c r="W67" i="4"/>
  <c r="X67" i="4"/>
  <c r="W83" i="4"/>
  <c r="X83" i="4"/>
  <c r="W99" i="4"/>
  <c r="X99" i="4"/>
  <c r="W115" i="4"/>
  <c r="X115" i="4"/>
  <c r="W131" i="4"/>
  <c r="X131" i="4"/>
  <c r="W147" i="4"/>
  <c r="X147" i="4"/>
  <c r="W4" i="4"/>
  <c r="X4" i="4"/>
  <c r="W12" i="4"/>
  <c r="X12" i="4"/>
  <c r="W20" i="4"/>
  <c r="X20" i="4"/>
  <c r="W28" i="4"/>
  <c r="X28" i="4"/>
  <c r="W36" i="4"/>
  <c r="X36" i="4"/>
  <c r="W44" i="4"/>
  <c r="X44" i="4"/>
  <c r="W52" i="4"/>
  <c r="X52" i="4"/>
  <c r="W60" i="4"/>
  <c r="X60" i="4"/>
  <c r="W68" i="4"/>
  <c r="X68" i="4"/>
  <c r="W76" i="4"/>
  <c r="X76" i="4"/>
  <c r="W84" i="4"/>
  <c r="X84" i="4"/>
  <c r="W92" i="4"/>
  <c r="X92" i="4"/>
  <c r="W100" i="4"/>
  <c r="X100" i="4"/>
  <c r="W108" i="4"/>
  <c r="X108" i="4"/>
  <c r="W116" i="4"/>
  <c r="X116" i="4"/>
  <c r="W124" i="4"/>
  <c r="X124" i="4"/>
  <c r="W132" i="4"/>
  <c r="X132" i="4"/>
  <c r="W140" i="4"/>
  <c r="X140" i="4"/>
  <c r="W148" i="4"/>
  <c r="X148" i="4"/>
  <c r="W156" i="4"/>
  <c r="X156" i="4"/>
  <c r="W164" i="4"/>
  <c r="X164" i="4"/>
  <c r="W172" i="4"/>
  <c r="X172" i="4"/>
  <c r="W180" i="4"/>
  <c r="X180" i="4"/>
  <c r="W188" i="4"/>
  <c r="X188" i="4"/>
  <c r="W196" i="4"/>
  <c r="X196" i="4"/>
  <c r="W204" i="4"/>
  <c r="X204" i="4"/>
  <c r="W212" i="4"/>
  <c r="X212" i="4"/>
  <c r="W220" i="4"/>
  <c r="X220" i="4"/>
  <c r="W228" i="4"/>
  <c r="X228" i="4"/>
  <c r="W236" i="4"/>
  <c r="X236" i="4"/>
  <c r="W244" i="4"/>
  <c r="X244" i="4"/>
  <c r="W252" i="4"/>
  <c r="X252" i="4"/>
  <c r="W260" i="4"/>
  <c r="X260" i="4"/>
  <c r="W268" i="4"/>
  <c r="X268" i="4"/>
  <c r="W276" i="4"/>
  <c r="X276" i="4"/>
  <c r="W284" i="4"/>
  <c r="X284" i="4"/>
  <c r="W292" i="4"/>
  <c r="X292" i="4"/>
  <c r="W300" i="4"/>
  <c r="X300" i="4"/>
  <c r="W308" i="4"/>
  <c r="X308" i="4"/>
  <c r="W316" i="4"/>
  <c r="X316" i="4"/>
  <c r="W324" i="4"/>
  <c r="X324" i="4"/>
  <c r="W332" i="4"/>
  <c r="X332" i="4"/>
  <c r="W340" i="4"/>
  <c r="X340" i="4"/>
  <c r="W348" i="4"/>
  <c r="X348" i="4"/>
  <c r="W356" i="4"/>
  <c r="X356" i="4"/>
  <c r="W364" i="4"/>
  <c r="X364" i="4"/>
  <c r="W372" i="4"/>
  <c r="X372" i="4"/>
  <c r="W380" i="4"/>
  <c r="X380" i="4"/>
  <c r="W388" i="4"/>
  <c r="X388" i="4"/>
  <c r="W396" i="4"/>
  <c r="X396" i="4"/>
  <c r="W404" i="4"/>
  <c r="X404" i="4"/>
  <c r="W412" i="4"/>
  <c r="X412" i="4"/>
  <c r="W420" i="4"/>
  <c r="X420" i="4"/>
  <c r="W428" i="4"/>
  <c r="X428" i="4"/>
  <c r="W436" i="4"/>
  <c r="X436" i="4"/>
  <c r="W444" i="4"/>
  <c r="X444" i="4"/>
  <c r="W452" i="4"/>
  <c r="X452" i="4"/>
  <c r="W460" i="4"/>
  <c r="X460" i="4"/>
  <c r="W468" i="4"/>
  <c r="X468" i="4"/>
  <c r="W476" i="4"/>
  <c r="X476" i="4"/>
  <c r="W484" i="4"/>
  <c r="X484" i="4"/>
  <c r="W492" i="4"/>
  <c r="X492" i="4"/>
  <c r="W500" i="4"/>
  <c r="X500" i="4"/>
  <c r="W508" i="4"/>
  <c r="X508" i="4"/>
  <c r="W516" i="4"/>
  <c r="X516" i="4"/>
  <c r="W524" i="4"/>
  <c r="X524" i="4"/>
  <c r="W532" i="4"/>
  <c r="X532" i="4"/>
  <c r="W6" i="4"/>
  <c r="X6" i="4"/>
  <c r="W54" i="4"/>
  <c r="X54" i="4"/>
  <c r="W94" i="4"/>
  <c r="X94" i="4"/>
  <c r="W142" i="4"/>
  <c r="X142" i="4"/>
  <c r="W190" i="4"/>
  <c r="X190" i="4"/>
  <c r="W238" i="4"/>
  <c r="X238" i="4"/>
  <c r="W270" i="4"/>
  <c r="X270" i="4"/>
  <c r="W318" i="4"/>
  <c r="X318" i="4"/>
  <c r="W366" i="4"/>
  <c r="X366" i="4"/>
  <c r="W414" i="4"/>
  <c r="X414" i="4"/>
  <c r="W478" i="4"/>
  <c r="X478" i="4"/>
  <c r="W526" i="4"/>
  <c r="X526" i="4"/>
  <c r="W23" i="4"/>
  <c r="X23" i="4"/>
  <c r="W55" i="4"/>
  <c r="X55" i="4"/>
  <c r="W103" i="4"/>
  <c r="X103" i="4"/>
  <c r="W135" i="4"/>
  <c r="X135" i="4"/>
  <c r="W167" i="4"/>
  <c r="X167" i="4"/>
  <c r="W223" i="4"/>
  <c r="X223" i="4"/>
  <c r="W279" i="4"/>
  <c r="X279" i="4"/>
  <c r="W383" i="4"/>
  <c r="X383" i="4"/>
  <c r="W5" i="4"/>
  <c r="X5" i="4"/>
  <c r="W13" i="4"/>
  <c r="X13" i="4"/>
  <c r="W21" i="4"/>
  <c r="X21" i="4"/>
  <c r="W29" i="4"/>
  <c r="X29" i="4"/>
  <c r="W37" i="4"/>
  <c r="X37" i="4"/>
  <c r="W45" i="4"/>
  <c r="X45" i="4"/>
  <c r="W53" i="4"/>
  <c r="X53" i="4"/>
  <c r="W61" i="4"/>
  <c r="X61" i="4"/>
  <c r="W69" i="4"/>
  <c r="X69" i="4"/>
  <c r="W77" i="4"/>
  <c r="X77" i="4"/>
  <c r="W85" i="4"/>
  <c r="X85" i="4"/>
  <c r="W93" i="4"/>
  <c r="X93" i="4"/>
  <c r="W101" i="4"/>
  <c r="X101" i="4"/>
  <c r="W109" i="4"/>
  <c r="X109" i="4"/>
  <c r="W117" i="4"/>
  <c r="X117" i="4"/>
  <c r="W125" i="4"/>
  <c r="X125" i="4"/>
  <c r="W133" i="4"/>
  <c r="X133" i="4"/>
  <c r="W141" i="4"/>
  <c r="X141" i="4"/>
  <c r="W149" i="4"/>
  <c r="X149" i="4"/>
  <c r="W157" i="4"/>
  <c r="X157" i="4"/>
  <c r="W165" i="4"/>
  <c r="X165" i="4"/>
  <c r="W173" i="4"/>
  <c r="X173" i="4"/>
  <c r="W181" i="4"/>
  <c r="X181" i="4"/>
  <c r="W189" i="4"/>
  <c r="X189" i="4"/>
  <c r="W197" i="4"/>
  <c r="X197" i="4"/>
  <c r="W205" i="4"/>
  <c r="X205" i="4"/>
  <c r="W213" i="4"/>
  <c r="X213" i="4"/>
  <c r="W221" i="4"/>
  <c r="X221" i="4"/>
  <c r="W229" i="4"/>
  <c r="X229" i="4"/>
  <c r="W237" i="4"/>
  <c r="X237" i="4"/>
  <c r="W245" i="4"/>
  <c r="X245" i="4"/>
  <c r="W253" i="4"/>
  <c r="X253" i="4"/>
  <c r="W261" i="4"/>
  <c r="X261" i="4"/>
  <c r="W269" i="4"/>
  <c r="X269" i="4"/>
  <c r="W277" i="4"/>
  <c r="X277" i="4"/>
  <c r="W285" i="4"/>
  <c r="X285" i="4"/>
  <c r="W293" i="4"/>
  <c r="X293" i="4"/>
  <c r="W301" i="4"/>
  <c r="X301" i="4"/>
  <c r="W309" i="4"/>
  <c r="X309" i="4"/>
  <c r="W317" i="4"/>
  <c r="X317" i="4"/>
  <c r="W325" i="4"/>
  <c r="X325" i="4"/>
  <c r="W333" i="4"/>
  <c r="X333" i="4"/>
  <c r="W341" i="4"/>
  <c r="X341" i="4"/>
  <c r="W349" i="4"/>
  <c r="X349" i="4"/>
  <c r="W357" i="4"/>
  <c r="X357" i="4"/>
  <c r="W365" i="4"/>
  <c r="X365" i="4"/>
  <c r="W373" i="4"/>
  <c r="X373" i="4"/>
  <c r="W381" i="4"/>
  <c r="X381" i="4"/>
  <c r="W389" i="4"/>
  <c r="X389" i="4"/>
  <c r="W397" i="4"/>
  <c r="X397" i="4"/>
  <c r="W405" i="4"/>
  <c r="X405" i="4"/>
  <c r="W413" i="4"/>
  <c r="X413" i="4"/>
  <c r="W421" i="4"/>
  <c r="X421" i="4"/>
  <c r="W429" i="4"/>
  <c r="X429" i="4"/>
  <c r="W437" i="4"/>
  <c r="X437" i="4"/>
  <c r="W445" i="4"/>
  <c r="X445" i="4"/>
  <c r="W453" i="4"/>
  <c r="X453" i="4"/>
  <c r="W461" i="4"/>
  <c r="X461" i="4"/>
  <c r="W469" i="4"/>
  <c r="X469" i="4"/>
  <c r="W477" i="4"/>
  <c r="X477" i="4"/>
  <c r="W485" i="4"/>
  <c r="X485" i="4"/>
  <c r="W493" i="4"/>
  <c r="X493" i="4"/>
  <c r="W501" i="4"/>
  <c r="X501" i="4"/>
  <c r="W509" i="4"/>
  <c r="X509" i="4"/>
  <c r="W517" i="4"/>
  <c r="X517" i="4"/>
  <c r="W525" i="4"/>
  <c r="X525" i="4"/>
  <c r="W533" i="4"/>
  <c r="X533" i="4"/>
  <c r="P117" i="1"/>
  <c r="Q117" i="1" s="1"/>
  <c r="D5" i="5"/>
  <c r="D87" i="5"/>
  <c r="D13" i="5"/>
  <c r="D21" i="5"/>
  <c r="D29" i="5"/>
  <c r="D37" i="5"/>
  <c r="D45" i="5"/>
  <c r="D53" i="5"/>
  <c r="D61" i="5"/>
  <c r="D69" i="5"/>
  <c r="D77" i="5"/>
  <c r="D85" i="5"/>
  <c r="D93" i="5"/>
  <c r="D101" i="5"/>
  <c r="D109" i="5"/>
  <c r="D117" i="5"/>
  <c r="D125" i="5"/>
  <c r="D133" i="5"/>
  <c r="D141" i="5"/>
  <c r="D149" i="5"/>
  <c r="D157" i="5"/>
  <c r="D165" i="5"/>
  <c r="D173" i="5"/>
  <c r="D181" i="5"/>
  <c r="D189" i="5"/>
  <c r="D6" i="5"/>
  <c r="D14" i="5"/>
  <c r="D22" i="5"/>
  <c r="D30" i="5"/>
  <c r="D38" i="5"/>
  <c r="D46" i="5"/>
  <c r="D54" i="5"/>
  <c r="D62" i="5"/>
  <c r="D70" i="5"/>
  <c r="D78" i="5"/>
  <c r="D86" i="5"/>
  <c r="D94" i="5"/>
  <c r="D102" i="5"/>
  <c r="D110" i="5"/>
  <c r="D118" i="5"/>
  <c r="D126" i="5"/>
  <c r="D134" i="5"/>
  <c r="D142" i="5"/>
  <c r="D150" i="5"/>
  <c r="D158" i="5"/>
  <c r="D166" i="5"/>
  <c r="D174" i="5"/>
  <c r="D182" i="5"/>
  <c r="D190" i="5"/>
  <c r="D15" i="5"/>
  <c r="D47" i="5"/>
  <c r="D79" i="5"/>
  <c r="D111" i="5"/>
  <c r="D143" i="5"/>
  <c r="D183" i="5"/>
  <c r="D8" i="5"/>
  <c r="D16" i="5"/>
  <c r="D24" i="5"/>
  <c r="D32" i="5"/>
  <c r="D40" i="5"/>
  <c r="D48" i="5"/>
  <c r="D56" i="5"/>
  <c r="D64" i="5"/>
  <c r="D72" i="5"/>
  <c r="D80" i="5"/>
  <c r="D88" i="5"/>
  <c r="D96" i="5"/>
  <c r="D104" i="5"/>
  <c r="D112" i="5"/>
  <c r="D120" i="5"/>
  <c r="D128" i="5"/>
  <c r="D136" i="5"/>
  <c r="D144" i="5"/>
  <c r="D152" i="5"/>
  <c r="D160" i="5"/>
  <c r="D168" i="5"/>
  <c r="D176" i="5"/>
  <c r="D184" i="5"/>
  <c r="D192" i="5"/>
  <c r="D7" i="5"/>
  <c r="D39" i="5"/>
  <c r="D71" i="5"/>
  <c r="D119" i="5"/>
  <c r="D151" i="5"/>
  <c r="D167" i="5"/>
  <c r="D9" i="5"/>
  <c r="D17" i="5"/>
  <c r="D25" i="5"/>
  <c r="D33" i="5"/>
  <c r="D41" i="5"/>
  <c r="D49" i="5"/>
  <c r="D57" i="5"/>
  <c r="D65" i="5"/>
  <c r="D73" i="5"/>
  <c r="D81" i="5"/>
  <c r="D89" i="5"/>
  <c r="D97" i="5"/>
  <c r="D105" i="5"/>
  <c r="D113" i="5"/>
  <c r="D121" i="5"/>
  <c r="D129" i="5"/>
  <c r="D137" i="5"/>
  <c r="D145" i="5"/>
  <c r="D153" i="5"/>
  <c r="D161" i="5"/>
  <c r="D177" i="5"/>
  <c r="D185" i="5"/>
  <c r="D193" i="5"/>
  <c r="D23" i="5"/>
  <c r="D55" i="5"/>
  <c r="D103" i="5"/>
  <c r="D159" i="5"/>
  <c r="D10" i="5"/>
  <c r="D18" i="5"/>
  <c r="D26" i="5"/>
  <c r="D34" i="5"/>
  <c r="D42" i="5"/>
  <c r="D50" i="5"/>
  <c r="D58" i="5"/>
  <c r="D66" i="5"/>
  <c r="D74" i="5"/>
  <c r="D82" i="5"/>
  <c r="D90" i="5"/>
  <c r="D98" i="5"/>
  <c r="D106" i="5"/>
  <c r="D114" i="5"/>
  <c r="D122" i="5"/>
  <c r="D130" i="5"/>
  <c r="D138" i="5"/>
  <c r="D146" i="5"/>
  <c r="D154" i="5"/>
  <c r="D162" i="5"/>
  <c r="D170" i="5"/>
  <c r="D178" i="5"/>
  <c r="D186" i="5"/>
  <c r="D194" i="5"/>
  <c r="D202" i="5"/>
  <c r="D210" i="5"/>
  <c r="D218" i="5"/>
  <c r="D226" i="5"/>
  <c r="D234" i="5"/>
  <c r="D242" i="5"/>
  <c r="D250" i="5"/>
  <c r="D258" i="5"/>
  <c r="D266" i="5"/>
  <c r="D274" i="5"/>
  <c r="D282" i="5"/>
  <c r="D290" i="5"/>
  <c r="D298" i="5"/>
  <c r="D306" i="5"/>
  <c r="D314" i="5"/>
  <c r="D322" i="5"/>
  <c r="D330" i="5"/>
  <c r="D338" i="5"/>
  <c r="D346" i="5"/>
  <c r="D354" i="5"/>
  <c r="D362" i="5"/>
  <c r="D370" i="5"/>
  <c r="D378" i="5"/>
  <c r="D386" i="5"/>
  <c r="D394" i="5"/>
  <c r="D402" i="5"/>
  <c r="D410" i="5"/>
  <c r="D418" i="5"/>
  <c r="D426" i="5"/>
  <c r="D127" i="5"/>
  <c r="D175" i="5"/>
  <c r="U2" i="1"/>
  <c r="D169" i="5"/>
  <c r="D11" i="5"/>
  <c r="D19" i="5"/>
  <c r="D27" i="5"/>
  <c r="D35" i="5"/>
  <c r="D43" i="5"/>
  <c r="D51" i="5"/>
  <c r="D59" i="5"/>
  <c r="D67" i="5"/>
  <c r="D75" i="5"/>
  <c r="D83" i="5"/>
  <c r="D91" i="5"/>
  <c r="D99" i="5"/>
  <c r="D107" i="5"/>
  <c r="D115" i="5"/>
  <c r="D123" i="5"/>
  <c r="D131" i="5"/>
  <c r="D139" i="5"/>
  <c r="D147" i="5"/>
  <c r="D155" i="5"/>
  <c r="D163" i="5"/>
  <c r="D171" i="5"/>
  <c r="D179" i="5"/>
  <c r="D187" i="5"/>
  <c r="D195" i="5"/>
  <c r="D31" i="5"/>
  <c r="D63" i="5"/>
  <c r="D95" i="5"/>
  <c r="D135" i="5"/>
  <c r="D191" i="5"/>
  <c r="D4" i="5"/>
  <c r="D12" i="5"/>
  <c r="D20" i="5"/>
  <c r="D28" i="5"/>
  <c r="D36" i="5"/>
  <c r="D44" i="5"/>
  <c r="D52" i="5"/>
  <c r="D60" i="5"/>
  <c r="D68" i="5"/>
  <c r="D76" i="5"/>
  <c r="D84" i="5"/>
  <c r="D92" i="5"/>
  <c r="D100" i="5"/>
  <c r="D108" i="5"/>
  <c r="D116" i="5"/>
  <c r="D124" i="5"/>
  <c r="D132" i="5"/>
  <c r="D140" i="5"/>
  <c r="D148" i="5"/>
  <c r="D156" i="5"/>
  <c r="D164" i="5"/>
  <c r="D172" i="5"/>
  <c r="D180" i="5"/>
  <c r="D188" i="5"/>
  <c r="D196" i="5"/>
  <c r="D203" i="5"/>
  <c r="D211" i="5"/>
  <c r="D219" i="5"/>
  <c r="D227" i="5"/>
  <c r="D235" i="5"/>
  <c r="D243" i="5"/>
  <c r="D251" i="5"/>
  <c r="D259" i="5"/>
  <c r="D267" i="5"/>
  <c r="D275" i="5"/>
  <c r="D283" i="5"/>
  <c r="D291" i="5"/>
  <c r="D299" i="5"/>
  <c r="D307" i="5"/>
  <c r="D315" i="5"/>
  <c r="D323" i="5"/>
  <c r="D331" i="5"/>
  <c r="D339" i="5"/>
  <c r="D347" i="5"/>
  <c r="D355" i="5"/>
  <c r="D363" i="5"/>
  <c r="D371" i="5"/>
  <c r="D379" i="5"/>
  <c r="D387" i="5"/>
  <c r="D395" i="5"/>
  <c r="D403" i="5"/>
  <c r="D411" i="5"/>
  <c r="D419" i="5"/>
  <c r="D427" i="5"/>
  <c r="D204" i="5"/>
  <c r="D212" i="5"/>
  <c r="D220" i="5"/>
  <c r="D228" i="5"/>
  <c r="D236" i="5"/>
  <c r="D244" i="5"/>
  <c r="D252" i="5"/>
  <c r="D260" i="5"/>
  <c r="D268" i="5"/>
  <c r="D276" i="5"/>
  <c r="D284" i="5"/>
  <c r="D292" i="5"/>
  <c r="D300" i="5"/>
  <c r="D308" i="5"/>
  <c r="D316" i="5"/>
  <c r="D324" i="5"/>
  <c r="D332" i="5"/>
  <c r="D340" i="5"/>
  <c r="D348" i="5"/>
  <c r="D356" i="5"/>
  <c r="D364" i="5"/>
  <c r="D372" i="5"/>
  <c r="D380" i="5"/>
  <c r="D388" i="5"/>
  <c r="D396" i="5"/>
  <c r="D404" i="5"/>
  <c r="D412" i="5"/>
  <c r="D420" i="5"/>
  <c r="D428" i="5"/>
  <c r="D197" i="5"/>
  <c r="D205" i="5"/>
  <c r="D213" i="5"/>
  <c r="D221" i="5"/>
  <c r="D229" i="5"/>
  <c r="D237" i="5"/>
  <c r="D245" i="5"/>
  <c r="D253" i="5"/>
  <c r="D261" i="5"/>
  <c r="D269" i="5"/>
  <c r="D277" i="5"/>
  <c r="D285" i="5"/>
  <c r="D293" i="5"/>
  <c r="D301" i="5"/>
  <c r="D309" i="5"/>
  <c r="D317" i="5"/>
  <c r="D325" i="5"/>
  <c r="D333" i="5"/>
  <c r="D341" i="5"/>
  <c r="D349" i="5"/>
  <c r="D357" i="5"/>
  <c r="D365" i="5"/>
  <c r="D373" i="5"/>
  <c r="D381" i="5"/>
  <c r="D389" i="5"/>
  <c r="D397" i="5"/>
  <c r="D405" i="5"/>
  <c r="D413" i="5"/>
  <c r="D421" i="5"/>
  <c r="D429" i="5"/>
  <c r="D198" i="5"/>
  <c r="D206" i="5"/>
  <c r="D214" i="5"/>
  <c r="D222" i="5"/>
  <c r="D230" i="5"/>
  <c r="D238" i="5"/>
  <c r="D246" i="5"/>
  <c r="D254" i="5"/>
  <c r="D262" i="5"/>
  <c r="D270" i="5"/>
  <c r="D278" i="5"/>
  <c r="D286" i="5"/>
  <c r="D294" i="5"/>
  <c r="D302" i="5"/>
  <c r="D310" i="5"/>
  <c r="D318" i="5"/>
  <c r="D326" i="5"/>
  <c r="D334" i="5"/>
  <c r="D342" i="5"/>
  <c r="D350" i="5"/>
  <c r="D358" i="5"/>
  <c r="D366" i="5"/>
  <c r="D374" i="5"/>
  <c r="D382" i="5"/>
  <c r="D390" i="5"/>
  <c r="D398" i="5"/>
  <c r="D406" i="5"/>
  <c r="D414" i="5"/>
  <c r="D422" i="5"/>
  <c r="D199" i="5"/>
  <c r="D207" i="5"/>
  <c r="D215" i="5"/>
  <c r="D223" i="5"/>
  <c r="D231" i="5"/>
  <c r="D239" i="5"/>
  <c r="D247" i="5"/>
  <c r="D255" i="5"/>
  <c r="D263" i="5"/>
  <c r="D271" i="5"/>
  <c r="D279" i="5"/>
  <c r="D287" i="5"/>
  <c r="D295" i="5"/>
  <c r="D303" i="5"/>
  <c r="D311" i="5"/>
  <c r="D319" i="5"/>
  <c r="D327" i="5"/>
  <c r="D335" i="5"/>
  <c r="D343" i="5"/>
  <c r="D351" i="5"/>
  <c r="D359" i="5"/>
  <c r="D367" i="5"/>
  <c r="D375" i="5"/>
  <c r="D383" i="5"/>
  <c r="D391" i="5"/>
  <c r="D399" i="5"/>
  <c r="D407" i="5"/>
  <c r="D415" i="5"/>
  <c r="D423" i="5"/>
  <c r="D200" i="5"/>
  <c r="D208" i="5"/>
  <c r="D216" i="5"/>
  <c r="D224" i="5"/>
  <c r="D232" i="5"/>
  <c r="D240" i="5"/>
  <c r="D248" i="5"/>
  <c r="D256" i="5"/>
  <c r="D264" i="5"/>
  <c r="D272" i="5"/>
  <c r="D280" i="5"/>
  <c r="D288" i="5"/>
  <c r="D296" i="5"/>
  <c r="D304" i="5"/>
  <c r="D312" i="5"/>
  <c r="D320" i="5"/>
  <c r="D328" i="5"/>
  <c r="D336" i="5"/>
  <c r="D344" i="5"/>
  <c r="D352" i="5"/>
  <c r="D360" i="5"/>
  <c r="D368" i="5"/>
  <c r="D376" i="5"/>
  <c r="D384" i="5"/>
  <c r="D392" i="5"/>
  <c r="D400" i="5"/>
  <c r="D408" i="5"/>
  <c r="D416" i="5"/>
  <c r="D424" i="5"/>
  <c r="D201" i="5"/>
  <c r="D209" i="5"/>
  <c r="D217" i="5"/>
  <c r="D225" i="5"/>
  <c r="D233" i="5"/>
  <c r="D241" i="5"/>
  <c r="D249" i="5"/>
  <c r="D257" i="5"/>
  <c r="D265" i="5"/>
  <c r="D273" i="5"/>
  <c r="D281" i="5"/>
  <c r="D289" i="5"/>
  <c r="D297" i="5"/>
  <c r="D305" i="5"/>
  <c r="D313" i="5"/>
  <c r="D321" i="5"/>
  <c r="D329" i="5"/>
  <c r="D337" i="5"/>
  <c r="D345" i="5"/>
  <c r="D353" i="5"/>
  <c r="D361" i="5"/>
  <c r="D369" i="5"/>
  <c r="D377" i="5"/>
  <c r="D385" i="5"/>
  <c r="D393" i="5"/>
  <c r="D401" i="5"/>
  <c r="D409" i="5"/>
  <c r="D417" i="5"/>
  <c r="D425" i="5"/>
  <c r="L426" i="1"/>
  <c r="M426" i="1" s="1"/>
  <c r="L4" i="1"/>
  <c r="M4" i="1" s="1"/>
  <c r="N52" i="1"/>
  <c r="O52" i="1" s="1"/>
  <c r="N132" i="1"/>
  <c r="O132" i="1" s="1"/>
  <c r="N180" i="1"/>
  <c r="O180" i="1" s="1"/>
  <c r="L236" i="1"/>
  <c r="M236" i="1" s="1"/>
  <c r="L276" i="1"/>
  <c r="M276" i="1" s="1"/>
  <c r="L300" i="1"/>
  <c r="M300" i="1" s="1"/>
  <c r="L396" i="1"/>
  <c r="M396" i="1" s="1"/>
  <c r="N125" i="1"/>
  <c r="O125" i="1" s="1"/>
  <c r="L133" i="1"/>
  <c r="M133" i="1" s="1"/>
  <c r="L141" i="1"/>
  <c r="M141" i="1" s="1"/>
  <c r="L197" i="1"/>
  <c r="M197" i="1" s="1"/>
  <c r="L205" i="1"/>
  <c r="M205" i="1" s="1"/>
  <c r="L261" i="1"/>
  <c r="M261" i="1" s="1"/>
  <c r="N309" i="1"/>
  <c r="O309" i="1" s="1"/>
  <c r="L333" i="1"/>
  <c r="M333" i="1" s="1"/>
  <c r="L341" i="1"/>
  <c r="M341" i="1" s="1"/>
  <c r="N349" i="1"/>
  <c r="O349" i="1" s="1"/>
  <c r="L357" i="1"/>
  <c r="M357" i="1" s="1"/>
  <c r="N381" i="1"/>
  <c r="O381" i="1" s="1"/>
  <c r="L154" i="1"/>
  <c r="M154" i="1" s="1"/>
  <c r="N62" i="1"/>
  <c r="O62" i="1" s="1"/>
  <c r="N12" i="1"/>
  <c r="O12" i="1" s="1"/>
  <c r="N76" i="1"/>
  <c r="O76" i="1" s="1"/>
  <c r="L148" i="1"/>
  <c r="M148" i="1" s="1"/>
  <c r="L212" i="1"/>
  <c r="M212" i="1" s="1"/>
  <c r="L244" i="1"/>
  <c r="M244" i="1" s="1"/>
  <c r="N292" i="1"/>
  <c r="O292" i="1" s="1"/>
  <c r="L356" i="1"/>
  <c r="M356" i="1" s="1"/>
  <c r="L428" i="1"/>
  <c r="M428" i="1" s="1"/>
  <c r="R6" i="1"/>
  <c r="S6" i="1" s="1"/>
  <c r="R14" i="1"/>
  <c r="S14" i="1" s="1"/>
  <c r="R22" i="1"/>
  <c r="S22" i="1" s="1"/>
  <c r="R38" i="1"/>
  <c r="S38" i="1" s="1"/>
  <c r="R54" i="1"/>
  <c r="S54" i="1" s="1"/>
  <c r="R70" i="1"/>
  <c r="S70" i="1" s="1"/>
  <c r="N78" i="1"/>
  <c r="O78" i="1" s="1"/>
  <c r="R86" i="1"/>
  <c r="S86" i="1" s="1"/>
  <c r="N94" i="1"/>
  <c r="O94" i="1" s="1"/>
  <c r="R102" i="1"/>
  <c r="S102" i="1" s="1"/>
  <c r="N110" i="1"/>
  <c r="O110" i="1" s="1"/>
  <c r="L118" i="1"/>
  <c r="M118" i="1" s="1"/>
  <c r="L126" i="1"/>
  <c r="M126" i="1" s="1"/>
  <c r="L134" i="1"/>
  <c r="M134" i="1" s="1"/>
  <c r="L142" i="1"/>
  <c r="M142" i="1" s="1"/>
  <c r="N158" i="1"/>
  <c r="O158" i="1" s="1"/>
  <c r="N182" i="1"/>
  <c r="O182" i="1" s="1"/>
  <c r="L198" i="1"/>
  <c r="M198" i="1" s="1"/>
  <c r="L206" i="1"/>
  <c r="M206" i="1" s="1"/>
  <c r="N214" i="1"/>
  <c r="O214" i="1" s="1"/>
  <c r="N238" i="1"/>
  <c r="O238" i="1" s="1"/>
  <c r="P246" i="1"/>
  <c r="Q246" i="1" s="1"/>
  <c r="N254" i="1"/>
  <c r="O254" i="1" s="1"/>
  <c r="P310" i="1"/>
  <c r="Q310" i="1" s="1"/>
  <c r="L326" i="1"/>
  <c r="M326" i="1" s="1"/>
  <c r="L334" i="1"/>
  <c r="M334" i="1" s="1"/>
  <c r="N342" i="1"/>
  <c r="O342" i="1" s="1"/>
  <c r="L350" i="1"/>
  <c r="M350" i="1" s="1"/>
  <c r="L358" i="1"/>
  <c r="M358" i="1" s="1"/>
  <c r="L390" i="1"/>
  <c r="M390" i="1" s="1"/>
  <c r="L398" i="1"/>
  <c r="M398" i="1" s="1"/>
  <c r="L406" i="1"/>
  <c r="M406" i="1" s="1"/>
  <c r="L438" i="1"/>
  <c r="M438" i="1" s="1"/>
  <c r="L190" i="1"/>
  <c r="M190" i="1" s="1"/>
  <c r="N138" i="1"/>
  <c r="O138" i="1" s="1"/>
  <c r="L68" i="1"/>
  <c r="M68" i="1" s="1"/>
  <c r="L140" i="1"/>
  <c r="M140" i="1" s="1"/>
  <c r="N204" i="1"/>
  <c r="O204" i="1" s="1"/>
  <c r="L228" i="1"/>
  <c r="M228" i="1" s="1"/>
  <c r="L268" i="1"/>
  <c r="M268" i="1" s="1"/>
  <c r="L340" i="1"/>
  <c r="M340" i="1" s="1"/>
  <c r="L7" i="1"/>
  <c r="M7" i="1" s="1"/>
  <c r="R15" i="1"/>
  <c r="S15" i="1" s="1"/>
  <c r="N23" i="1"/>
  <c r="O23" i="1" s="1"/>
  <c r="L31" i="1"/>
  <c r="M31" i="1" s="1"/>
  <c r="N39" i="1"/>
  <c r="O39" i="1" s="1"/>
  <c r="N47" i="1"/>
  <c r="O47" i="1" s="1"/>
  <c r="L55" i="1"/>
  <c r="M55" i="1" s="1"/>
  <c r="L63" i="1"/>
  <c r="M63" i="1" s="1"/>
  <c r="L71" i="1"/>
  <c r="M71" i="1" s="1"/>
  <c r="L79" i="1"/>
  <c r="M79" i="1" s="1"/>
  <c r="L87" i="1"/>
  <c r="M87" i="1" s="1"/>
  <c r="L95" i="1"/>
  <c r="M95" i="1" s="1"/>
  <c r="L103" i="1"/>
  <c r="M103" i="1" s="1"/>
  <c r="L111" i="1"/>
  <c r="M111" i="1" s="1"/>
  <c r="L119" i="1"/>
  <c r="M119" i="1" s="1"/>
  <c r="P127" i="1"/>
  <c r="Q127" i="1" s="1"/>
  <c r="L135" i="1"/>
  <c r="M135" i="1" s="1"/>
  <c r="L143" i="1"/>
  <c r="M143" i="1" s="1"/>
  <c r="P159" i="1"/>
  <c r="Q159" i="1" s="1"/>
  <c r="N167" i="1"/>
  <c r="O167" i="1" s="1"/>
  <c r="L183" i="1"/>
  <c r="M183" i="1" s="1"/>
  <c r="L191" i="1"/>
  <c r="M191" i="1" s="1"/>
  <c r="L199" i="1"/>
  <c r="M199" i="1" s="1"/>
  <c r="L207" i="1"/>
  <c r="M207" i="1" s="1"/>
  <c r="N215" i="1"/>
  <c r="O215" i="1" s="1"/>
  <c r="P223" i="1"/>
  <c r="Q223" i="1" s="1"/>
  <c r="L247" i="1"/>
  <c r="M247" i="1" s="1"/>
  <c r="L255" i="1"/>
  <c r="M255" i="1" s="1"/>
  <c r="L263" i="1"/>
  <c r="M263" i="1" s="1"/>
  <c r="R303" i="1"/>
  <c r="S303" i="1" s="1"/>
  <c r="L311" i="1"/>
  <c r="M311" i="1" s="1"/>
  <c r="L319" i="1"/>
  <c r="M319" i="1" s="1"/>
  <c r="N327" i="1"/>
  <c r="O327" i="1" s="1"/>
  <c r="L335" i="1"/>
  <c r="M335" i="1" s="1"/>
  <c r="N343" i="1"/>
  <c r="O343" i="1" s="1"/>
  <c r="L351" i="1"/>
  <c r="M351" i="1" s="1"/>
  <c r="L359" i="1"/>
  <c r="M359" i="1" s="1"/>
  <c r="L399" i="1"/>
  <c r="M399" i="1" s="1"/>
  <c r="L407" i="1"/>
  <c r="M407" i="1" s="1"/>
  <c r="L439" i="1"/>
  <c r="M439" i="1" s="1"/>
  <c r="L262" i="1"/>
  <c r="M262" i="1" s="1"/>
  <c r="N209" i="1"/>
  <c r="O209" i="1" s="1"/>
  <c r="L20" i="1"/>
  <c r="M20" i="1" s="1"/>
  <c r="N92" i="1"/>
  <c r="O92" i="1" s="1"/>
  <c r="P220" i="1"/>
  <c r="Q220" i="1" s="1"/>
  <c r="L8" i="1"/>
  <c r="M8" i="1" s="1"/>
  <c r="N16" i="1"/>
  <c r="O16" i="1" s="1"/>
  <c r="N24" i="1"/>
  <c r="O24" i="1" s="1"/>
  <c r="L32" i="1"/>
  <c r="M32" i="1" s="1"/>
  <c r="L40" i="1"/>
  <c r="M40" i="1" s="1"/>
  <c r="L48" i="1"/>
  <c r="M48" i="1" s="1"/>
  <c r="L56" i="1"/>
  <c r="M56" i="1" s="1"/>
  <c r="L64" i="1"/>
  <c r="M64" i="1" s="1"/>
  <c r="L72" i="1"/>
  <c r="M72" i="1" s="1"/>
  <c r="L80" i="1"/>
  <c r="M80" i="1" s="1"/>
  <c r="L88" i="1"/>
  <c r="M88" i="1" s="1"/>
  <c r="L96" i="1"/>
  <c r="M96" i="1" s="1"/>
  <c r="L104" i="1"/>
  <c r="M104" i="1" s="1"/>
  <c r="L112" i="1"/>
  <c r="M112" i="1" s="1"/>
  <c r="L120" i="1"/>
  <c r="M120" i="1" s="1"/>
  <c r="L128" i="1"/>
  <c r="M128" i="1" s="1"/>
  <c r="L136" i="1"/>
  <c r="M136" i="1" s="1"/>
  <c r="N144" i="1"/>
  <c r="O144" i="1" s="1"/>
  <c r="N152" i="1"/>
  <c r="O152" i="1" s="1"/>
  <c r="N160" i="1"/>
  <c r="O160" i="1" s="1"/>
  <c r="L168" i="1"/>
  <c r="M168" i="1" s="1"/>
  <c r="L176" i="1"/>
  <c r="M176" i="1" s="1"/>
  <c r="L184" i="1"/>
  <c r="M184" i="1" s="1"/>
  <c r="L192" i="1"/>
  <c r="M192" i="1" s="1"/>
  <c r="L200" i="1"/>
  <c r="M200" i="1" s="1"/>
  <c r="N216" i="1"/>
  <c r="O216" i="1" s="1"/>
  <c r="N224" i="1"/>
  <c r="O224" i="1" s="1"/>
  <c r="L232" i="1"/>
  <c r="M232" i="1" s="1"/>
  <c r="L240" i="1"/>
  <c r="M240" i="1" s="1"/>
  <c r="L248" i="1"/>
  <c r="M248" i="1" s="1"/>
  <c r="L256" i="1"/>
  <c r="M256" i="1" s="1"/>
  <c r="L264" i="1"/>
  <c r="M264" i="1" s="1"/>
  <c r="N272" i="1"/>
  <c r="O272" i="1" s="1"/>
  <c r="R280" i="1"/>
  <c r="S280" i="1" s="1"/>
  <c r="N296" i="1"/>
  <c r="O296" i="1" s="1"/>
  <c r="L304" i="1"/>
  <c r="M304" i="1" s="1"/>
  <c r="L312" i="1"/>
  <c r="M312" i="1" s="1"/>
  <c r="L320" i="1"/>
  <c r="M320" i="1" s="1"/>
  <c r="N328" i="1"/>
  <c r="O328" i="1" s="1"/>
  <c r="L336" i="1"/>
  <c r="M336" i="1" s="1"/>
  <c r="N344" i="1"/>
  <c r="O344" i="1" s="1"/>
  <c r="L352" i="1"/>
  <c r="M352" i="1" s="1"/>
  <c r="L392" i="1"/>
  <c r="M392" i="1" s="1"/>
  <c r="L440" i="1"/>
  <c r="M440" i="1" s="1"/>
  <c r="L348" i="1"/>
  <c r="M348" i="1" s="1"/>
  <c r="N294" i="1"/>
  <c r="O294" i="1" s="1"/>
  <c r="L36" i="1"/>
  <c r="M36" i="1" s="1"/>
  <c r="L84" i="1"/>
  <c r="M84" i="1" s="1"/>
  <c r="L172" i="1"/>
  <c r="M172" i="1" s="1"/>
  <c r="L380" i="1"/>
  <c r="M380" i="1" s="1"/>
  <c r="L9" i="1"/>
  <c r="M9" i="1" s="1"/>
  <c r="P17" i="1"/>
  <c r="Q17" i="1" s="1"/>
  <c r="L25" i="1"/>
  <c r="M25" i="1" s="1"/>
  <c r="L33" i="1"/>
  <c r="M33" i="1" s="1"/>
  <c r="L41" i="1"/>
  <c r="M41" i="1" s="1"/>
  <c r="N49" i="1"/>
  <c r="O49" i="1" s="1"/>
  <c r="L57" i="1"/>
  <c r="M57" i="1" s="1"/>
  <c r="P65" i="1"/>
  <c r="Q65" i="1" s="1"/>
  <c r="L73" i="1"/>
  <c r="M73" i="1" s="1"/>
  <c r="N81" i="1"/>
  <c r="O81" i="1" s="1"/>
  <c r="L89" i="1"/>
  <c r="M89" i="1" s="1"/>
  <c r="L97" i="1"/>
  <c r="M97" i="1" s="1"/>
  <c r="L105" i="1"/>
  <c r="M105" i="1" s="1"/>
  <c r="L113" i="1"/>
  <c r="M113" i="1" s="1"/>
  <c r="L121" i="1"/>
  <c r="M121" i="1" s="1"/>
  <c r="L129" i="1"/>
  <c r="M129" i="1" s="1"/>
  <c r="L137" i="1"/>
  <c r="M137" i="1" s="1"/>
  <c r="L161" i="1"/>
  <c r="M161" i="1" s="1"/>
  <c r="R169" i="1"/>
  <c r="S169" i="1" s="1"/>
  <c r="L177" i="1"/>
  <c r="M177" i="1" s="1"/>
  <c r="L185" i="1"/>
  <c r="M185" i="1" s="1"/>
  <c r="L193" i="1"/>
  <c r="M193" i="1" s="1"/>
  <c r="R201" i="1"/>
  <c r="S201" i="1" s="1"/>
  <c r="L225" i="1"/>
  <c r="M225" i="1" s="1"/>
  <c r="N233" i="1"/>
  <c r="O233" i="1" s="1"/>
  <c r="L241" i="1"/>
  <c r="M241" i="1" s="1"/>
  <c r="L249" i="1"/>
  <c r="M249" i="1" s="1"/>
  <c r="L257" i="1"/>
  <c r="M257" i="1" s="1"/>
  <c r="L265" i="1"/>
  <c r="M265" i="1" s="1"/>
  <c r="R273" i="1"/>
  <c r="S273" i="1" s="1"/>
  <c r="N289" i="1"/>
  <c r="O289" i="1" s="1"/>
  <c r="L297" i="1"/>
  <c r="M297" i="1" s="1"/>
  <c r="L305" i="1"/>
  <c r="M305" i="1" s="1"/>
  <c r="N313" i="1"/>
  <c r="O313" i="1" s="1"/>
  <c r="L321" i="1"/>
  <c r="M321" i="1" s="1"/>
  <c r="N329" i="1"/>
  <c r="O329" i="1" s="1"/>
  <c r="L337" i="1"/>
  <c r="M337" i="1" s="1"/>
  <c r="L345" i="1"/>
  <c r="M345" i="1" s="1"/>
  <c r="L353" i="1"/>
  <c r="M353" i="1" s="1"/>
  <c r="L369" i="1"/>
  <c r="M369" i="1" s="1"/>
  <c r="L377" i="1"/>
  <c r="M377" i="1" s="1"/>
  <c r="L393" i="1"/>
  <c r="M393" i="1" s="1"/>
  <c r="L401" i="1"/>
  <c r="M401" i="1" s="1"/>
  <c r="L409" i="1"/>
  <c r="M409" i="1" s="1"/>
  <c r="L417" i="1"/>
  <c r="M417" i="1" s="1"/>
  <c r="L349" i="1"/>
  <c r="M349" i="1" s="1"/>
  <c r="N386" i="1"/>
  <c r="O386" i="1" s="1"/>
  <c r="N28" i="1"/>
  <c r="O28" i="1" s="1"/>
  <c r="L100" i="1"/>
  <c r="M100" i="1" s="1"/>
  <c r="L164" i="1"/>
  <c r="M164" i="1" s="1"/>
  <c r="L364" i="1"/>
  <c r="M364" i="1" s="1"/>
  <c r="L2" i="1"/>
  <c r="M2" i="1" s="1"/>
  <c r="N10" i="1"/>
  <c r="O10" i="1" s="1"/>
  <c r="N18" i="1"/>
  <c r="O18" i="1" s="1"/>
  <c r="L26" i="1"/>
  <c r="M26" i="1" s="1"/>
  <c r="L34" i="1"/>
  <c r="M34" i="1" s="1"/>
  <c r="N42" i="1"/>
  <c r="O42" i="1" s="1"/>
  <c r="L50" i="1"/>
  <c r="M50" i="1" s="1"/>
  <c r="N58" i="1"/>
  <c r="O58" i="1" s="1"/>
  <c r="L66" i="1"/>
  <c r="M66" i="1" s="1"/>
  <c r="N74" i="1"/>
  <c r="O74" i="1" s="1"/>
  <c r="L82" i="1"/>
  <c r="M82" i="1" s="1"/>
  <c r="N90" i="1"/>
  <c r="O90" i="1" s="1"/>
  <c r="L98" i="1"/>
  <c r="M98" i="1" s="1"/>
  <c r="N106" i="1"/>
  <c r="O106" i="1" s="1"/>
  <c r="L114" i="1"/>
  <c r="M114" i="1" s="1"/>
  <c r="N122" i="1"/>
  <c r="O122" i="1" s="1"/>
  <c r="R130" i="1"/>
  <c r="S130" i="1" s="1"/>
  <c r="L138" i="1"/>
  <c r="M138" i="1" s="1"/>
  <c r="N146" i="1"/>
  <c r="O146" i="1" s="1"/>
  <c r="N154" i="1"/>
  <c r="O154" i="1" s="1"/>
  <c r="N162" i="1"/>
  <c r="O162" i="1" s="1"/>
  <c r="L170" i="1"/>
  <c r="M170" i="1" s="1"/>
  <c r="L178" i="1"/>
  <c r="M178" i="1" s="1"/>
  <c r="L186" i="1"/>
  <c r="M186" i="1" s="1"/>
  <c r="R194" i="1"/>
  <c r="S194" i="1" s="1"/>
  <c r="L202" i="1"/>
  <c r="M202" i="1" s="1"/>
  <c r="N218" i="1"/>
  <c r="O218" i="1" s="1"/>
  <c r="R226" i="1"/>
  <c r="S226" i="1" s="1"/>
  <c r="L234" i="1"/>
  <c r="M234" i="1" s="1"/>
  <c r="L242" i="1"/>
  <c r="M242" i="1" s="1"/>
  <c r="N250" i="1"/>
  <c r="O250" i="1" s="1"/>
  <c r="L258" i="1"/>
  <c r="M258" i="1" s="1"/>
  <c r="L266" i="1"/>
  <c r="M266" i="1" s="1"/>
  <c r="L274" i="1"/>
  <c r="M274" i="1" s="1"/>
  <c r="L282" i="1"/>
  <c r="M282" i="1" s="1"/>
  <c r="L290" i="1"/>
  <c r="M290" i="1" s="1"/>
  <c r="L298" i="1"/>
  <c r="M298" i="1" s="1"/>
  <c r="N306" i="1"/>
  <c r="O306" i="1" s="1"/>
  <c r="N314" i="1"/>
  <c r="O314" i="1" s="1"/>
  <c r="L322" i="1"/>
  <c r="M322" i="1" s="1"/>
  <c r="L330" i="1"/>
  <c r="M330" i="1" s="1"/>
  <c r="L338" i="1"/>
  <c r="M338" i="1" s="1"/>
  <c r="L346" i="1"/>
  <c r="M346" i="1" s="1"/>
  <c r="L354" i="1"/>
  <c r="M354" i="1" s="1"/>
  <c r="N362" i="1"/>
  <c r="O362" i="1" s="1"/>
  <c r="R370" i="1"/>
  <c r="S370" i="1" s="1"/>
  <c r="N378" i="1"/>
  <c r="O378" i="1" s="1"/>
  <c r="N394" i="1"/>
  <c r="O394" i="1" s="1"/>
  <c r="N402" i="1"/>
  <c r="O402" i="1" s="1"/>
  <c r="N410" i="1"/>
  <c r="O410" i="1" s="1"/>
  <c r="N418" i="1"/>
  <c r="O418" i="1" s="1"/>
  <c r="N426" i="1"/>
  <c r="O426" i="1" s="1"/>
  <c r="R434" i="1"/>
  <c r="S434" i="1" s="1"/>
  <c r="N442" i="1"/>
  <c r="O442" i="1" s="1"/>
  <c r="L388" i="1"/>
  <c r="M388" i="1" s="1"/>
  <c r="N413" i="1"/>
  <c r="O413" i="1" s="1"/>
  <c r="L60" i="1"/>
  <c r="M60" i="1" s="1"/>
  <c r="L108" i="1"/>
  <c r="M108" i="1" s="1"/>
  <c r="L156" i="1"/>
  <c r="M156" i="1" s="1"/>
  <c r="R252" i="1"/>
  <c r="S252" i="1" s="1"/>
  <c r="L3" i="1"/>
  <c r="M3" i="1" s="1"/>
  <c r="L19" i="1"/>
  <c r="M19" i="1" s="1"/>
  <c r="L27" i="1"/>
  <c r="M27" i="1" s="1"/>
  <c r="N43" i="1"/>
  <c r="O43" i="1" s="1"/>
  <c r="L51" i="1"/>
  <c r="M51" i="1" s="1"/>
  <c r="L59" i="1"/>
  <c r="M59" i="1" s="1"/>
  <c r="L67" i="1"/>
  <c r="M67" i="1" s="1"/>
  <c r="L83" i="1"/>
  <c r="M83" i="1" s="1"/>
  <c r="L91" i="1"/>
  <c r="M91" i="1" s="1"/>
  <c r="L99" i="1"/>
  <c r="M99" i="1" s="1"/>
  <c r="L115" i="1"/>
  <c r="M115" i="1" s="1"/>
  <c r="L123" i="1"/>
  <c r="M123" i="1" s="1"/>
  <c r="L147" i="1"/>
  <c r="M147" i="1" s="1"/>
  <c r="L163" i="1"/>
  <c r="M163" i="1" s="1"/>
  <c r="L171" i="1"/>
  <c r="M171" i="1" s="1"/>
  <c r="L179" i="1"/>
  <c r="M179" i="1" s="1"/>
  <c r="L195" i="1"/>
  <c r="M195" i="1" s="1"/>
  <c r="N203" i="1"/>
  <c r="O203" i="1" s="1"/>
  <c r="L211" i="1"/>
  <c r="M211" i="1" s="1"/>
  <c r="L227" i="1"/>
  <c r="M227" i="1" s="1"/>
  <c r="L235" i="1"/>
  <c r="M235" i="1" s="1"/>
  <c r="L243" i="1"/>
  <c r="M243" i="1" s="1"/>
  <c r="N259" i="1"/>
  <c r="O259" i="1" s="1"/>
  <c r="N275" i="1"/>
  <c r="O275" i="1" s="1"/>
  <c r="L283" i="1"/>
  <c r="M283" i="1" s="1"/>
  <c r="L299" i="1"/>
  <c r="M299" i="1" s="1"/>
  <c r="L307" i="1"/>
  <c r="M307" i="1" s="1"/>
  <c r="N315" i="1"/>
  <c r="O315" i="1" s="1"/>
  <c r="N331" i="1"/>
  <c r="O331" i="1" s="1"/>
  <c r="N363" i="1"/>
  <c r="O363" i="1" s="1"/>
  <c r="L371" i="1"/>
  <c r="M371" i="1" s="1"/>
  <c r="N395" i="1"/>
  <c r="O395" i="1" s="1"/>
  <c r="L403" i="1"/>
  <c r="M403" i="1" s="1"/>
  <c r="L419" i="1"/>
  <c r="M419" i="1" s="1"/>
  <c r="N427" i="1"/>
  <c r="O427" i="1" s="1"/>
  <c r="L389" i="1"/>
  <c r="M389" i="1" s="1"/>
  <c r="L182" i="1"/>
  <c r="M182" i="1" s="1"/>
  <c r="N50" i="1"/>
  <c r="O50" i="1" s="1"/>
  <c r="N280" i="1"/>
  <c r="O280" i="1" s="1"/>
  <c r="N354" i="1"/>
  <c r="O354" i="1" s="1"/>
  <c r="P54" i="1"/>
  <c r="Q54" i="1" s="1"/>
  <c r="L15" i="1"/>
  <c r="M15" i="1" s="1"/>
  <c r="L47" i="1"/>
  <c r="M47" i="1" s="1"/>
  <c r="L226" i="1"/>
  <c r="M226" i="1" s="1"/>
  <c r="L378" i="1"/>
  <c r="M378" i="1" s="1"/>
  <c r="L418" i="1"/>
  <c r="M418" i="1" s="1"/>
  <c r="N60" i="1"/>
  <c r="O60" i="1" s="1"/>
  <c r="N197" i="1"/>
  <c r="O197" i="1" s="1"/>
  <c r="N282" i="1"/>
  <c r="O282" i="1" s="1"/>
  <c r="P113" i="1"/>
  <c r="Q113" i="1" s="1"/>
  <c r="L23" i="1"/>
  <c r="M23" i="1" s="1"/>
  <c r="L233" i="1"/>
  <c r="M233" i="1" s="1"/>
  <c r="P194" i="1"/>
  <c r="Q194" i="1" s="1"/>
  <c r="L24" i="1"/>
  <c r="M24" i="1" s="1"/>
  <c r="L162" i="1"/>
  <c r="M162" i="1" s="1"/>
  <c r="N14" i="1"/>
  <c r="O14" i="1" s="1"/>
  <c r="N226" i="1"/>
  <c r="O226" i="1" s="1"/>
  <c r="P201" i="1"/>
  <c r="Q201" i="1" s="1"/>
  <c r="L16" i="1"/>
  <c r="M16" i="1" s="1"/>
  <c r="L204" i="1"/>
  <c r="M204" i="1" s="1"/>
  <c r="L246" i="1"/>
  <c r="M246" i="1" s="1"/>
  <c r="L327" i="1"/>
  <c r="M327" i="1" s="1"/>
  <c r="N322" i="1"/>
  <c r="O322" i="1" s="1"/>
  <c r="P2" i="1"/>
  <c r="Q2" i="1" s="1"/>
  <c r="P303" i="1"/>
  <c r="Q303" i="1" s="1"/>
  <c r="L127" i="1"/>
  <c r="M127" i="1" s="1"/>
  <c r="L169" i="1"/>
  <c r="M169" i="1" s="1"/>
  <c r="N169" i="1"/>
  <c r="O169" i="1" s="1"/>
  <c r="N252" i="1"/>
  <c r="O252" i="1" s="1"/>
  <c r="N336" i="1"/>
  <c r="O336" i="1" s="1"/>
  <c r="P6" i="1"/>
  <c r="Q6" i="1" s="1"/>
  <c r="L39" i="1"/>
  <c r="M39" i="1" s="1"/>
  <c r="L218" i="1"/>
  <c r="M218" i="1" s="1"/>
  <c r="L254" i="1"/>
  <c r="M254" i="1" s="1"/>
  <c r="L370" i="1"/>
  <c r="M370" i="1" s="1"/>
  <c r="N108" i="1"/>
  <c r="O108" i="1" s="1"/>
  <c r="N338" i="1"/>
  <c r="O338" i="1" s="1"/>
  <c r="P49" i="1"/>
  <c r="Q49" i="1" s="1"/>
  <c r="R81" i="1"/>
  <c r="S81" i="1" s="1"/>
  <c r="R11" i="1"/>
  <c r="S11" i="1" s="1"/>
  <c r="P11" i="1"/>
  <c r="Q11" i="1" s="1"/>
  <c r="R35" i="1"/>
  <c r="S35" i="1" s="1"/>
  <c r="P35" i="1"/>
  <c r="Q35" i="1" s="1"/>
  <c r="R75" i="1"/>
  <c r="S75" i="1" s="1"/>
  <c r="P75" i="1"/>
  <c r="Q75" i="1" s="1"/>
  <c r="R107" i="1"/>
  <c r="S107" i="1" s="1"/>
  <c r="P107" i="1"/>
  <c r="Q107" i="1" s="1"/>
  <c r="R131" i="1"/>
  <c r="S131" i="1" s="1"/>
  <c r="P131" i="1"/>
  <c r="Q131" i="1" s="1"/>
  <c r="N131" i="1"/>
  <c r="O131" i="1" s="1"/>
  <c r="R155" i="1"/>
  <c r="S155" i="1" s="1"/>
  <c r="P155" i="1"/>
  <c r="Q155" i="1" s="1"/>
  <c r="N155" i="1"/>
  <c r="O155" i="1" s="1"/>
  <c r="R187" i="1"/>
  <c r="S187" i="1" s="1"/>
  <c r="P187" i="1"/>
  <c r="Q187" i="1" s="1"/>
  <c r="R219" i="1"/>
  <c r="S219" i="1" s="1"/>
  <c r="P219" i="1"/>
  <c r="Q219" i="1" s="1"/>
  <c r="N219" i="1"/>
  <c r="O219" i="1" s="1"/>
  <c r="R251" i="1"/>
  <c r="S251" i="1" s="1"/>
  <c r="P251" i="1"/>
  <c r="Q251" i="1" s="1"/>
  <c r="R267" i="1"/>
  <c r="S267" i="1" s="1"/>
  <c r="P267" i="1"/>
  <c r="Q267" i="1" s="1"/>
  <c r="R291" i="1"/>
  <c r="S291" i="1" s="1"/>
  <c r="P291" i="1"/>
  <c r="Q291" i="1" s="1"/>
  <c r="N291" i="1"/>
  <c r="O291" i="1" s="1"/>
  <c r="R323" i="1"/>
  <c r="S323" i="1" s="1"/>
  <c r="P323" i="1"/>
  <c r="Q323" i="1" s="1"/>
  <c r="N323" i="1"/>
  <c r="O323" i="1" s="1"/>
  <c r="R355" i="1"/>
  <c r="S355" i="1" s="1"/>
  <c r="P355" i="1"/>
  <c r="Q355" i="1" s="1"/>
  <c r="N355" i="1"/>
  <c r="O355" i="1" s="1"/>
  <c r="R379" i="1"/>
  <c r="S379" i="1" s="1"/>
  <c r="P379" i="1"/>
  <c r="Q379" i="1" s="1"/>
  <c r="L379" i="1"/>
  <c r="M379" i="1" s="1"/>
  <c r="R411" i="1"/>
  <c r="S411" i="1" s="1"/>
  <c r="P411" i="1"/>
  <c r="Q411" i="1" s="1"/>
  <c r="R284" i="1"/>
  <c r="S284" i="1" s="1"/>
  <c r="P284" i="1"/>
  <c r="Q284" i="1" s="1"/>
  <c r="N284" i="1"/>
  <c r="O284" i="1" s="1"/>
  <c r="R324" i="1"/>
  <c r="S324" i="1" s="1"/>
  <c r="P324" i="1"/>
  <c r="Q324" i="1" s="1"/>
  <c r="N324" i="1"/>
  <c r="O324" i="1" s="1"/>
  <c r="R372" i="1"/>
  <c r="S372" i="1" s="1"/>
  <c r="P372" i="1"/>
  <c r="Q372" i="1" s="1"/>
  <c r="N372" i="1"/>
  <c r="O372" i="1" s="1"/>
  <c r="R412" i="1"/>
  <c r="S412" i="1" s="1"/>
  <c r="N412" i="1"/>
  <c r="O412" i="1" s="1"/>
  <c r="P412" i="1"/>
  <c r="Q412" i="1" s="1"/>
  <c r="L412" i="1"/>
  <c r="M412" i="1" s="1"/>
  <c r="N3" i="1"/>
  <c r="O3" i="1" s="1"/>
  <c r="N52" i="4"/>
  <c r="O52" i="4" s="1"/>
  <c r="N116" i="4"/>
  <c r="O116" i="4" s="1"/>
  <c r="L140" i="4"/>
  <c r="M140" i="4" s="1"/>
  <c r="N180" i="4"/>
  <c r="O180" i="4" s="1"/>
  <c r="L204" i="4"/>
  <c r="M204" i="4" s="1"/>
  <c r="N244" i="4"/>
  <c r="O244" i="4" s="1"/>
  <c r="R5" i="1"/>
  <c r="S5" i="1" s="1"/>
  <c r="P5" i="1"/>
  <c r="Q5" i="1" s="1"/>
  <c r="N5" i="1"/>
  <c r="O5" i="1" s="1"/>
  <c r="P13" i="1"/>
  <c r="Q13" i="1" s="1"/>
  <c r="R13" i="1"/>
  <c r="S13" i="1" s="1"/>
  <c r="N13" i="1"/>
  <c r="O13" i="1" s="1"/>
  <c r="P21" i="1"/>
  <c r="Q21" i="1" s="1"/>
  <c r="R21" i="1"/>
  <c r="S21" i="1" s="1"/>
  <c r="N21" i="1"/>
  <c r="O21" i="1" s="1"/>
  <c r="P29" i="1"/>
  <c r="Q29" i="1" s="1"/>
  <c r="R29" i="1"/>
  <c r="S29" i="1" s="1"/>
  <c r="N29" i="1"/>
  <c r="O29" i="1" s="1"/>
  <c r="R37" i="1"/>
  <c r="S37" i="1" s="1"/>
  <c r="P37" i="1"/>
  <c r="Q37" i="1" s="1"/>
  <c r="N37" i="1"/>
  <c r="O37" i="1" s="1"/>
  <c r="P45" i="1"/>
  <c r="Q45" i="1" s="1"/>
  <c r="R45" i="1"/>
  <c r="S45" i="1" s="1"/>
  <c r="N45" i="1"/>
  <c r="O45" i="1" s="1"/>
  <c r="P53" i="1"/>
  <c r="Q53" i="1" s="1"/>
  <c r="R53" i="1"/>
  <c r="S53" i="1" s="1"/>
  <c r="N53" i="1"/>
  <c r="O53" i="1" s="1"/>
  <c r="P61" i="1"/>
  <c r="Q61" i="1" s="1"/>
  <c r="R61" i="1"/>
  <c r="S61" i="1" s="1"/>
  <c r="N61" i="1"/>
  <c r="O61" i="1" s="1"/>
  <c r="R69" i="1"/>
  <c r="S69" i="1" s="1"/>
  <c r="P69" i="1"/>
  <c r="Q69" i="1" s="1"/>
  <c r="N69" i="1"/>
  <c r="O69" i="1" s="1"/>
  <c r="P77" i="1"/>
  <c r="Q77" i="1" s="1"/>
  <c r="R77" i="1"/>
  <c r="S77" i="1" s="1"/>
  <c r="N77" i="1"/>
  <c r="O77" i="1" s="1"/>
  <c r="P85" i="1"/>
  <c r="Q85" i="1" s="1"/>
  <c r="R85" i="1"/>
  <c r="S85" i="1" s="1"/>
  <c r="N85" i="1"/>
  <c r="O85" i="1" s="1"/>
  <c r="P93" i="1"/>
  <c r="Q93" i="1" s="1"/>
  <c r="R93" i="1"/>
  <c r="S93" i="1" s="1"/>
  <c r="N93" i="1"/>
  <c r="O93" i="1" s="1"/>
  <c r="R101" i="1"/>
  <c r="S101" i="1" s="1"/>
  <c r="P101" i="1"/>
  <c r="Q101" i="1" s="1"/>
  <c r="N101" i="1"/>
  <c r="O101" i="1" s="1"/>
  <c r="R109" i="1"/>
  <c r="S109" i="1" s="1"/>
  <c r="P109" i="1"/>
  <c r="Q109" i="1" s="1"/>
  <c r="N109" i="1"/>
  <c r="O109" i="1" s="1"/>
  <c r="R117" i="1"/>
  <c r="S117" i="1" s="1"/>
  <c r="N117" i="1"/>
  <c r="O117" i="1" s="1"/>
  <c r="R125" i="1"/>
  <c r="S125" i="1" s="1"/>
  <c r="P125" i="1"/>
  <c r="Q125" i="1" s="1"/>
  <c r="R133" i="1"/>
  <c r="S133" i="1" s="1"/>
  <c r="P133" i="1"/>
  <c r="Q133" i="1" s="1"/>
  <c r="N133" i="1"/>
  <c r="O133" i="1" s="1"/>
  <c r="P141" i="1"/>
  <c r="Q141" i="1" s="1"/>
  <c r="N141" i="1"/>
  <c r="O141" i="1" s="1"/>
  <c r="R149" i="1"/>
  <c r="S149" i="1" s="1"/>
  <c r="N149" i="1"/>
  <c r="O149" i="1" s="1"/>
  <c r="R157" i="1"/>
  <c r="S157" i="1" s="1"/>
  <c r="P157" i="1"/>
  <c r="Q157" i="1" s="1"/>
  <c r="N157" i="1"/>
  <c r="O157" i="1" s="1"/>
  <c r="P165" i="1"/>
  <c r="Q165" i="1" s="1"/>
  <c r="R165" i="1"/>
  <c r="S165" i="1" s="1"/>
  <c r="P173" i="1"/>
  <c r="Q173" i="1" s="1"/>
  <c r="R173" i="1"/>
  <c r="S173" i="1" s="1"/>
  <c r="R181" i="1"/>
  <c r="S181" i="1" s="1"/>
  <c r="P181" i="1"/>
  <c r="Q181" i="1" s="1"/>
  <c r="N181" i="1"/>
  <c r="O181" i="1" s="1"/>
  <c r="R189" i="1"/>
  <c r="S189" i="1" s="1"/>
  <c r="P189" i="1"/>
  <c r="Q189" i="1" s="1"/>
  <c r="N189" i="1"/>
  <c r="O189" i="1" s="1"/>
  <c r="R197" i="1"/>
  <c r="S197" i="1" s="1"/>
  <c r="P197" i="1"/>
  <c r="Q197" i="1" s="1"/>
  <c r="P205" i="1"/>
  <c r="Q205" i="1" s="1"/>
  <c r="R205" i="1"/>
  <c r="S205" i="1" s="1"/>
  <c r="N205" i="1"/>
  <c r="O205" i="1" s="1"/>
  <c r="R213" i="1"/>
  <c r="S213" i="1" s="1"/>
  <c r="P213" i="1"/>
  <c r="Q213" i="1" s="1"/>
  <c r="N213" i="1"/>
  <c r="O213" i="1" s="1"/>
  <c r="R221" i="1"/>
  <c r="S221" i="1" s="1"/>
  <c r="N221" i="1"/>
  <c r="O221" i="1" s="1"/>
  <c r="P221" i="1"/>
  <c r="Q221" i="1" s="1"/>
  <c r="P229" i="1"/>
  <c r="Q229" i="1" s="1"/>
  <c r="R229" i="1"/>
  <c r="S229" i="1" s="1"/>
  <c r="P237" i="1"/>
  <c r="Q237" i="1" s="1"/>
  <c r="R237" i="1"/>
  <c r="S237" i="1" s="1"/>
  <c r="R245" i="1"/>
  <c r="S245" i="1" s="1"/>
  <c r="N245" i="1"/>
  <c r="O245" i="1" s="1"/>
  <c r="R253" i="1"/>
  <c r="S253" i="1" s="1"/>
  <c r="P253" i="1"/>
  <c r="Q253" i="1" s="1"/>
  <c r="N253" i="1"/>
  <c r="O253" i="1" s="1"/>
  <c r="R261" i="1"/>
  <c r="S261" i="1" s="1"/>
  <c r="P261" i="1"/>
  <c r="Q261" i="1" s="1"/>
  <c r="P269" i="1"/>
  <c r="Q269" i="1" s="1"/>
  <c r="R269" i="1"/>
  <c r="S269" i="1" s="1"/>
  <c r="N269" i="1"/>
  <c r="O269" i="1" s="1"/>
  <c r="P277" i="1"/>
  <c r="Q277" i="1" s="1"/>
  <c r="R277" i="1"/>
  <c r="S277" i="1" s="1"/>
  <c r="N277" i="1"/>
  <c r="O277" i="1" s="1"/>
  <c r="R285" i="1"/>
  <c r="S285" i="1" s="1"/>
  <c r="P285" i="1"/>
  <c r="Q285" i="1" s="1"/>
  <c r="P293" i="1"/>
  <c r="Q293" i="1" s="1"/>
  <c r="R293" i="1"/>
  <c r="S293" i="1" s="1"/>
  <c r="P301" i="1"/>
  <c r="Q301" i="1" s="1"/>
  <c r="R301" i="1"/>
  <c r="S301" i="1" s="1"/>
  <c r="P309" i="1"/>
  <c r="Q309" i="1" s="1"/>
  <c r="R309" i="1"/>
  <c r="S309" i="1" s="1"/>
  <c r="P317" i="1"/>
  <c r="Q317" i="1" s="1"/>
  <c r="N317" i="1"/>
  <c r="O317" i="1" s="1"/>
  <c r="P325" i="1"/>
  <c r="Q325" i="1" s="1"/>
  <c r="R325" i="1"/>
  <c r="S325" i="1" s="1"/>
  <c r="N325" i="1"/>
  <c r="O325" i="1" s="1"/>
  <c r="R333" i="1"/>
  <c r="S333" i="1" s="1"/>
  <c r="P333" i="1"/>
  <c r="Q333" i="1" s="1"/>
  <c r="N333" i="1"/>
  <c r="O333" i="1" s="1"/>
  <c r="R341" i="1"/>
  <c r="S341" i="1" s="1"/>
  <c r="P341" i="1"/>
  <c r="Q341" i="1" s="1"/>
  <c r="N341" i="1"/>
  <c r="O341" i="1" s="1"/>
  <c r="P357" i="1"/>
  <c r="Q357" i="1" s="1"/>
  <c r="R357" i="1"/>
  <c r="S357" i="1" s="1"/>
  <c r="N357" i="1"/>
  <c r="O357" i="1" s="1"/>
  <c r="P365" i="1"/>
  <c r="Q365" i="1" s="1"/>
  <c r="R365" i="1"/>
  <c r="S365" i="1" s="1"/>
  <c r="P373" i="1"/>
  <c r="Q373" i="1" s="1"/>
  <c r="R373" i="1"/>
  <c r="S373" i="1" s="1"/>
  <c r="N373" i="1"/>
  <c r="O373" i="1" s="1"/>
  <c r="P381" i="1"/>
  <c r="Q381" i="1" s="1"/>
  <c r="R381" i="1"/>
  <c r="S381" i="1" s="1"/>
  <c r="P389" i="1"/>
  <c r="Q389" i="1" s="1"/>
  <c r="R389" i="1"/>
  <c r="S389" i="1" s="1"/>
  <c r="N389" i="1"/>
  <c r="O389" i="1" s="1"/>
  <c r="P397" i="1"/>
  <c r="Q397" i="1" s="1"/>
  <c r="R397" i="1"/>
  <c r="S397" i="1" s="1"/>
  <c r="L397" i="1"/>
  <c r="M397" i="1" s="1"/>
  <c r="P405" i="1"/>
  <c r="Q405" i="1" s="1"/>
  <c r="R405" i="1"/>
  <c r="S405" i="1" s="1"/>
  <c r="N405" i="1"/>
  <c r="O405" i="1" s="1"/>
  <c r="P413" i="1"/>
  <c r="Q413" i="1" s="1"/>
  <c r="R413" i="1"/>
  <c r="S413" i="1" s="1"/>
  <c r="P421" i="1"/>
  <c r="Q421" i="1" s="1"/>
  <c r="R421" i="1"/>
  <c r="S421" i="1" s="1"/>
  <c r="N421" i="1"/>
  <c r="O421" i="1" s="1"/>
  <c r="P429" i="1"/>
  <c r="Q429" i="1" s="1"/>
  <c r="R429" i="1"/>
  <c r="S429" i="1" s="1"/>
  <c r="P437" i="1"/>
  <c r="Q437" i="1" s="1"/>
  <c r="R437" i="1"/>
  <c r="S437" i="1" s="1"/>
  <c r="L437" i="1"/>
  <c r="M437" i="1" s="1"/>
  <c r="N437" i="1"/>
  <c r="O437" i="1" s="1"/>
  <c r="L17" i="1"/>
  <c r="M17" i="1" s="1"/>
  <c r="L49" i="1"/>
  <c r="M49" i="1" s="1"/>
  <c r="L65" i="1"/>
  <c r="M65" i="1" s="1"/>
  <c r="L81" i="1"/>
  <c r="M81" i="1" s="1"/>
  <c r="L220" i="1"/>
  <c r="M220" i="1" s="1"/>
  <c r="L269" i="1"/>
  <c r="M269" i="1" s="1"/>
  <c r="L284" i="1"/>
  <c r="M284" i="1" s="1"/>
  <c r="L292" i="1"/>
  <c r="M292" i="1" s="1"/>
  <c r="L313" i="1"/>
  <c r="M313" i="1" s="1"/>
  <c r="L328" i="1"/>
  <c r="M328" i="1" s="1"/>
  <c r="L342" i="1"/>
  <c r="M342" i="1" s="1"/>
  <c r="N4" i="1"/>
  <c r="O4" i="1" s="1"/>
  <c r="N15" i="1"/>
  <c r="O15" i="1" s="1"/>
  <c r="N26" i="1"/>
  <c r="O26" i="1" s="1"/>
  <c r="N38" i="1"/>
  <c r="O38" i="1" s="1"/>
  <c r="N51" i="1"/>
  <c r="O51" i="1" s="1"/>
  <c r="N66" i="1"/>
  <c r="O66" i="1" s="1"/>
  <c r="N82" i="1"/>
  <c r="O82" i="1" s="1"/>
  <c r="N98" i="1"/>
  <c r="O98" i="1" s="1"/>
  <c r="N114" i="1"/>
  <c r="O114" i="1" s="1"/>
  <c r="N143" i="1"/>
  <c r="O143" i="1" s="1"/>
  <c r="N172" i="1"/>
  <c r="O172" i="1" s="1"/>
  <c r="N186" i="1"/>
  <c r="O186" i="1" s="1"/>
  <c r="N201" i="1"/>
  <c r="O201" i="1" s="1"/>
  <c r="N229" i="1"/>
  <c r="O229" i="1" s="1"/>
  <c r="N243" i="1"/>
  <c r="O243" i="1" s="1"/>
  <c r="N258" i="1"/>
  <c r="O258" i="1" s="1"/>
  <c r="N285" i="1"/>
  <c r="O285" i="1" s="1"/>
  <c r="P14" i="1"/>
  <c r="Q14" i="1" s="1"/>
  <c r="P349" i="1"/>
  <c r="Q349" i="1" s="1"/>
  <c r="R141" i="1"/>
  <c r="S141" i="1" s="1"/>
  <c r="L219" i="1"/>
  <c r="M219" i="1" s="1"/>
  <c r="L275" i="1"/>
  <c r="M275" i="1" s="1"/>
  <c r="L291" i="1"/>
  <c r="M291" i="1" s="1"/>
  <c r="R30" i="1"/>
  <c r="S30" i="1" s="1"/>
  <c r="P30" i="1"/>
  <c r="Q30" i="1" s="1"/>
  <c r="R46" i="1"/>
  <c r="S46" i="1" s="1"/>
  <c r="P46" i="1"/>
  <c r="Q46" i="1" s="1"/>
  <c r="R62" i="1"/>
  <c r="S62" i="1" s="1"/>
  <c r="P62" i="1"/>
  <c r="Q62" i="1" s="1"/>
  <c r="R78" i="1"/>
  <c r="S78" i="1" s="1"/>
  <c r="P78" i="1"/>
  <c r="Q78" i="1" s="1"/>
  <c r="R94" i="1"/>
  <c r="S94" i="1" s="1"/>
  <c r="P94" i="1"/>
  <c r="Q94" i="1" s="1"/>
  <c r="R110" i="1"/>
  <c r="S110" i="1" s="1"/>
  <c r="P110" i="1"/>
  <c r="Q110" i="1" s="1"/>
  <c r="R118" i="1"/>
  <c r="S118" i="1" s="1"/>
  <c r="P118" i="1"/>
  <c r="Q118" i="1" s="1"/>
  <c r="R126" i="1"/>
  <c r="S126" i="1" s="1"/>
  <c r="P126" i="1"/>
  <c r="Q126" i="1" s="1"/>
  <c r="N126" i="1"/>
  <c r="O126" i="1" s="1"/>
  <c r="R134" i="1"/>
  <c r="S134" i="1" s="1"/>
  <c r="P134" i="1"/>
  <c r="Q134" i="1" s="1"/>
  <c r="N134" i="1"/>
  <c r="O134" i="1" s="1"/>
  <c r="P142" i="1"/>
  <c r="Q142" i="1" s="1"/>
  <c r="N142" i="1"/>
  <c r="O142" i="1" s="1"/>
  <c r="R142" i="1"/>
  <c r="S142" i="1" s="1"/>
  <c r="R150" i="1"/>
  <c r="S150" i="1" s="1"/>
  <c r="P150" i="1"/>
  <c r="Q150" i="1" s="1"/>
  <c r="R158" i="1"/>
  <c r="S158" i="1" s="1"/>
  <c r="P158" i="1"/>
  <c r="Q158" i="1" s="1"/>
  <c r="P166" i="1"/>
  <c r="Q166" i="1" s="1"/>
  <c r="R166" i="1"/>
  <c r="S166" i="1" s="1"/>
  <c r="P174" i="1"/>
  <c r="Q174" i="1" s="1"/>
  <c r="R174" i="1"/>
  <c r="S174" i="1" s="1"/>
  <c r="P182" i="1"/>
  <c r="Q182" i="1" s="1"/>
  <c r="R182" i="1"/>
  <c r="S182" i="1" s="1"/>
  <c r="R190" i="1"/>
  <c r="S190" i="1" s="1"/>
  <c r="P190" i="1"/>
  <c r="Q190" i="1" s="1"/>
  <c r="R198" i="1"/>
  <c r="S198" i="1" s="1"/>
  <c r="P198" i="1"/>
  <c r="Q198" i="1" s="1"/>
  <c r="N198" i="1"/>
  <c r="O198" i="1" s="1"/>
  <c r="P206" i="1"/>
  <c r="Q206" i="1" s="1"/>
  <c r="R206" i="1"/>
  <c r="S206" i="1" s="1"/>
  <c r="N206" i="1"/>
  <c r="O206" i="1" s="1"/>
  <c r="R214" i="1"/>
  <c r="S214" i="1" s="1"/>
  <c r="P214" i="1"/>
  <c r="Q214" i="1" s="1"/>
  <c r="R222" i="1"/>
  <c r="S222" i="1" s="1"/>
  <c r="P222" i="1"/>
  <c r="Q222" i="1" s="1"/>
  <c r="P230" i="1"/>
  <c r="Q230" i="1" s="1"/>
  <c r="R230" i="1"/>
  <c r="S230" i="1" s="1"/>
  <c r="R238" i="1"/>
  <c r="S238" i="1" s="1"/>
  <c r="P238" i="1"/>
  <c r="Q238" i="1" s="1"/>
  <c r="R254" i="1"/>
  <c r="S254" i="1" s="1"/>
  <c r="P254" i="1"/>
  <c r="Q254" i="1" s="1"/>
  <c r="R262" i="1"/>
  <c r="S262" i="1" s="1"/>
  <c r="P262" i="1"/>
  <c r="Q262" i="1" s="1"/>
  <c r="N262" i="1"/>
  <c r="O262" i="1" s="1"/>
  <c r="P270" i="1"/>
  <c r="Q270" i="1" s="1"/>
  <c r="R270" i="1"/>
  <c r="S270" i="1" s="1"/>
  <c r="N270" i="1"/>
  <c r="O270" i="1" s="1"/>
  <c r="P278" i="1"/>
  <c r="Q278" i="1" s="1"/>
  <c r="R278" i="1"/>
  <c r="S278" i="1" s="1"/>
  <c r="R286" i="1"/>
  <c r="S286" i="1" s="1"/>
  <c r="P286" i="1"/>
  <c r="Q286" i="1" s="1"/>
  <c r="P294" i="1"/>
  <c r="Q294" i="1" s="1"/>
  <c r="R294" i="1"/>
  <c r="S294" i="1" s="1"/>
  <c r="R302" i="1"/>
  <c r="S302" i="1" s="1"/>
  <c r="P302" i="1"/>
  <c r="Q302" i="1" s="1"/>
  <c r="N302" i="1"/>
  <c r="O302" i="1" s="1"/>
  <c r="R310" i="1"/>
  <c r="S310" i="1" s="1"/>
  <c r="N310" i="1"/>
  <c r="O310" i="1" s="1"/>
  <c r="R318" i="1"/>
  <c r="S318" i="1" s="1"/>
  <c r="P318" i="1"/>
  <c r="Q318" i="1" s="1"/>
  <c r="N318" i="1"/>
  <c r="O318" i="1" s="1"/>
  <c r="P326" i="1"/>
  <c r="Q326" i="1" s="1"/>
  <c r="R326" i="1"/>
  <c r="S326" i="1" s="1"/>
  <c r="N326" i="1"/>
  <c r="O326" i="1" s="1"/>
  <c r="R334" i="1"/>
  <c r="S334" i="1" s="1"/>
  <c r="P334" i="1"/>
  <c r="Q334" i="1" s="1"/>
  <c r="R342" i="1"/>
  <c r="S342" i="1" s="1"/>
  <c r="P342" i="1"/>
  <c r="Q342" i="1" s="1"/>
  <c r="R350" i="1"/>
  <c r="S350" i="1" s="1"/>
  <c r="P350" i="1"/>
  <c r="Q350" i="1" s="1"/>
  <c r="P358" i="1"/>
  <c r="Q358" i="1" s="1"/>
  <c r="R358" i="1"/>
  <c r="S358" i="1" s="1"/>
  <c r="N358" i="1"/>
  <c r="O358" i="1" s="1"/>
  <c r="P366" i="1"/>
  <c r="Q366" i="1" s="1"/>
  <c r="R366" i="1"/>
  <c r="S366" i="1" s="1"/>
  <c r="N366" i="1"/>
  <c r="O366" i="1" s="1"/>
  <c r="P374" i="1"/>
  <c r="Q374" i="1" s="1"/>
  <c r="R374" i="1"/>
  <c r="S374" i="1" s="1"/>
  <c r="N374" i="1"/>
  <c r="O374" i="1" s="1"/>
  <c r="P382" i="1"/>
  <c r="Q382" i="1" s="1"/>
  <c r="R382" i="1"/>
  <c r="S382" i="1" s="1"/>
  <c r="N382" i="1"/>
  <c r="O382" i="1" s="1"/>
  <c r="P390" i="1"/>
  <c r="Q390" i="1" s="1"/>
  <c r="R390" i="1"/>
  <c r="S390" i="1" s="1"/>
  <c r="N390" i="1"/>
  <c r="O390" i="1" s="1"/>
  <c r="P398" i="1"/>
  <c r="Q398" i="1" s="1"/>
  <c r="R398" i="1"/>
  <c r="S398" i="1" s="1"/>
  <c r="N398" i="1"/>
  <c r="O398" i="1" s="1"/>
  <c r="P406" i="1"/>
  <c r="Q406" i="1" s="1"/>
  <c r="R406" i="1"/>
  <c r="S406" i="1" s="1"/>
  <c r="N406" i="1"/>
  <c r="O406" i="1" s="1"/>
  <c r="P414" i="1"/>
  <c r="Q414" i="1" s="1"/>
  <c r="R414" i="1"/>
  <c r="S414" i="1" s="1"/>
  <c r="N414" i="1"/>
  <c r="O414" i="1" s="1"/>
  <c r="P422" i="1"/>
  <c r="Q422" i="1" s="1"/>
  <c r="R422" i="1"/>
  <c r="S422" i="1" s="1"/>
  <c r="N422" i="1"/>
  <c r="O422" i="1" s="1"/>
  <c r="P430" i="1"/>
  <c r="Q430" i="1" s="1"/>
  <c r="R430" i="1"/>
  <c r="S430" i="1" s="1"/>
  <c r="N430" i="1"/>
  <c r="O430" i="1" s="1"/>
  <c r="L430" i="1"/>
  <c r="M430" i="1" s="1"/>
  <c r="P438" i="1"/>
  <c r="Q438" i="1" s="1"/>
  <c r="R438" i="1"/>
  <c r="S438" i="1" s="1"/>
  <c r="N438" i="1"/>
  <c r="O438" i="1" s="1"/>
  <c r="L10" i="1"/>
  <c r="M10" i="1" s="1"/>
  <c r="L18" i="1"/>
  <c r="M18" i="1" s="1"/>
  <c r="L42" i="1"/>
  <c r="M42" i="1" s="1"/>
  <c r="L58" i="1"/>
  <c r="M58" i="1" s="1"/>
  <c r="L74" i="1"/>
  <c r="M74" i="1" s="1"/>
  <c r="L90" i="1"/>
  <c r="M90" i="1" s="1"/>
  <c r="L106" i="1"/>
  <c r="M106" i="1" s="1"/>
  <c r="L149" i="1"/>
  <c r="M149" i="1" s="1"/>
  <c r="L157" i="1"/>
  <c r="M157" i="1" s="1"/>
  <c r="L213" i="1"/>
  <c r="M213" i="1" s="1"/>
  <c r="L221" i="1"/>
  <c r="M221" i="1" s="1"/>
  <c r="L270" i="1"/>
  <c r="M270" i="1" s="1"/>
  <c r="L277" i="1"/>
  <c r="M277" i="1" s="1"/>
  <c r="L285" i="1"/>
  <c r="M285" i="1" s="1"/>
  <c r="L293" i="1"/>
  <c r="M293" i="1" s="1"/>
  <c r="L306" i="1"/>
  <c r="M306" i="1" s="1"/>
  <c r="L314" i="1"/>
  <c r="M314" i="1" s="1"/>
  <c r="L329" i="1"/>
  <c r="M329" i="1" s="1"/>
  <c r="L343" i="1"/>
  <c r="M343" i="1" s="1"/>
  <c r="L365" i="1"/>
  <c r="M365" i="1" s="1"/>
  <c r="L372" i="1"/>
  <c r="M372" i="1" s="1"/>
  <c r="L381" i="1"/>
  <c r="M381" i="1" s="1"/>
  <c r="L410" i="1"/>
  <c r="M410" i="1" s="1"/>
  <c r="L421" i="1"/>
  <c r="M421" i="1" s="1"/>
  <c r="L429" i="1"/>
  <c r="M429" i="1" s="1"/>
  <c r="N6" i="1"/>
  <c r="O6" i="1" s="1"/>
  <c r="N27" i="1"/>
  <c r="O27" i="1" s="1"/>
  <c r="N67" i="1"/>
  <c r="O67" i="1" s="1"/>
  <c r="N83" i="1"/>
  <c r="O83" i="1" s="1"/>
  <c r="N99" i="1"/>
  <c r="O99" i="1" s="1"/>
  <c r="N115" i="1"/>
  <c r="O115" i="1" s="1"/>
  <c r="N129" i="1"/>
  <c r="O129" i="1" s="1"/>
  <c r="N159" i="1"/>
  <c r="O159" i="1" s="1"/>
  <c r="N173" i="1"/>
  <c r="O173" i="1" s="1"/>
  <c r="N187" i="1"/>
  <c r="O187" i="1" s="1"/>
  <c r="N202" i="1"/>
  <c r="O202" i="1" s="1"/>
  <c r="N230" i="1"/>
  <c r="O230" i="1" s="1"/>
  <c r="N286" i="1"/>
  <c r="O286" i="1" s="1"/>
  <c r="N300" i="1"/>
  <c r="O300" i="1" s="1"/>
  <c r="P15" i="1"/>
  <c r="Q15" i="1" s="1"/>
  <c r="P70" i="1"/>
  <c r="Q70" i="1" s="1"/>
  <c r="P130" i="1"/>
  <c r="Q130" i="1" s="1"/>
  <c r="P226" i="1"/>
  <c r="Q226" i="1" s="1"/>
  <c r="P370" i="1"/>
  <c r="Q370" i="1" s="1"/>
  <c r="R159" i="1"/>
  <c r="S159" i="1" s="1"/>
  <c r="N267" i="1"/>
  <c r="O267" i="1" s="1"/>
  <c r="R12" i="1"/>
  <c r="S12" i="1" s="1"/>
  <c r="P12" i="1"/>
  <c r="Q12" i="1" s="1"/>
  <c r="R44" i="1"/>
  <c r="S44" i="1" s="1"/>
  <c r="P44" i="1"/>
  <c r="Q44" i="1" s="1"/>
  <c r="R76" i="1"/>
  <c r="S76" i="1" s="1"/>
  <c r="P76" i="1"/>
  <c r="Q76" i="1" s="1"/>
  <c r="R116" i="1"/>
  <c r="S116" i="1" s="1"/>
  <c r="P116" i="1"/>
  <c r="Q116" i="1" s="1"/>
  <c r="R156" i="1"/>
  <c r="S156" i="1" s="1"/>
  <c r="P156" i="1"/>
  <c r="Q156" i="1" s="1"/>
  <c r="N156" i="1"/>
  <c r="O156" i="1" s="1"/>
  <c r="R188" i="1"/>
  <c r="S188" i="1" s="1"/>
  <c r="P188" i="1"/>
  <c r="Q188" i="1" s="1"/>
  <c r="R220" i="1"/>
  <c r="S220" i="1" s="1"/>
  <c r="N220" i="1"/>
  <c r="O220" i="1" s="1"/>
  <c r="R268" i="1"/>
  <c r="S268" i="1" s="1"/>
  <c r="P268" i="1"/>
  <c r="Q268" i="1" s="1"/>
  <c r="R316" i="1"/>
  <c r="S316" i="1" s="1"/>
  <c r="P316" i="1"/>
  <c r="Q316" i="1" s="1"/>
  <c r="R356" i="1"/>
  <c r="S356" i="1" s="1"/>
  <c r="P356" i="1"/>
  <c r="Q356" i="1" s="1"/>
  <c r="R388" i="1"/>
  <c r="S388" i="1" s="1"/>
  <c r="N388" i="1"/>
  <c r="O388" i="1" s="1"/>
  <c r="P388" i="1"/>
  <c r="Q388" i="1" s="1"/>
  <c r="R428" i="1"/>
  <c r="S428" i="1" s="1"/>
  <c r="P428" i="1"/>
  <c r="Q428" i="1" s="1"/>
  <c r="N428" i="1"/>
  <c r="O428" i="1" s="1"/>
  <c r="R444" i="1"/>
  <c r="S444" i="1" s="1"/>
  <c r="P444" i="1"/>
  <c r="Q444" i="1" s="1"/>
  <c r="N444" i="1"/>
  <c r="O444" i="1" s="1"/>
  <c r="L155" i="1"/>
  <c r="M155" i="1" s="1"/>
  <c r="N211" i="1"/>
  <c r="O211" i="1" s="1"/>
  <c r="N268" i="1"/>
  <c r="O268" i="1" s="1"/>
  <c r="R7" i="1"/>
  <c r="S7" i="1" s="1"/>
  <c r="P7" i="1"/>
  <c r="Q7" i="1" s="1"/>
  <c r="R23" i="1"/>
  <c r="S23" i="1" s="1"/>
  <c r="P23" i="1"/>
  <c r="Q23" i="1" s="1"/>
  <c r="R47" i="1"/>
  <c r="S47" i="1" s="1"/>
  <c r="P47" i="1"/>
  <c r="Q47" i="1" s="1"/>
  <c r="R71" i="1"/>
  <c r="S71" i="1" s="1"/>
  <c r="P71" i="1"/>
  <c r="Q71" i="1" s="1"/>
  <c r="N71" i="1"/>
  <c r="O71" i="1" s="1"/>
  <c r="R87" i="1"/>
  <c r="S87" i="1" s="1"/>
  <c r="P87" i="1"/>
  <c r="Q87" i="1" s="1"/>
  <c r="N87" i="1"/>
  <c r="O87" i="1" s="1"/>
  <c r="R111" i="1"/>
  <c r="S111" i="1" s="1"/>
  <c r="P111" i="1"/>
  <c r="Q111" i="1" s="1"/>
  <c r="N111" i="1"/>
  <c r="O111" i="1" s="1"/>
  <c r="P167" i="1"/>
  <c r="Q167" i="1" s="1"/>
  <c r="R167" i="1"/>
  <c r="S167" i="1" s="1"/>
  <c r="P175" i="1"/>
  <c r="Q175" i="1" s="1"/>
  <c r="R175" i="1"/>
  <c r="S175" i="1" s="1"/>
  <c r="N175" i="1"/>
  <c r="O175" i="1" s="1"/>
  <c r="P183" i="1"/>
  <c r="Q183" i="1" s="1"/>
  <c r="R183" i="1"/>
  <c r="S183" i="1" s="1"/>
  <c r="N183" i="1"/>
  <c r="O183" i="1" s="1"/>
  <c r="R191" i="1"/>
  <c r="S191" i="1" s="1"/>
  <c r="P191" i="1"/>
  <c r="Q191" i="1" s="1"/>
  <c r="N191" i="1"/>
  <c r="O191" i="1" s="1"/>
  <c r="R199" i="1"/>
  <c r="S199" i="1" s="1"/>
  <c r="P199" i="1"/>
  <c r="Q199" i="1" s="1"/>
  <c r="N199" i="1"/>
  <c r="O199" i="1" s="1"/>
  <c r="P207" i="1"/>
  <c r="Q207" i="1" s="1"/>
  <c r="R207" i="1"/>
  <c r="S207" i="1" s="1"/>
  <c r="N207" i="1"/>
  <c r="O207" i="1" s="1"/>
  <c r="R215" i="1"/>
  <c r="S215" i="1" s="1"/>
  <c r="P215" i="1"/>
  <c r="Q215" i="1" s="1"/>
  <c r="P231" i="1"/>
  <c r="Q231" i="1" s="1"/>
  <c r="R231" i="1"/>
  <c r="S231" i="1" s="1"/>
  <c r="R239" i="1"/>
  <c r="S239" i="1" s="1"/>
  <c r="P239" i="1"/>
  <c r="Q239" i="1" s="1"/>
  <c r="N239" i="1"/>
  <c r="O239" i="1" s="1"/>
  <c r="P247" i="1"/>
  <c r="Q247" i="1" s="1"/>
  <c r="R247" i="1"/>
  <c r="S247" i="1" s="1"/>
  <c r="N247" i="1"/>
  <c r="O247" i="1" s="1"/>
  <c r="R255" i="1"/>
  <c r="S255" i="1" s="1"/>
  <c r="P255" i="1"/>
  <c r="Q255" i="1" s="1"/>
  <c r="N255" i="1"/>
  <c r="O255" i="1" s="1"/>
  <c r="R263" i="1"/>
  <c r="S263" i="1" s="1"/>
  <c r="P263" i="1"/>
  <c r="Q263" i="1" s="1"/>
  <c r="N263" i="1"/>
  <c r="O263" i="1" s="1"/>
  <c r="P271" i="1"/>
  <c r="Q271" i="1" s="1"/>
  <c r="R271" i="1"/>
  <c r="S271" i="1" s="1"/>
  <c r="N271" i="1"/>
  <c r="O271" i="1" s="1"/>
  <c r="P279" i="1"/>
  <c r="Q279" i="1" s="1"/>
  <c r="R279" i="1"/>
  <c r="S279" i="1" s="1"/>
  <c r="P287" i="1"/>
  <c r="Q287" i="1" s="1"/>
  <c r="R287" i="1"/>
  <c r="S287" i="1" s="1"/>
  <c r="P295" i="1"/>
  <c r="Q295" i="1" s="1"/>
  <c r="R295" i="1"/>
  <c r="S295" i="1" s="1"/>
  <c r="N295" i="1"/>
  <c r="O295" i="1" s="1"/>
  <c r="R311" i="1"/>
  <c r="S311" i="1" s="1"/>
  <c r="N311" i="1"/>
  <c r="O311" i="1" s="1"/>
  <c r="P311" i="1"/>
  <c r="Q311" i="1" s="1"/>
  <c r="P319" i="1"/>
  <c r="Q319" i="1" s="1"/>
  <c r="N319" i="1"/>
  <c r="O319" i="1" s="1"/>
  <c r="R319" i="1"/>
  <c r="S319" i="1" s="1"/>
  <c r="P327" i="1"/>
  <c r="Q327" i="1" s="1"/>
  <c r="R327" i="1"/>
  <c r="S327" i="1" s="1"/>
  <c r="R335" i="1"/>
  <c r="S335" i="1" s="1"/>
  <c r="P335" i="1"/>
  <c r="Q335" i="1" s="1"/>
  <c r="P343" i="1"/>
  <c r="Q343" i="1" s="1"/>
  <c r="R343" i="1"/>
  <c r="S343" i="1" s="1"/>
  <c r="P351" i="1"/>
  <c r="Q351" i="1" s="1"/>
  <c r="N351" i="1"/>
  <c r="O351" i="1" s="1"/>
  <c r="R351" i="1"/>
  <c r="S351" i="1" s="1"/>
  <c r="P359" i="1"/>
  <c r="Q359" i="1" s="1"/>
  <c r="N359" i="1"/>
  <c r="O359" i="1" s="1"/>
  <c r="R359" i="1"/>
  <c r="S359" i="1" s="1"/>
  <c r="P367" i="1"/>
  <c r="Q367" i="1" s="1"/>
  <c r="R367" i="1"/>
  <c r="S367" i="1" s="1"/>
  <c r="N367" i="1"/>
  <c r="O367" i="1" s="1"/>
  <c r="P375" i="1"/>
  <c r="Q375" i="1" s="1"/>
  <c r="R375" i="1"/>
  <c r="S375" i="1" s="1"/>
  <c r="N375" i="1"/>
  <c r="O375" i="1" s="1"/>
  <c r="P383" i="1"/>
  <c r="Q383" i="1" s="1"/>
  <c r="N383" i="1"/>
  <c r="O383" i="1" s="1"/>
  <c r="R383" i="1"/>
  <c r="S383" i="1" s="1"/>
  <c r="L383" i="1"/>
  <c r="M383" i="1" s="1"/>
  <c r="P391" i="1"/>
  <c r="Q391" i="1" s="1"/>
  <c r="N391" i="1"/>
  <c r="O391" i="1" s="1"/>
  <c r="R391" i="1"/>
  <c r="S391" i="1" s="1"/>
  <c r="L391" i="1"/>
  <c r="M391" i="1" s="1"/>
  <c r="P399" i="1"/>
  <c r="Q399" i="1" s="1"/>
  <c r="R399" i="1"/>
  <c r="S399" i="1" s="1"/>
  <c r="N399" i="1"/>
  <c r="O399" i="1" s="1"/>
  <c r="P407" i="1"/>
  <c r="Q407" i="1" s="1"/>
  <c r="R407" i="1"/>
  <c r="S407" i="1" s="1"/>
  <c r="N407" i="1"/>
  <c r="O407" i="1" s="1"/>
  <c r="P415" i="1"/>
  <c r="Q415" i="1" s="1"/>
  <c r="N415" i="1"/>
  <c r="O415" i="1" s="1"/>
  <c r="R415" i="1"/>
  <c r="S415" i="1" s="1"/>
  <c r="P423" i="1"/>
  <c r="Q423" i="1" s="1"/>
  <c r="N423" i="1"/>
  <c r="O423" i="1" s="1"/>
  <c r="R423" i="1"/>
  <c r="S423" i="1" s="1"/>
  <c r="P431" i="1"/>
  <c r="Q431" i="1" s="1"/>
  <c r="R431" i="1"/>
  <c r="S431" i="1" s="1"/>
  <c r="N431" i="1"/>
  <c r="O431" i="1" s="1"/>
  <c r="P439" i="1"/>
  <c r="Q439" i="1" s="1"/>
  <c r="R439" i="1"/>
  <c r="S439" i="1" s="1"/>
  <c r="N439" i="1"/>
  <c r="O439" i="1" s="1"/>
  <c r="L11" i="1"/>
  <c r="M11" i="1" s="1"/>
  <c r="L35" i="1"/>
  <c r="M35" i="1" s="1"/>
  <c r="L43" i="1"/>
  <c r="M43" i="1" s="1"/>
  <c r="L75" i="1"/>
  <c r="M75" i="1" s="1"/>
  <c r="L107" i="1"/>
  <c r="M107" i="1" s="1"/>
  <c r="L122" i="1"/>
  <c r="M122" i="1" s="1"/>
  <c r="L150" i="1"/>
  <c r="M150" i="1" s="1"/>
  <c r="L158" i="1"/>
  <c r="M158" i="1" s="1"/>
  <c r="L214" i="1"/>
  <c r="M214" i="1" s="1"/>
  <c r="L222" i="1"/>
  <c r="M222" i="1" s="1"/>
  <c r="L250" i="1"/>
  <c r="M250" i="1" s="1"/>
  <c r="L271" i="1"/>
  <c r="M271" i="1" s="1"/>
  <c r="L278" i="1"/>
  <c r="M278" i="1" s="1"/>
  <c r="L286" i="1"/>
  <c r="M286" i="1" s="1"/>
  <c r="L294" i="1"/>
  <c r="M294" i="1" s="1"/>
  <c r="L315" i="1"/>
  <c r="M315" i="1" s="1"/>
  <c r="L344" i="1"/>
  <c r="M344" i="1" s="1"/>
  <c r="L366" i="1"/>
  <c r="M366" i="1" s="1"/>
  <c r="L373" i="1"/>
  <c r="M373" i="1" s="1"/>
  <c r="L382" i="1"/>
  <c r="M382" i="1" s="1"/>
  <c r="L411" i="1"/>
  <c r="M411" i="1" s="1"/>
  <c r="L422" i="1"/>
  <c r="M422" i="1" s="1"/>
  <c r="L431" i="1"/>
  <c r="M431" i="1" s="1"/>
  <c r="N7" i="1"/>
  <c r="O7" i="1" s="1"/>
  <c r="N54" i="1"/>
  <c r="O54" i="1" s="1"/>
  <c r="N68" i="1"/>
  <c r="O68" i="1" s="1"/>
  <c r="N84" i="1"/>
  <c r="O84" i="1" s="1"/>
  <c r="N100" i="1"/>
  <c r="O100" i="1" s="1"/>
  <c r="N116" i="1"/>
  <c r="O116" i="1" s="1"/>
  <c r="N130" i="1"/>
  <c r="O130" i="1" s="1"/>
  <c r="N174" i="1"/>
  <c r="O174" i="1" s="1"/>
  <c r="N188" i="1"/>
  <c r="O188" i="1" s="1"/>
  <c r="N231" i="1"/>
  <c r="O231" i="1" s="1"/>
  <c r="N244" i="1"/>
  <c r="O244" i="1" s="1"/>
  <c r="N273" i="1"/>
  <c r="O273" i="1" s="1"/>
  <c r="N287" i="1"/>
  <c r="O287" i="1" s="1"/>
  <c r="N301" i="1"/>
  <c r="O301" i="1" s="1"/>
  <c r="N365" i="1"/>
  <c r="O365" i="1" s="1"/>
  <c r="N397" i="1"/>
  <c r="O397" i="1" s="1"/>
  <c r="N429" i="1"/>
  <c r="O429" i="1" s="1"/>
  <c r="P81" i="1"/>
  <c r="Q81" i="1" s="1"/>
  <c r="P245" i="1"/>
  <c r="Q245" i="1" s="1"/>
  <c r="P434" i="1"/>
  <c r="Q434" i="1" s="1"/>
  <c r="R223" i="1"/>
  <c r="S223" i="1" s="1"/>
  <c r="R19" i="1"/>
  <c r="S19" i="1" s="1"/>
  <c r="P19" i="1"/>
  <c r="Q19" i="1" s="1"/>
  <c r="R59" i="1"/>
  <c r="S59" i="1" s="1"/>
  <c r="P59" i="1"/>
  <c r="Q59" i="1" s="1"/>
  <c r="R99" i="1"/>
  <c r="S99" i="1" s="1"/>
  <c r="P99" i="1"/>
  <c r="Q99" i="1" s="1"/>
  <c r="R139" i="1"/>
  <c r="S139" i="1" s="1"/>
  <c r="P139" i="1"/>
  <c r="Q139" i="1" s="1"/>
  <c r="N139" i="1"/>
  <c r="O139" i="1" s="1"/>
  <c r="R171" i="1"/>
  <c r="S171" i="1" s="1"/>
  <c r="P171" i="1"/>
  <c r="Q171" i="1" s="1"/>
  <c r="N171" i="1"/>
  <c r="O171" i="1" s="1"/>
  <c r="R203" i="1"/>
  <c r="S203" i="1" s="1"/>
  <c r="P203" i="1"/>
  <c r="Q203" i="1" s="1"/>
  <c r="R227" i="1"/>
  <c r="S227" i="1" s="1"/>
  <c r="P227" i="1"/>
  <c r="Q227" i="1" s="1"/>
  <c r="N227" i="1"/>
  <c r="O227" i="1" s="1"/>
  <c r="R259" i="1"/>
  <c r="S259" i="1" s="1"/>
  <c r="P259" i="1"/>
  <c r="Q259" i="1" s="1"/>
  <c r="R307" i="1"/>
  <c r="S307" i="1" s="1"/>
  <c r="P307" i="1"/>
  <c r="Q307" i="1" s="1"/>
  <c r="P347" i="1"/>
  <c r="Q347" i="1" s="1"/>
  <c r="R347" i="1"/>
  <c r="S347" i="1" s="1"/>
  <c r="N347" i="1"/>
  <c r="O347" i="1" s="1"/>
  <c r="R395" i="1"/>
  <c r="S395" i="1" s="1"/>
  <c r="P395" i="1"/>
  <c r="Q395" i="1" s="1"/>
  <c r="N35" i="1"/>
  <c r="O35" i="1" s="1"/>
  <c r="R28" i="1"/>
  <c r="S28" i="1" s="1"/>
  <c r="P28" i="1"/>
  <c r="Q28" i="1" s="1"/>
  <c r="R52" i="1"/>
  <c r="S52" i="1" s="1"/>
  <c r="P52" i="1"/>
  <c r="Q52" i="1" s="1"/>
  <c r="R92" i="1"/>
  <c r="S92" i="1" s="1"/>
  <c r="P92" i="1"/>
  <c r="Q92" i="1" s="1"/>
  <c r="R124" i="1"/>
  <c r="S124" i="1" s="1"/>
  <c r="P124" i="1"/>
  <c r="Q124" i="1" s="1"/>
  <c r="N124" i="1"/>
  <c r="O124" i="1" s="1"/>
  <c r="R148" i="1"/>
  <c r="S148" i="1" s="1"/>
  <c r="P148" i="1"/>
  <c r="Q148" i="1" s="1"/>
  <c r="N148" i="1"/>
  <c r="O148" i="1" s="1"/>
  <c r="R180" i="1"/>
  <c r="S180" i="1" s="1"/>
  <c r="P180" i="1"/>
  <c r="Q180" i="1" s="1"/>
  <c r="R212" i="1"/>
  <c r="S212" i="1" s="1"/>
  <c r="P212" i="1"/>
  <c r="Q212" i="1" s="1"/>
  <c r="N212" i="1"/>
  <c r="O212" i="1" s="1"/>
  <c r="R236" i="1"/>
  <c r="S236" i="1" s="1"/>
  <c r="P236" i="1"/>
  <c r="Q236" i="1" s="1"/>
  <c r="R276" i="1"/>
  <c r="S276" i="1" s="1"/>
  <c r="P276" i="1"/>
  <c r="Q276" i="1" s="1"/>
  <c r="N276" i="1"/>
  <c r="O276" i="1" s="1"/>
  <c r="R308" i="1"/>
  <c r="S308" i="1" s="1"/>
  <c r="P308" i="1"/>
  <c r="Q308" i="1" s="1"/>
  <c r="N308" i="1"/>
  <c r="O308" i="1" s="1"/>
  <c r="R348" i="1"/>
  <c r="S348" i="1" s="1"/>
  <c r="P348" i="1"/>
  <c r="Q348" i="1" s="1"/>
  <c r="N348" i="1"/>
  <c r="O348" i="1" s="1"/>
  <c r="R380" i="1"/>
  <c r="S380" i="1" s="1"/>
  <c r="P380" i="1"/>
  <c r="Q380" i="1" s="1"/>
  <c r="N380" i="1"/>
  <c r="O380" i="1" s="1"/>
  <c r="R420" i="1"/>
  <c r="S420" i="1" s="1"/>
  <c r="P420" i="1"/>
  <c r="Q420" i="1" s="1"/>
  <c r="N420" i="1"/>
  <c r="O420" i="1" s="1"/>
  <c r="L420" i="1"/>
  <c r="M420" i="1" s="1"/>
  <c r="R436" i="1"/>
  <c r="S436" i="1" s="1"/>
  <c r="P436" i="1"/>
  <c r="Q436" i="1" s="1"/>
  <c r="N436" i="1"/>
  <c r="O436" i="1" s="1"/>
  <c r="N36" i="1"/>
  <c r="O36" i="1" s="1"/>
  <c r="N356" i="1"/>
  <c r="O356" i="1" s="1"/>
  <c r="R31" i="1"/>
  <c r="S31" i="1" s="1"/>
  <c r="P31" i="1"/>
  <c r="Q31" i="1" s="1"/>
  <c r="R39" i="1"/>
  <c r="S39" i="1" s="1"/>
  <c r="P39" i="1"/>
  <c r="Q39" i="1" s="1"/>
  <c r="R55" i="1"/>
  <c r="S55" i="1" s="1"/>
  <c r="P55" i="1"/>
  <c r="Q55" i="1" s="1"/>
  <c r="R63" i="1"/>
  <c r="S63" i="1" s="1"/>
  <c r="P63" i="1"/>
  <c r="Q63" i="1" s="1"/>
  <c r="N63" i="1"/>
  <c r="O63" i="1" s="1"/>
  <c r="R79" i="1"/>
  <c r="S79" i="1" s="1"/>
  <c r="P79" i="1"/>
  <c r="Q79" i="1" s="1"/>
  <c r="N79" i="1"/>
  <c r="O79" i="1" s="1"/>
  <c r="R95" i="1"/>
  <c r="S95" i="1" s="1"/>
  <c r="P95" i="1"/>
  <c r="Q95" i="1" s="1"/>
  <c r="N95" i="1"/>
  <c r="O95" i="1" s="1"/>
  <c r="R103" i="1"/>
  <c r="S103" i="1" s="1"/>
  <c r="P103" i="1"/>
  <c r="Q103" i="1" s="1"/>
  <c r="N103" i="1"/>
  <c r="O103" i="1" s="1"/>
  <c r="P119" i="1"/>
  <c r="Q119" i="1" s="1"/>
  <c r="R119" i="1"/>
  <c r="S119" i="1" s="1"/>
  <c r="N119" i="1"/>
  <c r="O119" i="1" s="1"/>
  <c r="R127" i="1"/>
  <c r="S127" i="1" s="1"/>
  <c r="N127" i="1"/>
  <c r="O127" i="1" s="1"/>
  <c r="R135" i="1"/>
  <c r="S135" i="1" s="1"/>
  <c r="P135" i="1"/>
  <c r="Q135" i="1" s="1"/>
  <c r="N135" i="1"/>
  <c r="O135" i="1" s="1"/>
  <c r="P143" i="1"/>
  <c r="Q143" i="1" s="1"/>
  <c r="R143" i="1"/>
  <c r="S143" i="1" s="1"/>
  <c r="R151" i="1"/>
  <c r="S151" i="1" s="1"/>
  <c r="P151" i="1"/>
  <c r="Q151" i="1" s="1"/>
  <c r="R8" i="1"/>
  <c r="S8" i="1" s="1"/>
  <c r="P8" i="1"/>
  <c r="Q8" i="1" s="1"/>
  <c r="R16" i="1"/>
  <c r="S16" i="1" s="1"/>
  <c r="P16" i="1"/>
  <c r="Q16" i="1" s="1"/>
  <c r="R24" i="1"/>
  <c r="S24" i="1" s="1"/>
  <c r="P24" i="1"/>
  <c r="Q24" i="1" s="1"/>
  <c r="R32" i="1"/>
  <c r="S32" i="1" s="1"/>
  <c r="P32" i="1"/>
  <c r="Q32" i="1" s="1"/>
  <c r="N32" i="1"/>
  <c r="O32" i="1" s="1"/>
  <c r="R40" i="1"/>
  <c r="S40" i="1" s="1"/>
  <c r="P40" i="1"/>
  <c r="Q40" i="1" s="1"/>
  <c r="N40" i="1"/>
  <c r="O40" i="1" s="1"/>
  <c r="R48" i="1"/>
  <c r="S48" i="1" s="1"/>
  <c r="P48" i="1"/>
  <c r="Q48" i="1" s="1"/>
  <c r="N48" i="1"/>
  <c r="O48" i="1" s="1"/>
  <c r="R56" i="1"/>
  <c r="S56" i="1" s="1"/>
  <c r="P56" i="1"/>
  <c r="Q56" i="1" s="1"/>
  <c r="N56" i="1"/>
  <c r="O56" i="1" s="1"/>
  <c r="R64" i="1"/>
  <c r="S64" i="1" s="1"/>
  <c r="P64" i="1"/>
  <c r="Q64" i="1" s="1"/>
  <c r="N64" i="1"/>
  <c r="O64" i="1" s="1"/>
  <c r="R72" i="1"/>
  <c r="S72" i="1" s="1"/>
  <c r="P72" i="1"/>
  <c r="Q72" i="1" s="1"/>
  <c r="N72" i="1"/>
  <c r="O72" i="1" s="1"/>
  <c r="R80" i="1"/>
  <c r="S80" i="1" s="1"/>
  <c r="P80" i="1"/>
  <c r="Q80" i="1" s="1"/>
  <c r="N80" i="1"/>
  <c r="O80" i="1" s="1"/>
  <c r="R88" i="1"/>
  <c r="S88" i="1" s="1"/>
  <c r="P88" i="1"/>
  <c r="Q88" i="1" s="1"/>
  <c r="N88" i="1"/>
  <c r="O88" i="1" s="1"/>
  <c r="R96" i="1"/>
  <c r="S96" i="1" s="1"/>
  <c r="P96" i="1"/>
  <c r="Q96" i="1" s="1"/>
  <c r="N96" i="1"/>
  <c r="O96" i="1" s="1"/>
  <c r="R104" i="1"/>
  <c r="S104" i="1" s="1"/>
  <c r="P104" i="1"/>
  <c r="Q104" i="1" s="1"/>
  <c r="N104" i="1"/>
  <c r="O104" i="1" s="1"/>
  <c r="R112" i="1"/>
  <c r="S112" i="1" s="1"/>
  <c r="P112" i="1"/>
  <c r="Q112" i="1" s="1"/>
  <c r="N112" i="1"/>
  <c r="O112" i="1" s="1"/>
  <c r="R120" i="1"/>
  <c r="S120" i="1" s="1"/>
  <c r="P120" i="1"/>
  <c r="Q120" i="1" s="1"/>
  <c r="N120" i="1"/>
  <c r="O120" i="1" s="1"/>
  <c r="R128" i="1"/>
  <c r="S128" i="1" s="1"/>
  <c r="P128" i="1"/>
  <c r="Q128" i="1" s="1"/>
  <c r="N128" i="1"/>
  <c r="O128" i="1" s="1"/>
  <c r="R136" i="1"/>
  <c r="S136" i="1" s="1"/>
  <c r="P136" i="1"/>
  <c r="Q136" i="1" s="1"/>
  <c r="R144" i="1"/>
  <c r="S144" i="1" s="1"/>
  <c r="P144" i="1"/>
  <c r="Q144" i="1" s="1"/>
  <c r="R152" i="1"/>
  <c r="S152" i="1" s="1"/>
  <c r="P152" i="1"/>
  <c r="Q152" i="1" s="1"/>
  <c r="R160" i="1"/>
  <c r="S160" i="1" s="1"/>
  <c r="P160" i="1"/>
  <c r="Q160" i="1" s="1"/>
  <c r="R168" i="1"/>
  <c r="S168" i="1" s="1"/>
  <c r="P168" i="1"/>
  <c r="Q168" i="1" s="1"/>
  <c r="N168" i="1"/>
  <c r="O168" i="1" s="1"/>
  <c r="R176" i="1"/>
  <c r="S176" i="1" s="1"/>
  <c r="P176" i="1"/>
  <c r="Q176" i="1" s="1"/>
  <c r="N176" i="1"/>
  <c r="O176" i="1" s="1"/>
  <c r="R184" i="1"/>
  <c r="S184" i="1" s="1"/>
  <c r="P184" i="1"/>
  <c r="Q184" i="1" s="1"/>
  <c r="N184" i="1"/>
  <c r="O184" i="1" s="1"/>
  <c r="R192" i="1"/>
  <c r="S192" i="1" s="1"/>
  <c r="P192" i="1"/>
  <c r="Q192" i="1" s="1"/>
  <c r="N192" i="1"/>
  <c r="O192" i="1" s="1"/>
  <c r="R200" i="1"/>
  <c r="S200" i="1" s="1"/>
  <c r="P200" i="1"/>
  <c r="Q200" i="1" s="1"/>
  <c r="N200" i="1"/>
  <c r="O200" i="1" s="1"/>
  <c r="R208" i="1"/>
  <c r="S208" i="1" s="1"/>
  <c r="P208" i="1"/>
  <c r="Q208" i="1" s="1"/>
  <c r="R216" i="1"/>
  <c r="S216" i="1" s="1"/>
  <c r="P216" i="1"/>
  <c r="Q216" i="1" s="1"/>
  <c r="R224" i="1"/>
  <c r="S224" i="1" s="1"/>
  <c r="P224" i="1"/>
  <c r="Q224" i="1" s="1"/>
  <c r="R232" i="1"/>
  <c r="S232" i="1" s="1"/>
  <c r="P232" i="1"/>
  <c r="Q232" i="1" s="1"/>
  <c r="N232" i="1"/>
  <c r="O232" i="1" s="1"/>
  <c r="R240" i="1"/>
  <c r="S240" i="1" s="1"/>
  <c r="P240" i="1"/>
  <c r="Q240" i="1" s="1"/>
  <c r="N240" i="1"/>
  <c r="O240" i="1" s="1"/>
  <c r="R248" i="1"/>
  <c r="S248" i="1" s="1"/>
  <c r="P248" i="1"/>
  <c r="Q248" i="1" s="1"/>
  <c r="N248" i="1"/>
  <c r="O248" i="1" s="1"/>
  <c r="R256" i="1"/>
  <c r="S256" i="1" s="1"/>
  <c r="P256" i="1"/>
  <c r="Q256" i="1" s="1"/>
  <c r="N256" i="1"/>
  <c r="O256" i="1" s="1"/>
  <c r="R264" i="1"/>
  <c r="S264" i="1" s="1"/>
  <c r="P264" i="1"/>
  <c r="Q264" i="1" s="1"/>
  <c r="N264" i="1"/>
  <c r="O264" i="1" s="1"/>
  <c r="R272" i="1"/>
  <c r="S272" i="1" s="1"/>
  <c r="P272" i="1"/>
  <c r="Q272" i="1" s="1"/>
  <c r="R288" i="1"/>
  <c r="S288" i="1" s="1"/>
  <c r="P288" i="1"/>
  <c r="Q288" i="1" s="1"/>
  <c r="N288" i="1"/>
  <c r="O288" i="1" s="1"/>
  <c r="R296" i="1"/>
  <c r="S296" i="1" s="1"/>
  <c r="P296" i="1"/>
  <c r="Q296" i="1" s="1"/>
  <c r="R304" i="1"/>
  <c r="S304" i="1" s="1"/>
  <c r="P304" i="1"/>
  <c r="Q304" i="1" s="1"/>
  <c r="N304" i="1"/>
  <c r="O304" i="1" s="1"/>
  <c r="R312" i="1"/>
  <c r="S312" i="1" s="1"/>
  <c r="P312" i="1"/>
  <c r="Q312" i="1" s="1"/>
  <c r="N312" i="1"/>
  <c r="O312" i="1" s="1"/>
  <c r="R320" i="1"/>
  <c r="S320" i="1" s="1"/>
  <c r="P320" i="1"/>
  <c r="Q320" i="1" s="1"/>
  <c r="R328" i="1"/>
  <c r="S328" i="1" s="1"/>
  <c r="P328" i="1"/>
  <c r="Q328" i="1" s="1"/>
  <c r="P336" i="1"/>
  <c r="Q336" i="1" s="1"/>
  <c r="R336" i="1"/>
  <c r="S336" i="1" s="1"/>
  <c r="P344" i="1"/>
  <c r="Q344" i="1" s="1"/>
  <c r="R344" i="1"/>
  <c r="S344" i="1" s="1"/>
  <c r="P352" i="1"/>
  <c r="Q352" i="1" s="1"/>
  <c r="R352" i="1"/>
  <c r="S352" i="1" s="1"/>
  <c r="P360" i="1"/>
  <c r="Q360" i="1" s="1"/>
  <c r="R360" i="1"/>
  <c r="S360" i="1" s="1"/>
  <c r="N360" i="1"/>
  <c r="O360" i="1" s="1"/>
  <c r="P368" i="1"/>
  <c r="Q368" i="1" s="1"/>
  <c r="R368" i="1"/>
  <c r="S368" i="1" s="1"/>
  <c r="N368" i="1"/>
  <c r="O368" i="1" s="1"/>
  <c r="P376" i="1"/>
  <c r="Q376" i="1" s="1"/>
  <c r="R376" i="1"/>
  <c r="S376" i="1" s="1"/>
  <c r="N376" i="1"/>
  <c r="O376" i="1" s="1"/>
  <c r="P384" i="1"/>
  <c r="Q384" i="1" s="1"/>
  <c r="R384" i="1"/>
  <c r="S384" i="1" s="1"/>
  <c r="N384" i="1"/>
  <c r="O384" i="1" s="1"/>
  <c r="P392" i="1"/>
  <c r="Q392" i="1" s="1"/>
  <c r="R392" i="1"/>
  <c r="S392" i="1" s="1"/>
  <c r="N392" i="1"/>
  <c r="O392" i="1" s="1"/>
  <c r="P400" i="1"/>
  <c r="Q400" i="1" s="1"/>
  <c r="R400" i="1"/>
  <c r="S400" i="1" s="1"/>
  <c r="L400" i="1"/>
  <c r="M400" i="1" s="1"/>
  <c r="N400" i="1"/>
  <c r="O400" i="1" s="1"/>
  <c r="P408" i="1"/>
  <c r="Q408" i="1" s="1"/>
  <c r="R408" i="1"/>
  <c r="S408" i="1" s="1"/>
  <c r="N408" i="1"/>
  <c r="O408" i="1" s="1"/>
  <c r="L408" i="1"/>
  <c r="M408" i="1" s="1"/>
  <c r="P416" i="1"/>
  <c r="Q416" i="1" s="1"/>
  <c r="R416" i="1"/>
  <c r="S416" i="1" s="1"/>
  <c r="L416" i="1"/>
  <c r="M416" i="1" s="1"/>
  <c r="N416" i="1"/>
  <c r="O416" i="1" s="1"/>
  <c r="P424" i="1"/>
  <c r="Q424" i="1" s="1"/>
  <c r="R424" i="1"/>
  <c r="S424" i="1" s="1"/>
  <c r="N424" i="1"/>
  <c r="O424" i="1" s="1"/>
  <c r="P432" i="1"/>
  <c r="Q432" i="1" s="1"/>
  <c r="R432" i="1"/>
  <c r="S432" i="1" s="1"/>
  <c r="N432" i="1"/>
  <c r="O432" i="1" s="1"/>
  <c r="P440" i="1"/>
  <c r="Q440" i="1" s="1"/>
  <c r="R440" i="1"/>
  <c r="S440" i="1" s="1"/>
  <c r="N440" i="1"/>
  <c r="O440" i="1" s="1"/>
  <c r="L12" i="1"/>
  <c r="M12" i="1" s="1"/>
  <c r="L28" i="1"/>
  <c r="M28" i="1" s="1"/>
  <c r="L44" i="1"/>
  <c r="M44" i="1" s="1"/>
  <c r="L52" i="1"/>
  <c r="M52" i="1" s="1"/>
  <c r="L76" i="1"/>
  <c r="M76" i="1" s="1"/>
  <c r="L92" i="1"/>
  <c r="M92" i="1" s="1"/>
  <c r="L116" i="1"/>
  <c r="M116" i="1" s="1"/>
  <c r="L130" i="1"/>
  <c r="M130" i="1" s="1"/>
  <c r="L144" i="1"/>
  <c r="M144" i="1" s="1"/>
  <c r="L151" i="1"/>
  <c r="M151" i="1" s="1"/>
  <c r="L159" i="1"/>
  <c r="M159" i="1" s="1"/>
  <c r="L165" i="1"/>
  <c r="M165" i="1" s="1"/>
  <c r="L173" i="1"/>
  <c r="M173" i="1" s="1"/>
  <c r="L180" i="1"/>
  <c r="M180" i="1" s="1"/>
  <c r="L187" i="1"/>
  <c r="M187" i="1" s="1"/>
  <c r="L194" i="1"/>
  <c r="M194" i="1" s="1"/>
  <c r="L201" i="1"/>
  <c r="M201" i="1" s="1"/>
  <c r="L208" i="1"/>
  <c r="M208" i="1" s="1"/>
  <c r="L215" i="1"/>
  <c r="M215" i="1" s="1"/>
  <c r="L223" i="1"/>
  <c r="M223" i="1" s="1"/>
  <c r="L229" i="1"/>
  <c r="M229" i="1" s="1"/>
  <c r="L237" i="1"/>
  <c r="M237" i="1" s="1"/>
  <c r="L251" i="1"/>
  <c r="M251" i="1" s="1"/>
  <c r="L279" i="1"/>
  <c r="M279" i="1" s="1"/>
  <c r="L287" i="1"/>
  <c r="M287" i="1" s="1"/>
  <c r="L295" i="1"/>
  <c r="M295" i="1" s="1"/>
  <c r="L301" i="1"/>
  <c r="M301" i="1" s="1"/>
  <c r="L308" i="1"/>
  <c r="M308" i="1" s="1"/>
  <c r="L316" i="1"/>
  <c r="M316" i="1" s="1"/>
  <c r="L323" i="1"/>
  <c r="M323" i="1" s="1"/>
  <c r="L331" i="1"/>
  <c r="M331" i="1" s="1"/>
  <c r="L360" i="1"/>
  <c r="M360" i="1" s="1"/>
  <c r="L367" i="1"/>
  <c r="M367" i="1" s="1"/>
  <c r="L374" i="1"/>
  <c r="M374" i="1" s="1"/>
  <c r="L384" i="1"/>
  <c r="M384" i="1" s="1"/>
  <c r="L402" i="1"/>
  <c r="M402" i="1" s="1"/>
  <c r="L413" i="1"/>
  <c r="M413" i="1" s="1"/>
  <c r="L423" i="1"/>
  <c r="M423" i="1" s="1"/>
  <c r="L442" i="1"/>
  <c r="M442" i="1" s="1"/>
  <c r="N8" i="1"/>
  <c r="O8" i="1" s="1"/>
  <c r="N19" i="1"/>
  <c r="O19" i="1" s="1"/>
  <c r="N30" i="1"/>
  <c r="O30" i="1" s="1"/>
  <c r="N55" i="1"/>
  <c r="O55" i="1" s="1"/>
  <c r="N70" i="1"/>
  <c r="O70" i="1" s="1"/>
  <c r="N86" i="1"/>
  <c r="O86" i="1" s="1"/>
  <c r="N102" i="1"/>
  <c r="O102" i="1" s="1"/>
  <c r="N118" i="1"/>
  <c r="O118" i="1" s="1"/>
  <c r="N190" i="1"/>
  <c r="O190" i="1" s="1"/>
  <c r="N246" i="1"/>
  <c r="O246" i="1" s="1"/>
  <c r="N261" i="1"/>
  <c r="O261" i="1" s="1"/>
  <c r="N303" i="1"/>
  <c r="O303" i="1" s="1"/>
  <c r="N316" i="1"/>
  <c r="O316" i="1" s="1"/>
  <c r="N346" i="1"/>
  <c r="O346" i="1" s="1"/>
  <c r="N370" i="1"/>
  <c r="O370" i="1" s="1"/>
  <c r="N434" i="1"/>
  <c r="O434" i="1" s="1"/>
  <c r="P22" i="1"/>
  <c r="Q22" i="1" s="1"/>
  <c r="P86" i="1"/>
  <c r="Q86" i="1" s="1"/>
  <c r="P149" i="1"/>
  <c r="Q149" i="1" s="1"/>
  <c r="P252" i="1"/>
  <c r="Q252" i="1" s="1"/>
  <c r="R246" i="1"/>
  <c r="S246" i="1" s="1"/>
  <c r="R3" i="1"/>
  <c r="S3" i="1" s="1"/>
  <c r="P3" i="1"/>
  <c r="Q3" i="1" s="1"/>
  <c r="R43" i="1"/>
  <c r="S43" i="1" s="1"/>
  <c r="P43" i="1"/>
  <c r="Q43" i="1" s="1"/>
  <c r="R67" i="1"/>
  <c r="S67" i="1" s="1"/>
  <c r="P67" i="1"/>
  <c r="Q67" i="1" s="1"/>
  <c r="R91" i="1"/>
  <c r="S91" i="1" s="1"/>
  <c r="P91" i="1"/>
  <c r="Q91" i="1" s="1"/>
  <c r="R123" i="1"/>
  <c r="S123" i="1" s="1"/>
  <c r="P123" i="1"/>
  <c r="Q123" i="1" s="1"/>
  <c r="R147" i="1"/>
  <c r="S147" i="1" s="1"/>
  <c r="P147" i="1"/>
  <c r="Q147" i="1" s="1"/>
  <c r="N147" i="1"/>
  <c r="O147" i="1" s="1"/>
  <c r="R179" i="1"/>
  <c r="S179" i="1" s="1"/>
  <c r="P179" i="1"/>
  <c r="Q179" i="1" s="1"/>
  <c r="R211" i="1"/>
  <c r="S211" i="1" s="1"/>
  <c r="P211" i="1"/>
  <c r="Q211" i="1" s="1"/>
  <c r="R243" i="1"/>
  <c r="S243" i="1" s="1"/>
  <c r="P243" i="1"/>
  <c r="Q243" i="1" s="1"/>
  <c r="R275" i="1"/>
  <c r="S275" i="1" s="1"/>
  <c r="P275" i="1"/>
  <c r="Q275" i="1" s="1"/>
  <c r="R299" i="1"/>
  <c r="S299" i="1" s="1"/>
  <c r="P299" i="1"/>
  <c r="Q299" i="1" s="1"/>
  <c r="N299" i="1"/>
  <c r="O299" i="1" s="1"/>
  <c r="R331" i="1"/>
  <c r="S331" i="1" s="1"/>
  <c r="P331" i="1"/>
  <c r="Q331" i="1" s="1"/>
  <c r="R363" i="1"/>
  <c r="S363" i="1" s="1"/>
  <c r="P363" i="1"/>
  <c r="Q363" i="1" s="1"/>
  <c r="R387" i="1"/>
  <c r="S387" i="1" s="1"/>
  <c r="P387" i="1"/>
  <c r="Q387" i="1" s="1"/>
  <c r="L387" i="1"/>
  <c r="M387" i="1" s="1"/>
  <c r="N387" i="1"/>
  <c r="O387" i="1" s="1"/>
  <c r="R419" i="1"/>
  <c r="S419" i="1" s="1"/>
  <c r="P419" i="1"/>
  <c r="Q419" i="1" s="1"/>
  <c r="N419" i="1"/>
  <c r="O419" i="1" s="1"/>
  <c r="R435" i="1"/>
  <c r="S435" i="1" s="1"/>
  <c r="N435" i="1"/>
  <c r="O435" i="1" s="1"/>
  <c r="P435" i="1"/>
  <c r="Q435" i="1" s="1"/>
  <c r="R443" i="1"/>
  <c r="S443" i="1" s="1"/>
  <c r="P443" i="1"/>
  <c r="Q443" i="1" s="1"/>
  <c r="R20" i="1"/>
  <c r="S20" i="1" s="1"/>
  <c r="P20" i="1"/>
  <c r="Q20" i="1" s="1"/>
  <c r="R60" i="1"/>
  <c r="S60" i="1" s="1"/>
  <c r="P60" i="1"/>
  <c r="Q60" i="1" s="1"/>
  <c r="R100" i="1"/>
  <c r="S100" i="1" s="1"/>
  <c r="P100" i="1"/>
  <c r="Q100" i="1" s="1"/>
  <c r="R132" i="1"/>
  <c r="S132" i="1" s="1"/>
  <c r="P132" i="1"/>
  <c r="Q132" i="1" s="1"/>
  <c r="R164" i="1"/>
  <c r="S164" i="1" s="1"/>
  <c r="P164" i="1"/>
  <c r="Q164" i="1" s="1"/>
  <c r="N164" i="1"/>
  <c r="O164" i="1" s="1"/>
  <c r="R196" i="1"/>
  <c r="S196" i="1" s="1"/>
  <c r="P196" i="1"/>
  <c r="Q196" i="1" s="1"/>
  <c r="N196" i="1"/>
  <c r="O196" i="1" s="1"/>
  <c r="R228" i="1"/>
  <c r="S228" i="1" s="1"/>
  <c r="P228" i="1"/>
  <c r="Q228" i="1" s="1"/>
  <c r="N228" i="1"/>
  <c r="O228" i="1" s="1"/>
  <c r="R260" i="1"/>
  <c r="S260" i="1" s="1"/>
  <c r="P260" i="1"/>
  <c r="Q260" i="1" s="1"/>
  <c r="N260" i="1"/>
  <c r="O260" i="1" s="1"/>
  <c r="R300" i="1"/>
  <c r="S300" i="1" s="1"/>
  <c r="P300" i="1"/>
  <c r="Q300" i="1" s="1"/>
  <c r="R332" i="1"/>
  <c r="S332" i="1" s="1"/>
  <c r="P332" i="1"/>
  <c r="Q332" i="1" s="1"/>
  <c r="N332" i="1"/>
  <c r="O332" i="1" s="1"/>
  <c r="R364" i="1"/>
  <c r="S364" i="1" s="1"/>
  <c r="P364" i="1"/>
  <c r="Q364" i="1" s="1"/>
  <c r="N364" i="1"/>
  <c r="O364" i="1" s="1"/>
  <c r="R404" i="1"/>
  <c r="S404" i="1" s="1"/>
  <c r="P404" i="1"/>
  <c r="Q404" i="1" s="1"/>
  <c r="N404" i="1"/>
  <c r="O404" i="1" s="1"/>
  <c r="L404" i="1"/>
  <c r="M404" i="1" s="1"/>
  <c r="L436" i="1"/>
  <c r="M436" i="1" s="1"/>
  <c r="R9" i="1"/>
  <c r="S9" i="1" s="1"/>
  <c r="N9" i="1"/>
  <c r="O9" i="1" s="1"/>
  <c r="P9" i="1"/>
  <c r="Q9" i="1" s="1"/>
  <c r="N17" i="1"/>
  <c r="O17" i="1" s="1"/>
  <c r="R17" i="1"/>
  <c r="S17" i="1" s="1"/>
  <c r="R25" i="1"/>
  <c r="S25" i="1" s="1"/>
  <c r="N25" i="1"/>
  <c r="O25" i="1" s="1"/>
  <c r="P25" i="1"/>
  <c r="Q25" i="1" s="1"/>
  <c r="R33" i="1"/>
  <c r="S33" i="1" s="1"/>
  <c r="N33" i="1"/>
  <c r="O33" i="1" s="1"/>
  <c r="R41" i="1"/>
  <c r="S41" i="1" s="1"/>
  <c r="N41" i="1"/>
  <c r="O41" i="1" s="1"/>
  <c r="P41" i="1"/>
  <c r="Q41" i="1" s="1"/>
  <c r="R57" i="1"/>
  <c r="S57" i="1" s="1"/>
  <c r="N57" i="1"/>
  <c r="O57" i="1" s="1"/>
  <c r="P57" i="1"/>
  <c r="Q57" i="1" s="1"/>
  <c r="R65" i="1"/>
  <c r="S65" i="1" s="1"/>
  <c r="N65" i="1"/>
  <c r="O65" i="1" s="1"/>
  <c r="R73" i="1"/>
  <c r="S73" i="1" s="1"/>
  <c r="N73" i="1"/>
  <c r="O73" i="1" s="1"/>
  <c r="P73" i="1"/>
  <c r="Q73" i="1" s="1"/>
  <c r="R89" i="1"/>
  <c r="S89" i="1" s="1"/>
  <c r="N89" i="1"/>
  <c r="O89" i="1" s="1"/>
  <c r="P89" i="1"/>
  <c r="Q89" i="1" s="1"/>
  <c r="R97" i="1"/>
  <c r="S97" i="1" s="1"/>
  <c r="N97" i="1"/>
  <c r="O97" i="1" s="1"/>
  <c r="R105" i="1"/>
  <c r="S105" i="1" s="1"/>
  <c r="N105" i="1"/>
  <c r="O105" i="1" s="1"/>
  <c r="P105" i="1"/>
  <c r="Q105" i="1" s="1"/>
  <c r="R113" i="1"/>
  <c r="S113" i="1" s="1"/>
  <c r="N113" i="1"/>
  <c r="O113" i="1" s="1"/>
  <c r="R121" i="1"/>
  <c r="S121" i="1" s="1"/>
  <c r="P121" i="1"/>
  <c r="Q121" i="1" s="1"/>
  <c r="N121" i="1"/>
  <c r="O121" i="1" s="1"/>
  <c r="R129" i="1"/>
  <c r="S129" i="1" s="1"/>
  <c r="P129" i="1"/>
  <c r="Q129" i="1" s="1"/>
  <c r="R137" i="1"/>
  <c r="S137" i="1" s="1"/>
  <c r="P137" i="1"/>
  <c r="Q137" i="1" s="1"/>
  <c r="R145" i="1"/>
  <c r="S145" i="1" s="1"/>
  <c r="P145" i="1"/>
  <c r="Q145" i="1" s="1"/>
  <c r="N145" i="1"/>
  <c r="O145" i="1" s="1"/>
  <c r="R153" i="1"/>
  <c r="S153" i="1" s="1"/>
  <c r="P153" i="1"/>
  <c r="Q153" i="1" s="1"/>
  <c r="N153" i="1"/>
  <c r="O153" i="1" s="1"/>
  <c r="R161" i="1"/>
  <c r="S161" i="1" s="1"/>
  <c r="P161" i="1"/>
  <c r="Q161" i="1" s="1"/>
  <c r="N161" i="1"/>
  <c r="O161" i="1" s="1"/>
  <c r="R177" i="1"/>
  <c r="S177" i="1" s="1"/>
  <c r="P177" i="1"/>
  <c r="Q177" i="1" s="1"/>
  <c r="N177" i="1"/>
  <c r="O177" i="1" s="1"/>
  <c r="R185" i="1"/>
  <c r="S185" i="1" s="1"/>
  <c r="P185" i="1"/>
  <c r="Q185" i="1" s="1"/>
  <c r="N185" i="1"/>
  <c r="O185" i="1" s="1"/>
  <c r="R193" i="1"/>
  <c r="S193" i="1" s="1"/>
  <c r="P193" i="1"/>
  <c r="Q193" i="1" s="1"/>
  <c r="N193" i="1"/>
  <c r="O193" i="1" s="1"/>
  <c r="R209" i="1"/>
  <c r="S209" i="1" s="1"/>
  <c r="P209" i="1"/>
  <c r="Q209" i="1" s="1"/>
  <c r="R217" i="1"/>
  <c r="S217" i="1" s="1"/>
  <c r="P217" i="1"/>
  <c r="Q217" i="1" s="1"/>
  <c r="N217" i="1"/>
  <c r="O217" i="1" s="1"/>
  <c r="R225" i="1"/>
  <c r="S225" i="1" s="1"/>
  <c r="P225" i="1"/>
  <c r="Q225" i="1" s="1"/>
  <c r="N225" i="1"/>
  <c r="O225" i="1" s="1"/>
  <c r="R233" i="1"/>
  <c r="S233" i="1" s="1"/>
  <c r="P233" i="1"/>
  <c r="Q233" i="1" s="1"/>
  <c r="R241" i="1"/>
  <c r="S241" i="1" s="1"/>
  <c r="P241" i="1"/>
  <c r="Q241" i="1" s="1"/>
  <c r="N241" i="1"/>
  <c r="O241" i="1" s="1"/>
  <c r="R249" i="1"/>
  <c r="S249" i="1" s="1"/>
  <c r="P249" i="1"/>
  <c r="Q249" i="1" s="1"/>
  <c r="N249" i="1"/>
  <c r="O249" i="1" s="1"/>
  <c r="R257" i="1"/>
  <c r="S257" i="1" s="1"/>
  <c r="P257" i="1"/>
  <c r="Q257" i="1" s="1"/>
  <c r="N257" i="1"/>
  <c r="O257" i="1" s="1"/>
  <c r="R265" i="1"/>
  <c r="S265" i="1" s="1"/>
  <c r="P265" i="1"/>
  <c r="Q265" i="1" s="1"/>
  <c r="R281" i="1"/>
  <c r="S281" i="1" s="1"/>
  <c r="P281" i="1"/>
  <c r="Q281" i="1" s="1"/>
  <c r="N281" i="1"/>
  <c r="O281" i="1" s="1"/>
  <c r="R289" i="1"/>
  <c r="S289" i="1" s="1"/>
  <c r="P289" i="1"/>
  <c r="Q289" i="1" s="1"/>
  <c r="R297" i="1"/>
  <c r="S297" i="1" s="1"/>
  <c r="P297" i="1"/>
  <c r="Q297" i="1" s="1"/>
  <c r="N297" i="1"/>
  <c r="O297" i="1" s="1"/>
  <c r="R305" i="1"/>
  <c r="S305" i="1" s="1"/>
  <c r="P305" i="1"/>
  <c r="Q305" i="1" s="1"/>
  <c r="N305" i="1"/>
  <c r="O305" i="1" s="1"/>
  <c r="R313" i="1"/>
  <c r="S313" i="1" s="1"/>
  <c r="P313" i="1"/>
  <c r="Q313" i="1" s="1"/>
  <c r="R321" i="1"/>
  <c r="S321" i="1" s="1"/>
  <c r="P321" i="1"/>
  <c r="Q321" i="1" s="1"/>
  <c r="R329" i="1"/>
  <c r="S329" i="1" s="1"/>
  <c r="P329" i="1"/>
  <c r="Q329" i="1" s="1"/>
  <c r="P337" i="1"/>
  <c r="Q337" i="1" s="1"/>
  <c r="R337" i="1"/>
  <c r="S337" i="1" s="1"/>
  <c r="N337" i="1"/>
  <c r="O337" i="1" s="1"/>
  <c r="P345" i="1"/>
  <c r="Q345" i="1" s="1"/>
  <c r="R345" i="1"/>
  <c r="S345" i="1" s="1"/>
  <c r="N345" i="1"/>
  <c r="O345" i="1" s="1"/>
  <c r="P353" i="1"/>
  <c r="Q353" i="1" s="1"/>
  <c r="R353" i="1"/>
  <c r="S353" i="1" s="1"/>
  <c r="N353" i="1"/>
  <c r="O353" i="1" s="1"/>
  <c r="P361" i="1"/>
  <c r="Q361" i="1" s="1"/>
  <c r="R361" i="1"/>
  <c r="S361" i="1" s="1"/>
  <c r="N361" i="1"/>
  <c r="O361" i="1" s="1"/>
  <c r="P369" i="1"/>
  <c r="Q369" i="1" s="1"/>
  <c r="R369" i="1"/>
  <c r="S369" i="1" s="1"/>
  <c r="N369" i="1"/>
  <c r="O369" i="1" s="1"/>
  <c r="P377" i="1"/>
  <c r="Q377" i="1" s="1"/>
  <c r="R377" i="1"/>
  <c r="S377" i="1" s="1"/>
  <c r="N377" i="1"/>
  <c r="O377" i="1" s="1"/>
  <c r="P385" i="1"/>
  <c r="Q385" i="1" s="1"/>
  <c r="R385" i="1"/>
  <c r="S385" i="1" s="1"/>
  <c r="N385" i="1"/>
  <c r="O385" i="1" s="1"/>
  <c r="P393" i="1"/>
  <c r="Q393" i="1" s="1"/>
  <c r="R393" i="1"/>
  <c r="S393" i="1" s="1"/>
  <c r="N393" i="1"/>
  <c r="O393" i="1" s="1"/>
  <c r="P401" i="1"/>
  <c r="Q401" i="1" s="1"/>
  <c r="R401" i="1"/>
  <c r="S401" i="1" s="1"/>
  <c r="N401" i="1"/>
  <c r="O401" i="1" s="1"/>
  <c r="P409" i="1"/>
  <c r="Q409" i="1" s="1"/>
  <c r="R409" i="1"/>
  <c r="S409" i="1" s="1"/>
  <c r="N409" i="1"/>
  <c r="O409" i="1" s="1"/>
  <c r="P417" i="1"/>
  <c r="Q417" i="1" s="1"/>
  <c r="R417" i="1"/>
  <c r="S417" i="1" s="1"/>
  <c r="N417" i="1"/>
  <c r="O417" i="1" s="1"/>
  <c r="P425" i="1"/>
  <c r="Q425" i="1" s="1"/>
  <c r="R425" i="1"/>
  <c r="S425" i="1" s="1"/>
  <c r="N425" i="1"/>
  <c r="O425" i="1" s="1"/>
  <c r="P433" i="1"/>
  <c r="Q433" i="1" s="1"/>
  <c r="R433" i="1"/>
  <c r="S433" i="1" s="1"/>
  <c r="N433" i="1"/>
  <c r="O433" i="1" s="1"/>
  <c r="L433" i="1"/>
  <c r="M433" i="1" s="1"/>
  <c r="P441" i="1"/>
  <c r="Q441" i="1" s="1"/>
  <c r="R441" i="1"/>
  <c r="S441" i="1" s="1"/>
  <c r="N441" i="1"/>
  <c r="O441" i="1" s="1"/>
  <c r="L441" i="1"/>
  <c r="M441" i="1" s="1"/>
  <c r="L5" i="1"/>
  <c r="M5" i="1" s="1"/>
  <c r="L13" i="1"/>
  <c r="M13" i="1" s="1"/>
  <c r="L21" i="1"/>
  <c r="M21" i="1" s="1"/>
  <c r="L29" i="1"/>
  <c r="M29" i="1" s="1"/>
  <c r="L37" i="1"/>
  <c r="M37" i="1" s="1"/>
  <c r="L45" i="1"/>
  <c r="M45" i="1" s="1"/>
  <c r="L53" i="1"/>
  <c r="M53" i="1" s="1"/>
  <c r="L61" i="1"/>
  <c r="M61" i="1" s="1"/>
  <c r="L69" i="1"/>
  <c r="M69" i="1" s="1"/>
  <c r="L77" i="1"/>
  <c r="M77" i="1" s="1"/>
  <c r="L85" i="1"/>
  <c r="M85" i="1" s="1"/>
  <c r="L93" i="1"/>
  <c r="M93" i="1" s="1"/>
  <c r="L101" i="1"/>
  <c r="M101" i="1" s="1"/>
  <c r="L109" i="1"/>
  <c r="M109" i="1" s="1"/>
  <c r="L124" i="1"/>
  <c r="M124" i="1" s="1"/>
  <c r="L131" i="1"/>
  <c r="M131" i="1" s="1"/>
  <c r="L145" i="1"/>
  <c r="M145" i="1" s="1"/>
  <c r="L152" i="1"/>
  <c r="M152" i="1" s="1"/>
  <c r="L166" i="1"/>
  <c r="M166" i="1" s="1"/>
  <c r="L174" i="1"/>
  <c r="M174" i="1" s="1"/>
  <c r="L188" i="1"/>
  <c r="M188" i="1" s="1"/>
  <c r="L209" i="1"/>
  <c r="M209" i="1" s="1"/>
  <c r="L216" i="1"/>
  <c r="M216" i="1" s="1"/>
  <c r="L230" i="1"/>
  <c r="M230" i="1" s="1"/>
  <c r="L238" i="1"/>
  <c r="M238" i="1" s="1"/>
  <c r="L252" i="1"/>
  <c r="M252" i="1" s="1"/>
  <c r="L259" i="1"/>
  <c r="M259" i="1" s="1"/>
  <c r="L272" i="1"/>
  <c r="M272" i="1" s="1"/>
  <c r="L280" i="1"/>
  <c r="M280" i="1" s="1"/>
  <c r="L288" i="1"/>
  <c r="M288" i="1" s="1"/>
  <c r="L302" i="1"/>
  <c r="M302" i="1" s="1"/>
  <c r="L309" i="1"/>
  <c r="M309" i="1" s="1"/>
  <c r="L317" i="1"/>
  <c r="M317" i="1" s="1"/>
  <c r="L324" i="1"/>
  <c r="M324" i="1" s="1"/>
  <c r="L361" i="1"/>
  <c r="M361" i="1" s="1"/>
  <c r="L375" i="1"/>
  <c r="M375" i="1" s="1"/>
  <c r="L385" i="1"/>
  <c r="M385" i="1" s="1"/>
  <c r="L395" i="1"/>
  <c r="M395" i="1" s="1"/>
  <c r="L414" i="1"/>
  <c r="M414" i="1" s="1"/>
  <c r="L424" i="1"/>
  <c r="M424" i="1" s="1"/>
  <c r="L432" i="1"/>
  <c r="M432" i="1" s="1"/>
  <c r="L443" i="1"/>
  <c r="M443" i="1" s="1"/>
  <c r="N20" i="1"/>
  <c r="O20" i="1" s="1"/>
  <c r="N31" i="1"/>
  <c r="O31" i="1" s="1"/>
  <c r="N44" i="1"/>
  <c r="O44" i="1" s="1"/>
  <c r="N136" i="1"/>
  <c r="O136" i="1" s="1"/>
  <c r="N150" i="1"/>
  <c r="O150" i="1" s="1"/>
  <c r="N165" i="1"/>
  <c r="O165" i="1" s="1"/>
  <c r="N179" i="1"/>
  <c r="O179" i="1" s="1"/>
  <c r="N194" i="1"/>
  <c r="O194" i="1" s="1"/>
  <c r="N222" i="1"/>
  <c r="O222" i="1" s="1"/>
  <c r="N236" i="1"/>
  <c r="O236" i="1" s="1"/>
  <c r="N265" i="1"/>
  <c r="O265" i="1" s="1"/>
  <c r="N278" i="1"/>
  <c r="O278" i="1" s="1"/>
  <c r="N320" i="1"/>
  <c r="O320" i="1" s="1"/>
  <c r="N334" i="1"/>
  <c r="O334" i="1" s="1"/>
  <c r="N350" i="1"/>
  <c r="O350" i="1" s="1"/>
  <c r="P33" i="1"/>
  <c r="Q33" i="1" s="1"/>
  <c r="P97" i="1"/>
  <c r="Q97" i="1" s="1"/>
  <c r="P169" i="1"/>
  <c r="Q169" i="1" s="1"/>
  <c r="P273" i="1"/>
  <c r="Q273" i="1" s="1"/>
  <c r="R317" i="1"/>
  <c r="S317" i="1" s="1"/>
  <c r="R27" i="1"/>
  <c r="S27" i="1" s="1"/>
  <c r="P27" i="1"/>
  <c r="Q27" i="1" s="1"/>
  <c r="R51" i="1"/>
  <c r="S51" i="1" s="1"/>
  <c r="P51" i="1"/>
  <c r="Q51" i="1" s="1"/>
  <c r="R83" i="1"/>
  <c r="S83" i="1" s="1"/>
  <c r="P83" i="1"/>
  <c r="Q83" i="1" s="1"/>
  <c r="R115" i="1"/>
  <c r="S115" i="1" s="1"/>
  <c r="P115" i="1"/>
  <c r="Q115" i="1" s="1"/>
  <c r="R163" i="1"/>
  <c r="S163" i="1" s="1"/>
  <c r="P163" i="1"/>
  <c r="Q163" i="1" s="1"/>
  <c r="N163" i="1"/>
  <c r="O163" i="1" s="1"/>
  <c r="R195" i="1"/>
  <c r="S195" i="1" s="1"/>
  <c r="P195" i="1"/>
  <c r="Q195" i="1" s="1"/>
  <c r="R235" i="1"/>
  <c r="S235" i="1" s="1"/>
  <c r="P235" i="1"/>
  <c r="Q235" i="1" s="1"/>
  <c r="N235" i="1"/>
  <c r="O235" i="1" s="1"/>
  <c r="R283" i="1"/>
  <c r="S283" i="1" s="1"/>
  <c r="P283" i="1"/>
  <c r="Q283" i="1" s="1"/>
  <c r="N283" i="1"/>
  <c r="O283" i="1" s="1"/>
  <c r="R315" i="1"/>
  <c r="S315" i="1" s="1"/>
  <c r="P315" i="1"/>
  <c r="Q315" i="1" s="1"/>
  <c r="P339" i="1"/>
  <c r="Q339" i="1" s="1"/>
  <c r="R339" i="1"/>
  <c r="S339" i="1" s="1"/>
  <c r="N339" i="1"/>
  <c r="O339" i="1" s="1"/>
  <c r="R371" i="1"/>
  <c r="S371" i="1" s="1"/>
  <c r="P371" i="1"/>
  <c r="Q371" i="1" s="1"/>
  <c r="N371" i="1"/>
  <c r="O371" i="1" s="1"/>
  <c r="R403" i="1"/>
  <c r="S403" i="1" s="1"/>
  <c r="P403" i="1"/>
  <c r="Q403" i="1" s="1"/>
  <c r="N403" i="1"/>
  <c r="O403" i="1" s="1"/>
  <c r="R427" i="1"/>
  <c r="S427" i="1" s="1"/>
  <c r="P427" i="1"/>
  <c r="Q427" i="1" s="1"/>
  <c r="L427" i="1"/>
  <c r="M427" i="1" s="1"/>
  <c r="L363" i="1"/>
  <c r="M363" i="1" s="1"/>
  <c r="L435" i="1"/>
  <c r="M435" i="1" s="1"/>
  <c r="R4" i="1"/>
  <c r="S4" i="1" s="1"/>
  <c r="P4" i="1"/>
  <c r="Q4" i="1" s="1"/>
  <c r="R36" i="1"/>
  <c r="S36" i="1" s="1"/>
  <c r="P36" i="1"/>
  <c r="Q36" i="1" s="1"/>
  <c r="R68" i="1"/>
  <c r="S68" i="1" s="1"/>
  <c r="P68" i="1"/>
  <c r="Q68" i="1" s="1"/>
  <c r="R84" i="1"/>
  <c r="S84" i="1" s="1"/>
  <c r="P84" i="1"/>
  <c r="Q84" i="1" s="1"/>
  <c r="R108" i="1"/>
  <c r="S108" i="1" s="1"/>
  <c r="P108" i="1"/>
  <c r="Q108" i="1" s="1"/>
  <c r="R140" i="1"/>
  <c r="S140" i="1" s="1"/>
  <c r="P140" i="1"/>
  <c r="Q140" i="1" s="1"/>
  <c r="N140" i="1"/>
  <c r="O140" i="1" s="1"/>
  <c r="R172" i="1"/>
  <c r="S172" i="1" s="1"/>
  <c r="P172" i="1"/>
  <c r="Q172" i="1" s="1"/>
  <c r="R204" i="1"/>
  <c r="S204" i="1" s="1"/>
  <c r="P204" i="1"/>
  <c r="Q204" i="1" s="1"/>
  <c r="R244" i="1"/>
  <c r="S244" i="1" s="1"/>
  <c r="P244" i="1"/>
  <c r="Q244" i="1" s="1"/>
  <c r="R292" i="1"/>
  <c r="S292" i="1" s="1"/>
  <c r="P292" i="1"/>
  <c r="Q292" i="1" s="1"/>
  <c r="R340" i="1"/>
  <c r="S340" i="1" s="1"/>
  <c r="P340" i="1"/>
  <c r="Q340" i="1" s="1"/>
  <c r="N340" i="1"/>
  <c r="O340" i="1" s="1"/>
  <c r="R396" i="1"/>
  <c r="S396" i="1" s="1"/>
  <c r="P396" i="1"/>
  <c r="Q396" i="1" s="1"/>
  <c r="N396" i="1"/>
  <c r="O396" i="1" s="1"/>
  <c r="R2" i="1"/>
  <c r="S2" i="1" s="1"/>
  <c r="N2" i="1"/>
  <c r="O2" i="1" s="1"/>
  <c r="R10" i="1"/>
  <c r="S10" i="1" s="1"/>
  <c r="P10" i="1"/>
  <c r="Q10" i="1" s="1"/>
  <c r="R18" i="1"/>
  <c r="S18" i="1" s="1"/>
  <c r="P18" i="1"/>
  <c r="Q18" i="1" s="1"/>
  <c r="R26" i="1"/>
  <c r="S26" i="1" s="1"/>
  <c r="P26" i="1"/>
  <c r="Q26" i="1" s="1"/>
  <c r="R34" i="1"/>
  <c r="S34" i="1" s="1"/>
  <c r="P34" i="1"/>
  <c r="Q34" i="1" s="1"/>
  <c r="R42" i="1"/>
  <c r="S42" i="1" s="1"/>
  <c r="P42" i="1"/>
  <c r="Q42" i="1" s="1"/>
  <c r="R50" i="1"/>
  <c r="S50" i="1" s="1"/>
  <c r="P50" i="1"/>
  <c r="Q50" i="1" s="1"/>
  <c r="R58" i="1"/>
  <c r="S58" i="1" s="1"/>
  <c r="P58" i="1"/>
  <c r="Q58" i="1" s="1"/>
  <c r="R66" i="1"/>
  <c r="S66" i="1" s="1"/>
  <c r="P66" i="1"/>
  <c r="Q66" i="1" s="1"/>
  <c r="R74" i="1"/>
  <c r="S74" i="1" s="1"/>
  <c r="P74" i="1"/>
  <c r="Q74" i="1" s="1"/>
  <c r="R82" i="1"/>
  <c r="S82" i="1" s="1"/>
  <c r="P82" i="1"/>
  <c r="Q82" i="1" s="1"/>
  <c r="R90" i="1"/>
  <c r="S90" i="1" s="1"/>
  <c r="P90" i="1"/>
  <c r="Q90" i="1" s="1"/>
  <c r="R98" i="1"/>
  <c r="S98" i="1" s="1"/>
  <c r="P98" i="1"/>
  <c r="Q98" i="1" s="1"/>
  <c r="P106" i="1"/>
  <c r="Q106" i="1" s="1"/>
  <c r="R106" i="1"/>
  <c r="S106" i="1" s="1"/>
  <c r="R114" i="1"/>
  <c r="S114" i="1" s="1"/>
  <c r="P114" i="1"/>
  <c r="Q114" i="1" s="1"/>
  <c r="R122" i="1"/>
  <c r="S122" i="1" s="1"/>
  <c r="P122" i="1"/>
  <c r="Q122" i="1" s="1"/>
  <c r="R138" i="1"/>
  <c r="S138" i="1" s="1"/>
  <c r="P138" i="1"/>
  <c r="Q138" i="1" s="1"/>
  <c r="R146" i="1"/>
  <c r="S146" i="1" s="1"/>
  <c r="P146" i="1"/>
  <c r="Q146" i="1" s="1"/>
  <c r="R154" i="1"/>
  <c r="S154" i="1" s="1"/>
  <c r="P154" i="1"/>
  <c r="Q154" i="1" s="1"/>
  <c r="R162" i="1"/>
  <c r="S162" i="1" s="1"/>
  <c r="P162" i="1"/>
  <c r="Q162" i="1" s="1"/>
  <c r="R170" i="1"/>
  <c r="S170" i="1" s="1"/>
  <c r="N170" i="1"/>
  <c r="O170" i="1" s="1"/>
  <c r="P170" i="1"/>
  <c r="Q170" i="1" s="1"/>
  <c r="R178" i="1"/>
  <c r="S178" i="1" s="1"/>
  <c r="P178" i="1"/>
  <c r="Q178" i="1" s="1"/>
  <c r="N178" i="1"/>
  <c r="O178" i="1" s="1"/>
  <c r="R186" i="1"/>
  <c r="S186" i="1" s="1"/>
  <c r="P186" i="1"/>
  <c r="Q186" i="1" s="1"/>
  <c r="R202" i="1"/>
  <c r="S202" i="1" s="1"/>
  <c r="P202" i="1"/>
  <c r="Q202" i="1" s="1"/>
  <c r="R210" i="1"/>
  <c r="S210" i="1" s="1"/>
  <c r="P210" i="1"/>
  <c r="Q210" i="1" s="1"/>
  <c r="N210" i="1"/>
  <c r="O210" i="1" s="1"/>
  <c r="R218" i="1"/>
  <c r="S218" i="1" s="1"/>
  <c r="P218" i="1"/>
  <c r="Q218" i="1" s="1"/>
  <c r="R234" i="1"/>
  <c r="S234" i="1" s="1"/>
  <c r="P234" i="1"/>
  <c r="Q234" i="1" s="1"/>
  <c r="N234" i="1"/>
  <c r="O234" i="1" s="1"/>
  <c r="R242" i="1"/>
  <c r="S242" i="1" s="1"/>
  <c r="P242" i="1"/>
  <c r="Q242" i="1" s="1"/>
  <c r="N242" i="1"/>
  <c r="O242" i="1" s="1"/>
  <c r="R250" i="1"/>
  <c r="S250" i="1" s="1"/>
  <c r="P250" i="1"/>
  <c r="Q250" i="1" s="1"/>
  <c r="R258" i="1"/>
  <c r="S258" i="1" s="1"/>
  <c r="P258" i="1"/>
  <c r="Q258" i="1" s="1"/>
  <c r="R266" i="1"/>
  <c r="S266" i="1" s="1"/>
  <c r="P266" i="1"/>
  <c r="Q266" i="1" s="1"/>
  <c r="R274" i="1"/>
  <c r="S274" i="1" s="1"/>
  <c r="P274" i="1"/>
  <c r="Q274" i="1" s="1"/>
  <c r="N274" i="1"/>
  <c r="O274" i="1" s="1"/>
  <c r="R282" i="1"/>
  <c r="S282" i="1" s="1"/>
  <c r="P282" i="1"/>
  <c r="Q282" i="1" s="1"/>
  <c r="R290" i="1"/>
  <c r="S290" i="1" s="1"/>
  <c r="P290" i="1"/>
  <c r="Q290" i="1" s="1"/>
  <c r="N290" i="1"/>
  <c r="O290" i="1" s="1"/>
  <c r="R298" i="1"/>
  <c r="S298" i="1" s="1"/>
  <c r="P298" i="1"/>
  <c r="Q298" i="1" s="1"/>
  <c r="N298" i="1"/>
  <c r="O298" i="1" s="1"/>
  <c r="R306" i="1"/>
  <c r="S306" i="1" s="1"/>
  <c r="P306" i="1"/>
  <c r="Q306" i="1" s="1"/>
  <c r="R314" i="1"/>
  <c r="S314" i="1" s="1"/>
  <c r="P314" i="1"/>
  <c r="Q314" i="1" s="1"/>
  <c r="R322" i="1"/>
  <c r="S322" i="1" s="1"/>
  <c r="P322" i="1"/>
  <c r="Q322" i="1" s="1"/>
  <c r="R330" i="1"/>
  <c r="S330" i="1" s="1"/>
  <c r="P330" i="1"/>
  <c r="Q330" i="1" s="1"/>
  <c r="N330" i="1"/>
  <c r="O330" i="1" s="1"/>
  <c r="P338" i="1"/>
  <c r="Q338" i="1" s="1"/>
  <c r="R338" i="1"/>
  <c r="S338" i="1" s="1"/>
  <c r="P346" i="1"/>
  <c r="Q346" i="1" s="1"/>
  <c r="R346" i="1"/>
  <c r="S346" i="1" s="1"/>
  <c r="P354" i="1"/>
  <c r="Q354" i="1" s="1"/>
  <c r="R354" i="1"/>
  <c r="S354" i="1" s="1"/>
  <c r="R362" i="1"/>
  <c r="S362" i="1" s="1"/>
  <c r="P362" i="1"/>
  <c r="Q362" i="1" s="1"/>
  <c r="R378" i="1"/>
  <c r="S378" i="1" s="1"/>
  <c r="P378" i="1"/>
  <c r="Q378" i="1" s="1"/>
  <c r="R386" i="1"/>
  <c r="S386" i="1" s="1"/>
  <c r="P386" i="1"/>
  <c r="Q386" i="1" s="1"/>
  <c r="R394" i="1"/>
  <c r="S394" i="1" s="1"/>
  <c r="P394" i="1"/>
  <c r="Q394" i="1" s="1"/>
  <c r="L394" i="1"/>
  <c r="M394" i="1" s="1"/>
  <c r="R402" i="1"/>
  <c r="S402" i="1" s="1"/>
  <c r="P402" i="1"/>
  <c r="Q402" i="1" s="1"/>
  <c r="R410" i="1"/>
  <c r="S410" i="1" s="1"/>
  <c r="P410" i="1"/>
  <c r="Q410" i="1" s="1"/>
  <c r="R418" i="1"/>
  <c r="S418" i="1" s="1"/>
  <c r="P418" i="1"/>
  <c r="Q418" i="1" s="1"/>
  <c r="R426" i="1"/>
  <c r="S426" i="1" s="1"/>
  <c r="P426" i="1"/>
  <c r="Q426" i="1" s="1"/>
  <c r="R442" i="1"/>
  <c r="S442" i="1" s="1"/>
  <c r="P442" i="1"/>
  <c r="Q442" i="1" s="1"/>
  <c r="L6" i="1"/>
  <c r="M6" i="1" s="1"/>
  <c r="L14" i="1"/>
  <c r="M14" i="1" s="1"/>
  <c r="L22" i="1"/>
  <c r="M22" i="1" s="1"/>
  <c r="L30" i="1"/>
  <c r="M30" i="1" s="1"/>
  <c r="L38" i="1"/>
  <c r="M38" i="1" s="1"/>
  <c r="L46" i="1"/>
  <c r="M46" i="1" s="1"/>
  <c r="L54" i="1"/>
  <c r="M54" i="1" s="1"/>
  <c r="L62" i="1"/>
  <c r="M62" i="1" s="1"/>
  <c r="L70" i="1"/>
  <c r="M70" i="1" s="1"/>
  <c r="L78" i="1"/>
  <c r="M78" i="1" s="1"/>
  <c r="L86" i="1"/>
  <c r="M86" i="1" s="1"/>
  <c r="L94" i="1"/>
  <c r="M94" i="1" s="1"/>
  <c r="L102" i="1"/>
  <c r="M102" i="1" s="1"/>
  <c r="L110" i="1"/>
  <c r="M110" i="1" s="1"/>
  <c r="L117" i="1"/>
  <c r="M117" i="1" s="1"/>
  <c r="L125" i="1"/>
  <c r="M125" i="1" s="1"/>
  <c r="L132" i="1"/>
  <c r="M132" i="1" s="1"/>
  <c r="L139" i="1"/>
  <c r="M139" i="1" s="1"/>
  <c r="L146" i="1"/>
  <c r="M146" i="1" s="1"/>
  <c r="L153" i="1"/>
  <c r="M153" i="1" s="1"/>
  <c r="L160" i="1"/>
  <c r="M160" i="1" s="1"/>
  <c r="L167" i="1"/>
  <c r="M167" i="1" s="1"/>
  <c r="L175" i="1"/>
  <c r="M175" i="1" s="1"/>
  <c r="L181" i="1"/>
  <c r="M181" i="1" s="1"/>
  <c r="L189" i="1"/>
  <c r="M189" i="1" s="1"/>
  <c r="L196" i="1"/>
  <c r="M196" i="1" s="1"/>
  <c r="L203" i="1"/>
  <c r="M203" i="1" s="1"/>
  <c r="L210" i="1"/>
  <c r="M210" i="1" s="1"/>
  <c r="L217" i="1"/>
  <c r="M217" i="1" s="1"/>
  <c r="L224" i="1"/>
  <c r="M224" i="1" s="1"/>
  <c r="L231" i="1"/>
  <c r="M231" i="1" s="1"/>
  <c r="L239" i="1"/>
  <c r="M239" i="1" s="1"/>
  <c r="L245" i="1"/>
  <c r="M245" i="1" s="1"/>
  <c r="L253" i="1"/>
  <c r="M253" i="1" s="1"/>
  <c r="L260" i="1"/>
  <c r="M260" i="1" s="1"/>
  <c r="L267" i="1"/>
  <c r="M267" i="1" s="1"/>
  <c r="L273" i="1"/>
  <c r="M273" i="1" s="1"/>
  <c r="L281" i="1"/>
  <c r="M281" i="1" s="1"/>
  <c r="L289" i="1"/>
  <c r="M289" i="1" s="1"/>
  <c r="L296" i="1"/>
  <c r="M296" i="1" s="1"/>
  <c r="L303" i="1"/>
  <c r="M303" i="1" s="1"/>
  <c r="L310" i="1"/>
  <c r="M310" i="1" s="1"/>
  <c r="L318" i="1"/>
  <c r="M318" i="1" s="1"/>
  <c r="L325" i="1"/>
  <c r="M325" i="1" s="1"/>
  <c r="L332" i="1"/>
  <c r="M332" i="1" s="1"/>
  <c r="L339" i="1"/>
  <c r="M339" i="1" s="1"/>
  <c r="L347" i="1"/>
  <c r="M347" i="1" s="1"/>
  <c r="L355" i="1"/>
  <c r="M355" i="1" s="1"/>
  <c r="L362" i="1"/>
  <c r="M362" i="1" s="1"/>
  <c r="L368" i="1"/>
  <c r="M368" i="1" s="1"/>
  <c r="L376" i="1"/>
  <c r="M376" i="1" s="1"/>
  <c r="L386" i="1"/>
  <c r="M386" i="1" s="1"/>
  <c r="L405" i="1"/>
  <c r="M405" i="1" s="1"/>
  <c r="L415" i="1"/>
  <c r="M415" i="1" s="1"/>
  <c r="L425" i="1"/>
  <c r="M425" i="1" s="1"/>
  <c r="L434" i="1"/>
  <c r="M434" i="1" s="1"/>
  <c r="L444" i="1"/>
  <c r="M444" i="1" s="1"/>
  <c r="N11" i="1"/>
  <c r="O11" i="1" s="1"/>
  <c r="N22" i="1"/>
  <c r="O22" i="1" s="1"/>
  <c r="N34" i="1"/>
  <c r="O34" i="1" s="1"/>
  <c r="N46" i="1"/>
  <c r="O46" i="1" s="1"/>
  <c r="N59" i="1"/>
  <c r="O59" i="1" s="1"/>
  <c r="N75" i="1"/>
  <c r="O75" i="1" s="1"/>
  <c r="N91" i="1"/>
  <c r="O91" i="1" s="1"/>
  <c r="N107" i="1"/>
  <c r="O107" i="1" s="1"/>
  <c r="N123" i="1"/>
  <c r="O123" i="1" s="1"/>
  <c r="N137" i="1"/>
  <c r="O137" i="1" s="1"/>
  <c r="N151" i="1"/>
  <c r="O151" i="1" s="1"/>
  <c r="N166" i="1"/>
  <c r="O166" i="1" s="1"/>
  <c r="N195" i="1"/>
  <c r="O195" i="1" s="1"/>
  <c r="N208" i="1"/>
  <c r="O208" i="1" s="1"/>
  <c r="N223" i="1"/>
  <c r="O223" i="1" s="1"/>
  <c r="N237" i="1"/>
  <c r="O237" i="1" s="1"/>
  <c r="N251" i="1"/>
  <c r="O251" i="1" s="1"/>
  <c r="N266" i="1"/>
  <c r="O266" i="1" s="1"/>
  <c r="N279" i="1"/>
  <c r="O279" i="1" s="1"/>
  <c r="N293" i="1"/>
  <c r="O293" i="1" s="1"/>
  <c r="N307" i="1"/>
  <c r="O307" i="1" s="1"/>
  <c r="N321" i="1"/>
  <c r="O321" i="1" s="1"/>
  <c r="N335" i="1"/>
  <c r="O335" i="1" s="1"/>
  <c r="N352" i="1"/>
  <c r="O352" i="1" s="1"/>
  <c r="N379" i="1"/>
  <c r="O379" i="1" s="1"/>
  <c r="N411" i="1"/>
  <c r="O411" i="1" s="1"/>
  <c r="N443" i="1"/>
  <c r="O443" i="1" s="1"/>
  <c r="P38" i="1"/>
  <c r="Q38" i="1" s="1"/>
  <c r="P102" i="1"/>
  <c r="Q102" i="1" s="1"/>
  <c r="P280" i="1"/>
  <c r="Q280" i="1" s="1"/>
  <c r="R49" i="1"/>
  <c r="S49" i="1" s="1"/>
  <c r="R349" i="1"/>
  <c r="S349" i="1" s="1"/>
  <c r="P381" i="4"/>
  <c r="Q381" i="4" s="1"/>
  <c r="L351" i="4"/>
  <c r="M351" i="4" s="1"/>
  <c r="N367" i="4"/>
  <c r="O367" i="4" s="1"/>
  <c r="N399" i="4"/>
  <c r="O399" i="4" s="1"/>
  <c r="N423" i="4"/>
  <c r="O423" i="4" s="1"/>
  <c r="L447" i="4"/>
  <c r="M447" i="4" s="1"/>
  <c r="L463" i="4"/>
  <c r="M463" i="4" s="1"/>
  <c r="N495" i="4"/>
  <c r="O495" i="4" s="1"/>
  <c r="N527" i="4"/>
  <c r="O527" i="4" s="1"/>
  <c r="L79" i="4"/>
  <c r="M79" i="4" s="1"/>
  <c r="N359" i="4"/>
  <c r="O359" i="4" s="1"/>
  <c r="L383" i="4"/>
  <c r="M383" i="4" s="1"/>
  <c r="L415" i="4"/>
  <c r="N431" i="4"/>
  <c r="O431" i="4" s="1"/>
  <c r="N455" i="4"/>
  <c r="O455" i="4" s="1"/>
  <c r="L479" i="4"/>
  <c r="M479" i="4" s="1"/>
  <c r="N487" i="4"/>
  <c r="O487" i="4" s="1"/>
  <c r="L511" i="4"/>
  <c r="N519" i="4"/>
  <c r="O519" i="4" s="1"/>
  <c r="L268" i="4"/>
  <c r="M268" i="4" s="1"/>
  <c r="N308" i="4"/>
  <c r="O308" i="4" s="1"/>
  <c r="L332" i="4"/>
  <c r="M332" i="4" s="1"/>
  <c r="L396" i="4"/>
  <c r="M396" i="4" s="1"/>
  <c r="L460" i="4"/>
  <c r="M460" i="4" s="1"/>
  <c r="L14" i="4"/>
  <c r="M14" i="4" s="1"/>
  <c r="N391" i="4"/>
  <c r="O391" i="4" s="1"/>
  <c r="P438" i="4"/>
  <c r="Q438" i="4" s="1"/>
  <c r="S31" i="4"/>
  <c r="T31" i="4" s="1"/>
  <c r="P31" i="4"/>
  <c r="Q31" i="4" s="1"/>
  <c r="N31" i="4"/>
  <c r="O31" i="4" s="1"/>
  <c r="L31" i="4"/>
  <c r="M31" i="4" s="1"/>
  <c r="S55" i="4"/>
  <c r="T55" i="4" s="1"/>
  <c r="P55" i="4"/>
  <c r="Q55" i="4" s="1"/>
  <c r="L55" i="4"/>
  <c r="M55" i="4" s="1"/>
  <c r="N55" i="4"/>
  <c r="O55" i="4" s="1"/>
  <c r="S103" i="4"/>
  <c r="T103" i="4" s="1"/>
  <c r="L103" i="4"/>
  <c r="M103" i="4" s="1"/>
  <c r="P103" i="4"/>
  <c r="Q103" i="4" s="1"/>
  <c r="N103" i="4"/>
  <c r="O103" i="4" s="1"/>
  <c r="S119" i="4"/>
  <c r="T119" i="4" s="1"/>
  <c r="L119" i="4"/>
  <c r="M119" i="4" s="1"/>
  <c r="P119" i="4"/>
  <c r="Q119" i="4" s="1"/>
  <c r="N119" i="4"/>
  <c r="O119" i="4" s="1"/>
  <c r="S159" i="4"/>
  <c r="T159" i="4" s="1"/>
  <c r="N159" i="4"/>
  <c r="O159" i="4" s="1"/>
  <c r="L159" i="4"/>
  <c r="M159" i="4" s="1"/>
  <c r="S183" i="4"/>
  <c r="T183" i="4" s="1"/>
  <c r="P183" i="4"/>
  <c r="Q183" i="4" s="1"/>
  <c r="L183" i="4"/>
  <c r="M183" i="4" s="1"/>
  <c r="N183" i="4"/>
  <c r="O183" i="4" s="1"/>
  <c r="S215" i="4"/>
  <c r="T215" i="4" s="1"/>
  <c r="P215" i="4"/>
  <c r="Q215" i="4" s="1"/>
  <c r="L215" i="4"/>
  <c r="M215" i="4" s="1"/>
  <c r="N215" i="4"/>
  <c r="O215" i="4" s="1"/>
  <c r="S24" i="4"/>
  <c r="T24" i="4" s="1"/>
  <c r="N24" i="4"/>
  <c r="O24" i="4" s="1"/>
  <c r="P24" i="4"/>
  <c r="Q24" i="4" s="1"/>
  <c r="L24" i="4"/>
  <c r="M24" i="4" s="1"/>
  <c r="S112" i="4"/>
  <c r="T112" i="4" s="1"/>
  <c r="P112" i="4"/>
  <c r="Q112" i="4" s="1"/>
  <c r="N112" i="4"/>
  <c r="O112" i="4" s="1"/>
  <c r="L112" i="4"/>
  <c r="M112" i="4" s="1"/>
  <c r="S328" i="4"/>
  <c r="T328" i="4" s="1"/>
  <c r="P328" i="4"/>
  <c r="Q328" i="4" s="1"/>
  <c r="N328" i="4"/>
  <c r="O328" i="4" s="1"/>
  <c r="L328" i="4"/>
  <c r="M328" i="4" s="1"/>
  <c r="S33" i="4"/>
  <c r="T33" i="4" s="1"/>
  <c r="P33" i="4"/>
  <c r="Q33" i="4" s="1"/>
  <c r="N33" i="4"/>
  <c r="O33" i="4" s="1"/>
  <c r="L33" i="4"/>
  <c r="M33" i="4" s="1"/>
  <c r="S73" i="4"/>
  <c r="T73" i="4" s="1"/>
  <c r="P73" i="4"/>
  <c r="Q73" i="4" s="1"/>
  <c r="L73" i="4"/>
  <c r="M73" i="4" s="1"/>
  <c r="N73" i="4"/>
  <c r="O73" i="4" s="1"/>
  <c r="P121" i="4"/>
  <c r="Q121" i="4" s="1"/>
  <c r="L121" i="4"/>
  <c r="M121" i="4" s="1"/>
  <c r="S121" i="4"/>
  <c r="T121" i="4" s="1"/>
  <c r="N121" i="4"/>
  <c r="O121" i="4" s="1"/>
  <c r="P169" i="4"/>
  <c r="Q169" i="4" s="1"/>
  <c r="S169" i="4"/>
  <c r="T169" i="4" s="1"/>
  <c r="L169" i="4"/>
  <c r="M169" i="4" s="1"/>
  <c r="N169" i="4"/>
  <c r="O169" i="4" s="1"/>
  <c r="S18" i="4"/>
  <c r="T18" i="4" s="1"/>
  <c r="P18" i="4"/>
  <c r="Q18" i="4" s="1"/>
  <c r="N18" i="4"/>
  <c r="O18" i="4" s="1"/>
  <c r="L18" i="4"/>
  <c r="M18" i="4" s="1"/>
  <c r="S42" i="4"/>
  <c r="T42" i="4" s="1"/>
  <c r="P42" i="4"/>
  <c r="Q42" i="4" s="1"/>
  <c r="N42" i="4"/>
  <c r="O42" i="4" s="1"/>
  <c r="L42" i="4"/>
  <c r="M42" i="4" s="1"/>
  <c r="S74" i="4"/>
  <c r="T74" i="4" s="1"/>
  <c r="N74" i="4"/>
  <c r="O74" i="4" s="1"/>
  <c r="P74" i="4"/>
  <c r="Q74" i="4" s="1"/>
  <c r="L74" i="4"/>
  <c r="M74" i="4" s="1"/>
  <c r="S114" i="4"/>
  <c r="P114" i="4"/>
  <c r="N114" i="4"/>
  <c r="L114" i="4"/>
  <c r="S154" i="4"/>
  <c r="T154" i="4" s="1"/>
  <c r="P154" i="4"/>
  <c r="Q154" i="4" s="1"/>
  <c r="N154" i="4"/>
  <c r="O154" i="4" s="1"/>
  <c r="L154" i="4"/>
  <c r="M154" i="4" s="1"/>
  <c r="S5" i="4"/>
  <c r="T5" i="4" s="1"/>
  <c r="P5" i="4"/>
  <c r="Q5" i="4" s="1"/>
  <c r="N5" i="4"/>
  <c r="O5" i="4" s="1"/>
  <c r="L5" i="4"/>
  <c r="M5" i="4" s="1"/>
  <c r="S21" i="4"/>
  <c r="T21" i="4" s="1"/>
  <c r="P21" i="4"/>
  <c r="Q21" i="4" s="1"/>
  <c r="N21" i="4"/>
  <c r="O21" i="4" s="1"/>
  <c r="L21" i="4"/>
  <c r="M21" i="4" s="1"/>
  <c r="S37" i="4"/>
  <c r="T37" i="4" s="1"/>
  <c r="P37" i="4"/>
  <c r="Q37" i="4" s="1"/>
  <c r="N37" i="4"/>
  <c r="O37" i="4" s="1"/>
  <c r="L37" i="4"/>
  <c r="M37" i="4" s="1"/>
  <c r="S45" i="4"/>
  <c r="T45" i="4" s="1"/>
  <c r="P45" i="4"/>
  <c r="Q45" i="4" s="1"/>
  <c r="N45" i="4"/>
  <c r="O45" i="4" s="1"/>
  <c r="L45" i="4"/>
  <c r="M45" i="4" s="1"/>
  <c r="S61" i="4"/>
  <c r="T61" i="4" s="1"/>
  <c r="P61" i="4"/>
  <c r="Q61" i="4" s="1"/>
  <c r="N61" i="4"/>
  <c r="O61" i="4" s="1"/>
  <c r="L61" i="4"/>
  <c r="M61" i="4" s="1"/>
  <c r="S77" i="4"/>
  <c r="T77" i="4" s="1"/>
  <c r="N77" i="4"/>
  <c r="O77" i="4" s="1"/>
  <c r="L77" i="4"/>
  <c r="M77" i="4" s="1"/>
  <c r="P77" i="4"/>
  <c r="Q77" i="4" s="1"/>
  <c r="S85" i="4"/>
  <c r="T85" i="4" s="1"/>
  <c r="P85" i="4"/>
  <c r="Q85" i="4" s="1"/>
  <c r="N85" i="4"/>
  <c r="O85" i="4" s="1"/>
  <c r="L85" i="4"/>
  <c r="M85" i="4" s="1"/>
  <c r="S101" i="4"/>
  <c r="T101" i="4" s="1"/>
  <c r="P101" i="4"/>
  <c r="Q101" i="4" s="1"/>
  <c r="N101" i="4"/>
  <c r="O101" i="4" s="1"/>
  <c r="L101" i="4"/>
  <c r="M101" i="4" s="1"/>
  <c r="S117" i="4"/>
  <c r="T117" i="4" s="1"/>
  <c r="P117" i="4"/>
  <c r="Q117" i="4" s="1"/>
  <c r="N117" i="4"/>
  <c r="O117" i="4" s="1"/>
  <c r="L117" i="4"/>
  <c r="M117" i="4" s="1"/>
  <c r="S125" i="4"/>
  <c r="T125" i="4" s="1"/>
  <c r="N125" i="4"/>
  <c r="O125" i="4" s="1"/>
  <c r="L125" i="4"/>
  <c r="M125" i="4" s="1"/>
  <c r="P125" i="4"/>
  <c r="Q125" i="4" s="1"/>
  <c r="S141" i="4"/>
  <c r="T141" i="4" s="1"/>
  <c r="N141" i="4"/>
  <c r="O141" i="4" s="1"/>
  <c r="L141" i="4"/>
  <c r="M141" i="4" s="1"/>
  <c r="P141" i="4"/>
  <c r="Q141" i="4" s="1"/>
  <c r="S157" i="4"/>
  <c r="T157" i="4" s="1"/>
  <c r="P157" i="4"/>
  <c r="Q157" i="4" s="1"/>
  <c r="N157" i="4"/>
  <c r="O157" i="4" s="1"/>
  <c r="L157" i="4"/>
  <c r="M157" i="4" s="1"/>
  <c r="S165" i="4"/>
  <c r="T165" i="4" s="1"/>
  <c r="N165" i="4"/>
  <c r="O165" i="4" s="1"/>
  <c r="L165" i="4"/>
  <c r="M165" i="4" s="1"/>
  <c r="P165" i="4"/>
  <c r="Q165" i="4" s="1"/>
  <c r="S173" i="4"/>
  <c r="T173" i="4" s="1"/>
  <c r="P173" i="4"/>
  <c r="Q173" i="4" s="1"/>
  <c r="N173" i="4"/>
  <c r="O173" i="4" s="1"/>
  <c r="L173" i="4"/>
  <c r="M173" i="4" s="1"/>
  <c r="S181" i="4"/>
  <c r="T181" i="4" s="1"/>
  <c r="P181" i="4"/>
  <c r="Q181" i="4" s="1"/>
  <c r="N181" i="4"/>
  <c r="O181" i="4" s="1"/>
  <c r="L181" i="4"/>
  <c r="M181" i="4" s="1"/>
  <c r="S197" i="4"/>
  <c r="T197" i="4" s="1"/>
  <c r="N197" i="4"/>
  <c r="O197" i="4" s="1"/>
  <c r="L197" i="4"/>
  <c r="M197" i="4" s="1"/>
  <c r="P197" i="4"/>
  <c r="Q197" i="4" s="1"/>
  <c r="S205" i="4"/>
  <c r="T205" i="4" s="1"/>
  <c r="N205" i="4"/>
  <c r="O205" i="4" s="1"/>
  <c r="L205" i="4"/>
  <c r="M205" i="4" s="1"/>
  <c r="P205" i="4"/>
  <c r="Q205" i="4" s="1"/>
  <c r="S213" i="4"/>
  <c r="T213" i="4" s="1"/>
  <c r="P213" i="4"/>
  <c r="Q213" i="4" s="1"/>
  <c r="N213" i="4"/>
  <c r="O213" i="4" s="1"/>
  <c r="L213" i="4"/>
  <c r="M213" i="4" s="1"/>
  <c r="S221" i="4"/>
  <c r="T221" i="4" s="1"/>
  <c r="P221" i="4"/>
  <c r="Q221" i="4" s="1"/>
  <c r="N221" i="4"/>
  <c r="O221" i="4" s="1"/>
  <c r="L221" i="4"/>
  <c r="M221" i="4" s="1"/>
  <c r="S229" i="4"/>
  <c r="T229" i="4" s="1"/>
  <c r="P229" i="4"/>
  <c r="Q229" i="4" s="1"/>
  <c r="N229" i="4"/>
  <c r="O229" i="4" s="1"/>
  <c r="L229" i="4"/>
  <c r="M229" i="4" s="1"/>
  <c r="S237" i="4"/>
  <c r="T237" i="4" s="1"/>
  <c r="P237" i="4"/>
  <c r="Q237" i="4" s="1"/>
  <c r="N237" i="4"/>
  <c r="O237" i="4" s="1"/>
  <c r="L237" i="4"/>
  <c r="M237" i="4" s="1"/>
  <c r="P245" i="4"/>
  <c r="Q245" i="4" s="1"/>
  <c r="N245" i="4"/>
  <c r="O245" i="4" s="1"/>
  <c r="L245" i="4"/>
  <c r="M245" i="4" s="1"/>
  <c r="S245" i="4"/>
  <c r="T245" i="4" s="1"/>
  <c r="S253" i="4"/>
  <c r="T253" i="4" s="1"/>
  <c r="P253" i="4"/>
  <c r="Q253" i="4" s="1"/>
  <c r="N253" i="4"/>
  <c r="O253" i="4" s="1"/>
  <c r="L253" i="4"/>
  <c r="M253" i="4" s="1"/>
  <c r="S261" i="4"/>
  <c r="T261" i="4" s="1"/>
  <c r="P261" i="4"/>
  <c r="Q261" i="4" s="1"/>
  <c r="N261" i="4"/>
  <c r="O261" i="4" s="1"/>
  <c r="L261" i="4"/>
  <c r="M261" i="4" s="1"/>
  <c r="S269" i="4"/>
  <c r="T269" i="4" s="1"/>
  <c r="P269" i="4"/>
  <c r="Q269" i="4" s="1"/>
  <c r="N269" i="4"/>
  <c r="O269" i="4" s="1"/>
  <c r="L269" i="4"/>
  <c r="M269" i="4" s="1"/>
  <c r="S277" i="4"/>
  <c r="T277" i="4" s="1"/>
  <c r="N277" i="4"/>
  <c r="O277" i="4" s="1"/>
  <c r="L277" i="4"/>
  <c r="M277" i="4" s="1"/>
  <c r="P277" i="4"/>
  <c r="Q277" i="4" s="1"/>
  <c r="S285" i="4"/>
  <c r="T285" i="4" s="1"/>
  <c r="P285" i="4"/>
  <c r="Q285" i="4" s="1"/>
  <c r="N285" i="4"/>
  <c r="O285" i="4" s="1"/>
  <c r="L285" i="4"/>
  <c r="M285" i="4" s="1"/>
  <c r="P293" i="4"/>
  <c r="Q293" i="4" s="1"/>
  <c r="S293" i="4"/>
  <c r="T293" i="4" s="1"/>
  <c r="N293" i="4"/>
  <c r="O293" i="4" s="1"/>
  <c r="L293" i="4"/>
  <c r="M293" i="4" s="1"/>
  <c r="S301" i="4"/>
  <c r="T301" i="4" s="1"/>
  <c r="P301" i="4"/>
  <c r="Q301" i="4" s="1"/>
  <c r="N301" i="4"/>
  <c r="O301" i="4" s="1"/>
  <c r="L301" i="4"/>
  <c r="M301" i="4" s="1"/>
  <c r="S309" i="4"/>
  <c r="T309" i="4" s="1"/>
  <c r="P309" i="4"/>
  <c r="Q309" i="4" s="1"/>
  <c r="N309" i="4"/>
  <c r="O309" i="4" s="1"/>
  <c r="L309" i="4"/>
  <c r="M309" i="4" s="1"/>
  <c r="S317" i="4"/>
  <c r="T317" i="4" s="1"/>
  <c r="P317" i="4"/>
  <c r="Q317" i="4" s="1"/>
  <c r="N317" i="4"/>
  <c r="O317" i="4" s="1"/>
  <c r="L317" i="4"/>
  <c r="M317" i="4" s="1"/>
  <c r="S325" i="4"/>
  <c r="T325" i="4" s="1"/>
  <c r="N325" i="4"/>
  <c r="O325" i="4" s="1"/>
  <c r="L325" i="4"/>
  <c r="M325" i="4" s="1"/>
  <c r="P325" i="4"/>
  <c r="Q325" i="4" s="1"/>
  <c r="S333" i="4"/>
  <c r="T333" i="4" s="1"/>
  <c r="P333" i="4"/>
  <c r="Q333" i="4" s="1"/>
  <c r="N333" i="4"/>
  <c r="O333" i="4" s="1"/>
  <c r="L333" i="4"/>
  <c r="M333" i="4" s="1"/>
  <c r="P341" i="4"/>
  <c r="Q341" i="4" s="1"/>
  <c r="N341" i="4"/>
  <c r="O341" i="4" s="1"/>
  <c r="L341" i="4"/>
  <c r="M341" i="4" s="1"/>
  <c r="S341" i="4"/>
  <c r="T341" i="4" s="1"/>
  <c r="P349" i="4"/>
  <c r="Q349" i="4" s="1"/>
  <c r="S349" i="4"/>
  <c r="T349" i="4" s="1"/>
  <c r="N349" i="4"/>
  <c r="O349" i="4" s="1"/>
  <c r="L349" i="4"/>
  <c r="M349" i="4" s="1"/>
  <c r="P357" i="4"/>
  <c r="Q357" i="4" s="1"/>
  <c r="S357" i="4"/>
  <c r="T357" i="4" s="1"/>
  <c r="N357" i="4"/>
  <c r="O357" i="4" s="1"/>
  <c r="L357" i="4"/>
  <c r="M357" i="4" s="1"/>
  <c r="P365" i="4"/>
  <c r="Q365" i="4" s="1"/>
  <c r="S365" i="4"/>
  <c r="T365" i="4" s="1"/>
  <c r="N365" i="4"/>
  <c r="O365" i="4" s="1"/>
  <c r="L365" i="4"/>
  <c r="M365" i="4" s="1"/>
  <c r="N373" i="4"/>
  <c r="O373" i="4" s="1"/>
  <c r="L373" i="4"/>
  <c r="M373" i="4" s="1"/>
  <c r="P373" i="4"/>
  <c r="Q373" i="4" s="1"/>
  <c r="S373" i="4"/>
  <c r="T373" i="4" s="1"/>
  <c r="S6" i="4"/>
  <c r="T6" i="4" s="1"/>
  <c r="P6" i="4"/>
  <c r="Q6" i="4" s="1"/>
  <c r="N6" i="4"/>
  <c r="O6" i="4" s="1"/>
  <c r="L6" i="4"/>
  <c r="M6" i="4" s="1"/>
  <c r="S14" i="4"/>
  <c r="T14" i="4" s="1"/>
  <c r="N14" i="4"/>
  <c r="O14" i="4" s="1"/>
  <c r="P14" i="4"/>
  <c r="Q14" i="4" s="1"/>
  <c r="S22" i="4"/>
  <c r="T22" i="4" s="1"/>
  <c r="N22" i="4"/>
  <c r="O22" i="4" s="1"/>
  <c r="L22" i="4"/>
  <c r="M22" i="4" s="1"/>
  <c r="P22" i="4"/>
  <c r="Q22" i="4" s="1"/>
  <c r="S30" i="4"/>
  <c r="T30" i="4" s="1"/>
  <c r="N30" i="4"/>
  <c r="O30" i="4" s="1"/>
  <c r="P30" i="4"/>
  <c r="Q30" i="4" s="1"/>
  <c r="L30" i="4"/>
  <c r="M30" i="4" s="1"/>
  <c r="S38" i="4"/>
  <c r="T38" i="4" s="1"/>
  <c r="P38" i="4"/>
  <c r="Q38" i="4" s="1"/>
  <c r="N38" i="4"/>
  <c r="O38" i="4" s="1"/>
  <c r="N46" i="4"/>
  <c r="O46" i="4" s="1"/>
  <c r="P46" i="4"/>
  <c r="Q46" i="4" s="1"/>
  <c r="S46" i="4"/>
  <c r="T46" i="4" s="1"/>
  <c r="L46" i="4"/>
  <c r="M46" i="4" s="1"/>
  <c r="S54" i="4"/>
  <c r="T54" i="4" s="1"/>
  <c r="L54" i="4"/>
  <c r="M54" i="4" s="1"/>
  <c r="N54" i="4"/>
  <c r="O54" i="4" s="1"/>
  <c r="P54" i="4"/>
  <c r="Q54" i="4" s="1"/>
  <c r="N62" i="4"/>
  <c r="O62" i="4" s="1"/>
  <c r="P62" i="4"/>
  <c r="Q62" i="4" s="1"/>
  <c r="L62" i="4"/>
  <c r="M62" i="4" s="1"/>
  <c r="S62" i="4"/>
  <c r="T62" i="4" s="1"/>
  <c r="S70" i="4"/>
  <c r="T70" i="4" s="1"/>
  <c r="P70" i="4"/>
  <c r="Q70" i="4" s="1"/>
  <c r="N70" i="4"/>
  <c r="O70" i="4" s="1"/>
  <c r="L70" i="4"/>
  <c r="M70" i="4" s="1"/>
  <c r="S78" i="4"/>
  <c r="T78" i="4" s="1"/>
  <c r="P78" i="4"/>
  <c r="Q78" i="4" s="1"/>
  <c r="L78" i="4"/>
  <c r="M78" i="4" s="1"/>
  <c r="N78" i="4"/>
  <c r="O78" i="4" s="1"/>
  <c r="S86" i="4"/>
  <c r="T86" i="4" s="1"/>
  <c r="P86" i="4"/>
  <c r="Q86" i="4" s="1"/>
  <c r="L86" i="4"/>
  <c r="M86" i="4" s="1"/>
  <c r="N86" i="4"/>
  <c r="O86" i="4" s="1"/>
  <c r="S94" i="4"/>
  <c r="T94" i="4" s="1"/>
  <c r="P94" i="4"/>
  <c r="Q94" i="4" s="1"/>
  <c r="N94" i="4"/>
  <c r="O94" i="4" s="1"/>
  <c r="L94" i="4"/>
  <c r="M94" i="4" s="1"/>
  <c r="S102" i="4"/>
  <c r="T102" i="4" s="1"/>
  <c r="P102" i="4"/>
  <c r="Q102" i="4" s="1"/>
  <c r="L102" i="4"/>
  <c r="M102" i="4" s="1"/>
  <c r="N102" i="4"/>
  <c r="O102" i="4" s="1"/>
  <c r="P110" i="4"/>
  <c r="Q110" i="4" s="1"/>
  <c r="S110" i="4"/>
  <c r="T110" i="4" s="1"/>
  <c r="N110" i="4"/>
  <c r="O110" i="4" s="1"/>
  <c r="L110" i="4"/>
  <c r="M110" i="4" s="1"/>
  <c r="S118" i="4"/>
  <c r="T118" i="4" s="1"/>
  <c r="P118" i="4"/>
  <c r="Q118" i="4" s="1"/>
  <c r="L118" i="4"/>
  <c r="M118" i="4" s="1"/>
  <c r="N118" i="4"/>
  <c r="O118" i="4" s="1"/>
  <c r="P126" i="4"/>
  <c r="Q126" i="4" s="1"/>
  <c r="S126" i="4"/>
  <c r="T126" i="4" s="1"/>
  <c r="N126" i="4"/>
  <c r="O126" i="4" s="1"/>
  <c r="L126" i="4"/>
  <c r="M126" i="4" s="1"/>
  <c r="S134" i="4"/>
  <c r="T134" i="4" s="1"/>
  <c r="P134" i="4"/>
  <c r="Q134" i="4" s="1"/>
  <c r="L134" i="4"/>
  <c r="M134" i="4" s="1"/>
  <c r="N134" i="4"/>
  <c r="O134" i="4" s="1"/>
  <c r="S142" i="4"/>
  <c r="T142" i="4" s="1"/>
  <c r="P142" i="4"/>
  <c r="Q142" i="4" s="1"/>
  <c r="N142" i="4"/>
  <c r="O142" i="4" s="1"/>
  <c r="L142" i="4"/>
  <c r="M142" i="4" s="1"/>
  <c r="S150" i="4"/>
  <c r="T150" i="4" s="1"/>
  <c r="P150" i="4"/>
  <c r="Q150" i="4" s="1"/>
  <c r="L150" i="4"/>
  <c r="M150" i="4" s="1"/>
  <c r="N150" i="4"/>
  <c r="O150" i="4" s="1"/>
  <c r="S158" i="4"/>
  <c r="T158" i="4" s="1"/>
  <c r="P158" i="4"/>
  <c r="Q158" i="4" s="1"/>
  <c r="N158" i="4"/>
  <c r="O158" i="4" s="1"/>
  <c r="L158" i="4"/>
  <c r="M158" i="4" s="1"/>
  <c r="S166" i="4"/>
  <c r="T166" i="4" s="1"/>
  <c r="P166" i="4"/>
  <c r="Q166" i="4" s="1"/>
  <c r="L166" i="4"/>
  <c r="M166" i="4" s="1"/>
  <c r="N166" i="4"/>
  <c r="O166" i="4" s="1"/>
  <c r="P174" i="4"/>
  <c r="Q174" i="4" s="1"/>
  <c r="S174" i="4"/>
  <c r="T174" i="4" s="1"/>
  <c r="N174" i="4"/>
  <c r="O174" i="4" s="1"/>
  <c r="L174" i="4"/>
  <c r="M174" i="4" s="1"/>
  <c r="S182" i="4"/>
  <c r="T182" i="4" s="1"/>
  <c r="P182" i="4"/>
  <c r="Q182" i="4" s="1"/>
  <c r="L182" i="4"/>
  <c r="M182" i="4" s="1"/>
  <c r="N182" i="4"/>
  <c r="O182" i="4" s="1"/>
  <c r="P190" i="4"/>
  <c r="Q190" i="4" s="1"/>
  <c r="S190" i="4"/>
  <c r="T190" i="4" s="1"/>
  <c r="N190" i="4"/>
  <c r="O190" i="4" s="1"/>
  <c r="L190" i="4"/>
  <c r="M190" i="4" s="1"/>
  <c r="S198" i="4"/>
  <c r="T198" i="4" s="1"/>
  <c r="P198" i="4"/>
  <c r="Q198" i="4" s="1"/>
  <c r="L198" i="4"/>
  <c r="M198" i="4" s="1"/>
  <c r="N198" i="4"/>
  <c r="O198" i="4" s="1"/>
  <c r="S206" i="4"/>
  <c r="T206" i="4" s="1"/>
  <c r="P206" i="4"/>
  <c r="Q206" i="4" s="1"/>
  <c r="N206" i="4"/>
  <c r="O206" i="4" s="1"/>
  <c r="L206" i="4"/>
  <c r="M206" i="4" s="1"/>
  <c r="S214" i="4"/>
  <c r="T214" i="4" s="1"/>
  <c r="P214" i="4"/>
  <c r="Q214" i="4" s="1"/>
  <c r="L214" i="4"/>
  <c r="M214" i="4" s="1"/>
  <c r="N214" i="4"/>
  <c r="O214" i="4" s="1"/>
  <c r="S222" i="4"/>
  <c r="T222" i="4" s="1"/>
  <c r="P222" i="4"/>
  <c r="Q222" i="4" s="1"/>
  <c r="N222" i="4"/>
  <c r="O222" i="4" s="1"/>
  <c r="L222" i="4"/>
  <c r="M222" i="4" s="1"/>
  <c r="S230" i="4"/>
  <c r="T230" i="4" s="1"/>
  <c r="L230" i="4"/>
  <c r="M230" i="4" s="1"/>
  <c r="P230" i="4"/>
  <c r="Q230" i="4" s="1"/>
  <c r="N230" i="4"/>
  <c r="O230" i="4" s="1"/>
  <c r="P238" i="4"/>
  <c r="Q238" i="4" s="1"/>
  <c r="N238" i="4"/>
  <c r="O238" i="4" s="1"/>
  <c r="S238" i="4"/>
  <c r="T238" i="4" s="1"/>
  <c r="L238" i="4"/>
  <c r="M238" i="4" s="1"/>
  <c r="S246" i="4"/>
  <c r="T246" i="4" s="1"/>
  <c r="P246" i="4"/>
  <c r="Q246" i="4" s="1"/>
  <c r="L246" i="4"/>
  <c r="M246" i="4" s="1"/>
  <c r="N246" i="4"/>
  <c r="O246" i="4" s="1"/>
  <c r="S254" i="4"/>
  <c r="T254" i="4" s="1"/>
  <c r="N254" i="4"/>
  <c r="O254" i="4" s="1"/>
  <c r="P254" i="4"/>
  <c r="Q254" i="4" s="1"/>
  <c r="L254" i="4"/>
  <c r="M254" i="4" s="1"/>
  <c r="S262" i="4"/>
  <c r="T262" i="4" s="1"/>
  <c r="P262" i="4"/>
  <c r="Q262" i="4" s="1"/>
  <c r="L262" i="4"/>
  <c r="M262" i="4" s="1"/>
  <c r="N262" i="4"/>
  <c r="O262" i="4" s="1"/>
  <c r="S270" i="4"/>
  <c r="T270" i="4" s="1"/>
  <c r="P270" i="4"/>
  <c r="Q270" i="4" s="1"/>
  <c r="N270" i="4"/>
  <c r="O270" i="4" s="1"/>
  <c r="L270" i="4"/>
  <c r="M270" i="4" s="1"/>
  <c r="S278" i="4"/>
  <c r="T278" i="4" s="1"/>
  <c r="P278" i="4"/>
  <c r="Q278" i="4" s="1"/>
  <c r="L278" i="4"/>
  <c r="M278" i="4" s="1"/>
  <c r="N278" i="4"/>
  <c r="O278" i="4" s="1"/>
  <c r="S286" i="4"/>
  <c r="T286" i="4" s="1"/>
  <c r="P286" i="4"/>
  <c r="Q286" i="4" s="1"/>
  <c r="N286" i="4"/>
  <c r="O286" i="4" s="1"/>
  <c r="L286" i="4"/>
  <c r="M286" i="4" s="1"/>
  <c r="S294" i="4"/>
  <c r="T294" i="4" s="1"/>
  <c r="P294" i="4"/>
  <c r="Q294" i="4" s="1"/>
  <c r="L294" i="4"/>
  <c r="M294" i="4" s="1"/>
  <c r="N294" i="4"/>
  <c r="O294" i="4" s="1"/>
  <c r="S302" i="4"/>
  <c r="T302" i="4" s="1"/>
  <c r="P302" i="4"/>
  <c r="Q302" i="4" s="1"/>
  <c r="N302" i="4"/>
  <c r="O302" i="4" s="1"/>
  <c r="L302" i="4"/>
  <c r="M302" i="4" s="1"/>
  <c r="S310" i="4"/>
  <c r="T310" i="4" s="1"/>
  <c r="P310" i="4"/>
  <c r="Q310" i="4" s="1"/>
  <c r="L310" i="4"/>
  <c r="M310" i="4" s="1"/>
  <c r="N310" i="4"/>
  <c r="O310" i="4" s="1"/>
  <c r="S318" i="4"/>
  <c r="T318" i="4" s="1"/>
  <c r="P318" i="4"/>
  <c r="Q318" i="4" s="1"/>
  <c r="N318" i="4"/>
  <c r="O318" i="4" s="1"/>
  <c r="L318" i="4"/>
  <c r="M318" i="4" s="1"/>
  <c r="P326" i="4"/>
  <c r="Q326" i="4" s="1"/>
  <c r="S326" i="4"/>
  <c r="T326" i="4" s="1"/>
  <c r="L326" i="4"/>
  <c r="M326" i="4" s="1"/>
  <c r="N326" i="4"/>
  <c r="O326" i="4" s="1"/>
  <c r="S334" i="4"/>
  <c r="T334" i="4" s="1"/>
  <c r="P334" i="4"/>
  <c r="Q334" i="4" s="1"/>
  <c r="N334" i="4"/>
  <c r="O334" i="4" s="1"/>
  <c r="L334" i="4"/>
  <c r="M334" i="4" s="1"/>
  <c r="S342" i="4"/>
  <c r="T342" i="4" s="1"/>
  <c r="P342" i="4"/>
  <c r="Q342" i="4" s="1"/>
  <c r="L342" i="4"/>
  <c r="M342" i="4" s="1"/>
  <c r="N342" i="4"/>
  <c r="O342" i="4" s="1"/>
  <c r="S350" i="4"/>
  <c r="T350" i="4" s="1"/>
  <c r="P350" i="4"/>
  <c r="Q350" i="4" s="1"/>
  <c r="N350" i="4"/>
  <c r="O350" i="4" s="1"/>
  <c r="L350" i="4"/>
  <c r="M350" i="4" s="1"/>
  <c r="S39" i="4"/>
  <c r="T39" i="4" s="1"/>
  <c r="P39" i="4"/>
  <c r="Q39" i="4" s="1"/>
  <c r="L39" i="4"/>
  <c r="M39" i="4" s="1"/>
  <c r="N39" i="4"/>
  <c r="O39" i="4" s="1"/>
  <c r="S87" i="4"/>
  <c r="T87" i="4" s="1"/>
  <c r="L87" i="4"/>
  <c r="M87" i="4" s="1"/>
  <c r="N87" i="4"/>
  <c r="O87" i="4" s="1"/>
  <c r="P87" i="4"/>
  <c r="Q87" i="4" s="1"/>
  <c r="S127" i="4"/>
  <c r="P127" i="4"/>
  <c r="N127" i="4"/>
  <c r="L127" i="4"/>
  <c r="S167" i="4"/>
  <c r="T167" i="4" s="1"/>
  <c r="P167" i="4"/>
  <c r="Q167" i="4" s="1"/>
  <c r="L167" i="4"/>
  <c r="M167" i="4" s="1"/>
  <c r="N167" i="4"/>
  <c r="O167" i="4" s="1"/>
  <c r="S191" i="4"/>
  <c r="T191" i="4" s="1"/>
  <c r="P191" i="4"/>
  <c r="Q191" i="4" s="1"/>
  <c r="N191" i="4"/>
  <c r="O191" i="4" s="1"/>
  <c r="L191" i="4"/>
  <c r="M191" i="4" s="1"/>
  <c r="S207" i="4"/>
  <c r="T207" i="4" s="1"/>
  <c r="P207" i="4"/>
  <c r="Q207" i="4" s="1"/>
  <c r="N207" i="4"/>
  <c r="O207" i="4" s="1"/>
  <c r="L207" i="4"/>
  <c r="M207" i="4" s="1"/>
  <c r="S223" i="4"/>
  <c r="T223" i="4" s="1"/>
  <c r="P223" i="4"/>
  <c r="Q223" i="4" s="1"/>
  <c r="N223" i="4"/>
  <c r="O223" i="4" s="1"/>
  <c r="L223" i="4"/>
  <c r="M223" i="4" s="1"/>
  <c r="S231" i="4"/>
  <c r="T231" i="4" s="1"/>
  <c r="P231" i="4"/>
  <c r="Q231" i="4" s="1"/>
  <c r="L231" i="4"/>
  <c r="M231" i="4" s="1"/>
  <c r="N231" i="4"/>
  <c r="O231" i="4" s="1"/>
  <c r="S247" i="4"/>
  <c r="T247" i="4" s="1"/>
  <c r="P247" i="4"/>
  <c r="Q247" i="4" s="1"/>
  <c r="L247" i="4"/>
  <c r="M247" i="4" s="1"/>
  <c r="N247" i="4"/>
  <c r="O247" i="4" s="1"/>
  <c r="S255" i="4"/>
  <c r="T255" i="4" s="1"/>
  <c r="P255" i="4"/>
  <c r="Q255" i="4" s="1"/>
  <c r="N255" i="4"/>
  <c r="O255" i="4" s="1"/>
  <c r="L255" i="4"/>
  <c r="M255" i="4" s="1"/>
  <c r="S263" i="4"/>
  <c r="T263" i="4" s="1"/>
  <c r="P263" i="4"/>
  <c r="Q263" i="4" s="1"/>
  <c r="L263" i="4"/>
  <c r="M263" i="4" s="1"/>
  <c r="N263" i="4"/>
  <c r="O263" i="4" s="1"/>
  <c r="S271" i="4"/>
  <c r="T271" i="4" s="1"/>
  <c r="P271" i="4"/>
  <c r="Q271" i="4" s="1"/>
  <c r="N271" i="4"/>
  <c r="O271" i="4" s="1"/>
  <c r="L271" i="4"/>
  <c r="M271" i="4" s="1"/>
  <c r="S279" i="4"/>
  <c r="T279" i="4" s="1"/>
  <c r="P279" i="4"/>
  <c r="Q279" i="4" s="1"/>
  <c r="L279" i="4"/>
  <c r="M279" i="4" s="1"/>
  <c r="N279" i="4"/>
  <c r="O279" i="4" s="1"/>
  <c r="S287" i="4"/>
  <c r="T287" i="4" s="1"/>
  <c r="P287" i="4"/>
  <c r="Q287" i="4" s="1"/>
  <c r="N287" i="4"/>
  <c r="O287" i="4" s="1"/>
  <c r="L287" i="4"/>
  <c r="M287" i="4" s="1"/>
  <c r="S295" i="4"/>
  <c r="T295" i="4" s="1"/>
  <c r="P295" i="4"/>
  <c r="Q295" i="4" s="1"/>
  <c r="L295" i="4"/>
  <c r="M295" i="4" s="1"/>
  <c r="N295" i="4"/>
  <c r="O295" i="4" s="1"/>
  <c r="S303" i="4"/>
  <c r="T303" i="4" s="1"/>
  <c r="P303" i="4"/>
  <c r="Q303" i="4" s="1"/>
  <c r="N303" i="4"/>
  <c r="O303" i="4" s="1"/>
  <c r="L303" i="4"/>
  <c r="M303" i="4" s="1"/>
  <c r="S311" i="4"/>
  <c r="T311" i="4" s="1"/>
  <c r="P311" i="4"/>
  <c r="Q311" i="4" s="1"/>
  <c r="L311" i="4"/>
  <c r="M311" i="4" s="1"/>
  <c r="N311" i="4"/>
  <c r="O311" i="4" s="1"/>
  <c r="P319" i="4"/>
  <c r="Q319" i="4" s="1"/>
  <c r="S319" i="4"/>
  <c r="T319" i="4" s="1"/>
  <c r="N319" i="4"/>
  <c r="O319" i="4" s="1"/>
  <c r="L319" i="4"/>
  <c r="M319" i="4" s="1"/>
  <c r="S327" i="4"/>
  <c r="T327" i="4" s="1"/>
  <c r="P327" i="4"/>
  <c r="Q327" i="4" s="1"/>
  <c r="L327" i="4"/>
  <c r="M327" i="4" s="1"/>
  <c r="N327" i="4"/>
  <c r="O327" i="4" s="1"/>
  <c r="S335" i="4"/>
  <c r="T335" i="4" s="1"/>
  <c r="P335" i="4"/>
  <c r="Q335" i="4" s="1"/>
  <c r="N335" i="4"/>
  <c r="O335" i="4" s="1"/>
  <c r="L335" i="4"/>
  <c r="M335" i="4" s="1"/>
  <c r="S15" i="4"/>
  <c r="T15" i="4" s="1"/>
  <c r="P15" i="4"/>
  <c r="Q15" i="4" s="1"/>
  <c r="N15" i="4"/>
  <c r="O15" i="4" s="1"/>
  <c r="L15" i="4"/>
  <c r="M15" i="4" s="1"/>
  <c r="S63" i="4"/>
  <c r="T63" i="4" s="1"/>
  <c r="P63" i="4"/>
  <c r="Q63" i="4" s="1"/>
  <c r="N63" i="4"/>
  <c r="O63" i="4" s="1"/>
  <c r="L63" i="4"/>
  <c r="M63" i="4" s="1"/>
  <c r="S151" i="4"/>
  <c r="T151" i="4" s="1"/>
  <c r="P151" i="4"/>
  <c r="Q151" i="4" s="1"/>
  <c r="L151" i="4"/>
  <c r="M151" i="4" s="1"/>
  <c r="N151" i="4"/>
  <c r="O151" i="4" s="1"/>
  <c r="S16" i="4"/>
  <c r="T16" i="4" s="1"/>
  <c r="N16" i="4"/>
  <c r="O16" i="4" s="1"/>
  <c r="P16" i="4"/>
  <c r="Q16" i="4" s="1"/>
  <c r="L16" i="4"/>
  <c r="M16" i="4" s="1"/>
  <c r="S48" i="4"/>
  <c r="T48" i="4" s="1"/>
  <c r="N48" i="4"/>
  <c r="O48" i="4" s="1"/>
  <c r="L48" i="4"/>
  <c r="M48" i="4" s="1"/>
  <c r="P48" i="4"/>
  <c r="Q48" i="4" s="1"/>
  <c r="S80" i="4"/>
  <c r="T80" i="4" s="1"/>
  <c r="P80" i="4"/>
  <c r="Q80" i="4" s="1"/>
  <c r="N80" i="4"/>
  <c r="O80" i="4" s="1"/>
  <c r="L80" i="4"/>
  <c r="M80" i="4" s="1"/>
  <c r="S128" i="4"/>
  <c r="T128" i="4" s="1"/>
  <c r="P128" i="4"/>
  <c r="Q128" i="4" s="1"/>
  <c r="N128" i="4"/>
  <c r="O128" i="4" s="1"/>
  <c r="L128" i="4"/>
  <c r="M128" i="4" s="1"/>
  <c r="S160" i="4"/>
  <c r="T160" i="4" s="1"/>
  <c r="P160" i="4"/>
  <c r="Q160" i="4" s="1"/>
  <c r="N160" i="4"/>
  <c r="O160" i="4" s="1"/>
  <c r="L160" i="4"/>
  <c r="M160" i="4" s="1"/>
  <c r="S184" i="4"/>
  <c r="T184" i="4" s="1"/>
  <c r="P184" i="4"/>
  <c r="Q184" i="4" s="1"/>
  <c r="N184" i="4"/>
  <c r="O184" i="4" s="1"/>
  <c r="L184" i="4"/>
  <c r="M184" i="4" s="1"/>
  <c r="P224" i="4"/>
  <c r="Q224" i="4" s="1"/>
  <c r="S224" i="4"/>
  <c r="T224" i="4" s="1"/>
  <c r="N224" i="4"/>
  <c r="O224" i="4" s="1"/>
  <c r="L224" i="4"/>
  <c r="M224" i="4" s="1"/>
  <c r="S248" i="4"/>
  <c r="T248" i="4" s="1"/>
  <c r="P248" i="4"/>
  <c r="Q248" i="4" s="1"/>
  <c r="N248" i="4"/>
  <c r="O248" i="4" s="1"/>
  <c r="L248" i="4"/>
  <c r="M248" i="4" s="1"/>
  <c r="S280" i="4"/>
  <c r="T280" i="4" s="1"/>
  <c r="P280" i="4"/>
  <c r="Q280" i="4" s="1"/>
  <c r="N280" i="4"/>
  <c r="O280" i="4" s="1"/>
  <c r="L280" i="4"/>
  <c r="M280" i="4" s="1"/>
  <c r="S296" i="4"/>
  <c r="T296" i="4" s="1"/>
  <c r="P296" i="4"/>
  <c r="Q296" i="4" s="1"/>
  <c r="N296" i="4"/>
  <c r="O296" i="4" s="1"/>
  <c r="L296" i="4"/>
  <c r="M296" i="4" s="1"/>
  <c r="S320" i="4"/>
  <c r="T320" i="4" s="1"/>
  <c r="P320" i="4"/>
  <c r="Q320" i="4" s="1"/>
  <c r="N320" i="4"/>
  <c r="O320" i="4" s="1"/>
  <c r="L320" i="4"/>
  <c r="M320" i="4" s="1"/>
  <c r="S360" i="4"/>
  <c r="T360" i="4" s="1"/>
  <c r="P360" i="4"/>
  <c r="Q360" i="4" s="1"/>
  <c r="N360" i="4"/>
  <c r="O360" i="4" s="1"/>
  <c r="L360" i="4"/>
  <c r="M360" i="4" s="1"/>
  <c r="S400" i="4"/>
  <c r="T400" i="4" s="1"/>
  <c r="P400" i="4"/>
  <c r="Q400" i="4" s="1"/>
  <c r="N400" i="4"/>
  <c r="O400" i="4" s="1"/>
  <c r="L400" i="4"/>
  <c r="M400" i="4" s="1"/>
  <c r="S424" i="4"/>
  <c r="T424" i="4" s="1"/>
  <c r="P424" i="4"/>
  <c r="Q424" i="4" s="1"/>
  <c r="N424" i="4"/>
  <c r="O424" i="4" s="1"/>
  <c r="L424" i="4"/>
  <c r="M424" i="4" s="1"/>
  <c r="S448" i="4"/>
  <c r="T448" i="4" s="1"/>
  <c r="P448" i="4"/>
  <c r="Q448" i="4" s="1"/>
  <c r="N448" i="4"/>
  <c r="O448" i="4" s="1"/>
  <c r="L448" i="4"/>
  <c r="M448" i="4" s="1"/>
  <c r="S480" i="4"/>
  <c r="T480" i="4" s="1"/>
  <c r="P480" i="4"/>
  <c r="Q480" i="4" s="1"/>
  <c r="N480" i="4"/>
  <c r="O480" i="4" s="1"/>
  <c r="L480" i="4"/>
  <c r="M480" i="4" s="1"/>
  <c r="S512" i="4"/>
  <c r="P512" i="4"/>
  <c r="N512" i="4"/>
  <c r="L512" i="4"/>
  <c r="P536" i="4"/>
  <c r="Q536" i="4" s="1"/>
  <c r="S536" i="4"/>
  <c r="T536" i="4" s="1"/>
  <c r="N536" i="4"/>
  <c r="O536" i="4" s="1"/>
  <c r="L536" i="4"/>
  <c r="M536" i="4" s="1"/>
  <c r="S49" i="4"/>
  <c r="T49" i="4" s="1"/>
  <c r="P49" i="4"/>
  <c r="Q49" i="4" s="1"/>
  <c r="N49" i="4"/>
  <c r="O49" i="4" s="1"/>
  <c r="L49" i="4"/>
  <c r="M49" i="4" s="1"/>
  <c r="P89" i="4"/>
  <c r="Q89" i="4" s="1"/>
  <c r="S89" i="4"/>
  <c r="T89" i="4" s="1"/>
  <c r="L89" i="4"/>
  <c r="M89" i="4" s="1"/>
  <c r="N89" i="4"/>
  <c r="O89" i="4" s="1"/>
  <c r="S137" i="4"/>
  <c r="T137" i="4" s="1"/>
  <c r="P137" i="4"/>
  <c r="Q137" i="4" s="1"/>
  <c r="L137" i="4"/>
  <c r="M137" i="4" s="1"/>
  <c r="N137" i="4"/>
  <c r="O137" i="4" s="1"/>
  <c r="S145" i="4"/>
  <c r="T145" i="4" s="1"/>
  <c r="P145" i="4"/>
  <c r="Q145" i="4" s="1"/>
  <c r="N145" i="4"/>
  <c r="O145" i="4" s="1"/>
  <c r="L145" i="4"/>
  <c r="M145" i="4" s="1"/>
  <c r="S193" i="4"/>
  <c r="T193" i="4" s="1"/>
  <c r="P193" i="4"/>
  <c r="Q193" i="4" s="1"/>
  <c r="N193" i="4"/>
  <c r="O193" i="4" s="1"/>
  <c r="L193" i="4"/>
  <c r="M193" i="4" s="1"/>
  <c r="S201" i="4"/>
  <c r="T201" i="4" s="1"/>
  <c r="P201" i="4"/>
  <c r="Q201" i="4" s="1"/>
  <c r="L201" i="4"/>
  <c r="M201" i="4" s="1"/>
  <c r="N201" i="4"/>
  <c r="O201" i="4" s="1"/>
  <c r="S209" i="4"/>
  <c r="T209" i="4" s="1"/>
  <c r="P209" i="4"/>
  <c r="Q209" i="4" s="1"/>
  <c r="N209" i="4"/>
  <c r="O209" i="4" s="1"/>
  <c r="L209" i="4"/>
  <c r="M209" i="4" s="1"/>
  <c r="S217" i="4"/>
  <c r="T217" i="4" s="1"/>
  <c r="P217" i="4"/>
  <c r="Q217" i="4" s="1"/>
  <c r="L217" i="4"/>
  <c r="M217" i="4" s="1"/>
  <c r="N217" i="4"/>
  <c r="O217" i="4" s="1"/>
  <c r="S225" i="4"/>
  <c r="T225" i="4" s="1"/>
  <c r="P225" i="4"/>
  <c r="Q225" i="4" s="1"/>
  <c r="N225" i="4"/>
  <c r="O225" i="4" s="1"/>
  <c r="L225" i="4"/>
  <c r="M225" i="4" s="1"/>
  <c r="S233" i="4"/>
  <c r="T233" i="4" s="1"/>
  <c r="P233" i="4"/>
  <c r="Q233" i="4" s="1"/>
  <c r="L233" i="4"/>
  <c r="M233" i="4" s="1"/>
  <c r="N233" i="4"/>
  <c r="O233" i="4" s="1"/>
  <c r="S241" i="4"/>
  <c r="T241" i="4" s="1"/>
  <c r="P241" i="4"/>
  <c r="Q241" i="4" s="1"/>
  <c r="N241" i="4"/>
  <c r="O241" i="4" s="1"/>
  <c r="L241" i="4"/>
  <c r="M241" i="4" s="1"/>
  <c r="S249" i="4"/>
  <c r="T249" i="4" s="1"/>
  <c r="P249" i="4"/>
  <c r="Q249" i="4" s="1"/>
  <c r="L249" i="4"/>
  <c r="M249" i="4" s="1"/>
  <c r="N249" i="4"/>
  <c r="O249" i="4" s="1"/>
  <c r="S257" i="4"/>
  <c r="T257" i="4" s="1"/>
  <c r="P257" i="4"/>
  <c r="Q257" i="4" s="1"/>
  <c r="N257" i="4"/>
  <c r="O257" i="4" s="1"/>
  <c r="L257" i="4"/>
  <c r="M257" i="4" s="1"/>
  <c r="P265" i="4"/>
  <c r="Q265" i="4" s="1"/>
  <c r="S265" i="4"/>
  <c r="T265" i="4" s="1"/>
  <c r="L265" i="4"/>
  <c r="M265" i="4" s="1"/>
  <c r="N265" i="4"/>
  <c r="O265" i="4" s="1"/>
  <c r="S273" i="4"/>
  <c r="T273" i="4" s="1"/>
  <c r="P273" i="4"/>
  <c r="Q273" i="4" s="1"/>
  <c r="N273" i="4"/>
  <c r="O273" i="4" s="1"/>
  <c r="L273" i="4"/>
  <c r="M273" i="4" s="1"/>
  <c r="S281" i="4"/>
  <c r="T281" i="4" s="1"/>
  <c r="P281" i="4"/>
  <c r="Q281" i="4" s="1"/>
  <c r="L281" i="4"/>
  <c r="M281" i="4" s="1"/>
  <c r="N281" i="4"/>
  <c r="O281" i="4" s="1"/>
  <c r="S289" i="4"/>
  <c r="T289" i="4" s="1"/>
  <c r="P289" i="4"/>
  <c r="Q289" i="4" s="1"/>
  <c r="N289" i="4"/>
  <c r="O289" i="4" s="1"/>
  <c r="L289" i="4"/>
  <c r="M289" i="4" s="1"/>
  <c r="S297" i="4"/>
  <c r="T297" i="4" s="1"/>
  <c r="P297" i="4"/>
  <c r="Q297" i="4" s="1"/>
  <c r="L297" i="4"/>
  <c r="M297" i="4" s="1"/>
  <c r="N297" i="4"/>
  <c r="O297" i="4" s="1"/>
  <c r="S305" i="4"/>
  <c r="T305" i="4" s="1"/>
  <c r="P305" i="4"/>
  <c r="Q305" i="4" s="1"/>
  <c r="N305" i="4"/>
  <c r="O305" i="4" s="1"/>
  <c r="L305" i="4"/>
  <c r="M305" i="4" s="1"/>
  <c r="P313" i="4"/>
  <c r="Q313" i="4" s="1"/>
  <c r="L313" i="4"/>
  <c r="M313" i="4" s="1"/>
  <c r="S313" i="4"/>
  <c r="T313" i="4" s="1"/>
  <c r="N313" i="4"/>
  <c r="O313" i="4" s="1"/>
  <c r="S321" i="4"/>
  <c r="T321" i="4" s="1"/>
  <c r="P321" i="4"/>
  <c r="Q321" i="4" s="1"/>
  <c r="N321" i="4"/>
  <c r="O321" i="4" s="1"/>
  <c r="L321" i="4"/>
  <c r="M321" i="4" s="1"/>
  <c r="S329" i="4"/>
  <c r="T329" i="4" s="1"/>
  <c r="P329" i="4"/>
  <c r="Q329" i="4" s="1"/>
  <c r="L329" i="4"/>
  <c r="M329" i="4" s="1"/>
  <c r="N329" i="4"/>
  <c r="O329" i="4" s="1"/>
  <c r="S337" i="4"/>
  <c r="T337" i="4" s="1"/>
  <c r="P337" i="4"/>
  <c r="Q337" i="4" s="1"/>
  <c r="N337" i="4"/>
  <c r="O337" i="4" s="1"/>
  <c r="L337" i="4"/>
  <c r="M337" i="4" s="1"/>
  <c r="S345" i="4"/>
  <c r="T345" i="4" s="1"/>
  <c r="P345" i="4"/>
  <c r="Q345" i="4" s="1"/>
  <c r="L345" i="4"/>
  <c r="M345" i="4" s="1"/>
  <c r="N345" i="4"/>
  <c r="O345" i="4" s="1"/>
  <c r="S353" i="4"/>
  <c r="T353" i="4" s="1"/>
  <c r="P353" i="4"/>
  <c r="Q353" i="4" s="1"/>
  <c r="N353" i="4"/>
  <c r="O353" i="4" s="1"/>
  <c r="L353" i="4"/>
  <c r="M353" i="4" s="1"/>
  <c r="S56" i="4"/>
  <c r="T56" i="4" s="1"/>
  <c r="N56" i="4"/>
  <c r="O56" i="4" s="1"/>
  <c r="L56" i="4"/>
  <c r="M56" i="4" s="1"/>
  <c r="P56" i="4"/>
  <c r="Q56" i="4" s="1"/>
  <c r="S96" i="4"/>
  <c r="T96" i="4" s="1"/>
  <c r="P96" i="4"/>
  <c r="Q96" i="4" s="1"/>
  <c r="N96" i="4"/>
  <c r="O96" i="4" s="1"/>
  <c r="L96" i="4"/>
  <c r="M96" i="4" s="1"/>
  <c r="S144" i="4"/>
  <c r="T144" i="4" s="1"/>
  <c r="P144" i="4"/>
  <c r="Q144" i="4" s="1"/>
  <c r="N144" i="4"/>
  <c r="O144" i="4" s="1"/>
  <c r="L144" i="4"/>
  <c r="M144" i="4" s="1"/>
  <c r="S176" i="4"/>
  <c r="T176" i="4" s="1"/>
  <c r="P176" i="4"/>
  <c r="Q176" i="4" s="1"/>
  <c r="N176" i="4"/>
  <c r="O176" i="4" s="1"/>
  <c r="L176" i="4"/>
  <c r="M176" i="4" s="1"/>
  <c r="S208" i="4"/>
  <c r="T208" i="4" s="1"/>
  <c r="P208" i="4"/>
  <c r="Q208" i="4" s="1"/>
  <c r="N208" i="4"/>
  <c r="O208" i="4" s="1"/>
  <c r="L208" i="4"/>
  <c r="M208" i="4" s="1"/>
  <c r="S240" i="4"/>
  <c r="T240" i="4" s="1"/>
  <c r="P240" i="4"/>
  <c r="Q240" i="4" s="1"/>
  <c r="N240" i="4"/>
  <c r="O240" i="4" s="1"/>
  <c r="L240" i="4"/>
  <c r="M240" i="4" s="1"/>
  <c r="S272" i="4"/>
  <c r="T272" i="4" s="1"/>
  <c r="P272" i="4"/>
  <c r="Q272" i="4" s="1"/>
  <c r="N272" i="4"/>
  <c r="O272" i="4" s="1"/>
  <c r="L272" i="4"/>
  <c r="M272" i="4" s="1"/>
  <c r="S312" i="4"/>
  <c r="T312" i="4" s="1"/>
  <c r="N312" i="4"/>
  <c r="O312" i="4" s="1"/>
  <c r="L312" i="4"/>
  <c r="M312" i="4" s="1"/>
  <c r="P312" i="4"/>
  <c r="Q312" i="4" s="1"/>
  <c r="S352" i="4"/>
  <c r="T352" i="4" s="1"/>
  <c r="P352" i="4"/>
  <c r="Q352" i="4" s="1"/>
  <c r="N352" i="4"/>
  <c r="O352" i="4" s="1"/>
  <c r="L352" i="4"/>
  <c r="M352" i="4" s="1"/>
  <c r="S384" i="4"/>
  <c r="T384" i="4" s="1"/>
  <c r="P384" i="4"/>
  <c r="Q384" i="4" s="1"/>
  <c r="N384" i="4"/>
  <c r="O384" i="4" s="1"/>
  <c r="L384" i="4"/>
  <c r="M384" i="4" s="1"/>
  <c r="S416" i="4"/>
  <c r="T416" i="4" s="1"/>
  <c r="P416" i="4"/>
  <c r="Q416" i="4" s="1"/>
  <c r="N416" i="4"/>
  <c r="O416" i="4" s="1"/>
  <c r="L416" i="4"/>
  <c r="M416" i="4" s="1"/>
  <c r="S456" i="4"/>
  <c r="T456" i="4" s="1"/>
  <c r="P456" i="4"/>
  <c r="Q456" i="4" s="1"/>
  <c r="N456" i="4"/>
  <c r="O456" i="4" s="1"/>
  <c r="L456" i="4"/>
  <c r="M456" i="4" s="1"/>
  <c r="S504" i="4"/>
  <c r="T504" i="4" s="1"/>
  <c r="P504" i="4"/>
  <c r="Q504" i="4" s="1"/>
  <c r="N504" i="4"/>
  <c r="O504" i="4" s="1"/>
  <c r="L504" i="4"/>
  <c r="M504" i="4" s="1"/>
  <c r="S41" i="4"/>
  <c r="T41" i="4" s="1"/>
  <c r="P41" i="4"/>
  <c r="Q41" i="4" s="1"/>
  <c r="N41" i="4"/>
  <c r="O41" i="4" s="1"/>
  <c r="L41" i="4"/>
  <c r="M41" i="4" s="1"/>
  <c r="S97" i="4"/>
  <c r="T97" i="4" s="1"/>
  <c r="P97" i="4"/>
  <c r="Q97" i="4" s="1"/>
  <c r="N97" i="4"/>
  <c r="O97" i="4" s="1"/>
  <c r="L97" i="4"/>
  <c r="M97" i="4" s="1"/>
  <c r="S185" i="4"/>
  <c r="T185" i="4" s="1"/>
  <c r="P185" i="4"/>
  <c r="Q185" i="4" s="1"/>
  <c r="L185" i="4"/>
  <c r="M185" i="4" s="1"/>
  <c r="N185" i="4"/>
  <c r="O185" i="4" s="1"/>
  <c r="S50" i="4"/>
  <c r="T50" i="4" s="1"/>
  <c r="P50" i="4"/>
  <c r="Q50" i="4" s="1"/>
  <c r="N50" i="4"/>
  <c r="O50" i="4" s="1"/>
  <c r="L50" i="4"/>
  <c r="M50" i="4" s="1"/>
  <c r="S82" i="4"/>
  <c r="T82" i="4" s="1"/>
  <c r="P82" i="4"/>
  <c r="Q82" i="4" s="1"/>
  <c r="N82" i="4"/>
  <c r="O82" i="4" s="1"/>
  <c r="L82" i="4"/>
  <c r="M82" i="4" s="1"/>
  <c r="S122" i="4"/>
  <c r="T122" i="4" s="1"/>
  <c r="N122" i="4"/>
  <c r="O122" i="4" s="1"/>
  <c r="L122" i="4"/>
  <c r="M122" i="4" s="1"/>
  <c r="P122" i="4"/>
  <c r="Q122" i="4" s="1"/>
  <c r="S162" i="4"/>
  <c r="T162" i="4" s="1"/>
  <c r="P162" i="4"/>
  <c r="Q162" i="4" s="1"/>
  <c r="N162" i="4"/>
  <c r="O162" i="4" s="1"/>
  <c r="L162" i="4"/>
  <c r="M162" i="4" s="1"/>
  <c r="S186" i="4"/>
  <c r="T186" i="4" s="1"/>
  <c r="P186" i="4"/>
  <c r="Q186" i="4" s="1"/>
  <c r="N186" i="4"/>
  <c r="O186" i="4" s="1"/>
  <c r="L186" i="4"/>
  <c r="M186" i="4" s="1"/>
  <c r="S210" i="4"/>
  <c r="T210" i="4" s="1"/>
  <c r="P210" i="4"/>
  <c r="Q210" i="4" s="1"/>
  <c r="N210" i="4"/>
  <c r="O210" i="4" s="1"/>
  <c r="L210" i="4"/>
  <c r="M210" i="4" s="1"/>
  <c r="S234" i="4"/>
  <c r="T234" i="4" s="1"/>
  <c r="P234" i="4"/>
  <c r="Q234" i="4" s="1"/>
  <c r="N234" i="4"/>
  <c r="O234" i="4" s="1"/>
  <c r="L234" i="4"/>
  <c r="M234" i="4" s="1"/>
  <c r="S242" i="4"/>
  <c r="T242" i="4" s="1"/>
  <c r="N242" i="4"/>
  <c r="O242" i="4" s="1"/>
  <c r="L242" i="4"/>
  <c r="M242" i="4" s="1"/>
  <c r="P242" i="4"/>
  <c r="Q242" i="4" s="1"/>
  <c r="S250" i="4"/>
  <c r="T250" i="4" s="1"/>
  <c r="P250" i="4"/>
  <c r="Q250" i="4" s="1"/>
  <c r="N250" i="4"/>
  <c r="O250" i="4" s="1"/>
  <c r="L250" i="4"/>
  <c r="M250" i="4" s="1"/>
  <c r="S274" i="4"/>
  <c r="T274" i="4" s="1"/>
  <c r="P274" i="4"/>
  <c r="Q274" i="4" s="1"/>
  <c r="N274" i="4"/>
  <c r="O274" i="4" s="1"/>
  <c r="L274" i="4"/>
  <c r="M274" i="4" s="1"/>
  <c r="S282" i="4"/>
  <c r="T282" i="4" s="1"/>
  <c r="P282" i="4"/>
  <c r="Q282" i="4" s="1"/>
  <c r="N282" i="4"/>
  <c r="O282" i="4" s="1"/>
  <c r="L282" i="4"/>
  <c r="M282" i="4" s="1"/>
  <c r="S290" i="4"/>
  <c r="T290" i="4" s="1"/>
  <c r="N290" i="4"/>
  <c r="O290" i="4" s="1"/>
  <c r="L290" i="4"/>
  <c r="M290" i="4" s="1"/>
  <c r="P290" i="4"/>
  <c r="Q290" i="4" s="1"/>
  <c r="S298" i="4"/>
  <c r="T298" i="4" s="1"/>
  <c r="P298" i="4"/>
  <c r="Q298" i="4" s="1"/>
  <c r="N298" i="4"/>
  <c r="O298" i="4" s="1"/>
  <c r="L298" i="4"/>
  <c r="M298" i="4" s="1"/>
  <c r="S306" i="4"/>
  <c r="T306" i="4" s="1"/>
  <c r="P306" i="4"/>
  <c r="Q306" i="4" s="1"/>
  <c r="N306" i="4"/>
  <c r="O306" i="4" s="1"/>
  <c r="L306" i="4"/>
  <c r="M306" i="4" s="1"/>
  <c r="S314" i="4"/>
  <c r="T314" i="4" s="1"/>
  <c r="P314" i="4"/>
  <c r="Q314" i="4" s="1"/>
  <c r="N314" i="4"/>
  <c r="O314" i="4" s="1"/>
  <c r="L314" i="4"/>
  <c r="M314" i="4" s="1"/>
  <c r="S322" i="4"/>
  <c r="T322" i="4" s="1"/>
  <c r="P322" i="4"/>
  <c r="Q322" i="4" s="1"/>
  <c r="N322" i="4"/>
  <c r="O322" i="4" s="1"/>
  <c r="L322" i="4"/>
  <c r="M322" i="4" s="1"/>
  <c r="S330" i="4"/>
  <c r="T330" i="4" s="1"/>
  <c r="P330" i="4"/>
  <c r="Q330" i="4" s="1"/>
  <c r="N330" i="4"/>
  <c r="O330" i="4" s="1"/>
  <c r="L330" i="4"/>
  <c r="M330" i="4" s="1"/>
  <c r="S338" i="4"/>
  <c r="T338" i="4" s="1"/>
  <c r="P338" i="4"/>
  <c r="Q338" i="4" s="1"/>
  <c r="N338" i="4"/>
  <c r="O338" i="4" s="1"/>
  <c r="L338" i="4"/>
  <c r="M338" i="4" s="1"/>
  <c r="S346" i="4"/>
  <c r="T346" i="4" s="1"/>
  <c r="N346" i="4"/>
  <c r="O346" i="4" s="1"/>
  <c r="L346" i="4"/>
  <c r="M346" i="4" s="1"/>
  <c r="P346" i="4"/>
  <c r="Q346" i="4" s="1"/>
  <c r="S354" i="4"/>
  <c r="T354" i="4" s="1"/>
  <c r="P354" i="4"/>
  <c r="Q354" i="4" s="1"/>
  <c r="N354" i="4"/>
  <c r="O354" i="4" s="1"/>
  <c r="L354" i="4"/>
  <c r="M354" i="4" s="1"/>
  <c r="S362" i="4"/>
  <c r="T362" i="4" s="1"/>
  <c r="N362" i="4"/>
  <c r="O362" i="4" s="1"/>
  <c r="L362" i="4"/>
  <c r="M362" i="4" s="1"/>
  <c r="P362" i="4"/>
  <c r="Q362" i="4" s="1"/>
  <c r="S370" i="4"/>
  <c r="P370" i="4"/>
  <c r="N370" i="4"/>
  <c r="L370" i="4"/>
  <c r="S378" i="4"/>
  <c r="T378" i="4" s="1"/>
  <c r="P378" i="4"/>
  <c r="Q378" i="4" s="1"/>
  <c r="N378" i="4"/>
  <c r="O378" i="4" s="1"/>
  <c r="L378" i="4"/>
  <c r="M378" i="4" s="1"/>
  <c r="S386" i="4"/>
  <c r="T386" i="4" s="1"/>
  <c r="P386" i="4"/>
  <c r="Q386" i="4" s="1"/>
  <c r="N386" i="4"/>
  <c r="O386" i="4" s="1"/>
  <c r="L386" i="4"/>
  <c r="M386" i="4" s="1"/>
  <c r="S394" i="4"/>
  <c r="T394" i="4" s="1"/>
  <c r="P394" i="4"/>
  <c r="Q394" i="4" s="1"/>
  <c r="N394" i="4"/>
  <c r="O394" i="4" s="1"/>
  <c r="L394" i="4"/>
  <c r="M394" i="4" s="1"/>
  <c r="S402" i="4"/>
  <c r="T402" i="4" s="1"/>
  <c r="N402" i="4"/>
  <c r="O402" i="4" s="1"/>
  <c r="L402" i="4"/>
  <c r="M402" i="4" s="1"/>
  <c r="P402" i="4"/>
  <c r="Q402" i="4" s="1"/>
  <c r="S410" i="4"/>
  <c r="T410" i="4" s="1"/>
  <c r="P410" i="4"/>
  <c r="Q410" i="4" s="1"/>
  <c r="N410" i="4"/>
  <c r="O410" i="4" s="1"/>
  <c r="L410" i="4"/>
  <c r="M410" i="4" s="1"/>
  <c r="S418" i="4"/>
  <c r="T418" i="4" s="1"/>
  <c r="N418" i="4"/>
  <c r="O418" i="4" s="1"/>
  <c r="L418" i="4"/>
  <c r="M418" i="4" s="1"/>
  <c r="P418" i="4"/>
  <c r="Q418" i="4" s="1"/>
  <c r="S426" i="4"/>
  <c r="T426" i="4" s="1"/>
  <c r="P426" i="4"/>
  <c r="Q426" i="4" s="1"/>
  <c r="N426" i="4"/>
  <c r="O426" i="4" s="1"/>
  <c r="L426" i="4"/>
  <c r="M426" i="4" s="1"/>
  <c r="S434" i="4"/>
  <c r="T434" i="4" s="1"/>
  <c r="P434" i="4"/>
  <c r="Q434" i="4" s="1"/>
  <c r="N434" i="4"/>
  <c r="O434" i="4" s="1"/>
  <c r="L434" i="4"/>
  <c r="M434" i="4" s="1"/>
  <c r="S442" i="4"/>
  <c r="T442" i="4" s="1"/>
  <c r="P442" i="4"/>
  <c r="Q442" i="4" s="1"/>
  <c r="N442" i="4"/>
  <c r="O442" i="4" s="1"/>
  <c r="L442" i="4"/>
  <c r="M442" i="4" s="1"/>
  <c r="S450" i="4"/>
  <c r="T450" i="4" s="1"/>
  <c r="P450" i="4"/>
  <c r="Q450" i="4" s="1"/>
  <c r="N450" i="4"/>
  <c r="O450" i="4" s="1"/>
  <c r="L450" i="4"/>
  <c r="M450" i="4" s="1"/>
  <c r="S458" i="4"/>
  <c r="T458" i="4" s="1"/>
  <c r="P458" i="4"/>
  <c r="Q458" i="4" s="1"/>
  <c r="N458" i="4"/>
  <c r="O458" i="4" s="1"/>
  <c r="L458" i="4"/>
  <c r="M458" i="4" s="1"/>
  <c r="S466" i="4"/>
  <c r="T466" i="4" s="1"/>
  <c r="P466" i="4"/>
  <c r="Q466" i="4" s="1"/>
  <c r="N466" i="4"/>
  <c r="O466" i="4" s="1"/>
  <c r="L466" i="4"/>
  <c r="M466" i="4" s="1"/>
  <c r="S474" i="4"/>
  <c r="T474" i="4" s="1"/>
  <c r="P474" i="4"/>
  <c r="Q474" i="4" s="1"/>
  <c r="N474" i="4"/>
  <c r="O474" i="4" s="1"/>
  <c r="L474" i="4"/>
  <c r="M474" i="4" s="1"/>
  <c r="S482" i="4"/>
  <c r="T482" i="4" s="1"/>
  <c r="P482" i="4"/>
  <c r="Q482" i="4" s="1"/>
  <c r="N482" i="4"/>
  <c r="O482" i="4" s="1"/>
  <c r="L482" i="4"/>
  <c r="M482" i="4" s="1"/>
  <c r="S490" i="4"/>
  <c r="T490" i="4" s="1"/>
  <c r="P490" i="4"/>
  <c r="Q490" i="4" s="1"/>
  <c r="N490" i="4"/>
  <c r="O490" i="4" s="1"/>
  <c r="L490" i="4"/>
  <c r="M490" i="4" s="1"/>
  <c r="S498" i="4"/>
  <c r="P498" i="4"/>
  <c r="N498" i="4"/>
  <c r="L498" i="4"/>
  <c r="S506" i="4"/>
  <c r="T506" i="4" s="1"/>
  <c r="P506" i="4"/>
  <c r="Q506" i="4" s="1"/>
  <c r="N506" i="4"/>
  <c r="O506" i="4" s="1"/>
  <c r="L506" i="4"/>
  <c r="M506" i="4" s="1"/>
  <c r="S514" i="4"/>
  <c r="P514" i="4"/>
  <c r="N514" i="4"/>
  <c r="L514" i="4"/>
  <c r="S522" i="4"/>
  <c r="T522" i="4" s="1"/>
  <c r="P522" i="4"/>
  <c r="Q522" i="4" s="1"/>
  <c r="N522" i="4"/>
  <c r="O522" i="4" s="1"/>
  <c r="L522" i="4"/>
  <c r="M522" i="4" s="1"/>
  <c r="P530" i="4"/>
  <c r="Q530" i="4" s="1"/>
  <c r="S530" i="4"/>
  <c r="T530" i="4" s="1"/>
  <c r="N530" i="4"/>
  <c r="O530" i="4" s="1"/>
  <c r="L530" i="4"/>
  <c r="M530" i="4" s="1"/>
  <c r="P538" i="4"/>
  <c r="Q538" i="4" s="1"/>
  <c r="S538" i="4"/>
  <c r="T538" i="4" s="1"/>
  <c r="N538" i="4"/>
  <c r="O538" i="4" s="1"/>
  <c r="L538" i="4"/>
  <c r="M538" i="4" s="1"/>
  <c r="S47" i="4"/>
  <c r="T47" i="4" s="1"/>
  <c r="P47" i="4"/>
  <c r="Q47" i="4" s="1"/>
  <c r="N47" i="4"/>
  <c r="O47" i="4" s="1"/>
  <c r="L47" i="4"/>
  <c r="M47" i="4" s="1"/>
  <c r="S79" i="4"/>
  <c r="T79" i="4" s="1"/>
  <c r="P79" i="4"/>
  <c r="Q79" i="4" s="1"/>
  <c r="N79" i="4"/>
  <c r="O79" i="4" s="1"/>
  <c r="S111" i="4"/>
  <c r="T111" i="4" s="1"/>
  <c r="P111" i="4"/>
  <c r="Q111" i="4" s="1"/>
  <c r="N111" i="4"/>
  <c r="O111" i="4" s="1"/>
  <c r="L111" i="4"/>
  <c r="M111" i="4" s="1"/>
  <c r="S135" i="4"/>
  <c r="T135" i="4" s="1"/>
  <c r="P135" i="4"/>
  <c r="Q135" i="4" s="1"/>
  <c r="L135" i="4"/>
  <c r="M135" i="4" s="1"/>
  <c r="N135" i="4"/>
  <c r="O135" i="4" s="1"/>
  <c r="S175" i="4"/>
  <c r="T175" i="4" s="1"/>
  <c r="P175" i="4"/>
  <c r="Q175" i="4" s="1"/>
  <c r="N175" i="4"/>
  <c r="O175" i="4" s="1"/>
  <c r="L175" i="4"/>
  <c r="M175" i="4" s="1"/>
  <c r="S199" i="4"/>
  <c r="T199" i="4" s="1"/>
  <c r="P199" i="4"/>
  <c r="Q199" i="4" s="1"/>
  <c r="L199" i="4"/>
  <c r="M199" i="4" s="1"/>
  <c r="N199" i="4"/>
  <c r="O199" i="4" s="1"/>
  <c r="P239" i="4"/>
  <c r="Q239" i="4" s="1"/>
  <c r="S239" i="4"/>
  <c r="T239" i="4" s="1"/>
  <c r="N239" i="4"/>
  <c r="O239" i="4" s="1"/>
  <c r="L239" i="4"/>
  <c r="M239" i="4" s="1"/>
  <c r="S32" i="4"/>
  <c r="T32" i="4" s="1"/>
  <c r="N32" i="4"/>
  <c r="O32" i="4" s="1"/>
  <c r="P32" i="4"/>
  <c r="Q32" i="4" s="1"/>
  <c r="L32" i="4"/>
  <c r="M32" i="4" s="1"/>
  <c r="P104" i="4"/>
  <c r="Q104" i="4" s="1"/>
  <c r="N104" i="4"/>
  <c r="O104" i="4" s="1"/>
  <c r="L104" i="4"/>
  <c r="M104" i="4" s="1"/>
  <c r="S104" i="4"/>
  <c r="T104" i="4" s="1"/>
  <c r="S368" i="4"/>
  <c r="T368" i="4" s="1"/>
  <c r="P368" i="4"/>
  <c r="Q368" i="4" s="1"/>
  <c r="N368" i="4"/>
  <c r="O368" i="4" s="1"/>
  <c r="L368" i="4"/>
  <c r="M368" i="4" s="1"/>
  <c r="S25" i="4"/>
  <c r="T25" i="4" s="1"/>
  <c r="P25" i="4"/>
  <c r="Q25" i="4" s="1"/>
  <c r="N25" i="4"/>
  <c r="O25" i="4" s="1"/>
  <c r="L25" i="4"/>
  <c r="M25" i="4" s="1"/>
  <c r="S81" i="4"/>
  <c r="T81" i="4" s="1"/>
  <c r="P81" i="4"/>
  <c r="Q81" i="4" s="1"/>
  <c r="N81" i="4"/>
  <c r="O81" i="4" s="1"/>
  <c r="L81" i="4"/>
  <c r="M81" i="4" s="1"/>
  <c r="S129" i="4"/>
  <c r="T129" i="4" s="1"/>
  <c r="P129" i="4"/>
  <c r="Q129" i="4" s="1"/>
  <c r="N129" i="4"/>
  <c r="O129" i="4" s="1"/>
  <c r="L129" i="4"/>
  <c r="M129" i="4" s="1"/>
  <c r="P153" i="4"/>
  <c r="Q153" i="4" s="1"/>
  <c r="S153" i="4"/>
  <c r="T153" i="4" s="1"/>
  <c r="L153" i="4"/>
  <c r="M153" i="4" s="1"/>
  <c r="N153" i="4"/>
  <c r="O153" i="4" s="1"/>
  <c r="S10" i="4"/>
  <c r="T10" i="4" s="1"/>
  <c r="P10" i="4"/>
  <c r="Q10" i="4" s="1"/>
  <c r="N10" i="4"/>
  <c r="O10" i="4" s="1"/>
  <c r="L10" i="4"/>
  <c r="M10" i="4" s="1"/>
  <c r="S58" i="4"/>
  <c r="T58" i="4" s="1"/>
  <c r="P58" i="4"/>
  <c r="Q58" i="4" s="1"/>
  <c r="N58" i="4"/>
  <c r="O58" i="4" s="1"/>
  <c r="L58" i="4"/>
  <c r="M58" i="4" s="1"/>
  <c r="S90" i="4"/>
  <c r="T90" i="4" s="1"/>
  <c r="N90" i="4"/>
  <c r="O90" i="4" s="1"/>
  <c r="P90" i="4"/>
  <c r="Q90" i="4" s="1"/>
  <c r="L90" i="4"/>
  <c r="M90" i="4" s="1"/>
  <c r="S130" i="4"/>
  <c r="T130" i="4" s="1"/>
  <c r="P130" i="4"/>
  <c r="Q130" i="4" s="1"/>
  <c r="N130" i="4"/>
  <c r="O130" i="4" s="1"/>
  <c r="L130" i="4"/>
  <c r="M130" i="4" s="1"/>
  <c r="S170" i="4"/>
  <c r="T170" i="4" s="1"/>
  <c r="P170" i="4"/>
  <c r="Q170" i="4" s="1"/>
  <c r="N170" i="4"/>
  <c r="O170" i="4" s="1"/>
  <c r="L170" i="4"/>
  <c r="M170" i="4" s="1"/>
  <c r="P194" i="4"/>
  <c r="Q194" i="4" s="1"/>
  <c r="S194" i="4"/>
  <c r="T194" i="4" s="1"/>
  <c r="N194" i="4"/>
  <c r="O194" i="4" s="1"/>
  <c r="L194" i="4"/>
  <c r="M194" i="4" s="1"/>
  <c r="S226" i="4"/>
  <c r="T226" i="4" s="1"/>
  <c r="N226" i="4"/>
  <c r="O226" i="4" s="1"/>
  <c r="L226" i="4"/>
  <c r="M226" i="4" s="1"/>
  <c r="P226" i="4"/>
  <c r="Q226" i="4" s="1"/>
  <c r="P266" i="4"/>
  <c r="Q266" i="4" s="1"/>
  <c r="S266" i="4"/>
  <c r="T266" i="4" s="1"/>
  <c r="N266" i="4"/>
  <c r="O266" i="4" s="1"/>
  <c r="L266" i="4"/>
  <c r="M266" i="4" s="1"/>
  <c r="P19" i="4"/>
  <c r="Q19" i="4" s="1"/>
  <c r="S19" i="4"/>
  <c r="T19" i="4" s="1"/>
  <c r="N19" i="4"/>
  <c r="O19" i="4" s="1"/>
  <c r="L19" i="4"/>
  <c r="M19" i="4" s="1"/>
  <c r="S35" i="4"/>
  <c r="T35" i="4" s="1"/>
  <c r="P35" i="4"/>
  <c r="Q35" i="4" s="1"/>
  <c r="N35" i="4"/>
  <c r="O35" i="4" s="1"/>
  <c r="L35" i="4"/>
  <c r="M35" i="4" s="1"/>
  <c r="S51" i="4"/>
  <c r="T51" i="4" s="1"/>
  <c r="P51" i="4"/>
  <c r="Q51" i="4" s="1"/>
  <c r="N51" i="4"/>
  <c r="O51" i="4" s="1"/>
  <c r="L51" i="4"/>
  <c r="M51" i="4" s="1"/>
  <c r="P67" i="4"/>
  <c r="Q67" i="4" s="1"/>
  <c r="N67" i="4"/>
  <c r="O67" i="4" s="1"/>
  <c r="S67" i="4"/>
  <c r="T67" i="4" s="1"/>
  <c r="L67" i="4"/>
  <c r="M67" i="4" s="1"/>
  <c r="P83" i="4"/>
  <c r="Q83" i="4" s="1"/>
  <c r="S83" i="4"/>
  <c r="T83" i="4" s="1"/>
  <c r="N83" i="4"/>
  <c r="O83" i="4" s="1"/>
  <c r="L83" i="4"/>
  <c r="M83" i="4" s="1"/>
  <c r="S99" i="4"/>
  <c r="T99" i="4" s="1"/>
  <c r="P99" i="4"/>
  <c r="Q99" i="4" s="1"/>
  <c r="N99" i="4"/>
  <c r="O99" i="4" s="1"/>
  <c r="L99" i="4"/>
  <c r="M99" i="4" s="1"/>
  <c r="P115" i="4"/>
  <c r="Q115" i="4" s="1"/>
  <c r="S115" i="4"/>
  <c r="T115" i="4" s="1"/>
  <c r="N115" i="4"/>
  <c r="O115" i="4" s="1"/>
  <c r="L115" i="4"/>
  <c r="M115" i="4" s="1"/>
  <c r="S139" i="4"/>
  <c r="T139" i="4" s="1"/>
  <c r="P139" i="4"/>
  <c r="Q139" i="4" s="1"/>
  <c r="N139" i="4"/>
  <c r="O139" i="4" s="1"/>
  <c r="L139" i="4"/>
  <c r="M139" i="4" s="1"/>
  <c r="S155" i="4"/>
  <c r="T155" i="4" s="1"/>
  <c r="P155" i="4"/>
  <c r="Q155" i="4" s="1"/>
  <c r="N155" i="4"/>
  <c r="O155" i="4" s="1"/>
  <c r="L155" i="4"/>
  <c r="M155" i="4" s="1"/>
  <c r="S171" i="4"/>
  <c r="T171" i="4" s="1"/>
  <c r="P171" i="4"/>
  <c r="Q171" i="4" s="1"/>
  <c r="N171" i="4"/>
  <c r="O171" i="4" s="1"/>
  <c r="L171" i="4"/>
  <c r="M171" i="4" s="1"/>
  <c r="S187" i="4"/>
  <c r="T187" i="4" s="1"/>
  <c r="P187" i="4"/>
  <c r="Q187" i="4" s="1"/>
  <c r="N187" i="4"/>
  <c r="O187" i="4" s="1"/>
  <c r="L187" i="4"/>
  <c r="M187" i="4" s="1"/>
  <c r="S211" i="4"/>
  <c r="T211" i="4" s="1"/>
  <c r="N211" i="4"/>
  <c r="O211" i="4" s="1"/>
  <c r="L211" i="4"/>
  <c r="M211" i="4" s="1"/>
  <c r="P211" i="4"/>
  <c r="Q211" i="4" s="1"/>
  <c r="S227" i="4"/>
  <c r="T227" i="4" s="1"/>
  <c r="P227" i="4"/>
  <c r="Q227" i="4" s="1"/>
  <c r="N227" i="4"/>
  <c r="O227" i="4" s="1"/>
  <c r="L227" i="4"/>
  <c r="M227" i="4" s="1"/>
  <c r="S243" i="4"/>
  <c r="T243" i="4" s="1"/>
  <c r="P243" i="4"/>
  <c r="Q243" i="4" s="1"/>
  <c r="N243" i="4"/>
  <c r="O243" i="4" s="1"/>
  <c r="L243" i="4"/>
  <c r="M243" i="4" s="1"/>
  <c r="S259" i="4"/>
  <c r="T259" i="4" s="1"/>
  <c r="N259" i="4"/>
  <c r="O259" i="4" s="1"/>
  <c r="L259" i="4"/>
  <c r="M259" i="4" s="1"/>
  <c r="P259" i="4"/>
  <c r="Q259" i="4" s="1"/>
  <c r="S275" i="4"/>
  <c r="T275" i="4" s="1"/>
  <c r="P275" i="4"/>
  <c r="Q275" i="4" s="1"/>
  <c r="N275" i="4"/>
  <c r="O275" i="4" s="1"/>
  <c r="L275" i="4"/>
  <c r="M275" i="4" s="1"/>
  <c r="P299" i="4"/>
  <c r="Q299" i="4" s="1"/>
  <c r="N299" i="4"/>
  <c r="O299" i="4" s="1"/>
  <c r="L299" i="4"/>
  <c r="M299" i="4" s="1"/>
  <c r="S299" i="4"/>
  <c r="T299" i="4" s="1"/>
  <c r="S307" i="4"/>
  <c r="T307" i="4" s="1"/>
  <c r="N307" i="4"/>
  <c r="O307" i="4" s="1"/>
  <c r="L307" i="4"/>
  <c r="M307" i="4" s="1"/>
  <c r="P307" i="4"/>
  <c r="Q307" i="4" s="1"/>
  <c r="S315" i="4"/>
  <c r="T315" i="4" s="1"/>
  <c r="P315" i="4"/>
  <c r="Q315" i="4" s="1"/>
  <c r="N315" i="4"/>
  <c r="O315" i="4" s="1"/>
  <c r="L315" i="4"/>
  <c r="M315" i="4" s="1"/>
  <c r="S323" i="4"/>
  <c r="T323" i="4" s="1"/>
  <c r="P323" i="4"/>
  <c r="Q323" i="4" s="1"/>
  <c r="N323" i="4"/>
  <c r="O323" i="4" s="1"/>
  <c r="L323" i="4"/>
  <c r="M323" i="4" s="1"/>
  <c r="S339" i="4"/>
  <c r="T339" i="4" s="1"/>
  <c r="P339" i="4"/>
  <c r="Q339" i="4" s="1"/>
  <c r="N339" i="4"/>
  <c r="O339" i="4" s="1"/>
  <c r="L339" i="4"/>
  <c r="M339" i="4" s="1"/>
  <c r="S7" i="4"/>
  <c r="T7" i="4" s="1"/>
  <c r="P7" i="4"/>
  <c r="Q7" i="4" s="1"/>
  <c r="L7" i="4"/>
  <c r="M7" i="4" s="1"/>
  <c r="N7" i="4"/>
  <c r="O7" i="4" s="1"/>
  <c r="S95" i="4"/>
  <c r="T95" i="4" s="1"/>
  <c r="P95" i="4"/>
  <c r="Q95" i="4" s="1"/>
  <c r="N95" i="4"/>
  <c r="O95" i="4" s="1"/>
  <c r="L95" i="4"/>
  <c r="M95" i="4" s="1"/>
  <c r="S8" i="4"/>
  <c r="T8" i="4" s="1"/>
  <c r="N8" i="4"/>
  <c r="O8" i="4" s="1"/>
  <c r="P8" i="4"/>
  <c r="Q8" i="4" s="1"/>
  <c r="L8" i="4"/>
  <c r="M8" i="4" s="1"/>
  <c r="S64" i="4"/>
  <c r="T64" i="4" s="1"/>
  <c r="N64" i="4"/>
  <c r="O64" i="4" s="1"/>
  <c r="L64" i="4"/>
  <c r="M64" i="4" s="1"/>
  <c r="P64" i="4"/>
  <c r="Q64" i="4" s="1"/>
  <c r="P88" i="4"/>
  <c r="Q88" i="4" s="1"/>
  <c r="S88" i="4"/>
  <c r="T88" i="4" s="1"/>
  <c r="N88" i="4"/>
  <c r="O88" i="4" s="1"/>
  <c r="L88" i="4"/>
  <c r="M88" i="4" s="1"/>
  <c r="S136" i="4"/>
  <c r="T136" i="4" s="1"/>
  <c r="P136" i="4"/>
  <c r="Q136" i="4" s="1"/>
  <c r="N136" i="4"/>
  <c r="O136" i="4" s="1"/>
  <c r="L136" i="4"/>
  <c r="M136" i="4" s="1"/>
  <c r="P168" i="4"/>
  <c r="Q168" i="4" s="1"/>
  <c r="S168" i="4"/>
  <c r="T168" i="4" s="1"/>
  <c r="N168" i="4"/>
  <c r="O168" i="4" s="1"/>
  <c r="L168" i="4"/>
  <c r="M168" i="4" s="1"/>
  <c r="S200" i="4"/>
  <c r="T200" i="4" s="1"/>
  <c r="N200" i="4"/>
  <c r="O200" i="4" s="1"/>
  <c r="L200" i="4"/>
  <c r="M200" i="4" s="1"/>
  <c r="P200" i="4"/>
  <c r="Q200" i="4" s="1"/>
  <c r="P232" i="4"/>
  <c r="Q232" i="4" s="1"/>
  <c r="S232" i="4"/>
  <c r="T232" i="4" s="1"/>
  <c r="N232" i="4"/>
  <c r="O232" i="4" s="1"/>
  <c r="L232" i="4"/>
  <c r="M232" i="4" s="1"/>
  <c r="S264" i="4"/>
  <c r="T264" i="4" s="1"/>
  <c r="P264" i="4"/>
  <c r="Q264" i="4" s="1"/>
  <c r="N264" i="4"/>
  <c r="O264" i="4" s="1"/>
  <c r="L264" i="4"/>
  <c r="M264" i="4" s="1"/>
  <c r="S304" i="4"/>
  <c r="T304" i="4" s="1"/>
  <c r="P304" i="4"/>
  <c r="Q304" i="4" s="1"/>
  <c r="N304" i="4"/>
  <c r="O304" i="4" s="1"/>
  <c r="L304" i="4"/>
  <c r="M304" i="4" s="1"/>
  <c r="S344" i="4"/>
  <c r="T344" i="4" s="1"/>
  <c r="P344" i="4"/>
  <c r="Q344" i="4" s="1"/>
  <c r="N344" i="4"/>
  <c r="O344" i="4" s="1"/>
  <c r="L344" i="4"/>
  <c r="M344" i="4" s="1"/>
  <c r="S392" i="4"/>
  <c r="T392" i="4" s="1"/>
  <c r="P392" i="4"/>
  <c r="Q392" i="4" s="1"/>
  <c r="N392" i="4"/>
  <c r="O392" i="4" s="1"/>
  <c r="L392" i="4"/>
  <c r="M392" i="4" s="1"/>
  <c r="S432" i="4"/>
  <c r="T432" i="4" s="1"/>
  <c r="P432" i="4"/>
  <c r="Q432" i="4" s="1"/>
  <c r="N432" i="4"/>
  <c r="O432" i="4" s="1"/>
  <c r="L432" i="4"/>
  <c r="M432" i="4" s="1"/>
  <c r="S464" i="4"/>
  <c r="T464" i="4" s="1"/>
  <c r="P464" i="4"/>
  <c r="Q464" i="4" s="1"/>
  <c r="N464" i="4"/>
  <c r="O464" i="4" s="1"/>
  <c r="L464" i="4"/>
  <c r="M464" i="4" s="1"/>
  <c r="S488" i="4"/>
  <c r="T488" i="4" s="1"/>
  <c r="P488" i="4"/>
  <c r="Q488" i="4" s="1"/>
  <c r="N488" i="4"/>
  <c r="O488" i="4" s="1"/>
  <c r="L488" i="4"/>
  <c r="M488" i="4" s="1"/>
  <c r="P528" i="4"/>
  <c r="Q528" i="4" s="1"/>
  <c r="S528" i="4"/>
  <c r="T528" i="4" s="1"/>
  <c r="N528" i="4"/>
  <c r="O528" i="4" s="1"/>
  <c r="L528" i="4"/>
  <c r="M528" i="4" s="1"/>
  <c r="S9" i="4"/>
  <c r="T9" i="4" s="1"/>
  <c r="P9" i="4"/>
  <c r="Q9" i="4" s="1"/>
  <c r="N9" i="4"/>
  <c r="O9" i="4" s="1"/>
  <c r="L9" i="4"/>
  <c r="M9" i="4" s="1"/>
  <c r="P57" i="4"/>
  <c r="Q57" i="4" s="1"/>
  <c r="S57" i="4"/>
  <c r="T57" i="4" s="1"/>
  <c r="N57" i="4"/>
  <c r="O57" i="4" s="1"/>
  <c r="L57" i="4"/>
  <c r="M57" i="4" s="1"/>
  <c r="P105" i="4"/>
  <c r="Q105" i="4" s="1"/>
  <c r="S105" i="4"/>
  <c r="T105" i="4" s="1"/>
  <c r="L105" i="4"/>
  <c r="M105" i="4" s="1"/>
  <c r="N105" i="4"/>
  <c r="O105" i="4" s="1"/>
  <c r="S161" i="4"/>
  <c r="T161" i="4" s="1"/>
  <c r="P161" i="4"/>
  <c r="Q161" i="4" s="1"/>
  <c r="N161" i="4"/>
  <c r="O161" i="4" s="1"/>
  <c r="L161" i="4"/>
  <c r="M161" i="4" s="1"/>
  <c r="S26" i="4"/>
  <c r="T26" i="4" s="1"/>
  <c r="P26" i="4"/>
  <c r="Q26" i="4" s="1"/>
  <c r="N26" i="4"/>
  <c r="O26" i="4" s="1"/>
  <c r="L26" i="4"/>
  <c r="M26" i="4" s="1"/>
  <c r="S66" i="4"/>
  <c r="T66" i="4" s="1"/>
  <c r="P66" i="4"/>
  <c r="Q66" i="4" s="1"/>
  <c r="N66" i="4"/>
  <c r="O66" i="4" s="1"/>
  <c r="L66" i="4"/>
  <c r="M66" i="4" s="1"/>
  <c r="S106" i="4"/>
  <c r="T106" i="4" s="1"/>
  <c r="N106" i="4"/>
  <c r="O106" i="4" s="1"/>
  <c r="L106" i="4"/>
  <c r="M106" i="4" s="1"/>
  <c r="P106" i="4"/>
  <c r="Q106" i="4" s="1"/>
  <c r="S138" i="4"/>
  <c r="T138" i="4" s="1"/>
  <c r="P138" i="4"/>
  <c r="Q138" i="4" s="1"/>
  <c r="N138" i="4"/>
  <c r="O138" i="4" s="1"/>
  <c r="L138" i="4"/>
  <c r="M138" i="4" s="1"/>
  <c r="S178" i="4"/>
  <c r="T178" i="4" s="1"/>
  <c r="P178" i="4"/>
  <c r="Q178" i="4" s="1"/>
  <c r="N178" i="4"/>
  <c r="O178" i="4" s="1"/>
  <c r="L178" i="4"/>
  <c r="M178" i="4" s="1"/>
  <c r="S202" i="4"/>
  <c r="T202" i="4" s="1"/>
  <c r="P202" i="4"/>
  <c r="Q202" i="4" s="1"/>
  <c r="N202" i="4"/>
  <c r="O202" i="4" s="1"/>
  <c r="L202" i="4"/>
  <c r="M202" i="4" s="1"/>
  <c r="P218" i="4"/>
  <c r="Q218" i="4" s="1"/>
  <c r="N218" i="4"/>
  <c r="O218" i="4" s="1"/>
  <c r="L218" i="4"/>
  <c r="M218" i="4" s="1"/>
  <c r="S218" i="4"/>
  <c r="T218" i="4" s="1"/>
  <c r="S258" i="4"/>
  <c r="T258" i="4" s="1"/>
  <c r="N258" i="4"/>
  <c r="O258" i="4" s="1"/>
  <c r="L258" i="4"/>
  <c r="M258" i="4" s="1"/>
  <c r="P258" i="4"/>
  <c r="Q258" i="4" s="1"/>
  <c r="S11" i="4"/>
  <c r="T11" i="4" s="1"/>
  <c r="P11" i="4"/>
  <c r="Q11" i="4" s="1"/>
  <c r="N11" i="4"/>
  <c r="O11" i="4" s="1"/>
  <c r="L11" i="4"/>
  <c r="M11" i="4" s="1"/>
  <c r="S27" i="4"/>
  <c r="T27" i="4" s="1"/>
  <c r="P27" i="4"/>
  <c r="Q27" i="4" s="1"/>
  <c r="N27" i="4"/>
  <c r="O27" i="4" s="1"/>
  <c r="L27" i="4"/>
  <c r="M27" i="4" s="1"/>
  <c r="S43" i="4"/>
  <c r="T43" i="4" s="1"/>
  <c r="P43" i="4"/>
  <c r="Q43" i="4" s="1"/>
  <c r="N43" i="4"/>
  <c r="O43" i="4" s="1"/>
  <c r="L43" i="4"/>
  <c r="M43" i="4" s="1"/>
  <c r="S59" i="4"/>
  <c r="T59" i="4" s="1"/>
  <c r="P59" i="4"/>
  <c r="Q59" i="4" s="1"/>
  <c r="N59" i="4"/>
  <c r="O59" i="4" s="1"/>
  <c r="L59" i="4"/>
  <c r="M59" i="4" s="1"/>
  <c r="S75" i="4"/>
  <c r="T75" i="4" s="1"/>
  <c r="P75" i="4"/>
  <c r="Q75" i="4" s="1"/>
  <c r="N75" i="4"/>
  <c r="O75" i="4" s="1"/>
  <c r="L75" i="4"/>
  <c r="M75" i="4" s="1"/>
  <c r="S91" i="4"/>
  <c r="T91" i="4" s="1"/>
  <c r="P91" i="4"/>
  <c r="Q91" i="4" s="1"/>
  <c r="N91" i="4"/>
  <c r="O91" i="4" s="1"/>
  <c r="L91" i="4"/>
  <c r="M91" i="4" s="1"/>
  <c r="S107" i="4"/>
  <c r="T107" i="4" s="1"/>
  <c r="P107" i="4"/>
  <c r="Q107" i="4" s="1"/>
  <c r="N107" i="4"/>
  <c r="O107" i="4" s="1"/>
  <c r="L107" i="4"/>
  <c r="M107" i="4" s="1"/>
  <c r="S123" i="4"/>
  <c r="T123" i="4" s="1"/>
  <c r="P123" i="4"/>
  <c r="Q123" i="4" s="1"/>
  <c r="N123" i="4"/>
  <c r="O123" i="4" s="1"/>
  <c r="L123" i="4"/>
  <c r="M123" i="4" s="1"/>
  <c r="P131" i="4"/>
  <c r="Q131" i="4" s="1"/>
  <c r="S131" i="4"/>
  <c r="T131" i="4" s="1"/>
  <c r="N131" i="4"/>
  <c r="O131" i="4" s="1"/>
  <c r="L131" i="4"/>
  <c r="M131" i="4" s="1"/>
  <c r="P147" i="4"/>
  <c r="Q147" i="4" s="1"/>
  <c r="S147" i="4"/>
  <c r="T147" i="4" s="1"/>
  <c r="N147" i="4"/>
  <c r="O147" i="4" s="1"/>
  <c r="L147" i="4"/>
  <c r="M147" i="4" s="1"/>
  <c r="S163" i="4"/>
  <c r="T163" i="4" s="1"/>
  <c r="P163" i="4"/>
  <c r="Q163" i="4" s="1"/>
  <c r="N163" i="4"/>
  <c r="O163" i="4" s="1"/>
  <c r="L163" i="4"/>
  <c r="M163" i="4" s="1"/>
  <c r="S179" i="4"/>
  <c r="T179" i="4" s="1"/>
  <c r="N179" i="4"/>
  <c r="O179" i="4" s="1"/>
  <c r="L179" i="4"/>
  <c r="M179" i="4" s="1"/>
  <c r="P179" i="4"/>
  <c r="Q179" i="4" s="1"/>
  <c r="S195" i="4"/>
  <c r="T195" i="4" s="1"/>
  <c r="P195" i="4"/>
  <c r="Q195" i="4" s="1"/>
  <c r="N195" i="4"/>
  <c r="O195" i="4" s="1"/>
  <c r="L195" i="4"/>
  <c r="M195" i="4" s="1"/>
  <c r="S203" i="4"/>
  <c r="T203" i="4" s="1"/>
  <c r="P203" i="4"/>
  <c r="Q203" i="4" s="1"/>
  <c r="N203" i="4"/>
  <c r="O203" i="4" s="1"/>
  <c r="L203" i="4"/>
  <c r="M203" i="4" s="1"/>
  <c r="P219" i="4"/>
  <c r="Q219" i="4" s="1"/>
  <c r="S219" i="4"/>
  <c r="T219" i="4" s="1"/>
  <c r="N219" i="4"/>
  <c r="O219" i="4" s="1"/>
  <c r="L219" i="4"/>
  <c r="M219" i="4" s="1"/>
  <c r="S235" i="4"/>
  <c r="T235" i="4" s="1"/>
  <c r="P235" i="4"/>
  <c r="Q235" i="4" s="1"/>
  <c r="N235" i="4"/>
  <c r="O235" i="4" s="1"/>
  <c r="L235" i="4"/>
  <c r="M235" i="4" s="1"/>
  <c r="S251" i="4"/>
  <c r="T251" i="4" s="1"/>
  <c r="P251" i="4"/>
  <c r="Q251" i="4" s="1"/>
  <c r="N251" i="4"/>
  <c r="O251" i="4" s="1"/>
  <c r="L251" i="4"/>
  <c r="M251" i="4" s="1"/>
  <c r="S267" i="4"/>
  <c r="T267" i="4" s="1"/>
  <c r="P267" i="4"/>
  <c r="Q267" i="4" s="1"/>
  <c r="N267" i="4"/>
  <c r="O267" i="4" s="1"/>
  <c r="L267" i="4"/>
  <c r="M267" i="4" s="1"/>
  <c r="S283" i="4"/>
  <c r="T283" i="4" s="1"/>
  <c r="P283" i="4"/>
  <c r="Q283" i="4" s="1"/>
  <c r="N283" i="4"/>
  <c r="O283" i="4" s="1"/>
  <c r="L283" i="4"/>
  <c r="M283" i="4" s="1"/>
  <c r="S291" i="4"/>
  <c r="T291" i="4" s="1"/>
  <c r="N291" i="4"/>
  <c r="O291" i="4" s="1"/>
  <c r="L291" i="4"/>
  <c r="M291" i="4" s="1"/>
  <c r="P291" i="4"/>
  <c r="Q291" i="4" s="1"/>
  <c r="S331" i="4"/>
  <c r="T331" i="4" s="1"/>
  <c r="P331" i="4"/>
  <c r="Q331" i="4" s="1"/>
  <c r="N331" i="4"/>
  <c r="O331" i="4" s="1"/>
  <c r="L331" i="4"/>
  <c r="M331" i="4" s="1"/>
  <c r="S4" i="4"/>
  <c r="T4" i="4" s="1"/>
  <c r="P4" i="4"/>
  <c r="Q4" i="4" s="1"/>
  <c r="L4" i="4"/>
  <c r="M4" i="4" s="1"/>
  <c r="N4" i="4"/>
  <c r="O4" i="4" s="1"/>
  <c r="S12" i="4"/>
  <c r="T12" i="4" s="1"/>
  <c r="P12" i="4"/>
  <c r="Q12" i="4" s="1"/>
  <c r="L12" i="4"/>
  <c r="M12" i="4" s="1"/>
  <c r="N12" i="4"/>
  <c r="O12" i="4" s="1"/>
  <c r="S20" i="4"/>
  <c r="T20" i="4" s="1"/>
  <c r="P20" i="4"/>
  <c r="Q20" i="4" s="1"/>
  <c r="L20" i="4"/>
  <c r="M20" i="4" s="1"/>
  <c r="N20" i="4"/>
  <c r="O20" i="4" s="1"/>
  <c r="S28" i="4"/>
  <c r="T28" i="4" s="1"/>
  <c r="P28" i="4"/>
  <c r="Q28" i="4" s="1"/>
  <c r="L28" i="4"/>
  <c r="M28" i="4" s="1"/>
  <c r="N28" i="4"/>
  <c r="O28" i="4" s="1"/>
  <c r="S36" i="4"/>
  <c r="T36" i="4" s="1"/>
  <c r="P36" i="4"/>
  <c r="Q36" i="4" s="1"/>
  <c r="L36" i="4"/>
  <c r="M36" i="4" s="1"/>
  <c r="N36" i="4"/>
  <c r="O36" i="4" s="1"/>
  <c r="S44" i="4"/>
  <c r="T44" i="4" s="1"/>
  <c r="P44" i="4"/>
  <c r="Q44" i="4" s="1"/>
  <c r="L44" i="4"/>
  <c r="M44" i="4" s="1"/>
  <c r="N44" i="4"/>
  <c r="O44" i="4" s="1"/>
  <c r="S52" i="4"/>
  <c r="T52" i="4" s="1"/>
  <c r="P52" i="4"/>
  <c r="Q52" i="4" s="1"/>
  <c r="L52" i="4"/>
  <c r="M52" i="4" s="1"/>
  <c r="S60" i="4"/>
  <c r="T60" i="4" s="1"/>
  <c r="P60" i="4"/>
  <c r="Q60" i="4" s="1"/>
  <c r="N60" i="4"/>
  <c r="O60" i="4" s="1"/>
  <c r="L60" i="4"/>
  <c r="M60" i="4" s="1"/>
  <c r="S68" i="4"/>
  <c r="T68" i="4" s="1"/>
  <c r="P68" i="4"/>
  <c r="Q68" i="4" s="1"/>
  <c r="L68" i="4"/>
  <c r="M68" i="4" s="1"/>
  <c r="N68" i="4"/>
  <c r="O68" i="4" s="1"/>
  <c r="S76" i="4"/>
  <c r="T76" i="4" s="1"/>
  <c r="P76" i="4"/>
  <c r="Q76" i="4" s="1"/>
  <c r="L76" i="4"/>
  <c r="M76" i="4" s="1"/>
  <c r="N76" i="4"/>
  <c r="O76" i="4" s="1"/>
  <c r="S84" i="4"/>
  <c r="T84" i="4" s="1"/>
  <c r="P84" i="4"/>
  <c r="Q84" i="4" s="1"/>
  <c r="L84" i="4"/>
  <c r="M84" i="4" s="1"/>
  <c r="N84" i="4"/>
  <c r="O84" i="4" s="1"/>
  <c r="S92" i="4"/>
  <c r="T92" i="4" s="1"/>
  <c r="N92" i="4"/>
  <c r="O92" i="4" s="1"/>
  <c r="P92" i="4"/>
  <c r="Q92" i="4" s="1"/>
  <c r="L92" i="4"/>
  <c r="M92" i="4" s="1"/>
  <c r="S100" i="4"/>
  <c r="T100" i="4" s="1"/>
  <c r="P100" i="4"/>
  <c r="Q100" i="4" s="1"/>
  <c r="L100" i="4"/>
  <c r="M100" i="4" s="1"/>
  <c r="N100" i="4"/>
  <c r="O100" i="4" s="1"/>
  <c r="S108" i="4"/>
  <c r="T108" i="4" s="1"/>
  <c r="N108" i="4"/>
  <c r="O108" i="4" s="1"/>
  <c r="P108" i="4"/>
  <c r="Q108" i="4" s="1"/>
  <c r="L108" i="4"/>
  <c r="M108" i="4" s="1"/>
  <c r="S116" i="4"/>
  <c r="T116" i="4" s="1"/>
  <c r="P116" i="4"/>
  <c r="Q116" i="4" s="1"/>
  <c r="L116" i="4"/>
  <c r="M116" i="4" s="1"/>
  <c r="S124" i="4"/>
  <c r="T124" i="4" s="1"/>
  <c r="P124" i="4"/>
  <c r="Q124" i="4" s="1"/>
  <c r="N124" i="4"/>
  <c r="O124" i="4" s="1"/>
  <c r="L124" i="4"/>
  <c r="M124" i="4" s="1"/>
  <c r="S132" i="4"/>
  <c r="T132" i="4" s="1"/>
  <c r="P132" i="4"/>
  <c r="Q132" i="4" s="1"/>
  <c r="L132" i="4"/>
  <c r="M132" i="4" s="1"/>
  <c r="N132" i="4"/>
  <c r="O132" i="4" s="1"/>
  <c r="S140" i="4"/>
  <c r="T140" i="4" s="1"/>
  <c r="P140" i="4"/>
  <c r="Q140" i="4" s="1"/>
  <c r="N140" i="4"/>
  <c r="O140" i="4" s="1"/>
  <c r="S148" i="4"/>
  <c r="T148" i="4" s="1"/>
  <c r="P148" i="4"/>
  <c r="Q148" i="4" s="1"/>
  <c r="L148" i="4"/>
  <c r="M148" i="4" s="1"/>
  <c r="N148" i="4"/>
  <c r="O148" i="4" s="1"/>
  <c r="S156" i="4"/>
  <c r="T156" i="4" s="1"/>
  <c r="P156" i="4"/>
  <c r="Q156" i="4" s="1"/>
  <c r="N156" i="4"/>
  <c r="O156" i="4" s="1"/>
  <c r="L156" i="4"/>
  <c r="M156" i="4" s="1"/>
  <c r="S164" i="4"/>
  <c r="T164" i="4" s="1"/>
  <c r="P164" i="4"/>
  <c r="Q164" i="4" s="1"/>
  <c r="L164" i="4"/>
  <c r="M164" i="4" s="1"/>
  <c r="N164" i="4"/>
  <c r="O164" i="4" s="1"/>
  <c r="S172" i="4"/>
  <c r="T172" i="4" s="1"/>
  <c r="P172" i="4"/>
  <c r="Q172" i="4" s="1"/>
  <c r="N172" i="4"/>
  <c r="O172" i="4" s="1"/>
  <c r="L172" i="4"/>
  <c r="M172" i="4" s="1"/>
  <c r="S180" i="4"/>
  <c r="T180" i="4" s="1"/>
  <c r="P180" i="4"/>
  <c r="Q180" i="4" s="1"/>
  <c r="L180" i="4"/>
  <c r="M180" i="4" s="1"/>
  <c r="S188" i="4"/>
  <c r="T188" i="4" s="1"/>
  <c r="P188" i="4"/>
  <c r="Q188" i="4" s="1"/>
  <c r="N188" i="4"/>
  <c r="O188" i="4" s="1"/>
  <c r="L188" i="4"/>
  <c r="M188" i="4" s="1"/>
  <c r="S196" i="4"/>
  <c r="T196" i="4" s="1"/>
  <c r="P196" i="4"/>
  <c r="Q196" i="4" s="1"/>
  <c r="L196" i="4"/>
  <c r="M196" i="4" s="1"/>
  <c r="N196" i="4"/>
  <c r="O196" i="4" s="1"/>
  <c r="S204" i="4"/>
  <c r="T204" i="4" s="1"/>
  <c r="P204" i="4"/>
  <c r="Q204" i="4" s="1"/>
  <c r="N204" i="4"/>
  <c r="O204" i="4" s="1"/>
  <c r="P212" i="4"/>
  <c r="Q212" i="4" s="1"/>
  <c r="S212" i="4"/>
  <c r="T212" i="4" s="1"/>
  <c r="L212" i="4"/>
  <c r="M212" i="4" s="1"/>
  <c r="N212" i="4"/>
  <c r="O212" i="4" s="1"/>
  <c r="S220" i="4"/>
  <c r="T220" i="4" s="1"/>
  <c r="P220" i="4"/>
  <c r="Q220" i="4" s="1"/>
  <c r="N220" i="4"/>
  <c r="O220" i="4" s="1"/>
  <c r="L220" i="4"/>
  <c r="M220" i="4" s="1"/>
  <c r="S228" i="4"/>
  <c r="T228" i="4" s="1"/>
  <c r="P228" i="4"/>
  <c r="Q228" i="4" s="1"/>
  <c r="L228" i="4"/>
  <c r="M228" i="4" s="1"/>
  <c r="N228" i="4"/>
  <c r="O228" i="4" s="1"/>
  <c r="S236" i="4"/>
  <c r="T236" i="4" s="1"/>
  <c r="P236" i="4"/>
  <c r="Q236" i="4" s="1"/>
  <c r="N236" i="4"/>
  <c r="O236" i="4" s="1"/>
  <c r="L236" i="4"/>
  <c r="M236" i="4" s="1"/>
  <c r="S244" i="4"/>
  <c r="T244" i="4" s="1"/>
  <c r="P244" i="4"/>
  <c r="Q244" i="4" s="1"/>
  <c r="L244" i="4"/>
  <c r="M244" i="4" s="1"/>
  <c r="P252" i="4"/>
  <c r="Q252" i="4" s="1"/>
  <c r="S252" i="4"/>
  <c r="T252" i="4" s="1"/>
  <c r="N252" i="4"/>
  <c r="O252" i="4" s="1"/>
  <c r="L252" i="4"/>
  <c r="M252" i="4" s="1"/>
  <c r="S260" i="4"/>
  <c r="T260" i="4" s="1"/>
  <c r="P260" i="4"/>
  <c r="Q260" i="4" s="1"/>
  <c r="L260" i="4"/>
  <c r="M260" i="4" s="1"/>
  <c r="N260" i="4"/>
  <c r="O260" i="4" s="1"/>
  <c r="S268" i="4"/>
  <c r="T268" i="4" s="1"/>
  <c r="P268" i="4"/>
  <c r="Q268" i="4" s="1"/>
  <c r="N268" i="4"/>
  <c r="O268" i="4" s="1"/>
  <c r="S276" i="4"/>
  <c r="T276" i="4" s="1"/>
  <c r="P276" i="4"/>
  <c r="Q276" i="4" s="1"/>
  <c r="L276" i="4"/>
  <c r="M276" i="4" s="1"/>
  <c r="N276" i="4"/>
  <c r="O276" i="4" s="1"/>
  <c r="S284" i="4"/>
  <c r="T284" i="4" s="1"/>
  <c r="P284" i="4"/>
  <c r="Q284" i="4" s="1"/>
  <c r="N284" i="4"/>
  <c r="O284" i="4" s="1"/>
  <c r="L284" i="4"/>
  <c r="M284" i="4" s="1"/>
  <c r="P292" i="4"/>
  <c r="Q292" i="4" s="1"/>
  <c r="L292" i="4"/>
  <c r="M292" i="4" s="1"/>
  <c r="S292" i="4"/>
  <c r="T292" i="4" s="1"/>
  <c r="N292" i="4"/>
  <c r="O292" i="4" s="1"/>
  <c r="S300" i="4"/>
  <c r="T300" i="4" s="1"/>
  <c r="P300" i="4"/>
  <c r="Q300" i="4" s="1"/>
  <c r="N300" i="4"/>
  <c r="O300" i="4" s="1"/>
  <c r="L300" i="4"/>
  <c r="M300" i="4" s="1"/>
  <c r="S308" i="4"/>
  <c r="T308" i="4" s="1"/>
  <c r="P308" i="4"/>
  <c r="Q308" i="4" s="1"/>
  <c r="L308" i="4"/>
  <c r="M308" i="4" s="1"/>
  <c r="S316" i="4"/>
  <c r="T316" i="4" s="1"/>
  <c r="P316" i="4"/>
  <c r="Q316" i="4" s="1"/>
  <c r="N316" i="4"/>
  <c r="O316" i="4" s="1"/>
  <c r="L316" i="4"/>
  <c r="M316" i="4" s="1"/>
  <c r="S324" i="4"/>
  <c r="T324" i="4" s="1"/>
  <c r="P324" i="4"/>
  <c r="Q324" i="4" s="1"/>
  <c r="L324" i="4"/>
  <c r="M324" i="4" s="1"/>
  <c r="N324" i="4"/>
  <c r="O324" i="4" s="1"/>
  <c r="S332" i="4"/>
  <c r="T332" i="4" s="1"/>
  <c r="P332" i="4"/>
  <c r="Q332" i="4" s="1"/>
  <c r="N332" i="4"/>
  <c r="O332" i="4" s="1"/>
  <c r="S340" i="4"/>
  <c r="T340" i="4" s="1"/>
  <c r="P340" i="4"/>
  <c r="Q340" i="4" s="1"/>
  <c r="L340" i="4"/>
  <c r="M340" i="4" s="1"/>
  <c r="N340" i="4"/>
  <c r="O340" i="4" s="1"/>
  <c r="P348" i="4"/>
  <c r="Q348" i="4" s="1"/>
  <c r="S348" i="4"/>
  <c r="T348" i="4" s="1"/>
  <c r="N348" i="4"/>
  <c r="O348" i="4" s="1"/>
  <c r="L348" i="4"/>
  <c r="M348" i="4" s="1"/>
  <c r="P356" i="4"/>
  <c r="Q356" i="4" s="1"/>
  <c r="S356" i="4"/>
  <c r="T356" i="4" s="1"/>
  <c r="N356" i="4"/>
  <c r="O356" i="4" s="1"/>
  <c r="L356" i="4"/>
  <c r="M356" i="4" s="1"/>
  <c r="S364" i="4"/>
  <c r="T364" i="4" s="1"/>
  <c r="P364" i="4"/>
  <c r="Q364" i="4" s="1"/>
  <c r="N364" i="4"/>
  <c r="O364" i="4" s="1"/>
  <c r="L364" i="4"/>
  <c r="M364" i="4" s="1"/>
  <c r="S372" i="4"/>
  <c r="T372" i="4" s="1"/>
  <c r="P372" i="4"/>
  <c r="Q372" i="4" s="1"/>
  <c r="N372" i="4"/>
  <c r="O372" i="4" s="1"/>
  <c r="L372" i="4"/>
  <c r="M372" i="4" s="1"/>
  <c r="P380" i="4"/>
  <c r="Q380" i="4" s="1"/>
  <c r="N380" i="4"/>
  <c r="O380" i="4" s="1"/>
  <c r="S380" i="4"/>
  <c r="T380" i="4" s="1"/>
  <c r="L380" i="4"/>
  <c r="M380" i="4" s="1"/>
  <c r="N388" i="4"/>
  <c r="O388" i="4" s="1"/>
  <c r="P388" i="4"/>
  <c r="Q388" i="4" s="1"/>
  <c r="S388" i="4"/>
  <c r="T388" i="4" s="1"/>
  <c r="L388" i="4"/>
  <c r="M388" i="4" s="1"/>
  <c r="S396" i="4"/>
  <c r="T396" i="4" s="1"/>
  <c r="P396" i="4"/>
  <c r="Q396" i="4" s="1"/>
  <c r="N396" i="4"/>
  <c r="O396" i="4" s="1"/>
  <c r="S404" i="4"/>
  <c r="P404" i="4"/>
  <c r="N404" i="4"/>
  <c r="L404" i="4"/>
  <c r="P412" i="4"/>
  <c r="Q412" i="4" s="1"/>
  <c r="N412" i="4"/>
  <c r="O412" i="4" s="1"/>
  <c r="S412" i="4"/>
  <c r="T412" i="4" s="1"/>
  <c r="L412" i="4"/>
  <c r="M412" i="4" s="1"/>
  <c r="P420" i="4"/>
  <c r="Q420" i="4" s="1"/>
  <c r="S420" i="4"/>
  <c r="T420" i="4" s="1"/>
  <c r="N420" i="4"/>
  <c r="O420" i="4" s="1"/>
  <c r="L420" i="4"/>
  <c r="M420" i="4" s="1"/>
  <c r="P428" i="4"/>
  <c r="Q428" i="4" s="1"/>
  <c r="S428" i="4"/>
  <c r="T428" i="4" s="1"/>
  <c r="N428" i="4"/>
  <c r="O428" i="4" s="1"/>
  <c r="L428" i="4"/>
  <c r="M428" i="4" s="1"/>
  <c r="S436" i="4"/>
  <c r="T436" i="4" s="1"/>
  <c r="P436" i="4"/>
  <c r="Q436" i="4" s="1"/>
  <c r="N436" i="4"/>
  <c r="O436" i="4" s="1"/>
  <c r="L436" i="4"/>
  <c r="M436" i="4" s="1"/>
  <c r="P444" i="4"/>
  <c r="Q444" i="4" s="1"/>
  <c r="S444" i="4"/>
  <c r="T444" i="4" s="1"/>
  <c r="N444" i="4"/>
  <c r="O444" i="4" s="1"/>
  <c r="L444" i="4"/>
  <c r="M444" i="4" s="1"/>
  <c r="P452" i="4"/>
  <c r="Q452" i="4" s="1"/>
  <c r="N452" i="4"/>
  <c r="O452" i="4" s="1"/>
  <c r="S452" i="4"/>
  <c r="T452" i="4" s="1"/>
  <c r="L452" i="4"/>
  <c r="M452" i="4" s="1"/>
  <c r="S460" i="4"/>
  <c r="T460" i="4" s="1"/>
  <c r="N460" i="4"/>
  <c r="O460" i="4" s="1"/>
  <c r="P460" i="4"/>
  <c r="Q460" i="4" s="1"/>
  <c r="S468" i="4"/>
  <c r="T468" i="4" s="1"/>
  <c r="N468" i="4"/>
  <c r="O468" i="4" s="1"/>
  <c r="P468" i="4"/>
  <c r="Q468" i="4" s="1"/>
  <c r="L468" i="4"/>
  <c r="M468" i="4" s="1"/>
  <c r="P476" i="4"/>
  <c r="Q476" i="4" s="1"/>
  <c r="N476" i="4"/>
  <c r="O476" i="4" s="1"/>
  <c r="S476" i="4"/>
  <c r="T476" i="4" s="1"/>
  <c r="L476" i="4"/>
  <c r="M476" i="4" s="1"/>
  <c r="N484" i="4"/>
  <c r="O484" i="4" s="1"/>
  <c r="S484" i="4"/>
  <c r="T484" i="4" s="1"/>
  <c r="P484" i="4"/>
  <c r="Q484" i="4" s="1"/>
  <c r="L484" i="4"/>
  <c r="M484" i="4" s="1"/>
  <c r="S492" i="4"/>
  <c r="T492" i="4" s="1"/>
  <c r="N492" i="4"/>
  <c r="O492" i="4" s="1"/>
  <c r="P492" i="4"/>
  <c r="Q492" i="4" s="1"/>
  <c r="L492" i="4"/>
  <c r="M492" i="4" s="1"/>
  <c r="S500" i="4"/>
  <c r="P500" i="4"/>
  <c r="N500" i="4"/>
  <c r="L500" i="4"/>
  <c r="S508" i="4"/>
  <c r="T508" i="4" s="1"/>
  <c r="N508" i="4"/>
  <c r="O508" i="4" s="1"/>
  <c r="P508" i="4"/>
  <c r="Q508" i="4" s="1"/>
  <c r="L508" i="4"/>
  <c r="M508" i="4" s="1"/>
  <c r="S516" i="4"/>
  <c r="T516" i="4" s="1"/>
  <c r="P516" i="4"/>
  <c r="Q516" i="4" s="1"/>
  <c r="N516" i="4"/>
  <c r="O516" i="4" s="1"/>
  <c r="L516" i="4"/>
  <c r="M516" i="4" s="1"/>
  <c r="S524" i="4"/>
  <c r="T524" i="4" s="1"/>
  <c r="N524" i="4"/>
  <c r="O524" i="4" s="1"/>
  <c r="P524" i="4"/>
  <c r="Q524" i="4" s="1"/>
  <c r="S532" i="4"/>
  <c r="T532" i="4" s="1"/>
  <c r="P532" i="4"/>
  <c r="Q532" i="4" s="1"/>
  <c r="N532" i="4"/>
  <c r="O532" i="4" s="1"/>
  <c r="L532" i="4"/>
  <c r="M532" i="4" s="1"/>
  <c r="L38" i="4"/>
  <c r="M38" i="4" s="1"/>
  <c r="L524" i="4"/>
  <c r="M524" i="4" s="1"/>
  <c r="P159" i="4"/>
  <c r="Q159" i="4" s="1"/>
  <c r="S23" i="4"/>
  <c r="T23" i="4" s="1"/>
  <c r="P23" i="4"/>
  <c r="Q23" i="4" s="1"/>
  <c r="L23" i="4"/>
  <c r="M23" i="4" s="1"/>
  <c r="N23" i="4"/>
  <c r="O23" i="4" s="1"/>
  <c r="S71" i="4"/>
  <c r="T71" i="4" s="1"/>
  <c r="P71" i="4"/>
  <c r="Q71" i="4" s="1"/>
  <c r="L71" i="4"/>
  <c r="M71" i="4" s="1"/>
  <c r="N71" i="4"/>
  <c r="O71" i="4" s="1"/>
  <c r="S143" i="4"/>
  <c r="T143" i="4" s="1"/>
  <c r="P143" i="4"/>
  <c r="Q143" i="4" s="1"/>
  <c r="N143" i="4"/>
  <c r="O143" i="4" s="1"/>
  <c r="L143" i="4"/>
  <c r="M143" i="4" s="1"/>
  <c r="S40" i="4"/>
  <c r="T40" i="4" s="1"/>
  <c r="N40" i="4"/>
  <c r="O40" i="4" s="1"/>
  <c r="P40" i="4"/>
  <c r="Q40" i="4" s="1"/>
  <c r="L40" i="4"/>
  <c r="M40" i="4" s="1"/>
  <c r="S72" i="4"/>
  <c r="T72" i="4" s="1"/>
  <c r="P72" i="4"/>
  <c r="Q72" i="4" s="1"/>
  <c r="N72" i="4"/>
  <c r="O72" i="4" s="1"/>
  <c r="L72" i="4"/>
  <c r="M72" i="4" s="1"/>
  <c r="S120" i="4"/>
  <c r="T120" i="4" s="1"/>
  <c r="P120" i="4"/>
  <c r="Q120" i="4" s="1"/>
  <c r="N120" i="4"/>
  <c r="O120" i="4" s="1"/>
  <c r="L120" i="4"/>
  <c r="M120" i="4" s="1"/>
  <c r="P152" i="4"/>
  <c r="Q152" i="4" s="1"/>
  <c r="S152" i="4"/>
  <c r="T152" i="4" s="1"/>
  <c r="N152" i="4"/>
  <c r="O152" i="4" s="1"/>
  <c r="L152" i="4"/>
  <c r="M152" i="4" s="1"/>
  <c r="S192" i="4"/>
  <c r="T192" i="4" s="1"/>
  <c r="P192" i="4"/>
  <c r="Q192" i="4" s="1"/>
  <c r="N192" i="4"/>
  <c r="O192" i="4" s="1"/>
  <c r="L192" i="4"/>
  <c r="M192" i="4" s="1"/>
  <c r="S216" i="4"/>
  <c r="T216" i="4" s="1"/>
  <c r="P216" i="4"/>
  <c r="Q216" i="4" s="1"/>
  <c r="N216" i="4"/>
  <c r="O216" i="4" s="1"/>
  <c r="L216" i="4"/>
  <c r="M216" i="4" s="1"/>
  <c r="S256" i="4"/>
  <c r="T256" i="4" s="1"/>
  <c r="P256" i="4"/>
  <c r="Q256" i="4" s="1"/>
  <c r="N256" i="4"/>
  <c r="O256" i="4" s="1"/>
  <c r="L256" i="4"/>
  <c r="M256" i="4" s="1"/>
  <c r="S288" i="4"/>
  <c r="T288" i="4" s="1"/>
  <c r="P288" i="4"/>
  <c r="Q288" i="4" s="1"/>
  <c r="N288" i="4"/>
  <c r="O288" i="4" s="1"/>
  <c r="L288" i="4"/>
  <c r="M288" i="4" s="1"/>
  <c r="S336" i="4"/>
  <c r="T336" i="4" s="1"/>
  <c r="P336" i="4"/>
  <c r="Q336" i="4" s="1"/>
  <c r="N336" i="4"/>
  <c r="O336" i="4" s="1"/>
  <c r="L336" i="4"/>
  <c r="M336" i="4" s="1"/>
  <c r="S376" i="4"/>
  <c r="T376" i="4" s="1"/>
  <c r="P376" i="4"/>
  <c r="Q376" i="4" s="1"/>
  <c r="N376" i="4"/>
  <c r="O376" i="4" s="1"/>
  <c r="L376" i="4"/>
  <c r="M376" i="4" s="1"/>
  <c r="S408" i="4"/>
  <c r="T408" i="4" s="1"/>
  <c r="P408" i="4"/>
  <c r="Q408" i="4" s="1"/>
  <c r="N408" i="4"/>
  <c r="O408" i="4" s="1"/>
  <c r="L408" i="4"/>
  <c r="M408" i="4" s="1"/>
  <c r="S440" i="4"/>
  <c r="T440" i="4" s="1"/>
  <c r="P440" i="4"/>
  <c r="Q440" i="4" s="1"/>
  <c r="N440" i="4"/>
  <c r="O440" i="4" s="1"/>
  <c r="L440" i="4"/>
  <c r="M440" i="4" s="1"/>
  <c r="S472" i="4"/>
  <c r="T472" i="4" s="1"/>
  <c r="P472" i="4"/>
  <c r="Q472" i="4" s="1"/>
  <c r="N472" i="4"/>
  <c r="O472" i="4" s="1"/>
  <c r="L472" i="4"/>
  <c r="M472" i="4" s="1"/>
  <c r="S496" i="4"/>
  <c r="P496" i="4"/>
  <c r="N496" i="4"/>
  <c r="L496" i="4"/>
  <c r="S520" i="4"/>
  <c r="T520" i="4" s="1"/>
  <c r="P520" i="4"/>
  <c r="Q520" i="4" s="1"/>
  <c r="N520" i="4"/>
  <c r="O520" i="4" s="1"/>
  <c r="L520" i="4"/>
  <c r="M520" i="4" s="1"/>
  <c r="S17" i="4"/>
  <c r="T17" i="4" s="1"/>
  <c r="P17" i="4"/>
  <c r="Q17" i="4" s="1"/>
  <c r="N17" i="4"/>
  <c r="O17" i="4" s="1"/>
  <c r="L17" i="4"/>
  <c r="M17" i="4" s="1"/>
  <c r="S65" i="4"/>
  <c r="T65" i="4" s="1"/>
  <c r="P65" i="4"/>
  <c r="Q65" i="4" s="1"/>
  <c r="N65" i="4"/>
  <c r="O65" i="4" s="1"/>
  <c r="L65" i="4"/>
  <c r="M65" i="4" s="1"/>
  <c r="S113" i="4"/>
  <c r="P113" i="4"/>
  <c r="N113" i="4"/>
  <c r="L113" i="4"/>
  <c r="S177" i="4"/>
  <c r="T177" i="4" s="1"/>
  <c r="P177" i="4"/>
  <c r="Q177" i="4" s="1"/>
  <c r="N177" i="4"/>
  <c r="O177" i="4" s="1"/>
  <c r="L177" i="4"/>
  <c r="M177" i="4" s="1"/>
  <c r="S34" i="4"/>
  <c r="T34" i="4" s="1"/>
  <c r="P34" i="4"/>
  <c r="Q34" i="4" s="1"/>
  <c r="N34" i="4"/>
  <c r="O34" i="4" s="1"/>
  <c r="L34" i="4"/>
  <c r="M34" i="4" s="1"/>
  <c r="S98" i="4"/>
  <c r="T98" i="4" s="1"/>
  <c r="P98" i="4"/>
  <c r="Q98" i="4" s="1"/>
  <c r="N98" i="4"/>
  <c r="O98" i="4" s="1"/>
  <c r="L98" i="4"/>
  <c r="M98" i="4" s="1"/>
  <c r="S146" i="4"/>
  <c r="T146" i="4" s="1"/>
  <c r="P146" i="4"/>
  <c r="Q146" i="4" s="1"/>
  <c r="N146" i="4"/>
  <c r="O146" i="4" s="1"/>
  <c r="L146" i="4"/>
  <c r="M146" i="4" s="1"/>
  <c r="S13" i="4"/>
  <c r="T13" i="4" s="1"/>
  <c r="P13" i="4"/>
  <c r="Q13" i="4" s="1"/>
  <c r="N13" i="4"/>
  <c r="O13" i="4" s="1"/>
  <c r="L13" i="4"/>
  <c r="M13" i="4" s="1"/>
  <c r="S29" i="4"/>
  <c r="T29" i="4" s="1"/>
  <c r="P29" i="4"/>
  <c r="Q29" i="4" s="1"/>
  <c r="N29" i="4"/>
  <c r="O29" i="4" s="1"/>
  <c r="L29" i="4"/>
  <c r="M29" i="4" s="1"/>
  <c r="S53" i="4"/>
  <c r="T53" i="4" s="1"/>
  <c r="P53" i="4"/>
  <c r="Q53" i="4" s="1"/>
  <c r="N53" i="4"/>
  <c r="O53" i="4" s="1"/>
  <c r="L53" i="4"/>
  <c r="M53" i="4" s="1"/>
  <c r="S69" i="4"/>
  <c r="T69" i="4" s="1"/>
  <c r="P69" i="4"/>
  <c r="Q69" i="4" s="1"/>
  <c r="N69" i="4"/>
  <c r="O69" i="4" s="1"/>
  <c r="L69" i="4"/>
  <c r="M69" i="4" s="1"/>
  <c r="S93" i="4"/>
  <c r="T93" i="4" s="1"/>
  <c r="N93" i="4"/>
  <c r="O93" i="4" s="1"/>
  <c r="L93" i="4"/>
  <c r="M93" i="4" s="1"/>
  <c r="P93" i="4"/>
  <c r="Q93" i="4" s="1"/>
  <c r="S109" i="4"/>
  <c r="T109" i="4" s="1"/>
  <c r="N109" i="4"/>
  <c r="O109" i="4" s="1"/>
  <c r="L109" i="4"/>
  <c r="M109" i="4" s="1"/>
  <c r="P109" i="4"/>
  <c r="Q109" i="4" s="1"/>
  <c r="S133" i="4"/>
  <c r="T133" i="4" s="1"/>
  <c r="P133" i="4"/>
  <c r="Q133" i="4" s="1"/>
  <c r="N133" i="4"/>
  <c r="O133" i="4" s="1"/>
  <c r="L133" i="4"/>
  <c r="M133" i="4" s="1"/>
  <c r="S149" i="4"/>
  <c r="T149" i="4" s="1"/>
  <c r="N149" i="4"/>
  <c r="O149" i="4" s="1"/>
  <c r="L149" i="4"/>
  <c r="M149" i="4" s="1"/>
  <c r="P149" i="4"/>
  <c r="Q149" i="4" s="1"/>
  <c r="S189" i="4"/>
  <c r="T189" i="4" s="1"/>
  <c r="P189" i="4"/>
  <c r="Q189" i="4" s="1"/>
  <c r="N189" i="4"/>
  <c r="O189" i="4" s="1"/>
  <c r="L189" i="4"/>
  <c r="M189" i="4" s="1"/>
  <c r="S361" i="4"/>
  <c r="T361" i="4" s="1"/>
  <c r="P361" i="4"/>
  <c r="Q361" i="4" s="1"/>
  <c r="L361" i="4"/>
  <c r="M361" i="4" s="1"/>
  <c r="N361" i="4"/>
  <c r="O361" i="4" s="1"/>
  <c r="S369" i="4"/>
  <c r="T369" i="4" s="1"/>
  <c r="P369" i="4"/>
  <c r="Q369" i="4" s="1"/>
  <c r="N369" i="4"/>
  <c r="O369" i="4" s="1"/>
  <c r="L369" i="4"/>
  <c r="M369" i="4" s="1"/>
  <c r="S377" i="4"/>
  <c r="T377" i="4" s="1"/>
  <c r="P377" i="4"/>
  <c r="Q377" i="4" s="1"/>
  <c r="L377" i="4"/>
  <c r="M377" i="4" s="1"/>
  <c r="N377" i="4"/>
  <c r="O377" i="4" s="1"/>
  <c r="S385" i="4"/>
  <c r="T385" i="4" s="1"/>
  <c r="P385" i="4"/>
  <c r="Q385" i="4" s="1"/>
  <c r="N385" i="4"/>
  <c r="O385" i="4" s="1"/>
  <c r="L385" i="4"/>
  <c r="M385" i="4" s="1"/>
  <c r="S393" i="4"/>
  <c r="T393" i="4" s="1"/>
  <c r="P393" i="4"/>
  <c r="Q393" i="4" s="1"/>
  <c r="L393" i="4"/>
  <c r="M393" i="4" s="1"/>
  <c r="N393" i="4"/>
  <c r="O393" i="4" s="1"/>
  <c r="S401" i="4"/>
  <c r="P401" i="4"/>
  <c r="N401" i="4"/>
  <c r="L401" i="4"/>
  <c r="S409" i="4"/>
  <c r="T409" i="4" s="1"/>
  <c r="P409" i="4"/>
  <c r="Q409" i="4" s="1"/>
  <c r="L409" i="4"/>
  <c r="M409" i="4" s="1"/>
  <c r="N409" i="4"/>
  <c r="O409" i="4" s="1"/>
  <c r="S417" i="4"/>
  <c r="T417" i="4" s="1"/>
  <c r="P417" i="4"/>
  <c r="Q417" i="4" s="1"/>
  <c r="N417" i="4"/>
  <c r="O417" i="4" s="1"/>
  <c r="L417" i="4"/>
  <c r="M417" i="4" s="1"/>
  <c r="S425" i="4"/>
  <c r="T425" i="4" s="1"/>
  <c r="P425" i="4"/>
  <c r="Q425" i="4" s="1"/>
  <c r="L425" i="4"/>
  <c r="M425" i="4" s="1"/>
  <c r="N425" i="4"/>
  <c r="O425" i="4" s="1"/>
  <c r="S433" i="4"/>
  <c r="T433" i="4" s="1"/>
  <c r="P433" i="4"/>
  <c r="Q433" i="4" s="1"/>
  <c r="N433" i="4"/>
  <c r="O433" i="4" s="1"/>
  <c r="L433" i="4"/>
  <c r="M433" i="4" s="1"/>
  <c r="S441" i="4"/>
  <c r="T441" i="4" s="1"/>
  <c r="P441" i="4"/>
  <c r="Q441" i="4" s="1"/>
  <c r="L441" i="4"/>
  <c r="M441" i="4" s="1"/>
  <c r="N441" i="4"/>
  <c r="O441" i="4" s="1"/>
  <c r="S449" i="4"/>
  <c r="T449" i="4" s="1"/>
  <c r="P449" i="4"/>
  <c r="Q449" i="4" s="1"/>
  <c r="N449" i="4"/>
  <c r="O449" i="4" s="1"/>
  <c r="L449" i="4"/>
  <c r="M449" i="4" s="1"/>
  <c r="S457" i="4"/>
  <c r="T457" i="4" s="1"/>
  <c r="P457" i="4"/>
  <c r="Q457" i="4" s="1"/>
  <c r="L457" i="4"/>
  <c r="M457" i="4" s="1"/>
  <c r="N457" i="4"/>
  <c r="O457" i="4" s="1"/>
  <c r="S465" i="4"/>
  <c r="T465" i="4" s="1"/>
  <c r="P465" i="4"/>
  <c r="Q465" i="4" s="1"/>
  <c r="N465" i="4"/>
  <c r="O465" i="4" s="1"/>
  <c r="L465" i="4"/>
  <c r="M465" i="4" s="1"/>
  <c r="S473" i="4"/>
  <c r="T473" i="4" s="1"/>
  <c r="P473" i="4"/>
  <c r="Q473" i="4" s="1"/>
  <c r="L473" i="4"/>
  <c r="M473" i="4" s="1"/>
  <c r="N473" i="4"/>
  <c r="O473" i="4" s="1"/>
  <c r="S481" i="4"/>
  <c r="T481" i="4" s="1"/>
  <c r="P481" i="4"/>
  <c r="Q481" i="4" s="1"/>
  <c r="N481" i="4"/>
  <c r="O481" i="4" s="1"/>
  <c r="L481" i="4"/>
  <c r="M481" i="4" s="1"/>
  <c r="S489" i="4"/>
  <c r="T489" i="4" s="1"/>
  <c r="P489" i="4"/>
  <c r="Q489" i="4" s="1"/>
  <c r="L489" i="4"/>
  <c r="M489" i="4" s="1"/>
  <c r="N489" i="4"/>
  <c r="O489" i="4" s="1"/>
  <c r="S497" i="4"/>
  <c r="P497" i="4"/>
  <c r="N497" i="4"/>
  <c r="L497" i="4"/>
  <c r="S505" i="4"/>
  <c r="T505" i="4" s="1"/>
  <c r="P505" i="4"/>
  <c r="Q505" i="4" s="1"/>
  <c r="L505" i="4"/>
  <c r="M505" i="4" s="1"/>
  <c r="N505" i="4"/>
  <c r="O505" i="4" s="1"/>
  <c r="S513" i="4"/>
  <c r="P513" i="4"/>
  <c r="N513" i="4"/>
  <c r="L513" i="4"/>
  <c r="S521" i="4"/>
  <c r="T521" i="4" s="1"/>
  <c r="P521" i="4"/>
  <c r="Q521" i="4" s="1"/>
  <c r="L521" i="4"/>
  <c r="M521" i="4" s="1"/>
  <c r="N521" i="4"/>
  <c r="O521" i="4" s="1"/>
  <c r="P529" i="4"/>
  <c r="Q529" i="4" s="1"/>
  <c r="S529" i="4"/>
  <c r="T529" i="4" s="1"/>
  <c r="N529" i="4"/>
  <c r="O529" i="4" s="1"/>
  <c r="L529" i="4"/>
  <c r="M529" i="4" s="1"/>
  <c r="P537" i="4"/>
  <c r="Q537" i="4" s="1"/>
  <c r="S537" i="4"/>
  <c r="T537" i="4" s="1"/>
  <c r="L537" i="4"/>
  <c r="M537" i="4" s="1"/>
  <c r="N537" i="4"/>
  <c r="O537" i="4" s="1"/>
  <c r="S347" i="4"/>
  <c r="T347" i="4" s="1"/>
  <c r="N347" i="4"/>
  <c r="O347" i="4" s="1"/>
  <c r="L347" i="4"/>
  <c r="M347" i="4" s="1"/>
  <c r="P347" i="4"/>
  <c r="Q347" i="4" s="1"/>
  <c r="S355" i="4"/>
  <c r="T355" i="4" s="1"/>
  <c r="P355" i="4"/>
  <c r="Q355" i="4" s="1"/>
  <c r="N355" i="4"/>
  <c r="O355" i="4" s="1"/>
  <c r="L355" i="4"/>
  <c r="M355" i="4" s="1"/>
  <c r="S363" i="4"/>
  <c r="T363" i="4" s="1"/>
  <c r="P363" i="4"/>
  <c r="Q363" i="4" s="1"/>
  <c r="N363" i="4"/>
  <c r="O363" i="4" s="1"/>
  <c r="L363" i="4"/>
  <c r="M363" i="4" s="1"/>
  <c r="S371" i="4"/>
  <c r="P371" i="4"/>
  <c r="N371" i="4"/>
  <c r="L371" i="4"/>
  <c r="S379" i="4"/>
  <c r="T379" i="4" s="1"/>
  <c r="P379" i="4"/>
  <c r="Q379" i="4" s="1"/>
  <c r="N379" i="4"/>
  <c r="O379" i="4" s="1"/>
  <c r="L379" i="4"/>
  <c r="M379" i="4" s="1"/>
  <c r="S387" i="4"/>
  <c r="T387" i="4" s="1"/>
  <c r="N387" i="4"/>
  <c r="O387" i="4" s="1"/>
  <c r="L387" i="4"/>
  <c r="M387" i="4" s="1"/>
  <c r="P387" i="4"/>
  <c r="Q387" i="4" s="1"/>
  <c r="S395" i="4"/>
  <c r="T395" i="4" s="1"/>
  <c r="P395" i="4"/>
  <c r="Q395" i="4" s="1"/>
  <c r="N395" i="4"/>
  <c r="O395" i="4" s="1"/>
  <c r="L395" i="4"/>
  <c r="M395" i="4" s="1"/>
  <c r="S403" i="4"/>
  <c r="T403" i="4" s="1"/>
  <c r="N403" i="4"/>
  <c r="O403" i="4" s="1"/>
  <c r="L403" i="4"/>
  <c r="M403" i="4" s="1"/>
  <c r="P403" i="4"/>
  <c r="Q403" i="4" s="1"/>
  <c r="S411" i="4"/>
  <c r="T411" i="4" s="1"/>
  <c r="P411" i="4"/>
  <c r="Q411" i="4" s="1"/>
  <c r="N411" i="4"/>
  <c r="O411" i="4" s="1"/>
  <c r="L411" i="4"/>
  <c r="M411" i="4" s="1"/>
  <c r="S419" i="4"/>
  <c r="T419" i="4" s="1"/>
  <c r="P419" i="4"/>
  <c r="Q419" i="4" s="1"/>
  <c r="N419" i="4"/>
  <c r="O419" i="4" s="1"/>
  <c r="L419" i="4"/>
  <c r="M419" i="4" s="1"/>
  <c r="S427" i="4"/>
  <c r="T427" i="4" s="1"/>
  <c r="P427" i="4"/>
  <c r="Q427" i="4" s="1"/>
  <c r="N427" i="4"/>
  <c r="O427" i="4" s="1"/>
  <c r="L427" i="4"/>
  <c r="M427" i="4" s="1"/>
  <c r="S435" i="4"/>
  <c r="T435" i="4" s="1"/>
  <c r="P435" i="4"/>
  <c r="Q435" i="4" s="1"/>
  <c r="N435" i="4"/>
  <c r="O435" i="4" s="1"/>
  <c r="L435" i="4"/>
  <c r="M435" i="4" s="1"/>
  <c r="S443" i="4"/>
  <c r="T443" i="4" s="1"/>
  <c r="P443" i="4"/>
  <c r="Q443" i="4" s="1"/>
  <c r="N443" i="4"/>
  <c r="O443" i="4" s="1"/>
  <c r="L443" i="4"/>
  <c r="M443" i="4" s="1"/>
  <c r="S451" i="4"/>
  <c r="T451" i="4" s="1"/>
  <c r="P451" i="4"/>
  <c r="Q451" i="4" s="1"/>
  <c r="N451" i="4"/>
  <c r="O451" i="4" s="1"/>
  <c r="L451" i="4"/>
  <c r="M451" i="4" s="1"/>
  <c r="S459" i="4"/>
  <c r="T459" i="4" s="1"/>
  <c r="P459" i="4"/>
  <c r="Q459" i="4" s="1"/>
  <c r="N459" i="4"/>
  <c r="O459" i="4" s="1"/>
  <c r="L459" i="4"/>
  <c r="M459" i="4" s="1"/>
  <c r="S467" i="4"/>
  <c r="T467" i="4" s="1"/>
  <c r="P467" i="4"/>
  <c r="Q467" i="4" s="1"/>
  <c r="N467" i="4"/>
  <c r="O467" i="4" s="1"/>
  <c r="L467" i="4"/>
  <c r="M467" i="4" s="1"/>
  <c r="S475" i="4"/>
  <c r="T475" i="4" s="1"/>
  <c r="P475" i="4"/>
  <c r="Q475" i="4" s="1"/>
  <c r="N475" i="4"/>
  <c r="O475" i="4" s="1"/>
  <c r="L475" i="4"/>
  <c r="M475" i="4" s="1"/>
  <c r="S483" i="4"/>
  <c r="T483" i="4" s="1"/>
  <c r="P483" i="4"/>
  <c r="Q483" i="4" s="1"/>
  <c r="N483" i="4"/>
  <c r="O483" i="4" s="1"/>
  <c r="L483" i="4"/>
  <c r="M483" i="4" s="1"/>
  <c r="S491" i="4"/>
  <c r="T491" i="4" s="1"/>
  <c r="P491" i="4"/>
  <c r="Q491" i="4" s="1"/>
  <c r="N491" i="4"/>
  <c r="O491" i="4" s="1"/>
  <c r="L491" i="4"/>
  <c r="M491" i="4" s="1"/>
  <c r="S499" i="4"/>
  <c r="P499" i="4"/>
  <c r="N499" i="4"/>
  <c r="L499" i="4"/>
  <c r="S507" i="4"/>
  <c r="T507" i="4" s="1"/>
  <c r="P507" i="4"/>
  <c r="Q507" i="4" s="1"/>
  <c r="N507" i="4"/>
  <c r="O507" i="4" s="1"/>
  <c r="L507" i="4"/>
  <c r="M507" i="4" s="1"/>
  <c r="S515" i="4"/>
  <c r="T515" i="4" s="1"/>
  <c r="P515" i="4"/>
  <c r="Q515" i="4" s="1"/>
  <c r="N515" i="4"/>
  <c r="O515" i="4" s="1"/>
  <c r="L515" i="4"/>
  <c r="M515" i="4" s="1"/>
  <c r="S523" i="4"/>
  <c r="T523" i="4" s="1"/>
  <c r="P523" i="4"/>
  <c r="Q523" i="4" s="1"/>
  <c r="N523" i="4"/>
  <c r="O523" i="4" s="1"/>
  <c r="L523" i="4"/>
  <c r="M523" i="4" s="1"/>
  <c r="S531" i="4"/>
  <c r="T531" i="4" s="1"/>
  <c r="N531" i="4"/>
  <c r="O531" i="4" s="1"/>
  <c r="L531" i="4"/>
  <c r="M531" i="4" s="1"/>
  <c r="P531" i="4"/>
  <c r="Q531" i="4" s="1"/>
  <c r="S539" i="4"/>
  <c r="T539" i="4" s="1"/>
  <c r="N539" i="4"/>
  <c r="O539" i="4" s="1"/>
  <c r="L539" i="4"/>
  <c r="M539" i="4" s="1"/>
  <c r="P539" i="4"/>
  <c r="Q539" i="4" s="1"/>
  <c r="L399" i="4"/>
  <c r="M399" i="4" s="1"/>
  <c r="L527" i="4"/>
  <c r="M527" i="4" s="1"/>
  <c r="S381" i="4"/>
  <c r="T381" i="4" s="1"/>
  <c r="N381" i="4"/>
  <c r="O381" i="4" s="1"/>
  <c r="L381" i="4"/>
  <c r="M381" i="4" s="1"/>
  <c r="S389" i="4"/>
  <c r="T389" i="4" s="1"/>
  <c r="N389" i="4"/>
  <c r="O389" i="4" s="1"/>
  <c r="L389" i="4"/>
  <c r="M389" i="4" s="1"/>
  <c r="P389" i="4"/>
  <c r="Q389" i="4" s="1"/>
  <c r="S397" i="4"/>
  <c r="T397" i="4" s="1"/>
  <c r="P397" i="4"/>
  <c r="Q397" i="4" s="1"/>
  <c r="N397" i="4"/>
  <c r="O397" i="4" s="1"/>
  <c r="L397" i="4"/>
  <c r="M397" i="4" s="1"/>
  <c r="P405" i="4"/>
  <c r="Q405" i="4" s="1"/>
  <c r="N405" i="4"/>
  <c r="O405" i="4" s="1"/>
  <c r="L405" i="4"/>
  <c r="M405" i="4" s="1"/>
  <c r="S405" i="4"/>
  <c r="T405" i="4" s="1"/>
  <c r="P413" i="4"/>
  <c r="Q413" i="4" s="1"/>
  <c r="S413" i="4"/>
  <c r="T413" i="4" s="1"/>
  <c r="N413" i="4"/>
  <c r="O413" i="4" s="1"/>
  <c r="L413" i="4"/>
  <c r="M413" i="4" s="1"/>
  <c r="P421" i="4"/>
  <c r="Q421" i="4" s="1"/>
  <c r="S421" i="4"/>
  <c r="T421" i="4" s="1"/>
  <c r="N421" i="4"/>
  <c r="O421" i="4" s="1"/>
  <c r="L421" i="4"/>
  <c r="M421" i="4" s="1"/>
  <c r="P429" i="4"/>
  <c r="Q429" i="4" s="1"/>
  <c r="S429" i="4"/>
  <c r="T429" i="4" s="1"/>
  <c r="N429" i="4"/>
  <c r="O429" i="4" s="1"/>
  <c r="L429" i="4"/>
  <c r="M429" i="4" s="1"/>
  <c r="P437" i="4"/>
  <c r="Q437" i="4" s="1"/>
  <c r="S437" i="4"/>
  <c r="T437" i="4" s="1"/>
  <c r="N437" i="4"/>
  <c r="O437" i="4" s="1"/>
  <c r="L437" i="4"/>
  <c r="M437" i="4" s="1"/>
  <c r="S445" i="4"/>
  <c r="T445" i="4" s="1"/>
  <c r="N445" i="4"/>
  <c r="O445" i="4" s="1"/>
  <c r="L445" i="4"/>
  <c r="M445" i="4" s="1"/>
  <c r="P445" i="4"/>
  <c r="Q445" i="4" s="1"/>
  <c r="S453" i="4"/>
  <c r="T453" i="4" s="1"/>
  <c r="P453" i="4"/>
  <c r="Q453" i="4" s="1"/>
  <c r="N453" i="4"/>
  <c r="O453" i="4" s="1"/>
  <c r="L453" i="4"/>
  <c r="M453" i="4" s="1"/>
  <c r="S461" i="4"/>
  <c r="T461" i="4" s="1"/>
  <c r="N461" i="4"/>
  <c r="O461" i="4" s="1"/>
  <c r="L461" i="4"/>
  <c r="M461" i="4" s="1"/>
  <c r="P461" i="4"/>
  <c r="Q461" i="4" s="1"/>
  <c r="N469" i="4"/>
  <c r="O469" i="4" s="1"/>
  <c r="L469" i="4"/>
  <c r="M469" i="4" s="1"/>
  <c r="P469" i="4"/>
  <c r="Q469" i="4" s="1"/>
  <c r="S469" i="4"/>
  <c r="T469" i="4" s="1"/>
  <c r="S477" i="4"/>
  <c r="T477" i="4" s="1"/>
  <c r="P477" i="4"/>
  <c r="Q477" i="4" s="1"/>
  <c r="N477" i="4"/>
  <c r="O477" i="4" s="1"/>
  <c r="L477" i="4"/>
  <c r="M477" i="4" s="1"/>
  <c r="S485" i="4"/>
  <c r="T485" i="4" s="1"/>
  <c r="N485" i="4"/>
  <c r="O485" i="4" s="1"/>
  <c r="L485" i="4"/>
  <c r="M485" i="4" s="1"/>
  <c r="P485" i="4"/>
  <c r="Q485" i="4" s="1"/>
  <c r="S493" i="4"/>
  <c r="T493" i="4" s="1"/>
  <c r="N493" i="4"/>
  <c r="O493" i="4" s="1"/>
  <c r="L493" i="4"/>
  <c r="M493" i="4" s="1"/>
  <c r="P493" i="4"/>
  <c r="Q493" i="4" s="1"/>
  <c r="N501" i="4"/>
  <c r="L501" i="4"/>
  <c r="S501" i="4"/>
  <c r="P501" i="4"/>
  <c r="S509" i="4"/>
  <c r="T509" i="4" s="1"/>
  <c r="N509" i="4"/>
  <c r="O509" i="4" s="1"/>
  <c r="L509" i="4"/>
  <c r="M509" i="4" s="1"/>
  <c r="P509" i="4"/>
  <c r="Q509" i="4" s="1"/>
  <c r="S517" i="4"/>
  <c r="T517" i="4" s="1"/>
  <c r="P517" i="4"/>
  <c r="Q517" i="4" s="1"/>
  <c r="N517" i="4"/>
  <c r="O517" i="4" s="1"/>
  <c r="L517" i="4"/>
  <c r="M517" i="4" s="1"/>
  <c r="P525" i="4"/>
  <c r="Q525" i="4" s="1"/>
  <c r="S525" i="4"/>
  <c r="T525" i="4" s="1"/>
  <c r="N525" i="4"/>
  <c r="O525" i="4" s="1"/>
  <c r="L525" i="4"/>
  <c r="M525" i="4" s="1"/>
  <c r="P533" i="4"/>
  <c r="Q533" i="4" s="1"/>
  <c r="S533" i="4"/>
  <c r="T533" i="4" s="1"/>
  <c r="N533" i="4"/>
  <c r="O533" i="4" s="1"/>
  <c r="L533" i="4"/>
  <c r="M533" i="4" s="1"/>
  <c r="S358" i="4"/>
  <c r="T358" i="4" s="1"/>
  <c r="P358" i="4"/>
  <c r="Q358" i="4" s="1"/>
  <c r="N358" i="4"/>
  <c r="O358" i="4" s="1"/>
  <c r="L358" i="4"/>
  <c r="M358" i="4" s="1"/>
  <c r="S366" i="4"/>
  <c r="T366" i="4" s="1"/>
  <c r="N366" i="4"/>
  <c r="O366" i="4" s="1"/>
  <c r="P366" i="4"/>
  <c r="Q366" i="4" s="1"/>
  <c r="L366" i="4"/>
  <c r="M366" i="4" s="1"/>
  <c r="S374" i="4"/>
  <c r="T374" i="4" s="1"/>
  <c r="N374" i="4"/>
  <c r="O374" i="4" s="1"/>
  <c r="P374" i="4"/>
  <c r="Q374" i="4" s="1"/>
  <c r="L374" i="4"/>
  <c r="M374" i="4" s="1"/>
  <c r="S382" i="4"/>
  <c r="T382" i="4" s="1"/>
  <c r="P382" i="4"/>
  <c r="Q382" i="4" s="1"/>
  <c r="N382" i="4"/>
  <c r="O382" i="4" s="1"/>
  <c r="L382" i="4"/>
  <c r="M382" i="4" s="1"/>
  <c r="S390" i="4"/>
  <c r="T390" i="4" s="1"/>
  <c r="P390" i="4"/>
  <c r="Q390" i="4" s="1"/>
  <c r="N390" i="4"/>
  <c r="O390" i="4" s="1"/>
  <c r="L390" i="4"/>
  <c r="M390" i="4" s="1"/>
  <c r="S398" i="4"/>
  <c r="T398" i="4" s="1"/>
  <c r="P398" i="4"/>
  <c r="Q398" i="4" s="1"/>
  <c r="N398" i="4"/>
  <c r="O398" i="4" s="1"/>
  <c r="L398" i="4"/>
  <c r="M398" i="4" s="1"/>
  <c r="S406" i="4"/>
  <c r="T406" i="4" s="1"/>
  <c r="P406" i="4"/>
  <c r="Q406" i="4" s="1"/>
  <c r="N406" i="4"/>
  <c r="O406" i="4" s="1"/>
  <c r="L406" i="4"/>
  <c r="M406" i="4" s="1"/>
  <c r="S414" i="4"/>
  <c r="T414" i="4" s="1"/>
  <c r="P414" i="4"/>
  <c r="Q414" i="4" s="1"/>
  <c r="N414" i="4"/>
  <c r="O414" i="4" s="1"/>
  <c r="L414" i="4"/>
  <c r="M414" i="4" s="1"/>
  <c r="S422" i="4"/>
  <c r="T422" i="4" s="1"/>
  <c r="N422" i="4"/>
  <c r="O422" i="4" s="1"/>
  <c r="P422" i="4"/>
  <c r="Q422" i="4" s="1"/>
  <c r="L422" i="4"/>
  <c r="M422" i="4" s="1"/>
  <c r="S430" i="4"/>
  <c r="T430" i="4" s="1"/>
  <c r="N430" i="4"/>
  <c r="O430" i="4" s="1"/>
  <c r="P430" i="4"/>
  <c r="Q430" i="4" s="1"/>
  <c r="L430" i="4"/>
  <c r="M430" i="4" s="1"/>
  <c r="S438" i="4"/>
  <c r="T438" i="4" s="1"/>
  <c r="N438" i="4"/>
  <c r="O438" i="4" s="1"/>
  <c r="L438" i="4"/>
  <c r="M438" i="4" s="1"/>
  <c r="S446" i="4"/>
  <c r="T446" i="4" s="1"/>
  <c r="P446" i="4"/>
  <c r="Q446" i="4" s="1"/>
  <c r="N446" i="4"/>
  <c r="O446" i="4" s="1"/>
  <c r="L446" i="4"/>
  <c r="M446" i="4" s="1"/>
  <c r="S454" i="4"/>
  <c r="T454" i="4" s="1"/>
  <c r="P454" i="4"/>
  <c r="Q454" i="4" s="1"/>
  <c r="N454" i="4"/>
  <c r="O454" i="4" s="1"/>
  <c r="L454" i="4"/>
  <c r="M454" i="4" s="1"/>
  <c r="S462" i="4"/>
  <c r="T462" i="4" s="1"/>
  <c r="P462" i="4"/>
  <c r="Q462" i="4" s="1"/>
  <c r="N462" i="4"/>
  <c r="O462" i="4" s="1"/>
  <c r="L462" i="4"/>
  <c r="M462" i="4" s="1"/>
  <c r="S470" i="4"/>
  <c r="T470" i="4" s="1"/>
  <c r="P470" i="4"/>
  <c r="Q470" i="4" s="1"/>
  <c r="N470" i="4"/>
  <c r="O470" i="4" s="1"/>
  <c r="L470" i="4"/>
  <c r="M470" i="4" s="1"/>
  <c r="S478" i="4"/>
  <c r="T478" i="4" s="1"/>
  <c r="P478" i="4"/>
  <c r="Q478" i="4" s="1"/>
  <c r="N478" i="4"/>
  <c r="O478" i="4" s="1"/>
  <c r="L478" i="4"/>
  <c r="M478" i="4" s="1"/>
  <c r="S486" i="4"/>
  <c r="T486" i="4" s="1"/>
  <c r="P486" i="4"/>
  <c r="Q486" i="4" s="1"/>
  <c r="N486" i="4"/>
  <c r="O486" i="4" s="1"/>
  <c r="L486" i="4"/>
  <c r="M486" i="4" s="1"/>
  <c r="S494" i="4"/>
  <c r="T494" i="4" s="1"/>
  <c r="P494" i="4"/>
  <c r="Q494" i="4" s="1"/>
  <c r="N494" i="4"/>
  <c r="O494" i="4" s="1"/>
  <c r="L494" i="4"/>
  <c r="M494" i="4" s="1"/>
  <c r="S502" i="4"/>
  <c r="T502" i="4" s="1"/>
  <c r="P502" i="4"/>
  <c r="Q502" i="4" s="1"/>
  <c r="N502" i="4"/>
  <c r="O502" i="4" s="1"/>
  <c r="L502" i="4"/>
  <c r="M502" i="4" s="1"/>
  <c r="S510" i="4"/>
  <c r="P510" i="4"/>
  <c r="N510" i="4"/>
  <c r="L510" i="4"/>
  <c r="S518" i="4"/>
  <c r="T518" i="4" s="1"/>
  <c r="P518" i="4"/>
  <c r="Q518" i="4" s="1"/>
  <c r="N518" i="4"/>
  <c r="O518" i="4" s="1"/>
  <c r="L518" i="4"/>
  <c r="M518" i="4" s="1"/>
  <c r="P526" i="4"/>
  <c r="Q526" i="4" s="1"/>
  <c r="S526" i="4"/>
  <c r="T526" i="4" s="1"/>
  <c r="N526" i="4"/>
  <c r="O526" i="4" s="1"/>
  <c r="L526" i="4"/>
  <c r="M526" i="4" s="1"/>
  <c r="P534" i="4"/>
  <c r="Q534" i="4" s="1"/>
  <c r="S534" i="4"/>
  <c r="T534" i="4" s="1"/>
  <c r="N534" i="4"/>
  <c r="O534" i="4" s="1"/>
  <c r="L534" i="4"/>
  <c r="M534" i="4" s="1"/>
  <c r="S343" i="4"/>
  <c r="T343" i="4" s="1"/>
  <c r="P343" i="4"/>
  <c r="Q343" i="4" s="1"/>
  <c r="L343" i="4"/>
  <c r="M343" i="4" s="1"/>
  <c r="S351" i="4"/>
  <c r="T351" i="4" s="1"/>
  <c r="P351" i="4"/>
  <c r="Q351" i="4" s="1"/>
  <c r="N351" i="4"/>
  <c r="O351" i="4" s="1"/>
  <c r="S359" i="4"/>
  <c r="T359" i="4" s="1"/>
  <c r="P359" i="4"/>
  <c r="Q359" i="4" s="1"/>
  <c r="L359" i="4"/>
  <c r="M359" i="4" s="1"/>
  <c r="S367" i="4"/>
  <c r="T367" i="4" s="1"/>
  <c r="P367" i="4"/>
  <c r="Q367" i="4" s="1"/>
  <c r="S375" i="4"/>
  <c r="T375" i="4" s="1"/>
  <c r="P375" i="4"/>
  <c r="Q375" i="4" s="1"/>
  <c r="L375" i="4"/>
  <c r="M375" i="4" s="1"/>
  <c r="N375" i="4"/>
  <c r="O375" i="4" s="1"/>
  <c r="S383" i="4"/>
  <c r="T383" i="4" s="1"/>
  <c r="P383" i="4"/>
  <c r="Q383" i="4" s="1"/>
  <c r="N383" i="4"/>
  <c r="O383" i="4" s="1"/>
  <c r="S391" i="4"/>
  <c r="T391" i="4" s="1"/>
  <c r="P391" i="4"/>
  <c r="Q391" i="4" s="1"/>
  <c r="L391" i="4"/>
  <c r="M391" i="4" s="1"/>
  <c r="S399" i="4"/>
  <c r="T399" i="4" s="1"/>
  <c r="P399" i="4"/>
  <c r="Q399" i="4" s="1"/>
  <c r="S407" i="4"/>
  <c r="T407" i="4" s="1"/>
  <c r="P407" i="4"/>
  <c r="Q407" i="4" s="1"/>
  <c r="L407" i="4"/>
  <c r="M407" i="4" s="1"/>
  <c r="N407" i="4"/>
  <c r="O407" i="4" s="1"/>
  <c r="S415" i="4"/>
  <c r="P415" i="4"/>
  <c r="N415" i="4"/>
  <c r="S423" i="4"/>
  <c r="T423" i="4" s="1"/>
  <c r="P423" i="4"/>
  <c r="Q423" i="4" s="1"/>
  <c r="L423" i="4"/>
  <c r="M423" i="4" s="1"/>
  <c r="S431" i="4"/>
  <c r="T431" i="4" s="1"/>
  <c r="P431" i="4"/>
  <c r="Q431" i="4" s="1"/>
  <c r="S439" i="4"/>
  <c r="T439" i="4" s="1"/>
  <c r="P439" i="4"/>
  <c r="Q439" i="4" s="1"/>
  <c r="L439" i="4"/>
  <c r="M439" i="4" s="1"/>
  <c r="N439" i="4"/>
  <c r="O439" i="4" s="1"/>
  <c r="S447" i="4"/>
  <c r="T447" i="4" s="1"/>
  <c r="P447" i="4"/>
  <c r="Q447" i="4" s="1"/>
  <c r="N447" i="4"/>
  <c r="O447" i="4" s="1"/>
  <c r="S455" i="4"/>
  <c r="T455" i="4" s="1"/>
  <c r="P455" i="4"/>
  <c r="Q455" i="4" s="1"/>
  <c r="L455" i="4"/>
  <c r="M455" i="4" s="1"/>
  <c r="S463" i="4"/>
  <c r="T463" i="4" s="1"/>
  <c r="P463" i="4"/>
  <c r="Q463" i="4" s="1"/>
  <c r="S471" i="4"/>
  <c r="T471" i="4" s="1"/>
  <c r="P471" i="4"/>
  <c r="Q471" i="4" s="1"/>
  <c r="L471" i="4"/>
  <c r="M471" i="4" s="1"/>
  <c r="N471" i="4"/>
  <c r="O471" i="4" s="1"/>
  <c r="S479" i="4"/>
  <c r="T479" i="4" s="1"/>
  <c r="N479" i="4"/>
  <c r="O479" i="4" s="1"/>
  <c r="P479" i="4"/>
  <c r="Q479" i="4" s="1"/>
  <c r="S487" i="4"/>
  <c r="T487" i="4" s="1"/>
  <c r="P487" i="4"/>
  <c r="Q487" i="4" s="1"/>
  <c r="L487" i="4"/>
  <c r="M487" i="4" s="1"/>
  <c r="S495" i="4"/>
  <c r="T495" i="4" s="1"/>
  <c r="P495" i="4"/>
  <c r="Q495" i="4" s="1"/>
  <c r="S503" i="4"/>
  <c r="T503" i="4" s="1"/>
  <c r="P503" i="4"/>
  <c r="Q503" i="4" s="1"/>
  <c r="L503" i="4"/>
  <c r="M503" i="4" s="1"/>
  <c r="N503" i="4"/>
  <c r="O503" i="4" s="1"/>
  <c r="S511" i="4"/>
  <c r="P511" i="4"/>
  <c r="N511" i="4"/>
  <c r="S519" i="4"/>
  <c r="T519" i="4" s="1"/>
  <c r="P519" i="4"/>
  <c r="Q519" i="4" s="1"/>
  <c r="L519" i="4"/>
  <c r="M519" i="4" s="1"/>
  <c r="P527" i="4"/>
  <c r="Q527" i="4" s="1"/>
  <c r="S527" i="4"/>
  <c r="T527" i="4" s="1"/>
  <c r="P535" i="4"/>
  <c r="Q535" i="4" s="1"/>
  <c r="S535" i="4"/>
  <c r="T535" i="4" s="1"/>
  <c r="L535" i="4"/>
  <c r="M535" i="4" s="1"/>
  <c r="N535" i="4"/>
  <c r="O535" i="4" s="1"/>
  <c r="L367" i="4"/>
  <c r="M367" i="4" s="1"/>
  <c r="L431" i="4"/>
  <c r="M431" i="4" s="1"/>
  <c r="L495" i="4"/>
  <c r="M495" i="4" s="1"/>
  <c r="N343" i="4"/>
  <c r="O343" i="4" s="1"/>
  <c r="N463" i="4"/>
  <c r="O463" i="4" s="1"/>
  <c r="G161" i="13" l="1"/>
  <c r="G22" i="13"/>
  <c r="G92" i="13"/>
  <c r="H72" i="13"/>
  <c r="H71" i="13" s="1"/>
  <c r="I71" i="13" s="1"/>
  <c r="G71" i="13"/>
  <c r="H162" i="13"/>
  <c r="H23" i="13"/>
  <c r="H22" i="13" s="1"/>
  <c r="H93" i="13"/>
  <c r="H92" i="13" s="1"/>
  <c r="G156" i="12"/>
  <c r="H157" i="12"/>
  <c r="H156" i="12" s="1"/>
  <c r="I156" i="12" s="1"/>
  <c r="H88" i="12"/>
  <c r="H87" i="12" s="1"/>
  <c r="I87" i="12" s="1"/>
  <c r="G87" i="12"/>
  <c r="H67" i="12"/>
  <c r="H66" i="12" s="1"/>
  <c r="G66" i="12"/>
  <c r="H18" i="12"/>
  <c r="H17" i="12" s="1"/>
  <c r="G17" i="12"/>
  <c r="H66" i="11"/>
  <c r="G66" i="11"/>
  <c r="H87" i="11"/>
  <c r="G87" i="11"/>
  <c r="H156" i="11"/>
  <c r="G156" i="11"/>
  <c r="G17" i="11"/>
  <c r="H161" i="13" l="1"/>
  <c r="I161" i="13" s="1"/>
  <c r="I22" i="13"/>
  <c r="I66" i="12"/>
  <c r="I17" i="12"/>
  <c r="H225" i="12"/>
  <c r="H225" i="11"/>
  <c r="H17" i="11"/>
  <c r="I18" i="11"/>
  <c r="H230" i="13" l="1"/>
  <c r="I230" i="13" s="1"/>
  <c r="I92" i="13"/>
  <c r="H16" i="12"/>
  <c r="H5" i="12" s="1"/>
  <c r="I225" i="12"/>
  <c r="G225" i="12"/>
  <c r="G16" i="12" s="1"/>
  <c r="G5" i="12" s="1"/>
  <c r="G6" i="12" s="1"/>
  <c r="I225" i="11"/>
  <c r="G225" i="11"/>
  <c r="G16" i="11" s="1"/>
  <c r="H16" i="11"/>
  <c r="G230" i="13" l="1"/>
  <c r="G21" i="13" s="1"/>
  <c r="H21" i="13"/>
  <c r="H6" i="12"/>
  <c r="CE6" i="15" l="1"/>
  <c r="CF6" i="15" l="1"/>
  <c r="CG6" i="15" l="1"/>
  <c r="CH6" i="15" l="1"/>
  <c r="CI6" i="15" l="1"/>
  <c r="CJ6" i="15" l="1"/>
  <c r="CK6" i="15" l="1"/>
  <c r="CL6" i="15" l="1"/>
  <c r="CM6" i="15" l="1"/>
  <c r="CN6" i="15" l="1"/>
  <c r="CO6" i="15" l="1"/>
  <c r="CP6" i="15" l="1"/>
  <c r="CQ6" i="15" l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LISTA - Setembro2024!$A$3:$Z$539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LISTASetembro2024A3Z5391"/>
        </x15:connection>
      </ext>
    </extLst>
  </connection>
</connections>
</file>

<file path=xl/sharedStrings.xml><?xml version="1.0" encoding="utf-8"?>
<sst xmlns="http://schemas.openxmlformats.org/spreadsheetml/2006/main" count="20011" uniqueCount="1812">
  <si>
    <t>ID Data field / Field order</t>
  </si>
  <si>
    <t>Table</t>
  </si>
  <si>
    <t>Data field</t>
  </si>
  <si>
    <t>Field name</t>
  </si>
  <si>
    <t>Structural 
ECB Loan Tape</t>
  </si>
  <si>
    <t>Green 
Dashboard</t>
  </si>
  <si>
    <t>Pillar III ESG</t>
  </si>
  <si>
    <t>ESG Risks</t>
  </si>
  <si>
    <t>SCIB GLOBAL FIELD</t>
  </si>
  <si>
    <t>EN.001</t>
  </si>
  <si>
    <t>ENTITY</t>
  </si>
  <si>
    <t>N</t>
  </si>
  <si>
    <t>COD_SOC</t>
  </si>
  <si>
    <t>Y</t>
  </si>
  <si>
    <t>Entity code of the informing society.</t>
  </si>
  <si>
    <t>-</t>
  </si>
  <si>
    <t>EN.002</t>
  </si>
  <si>
    <t>CNTRY</t>
  </si>
  <si>
    <t>Country of counterparty residence</t>
  </si>
  <si>
    <t>EN.003</t>
  </si>
  <si>
    <t>DT_BRTH</t>
  </si>
  <si>
    <t>Birth date counterparty</t>
  </si>
  <si>
    <t>EN.004</t>
  </si>
  <si>
    <t>DT_DFLT_STTS</t>
  </si>
  <si>
    <t>Date of default status</t>
  </si>
  <si>
    <t>EN.005</t>
  </si>
  <si>
    <t>DT_FNNCL_STTMTS</t>
  </si>
  <si>
    <t>Date of financial statements</t>
  </si>
  <si>
    <t>EN.006</t>
  </si>
  <si>
    <t>DT_FNNCL_STTMTS_PRVS</t>
  </si>
  <si>
    <t>Date of previous fiscal year financial statements</t>
  </si>
  <si>
    <t>EN.007</t>
  </si>
  <si>
    <t>DT_INTTN_LGL_PRCDNGS_LE</t>
  </si>
  <si>
    <t>Date of initiation of legal proceedings counterparty (LE)</t>
  </si>
  <si>
    <t>EN.008</t>
  </si>
  <si>
    <t>DT_PRFRMNG_STTS_LE</t>
  </si>
  <si>
    <t>Date of performing status</t>
  </si>
  <si>
    <t>EN.009</t>
  </si>
  <si>
    <t>DT_RFRNC</t>
  </si>
  <si>
    <t>Reference date.</t>
  </si>
  <si>
    <t>EN.010</t>
  </si>
  <si>
    <t>ENTTY_ID</t>
  </si>
  <si>
    <t>Entity ID</t>
  </si>
  <si>
    <t>EN.011</t>
  </si>
  <si>
    <t>GCC_PRNT_ID</t>
  </si>
  <si>
    <t>Identifier for the parent entity of a group of connected clients</t>
  </si>
  <si>
    <t>EN.012</t>
  </si>
  <si>
    <t>GCC_PRNT_NM</t>
  </si>
  <si>
    <t>Name of the parent entity of a group of connected clients</t>
  </si>
  <si>
    <t>EN.013</t>
  </si>
  <si>
    <t>INTRNL_SGMNT</t>
  </si>
  <si>
    <t>Internal code for segment/portfolio</t>
  </si>
  <si>
    <t>EN.014</t>
  </si>
  <si>
    <t>INTRNL_UNT</t>
  </si>
  <si>
    <t>Internal code for business line/unit</t>
  </si>
  <si>
    <t>EN.015</t>
  </si>
  <si>
    <t>LEI</t>
  </si>
  <si>
    <t>Legal entity identifier Counterparty</t>
  </si>
  <si>
    <t>EN.016</t>
  </si>
  <si>
    <t>ENTTY_NM</t>
  </si>
  <si>
    <t>Name Counterparty</t>
  </si>
  <si>
    <t>EN.017</t>
  </si>
  <si>
    <t>EXTRNL_RTNG_NM</t>
  </si>
  <si>
    <t>Name of external rating agency</t>
  </si>
  <si>
    <t>EN.018</t>
  </si>
  <si>
    <t>ACCNTNG_FRMWRK_SL</t>
  </si>
  <si>
    <t>Accounting standard counterparty</t>
  </si>
  <si>
    <t>EN.019</t>
  </si>
  <si>
    <t>CR_FLG</t>
  </si>
  <si>
    <t>Cure flag for entity which was classified as non-performing in the last 1.5 years and is classified as performing at the reference date</t>
  </si>
  <si>
    <t>EN.020</t>
  </si>
  <si>
    <t>DCSD</t>
  </si>
  <si>
    <t>Entity deceased</t>
  </si>
  <si>
    <t>EN.021</t>
  </si>
  <si>
    <t>DFLT_STTS</t>
  </si>
  <si>
    <t>Default status of the entity</t>
  </si>
  <si>
    <t>EN.022</t>
  </si>
  <si>
    <t>DT_EXTRNL_RTNG</t>
  </si>
  <si>
    <t>Date of external rating</t>
  </si>
  <si>
    <t>EN.023</t>
  </si>
  <si>
    <t>DT_INTRNL_RTNG</t>
  </si>
  <si>
    <t>Date of internal rating</t>
  </si>
  <si>
    <t>EN.024</t>
  </si>
  <si>
    <t>ECNMC_ACTVTY</t>
  </si>
  <si>
    <t>Economic activity counterparty</t>
  </si>
  <si>
    <t>EN.025</t>
  </si>
  <si>
    <t>EMPLYMNT_STTS_INTRNL</t>
  </si>
  <si>
    <t>Employment status according to bank-internal classification</t>
  </si>
  <si>
    <t>EN.026</t>
  </si>
  <si>
    <t>EMPLYMNT_STTS</t>
  </si>
  <si>
    <t>Employment status (Code List)</t>
  </si>
  <si>
    <t>EN.027</t>
  </si>
  <si>
    <t>ENTRPRS_SZ_LE</t>
  </si>
  <si>
    <t>Enterprise size Counterparty (LE)</t>
  </si>
  <si>
    <t>EN.028</t>
  </si>
  <si>
    <t>EXTRNL_RTNG</t>
  </si>
  <si>
    <t>External rating</t>
  </si>
  <si>
    <t>EN.029</t>
  </si>
  <si>
    <t>EXTRNL_RTNG_PRVS</t>
  </si>
  <si>
    <t>External rating T-1</t>
  </si>
  <si>
    <t>EN.030</t>
  </si>
  <si>
    <t>FLG_BNKRPTCY_IN_GRP</t>
  </si>
  <si>
    <t>Any legal entity within the group of connected clients of the debtor (incl. subsidiaries of the debtor) has filed bankruptcy application</t>
  </si>
  <si>
    <t>EN.031</t>
  </si>
  <si>
    <t>FLG_HGH_CDS</t>
  </si>
  <si>
    <t>5Y CDS &gt; 1,000bps over the last 12 months</t>
  </si>
  <si>
    <t>EN.032</t>
  </si>
  <si>
    <t>FLG_ISDA_CRDT_EVNT</t>
  </si>
  <si>
    <t>ISDA credit event declared</t>
  </si>
  <si>
    <t>EN.033</t>
  </si>
  <si>
    <t>FLG_NN_ACCRL</t>
  </si>
  <si>
    <t>Credit obligation on non-accrual status</t>
  </si>
  <si>
    <t>EN.034</t>
  </si>
  <si>
    <t>FLG_RQST_BNKRPTCY</t>
  </si>
  <si>
    <t xml:space="preserve">Request by the institution for the obligor's bankruptcy </t>
  </si>
  <si>
    <t>EN.035</t>
  </si>
  <si>
    <t>FLG_RQST_DSTRSSD_RSTRCTRNG</t>
  </si>
  <si>
    <t xml:space="preserve">Request for current concession of forbearance measures as defined in EBA/ITS/2013/03 resulting in distressed restructuring of the credit obligation </t>
  </si>
  <si>
    <t>EN.036</t>
  </si>
  <si>
    <t>FLG_RQST_EMRGNCY_FNDNG</t>
  </si>
  <si>
    <t>Request by the debtor for emergency funding from the bank</t>
  </si>
  <si>
    <t>EN.037</t>
  </si>
  <si>
    <t>FLG_SLL_WTH_LSS</t>
  </si>
  <si>
    <t>Sell of a credit obligation with material credit related economic loss (&gt;= 5%)</t>
  </si>
  <si>
    <t>EN.038</t>
  </si>
  <si>
    <t>INCM_SC</t>
  </si>
  <si>
    <t>Income self-certified</t>
  </si>
  <si>
    <t>EN.039</t>
  </si>
  <si>
    <t>INTRNL_RTNG</t>
  </si>
  <si>
    <t>Internal rating at reference date</t>
  </si>
  <si>
    <t>EN.040</t>
  </si>
  <si>
    <t>INTRNL_RTNG_PRVS</t>
  </si>
  <si>
    <t>Previous internal rating</t>
  </si>
  <si>
    <t>EN.041</t>
  </si>
  <si>
    <t>LGL_PRCDNG_STTS_LE</t>
  </si>
  <si>
    <t>Legal proceedings status Counterparty (LE)</t>
  </si>
  <si>
    <t>EN.042</t>
  </si>
  <si>
    <t>OWND_BY_SPNSR</t>
  </si>
  <si>
    <t>&gt;50% owned by a sponsor as per ECB Guidance on leveraged transactions</t>
  </si>
  <si>
    <t>EN.043</t>
  </si>
  <si>
    <t>PRFRMNG_STTS_LE</t>
  </si>
  <si>
    <t>Performing status</t>
  </si>
  <si>
    <t>EN.044</t>
  </si>
  <si>
    <t>RTNG_MTHD</t>
  </si>
  <si>
    <t>Rating method</t>
  </si>
  <si>
    <t>EN.045</t>
  </si>
  <si>
    <t>RTNG_SCL</t>
  </si>
  <si>
    <t>Rating scale</t>
  </si>
  <si>
    <t>EN.046</t>
  </si>
  <si>
    <t>WTCH_LST</t>
  </si>
  <si>
    <t>Debtor on watch-list (Y/N)</t>
  </si>
  <si>
    <t>EN.047</t>
  </si>
  <si>
    <t>SNGL_PRPS_VHCL</t>
  </si>
  <si>
    <t>Type of SPV debtor</t>
  </si>
  <si>
    <t>EN.048</t>
  </si>
  <si>
    <t>GRP_EBITDA</t>
  </si>
  <si>
    <t>Group's EBITDA at most recent reported figures</t>
  </si>
  <si>
    <t>EN.049</t>
  </si>
  <si>
    <t>GRP_EQTY</t>
  </si>
  <si>
    <t>Group's equity at most recent reported figures</t>
  </si>
  <si>
    <t>EN.050</t>
  </si>
  <si>
    <t>GRP_NT_DBT</t>
  </si>
  <si>
    <t>Total net debt at most recent reported figures</t>
  </si>
  <si>
    <t>EN.051</t>
  </si>
  <si>
    <t>ANNL_TRNVR_LE</t>
  </si>
  <si>
    <t>Annual turnover counterparty (LE)</t>
  </si>
  <si>
    <t>EN.052</t>
  </si>
  <si>
    <t>ANNL_TRNVR_PRVS</t>
  </si>
  <si>
    <t>Annual turnover counterparty (LE) at previous reporting</t>
  </si>
  <si>
    <t>EN.053</t>
  </si>
  <si>
    <t>CAPEX</t>
  </si>
  <si>
    <t>Capital expenditures at most recent reported figures</t>
  </si>
  <si>
    <t>EN.054</t>
  </si>
  <si>
    <t>CAPEX_PRVS</t>
  </si>
  <si>
    <t>Capital expenditures at previous reported figures</t>
  </si>
  <si>
    <t>EN.055</t>
  </si>
  <si>
    <t>CLLCTN_MD</t>
  </si>
  <si>
    <t>Collection mode</t>
  </si>
  <si>
    <t>EN.056</t>
  </si>
  <si>
    <t>CSH</t>
  </si>
  <si>
    <t>Cash and cash equivalents at most recent reported figures</t>
  </si>
  <si>
    <t>EN.057</t>
  </si>
  <si>
    <t>CSH_PRVS</t>
  </si>
  <si>
    <t>Cash and cash equivalents at previous reported figures</t>
  </si>
  <si>
    <t>EN.058</t>
  </si>
  <si>
    <t>EBITDA</t>
  </si>
  <si>
    <t>EBITDA at latest reported figures</t>
  </si>
  <si>
    <t>EN.059</t>
  </si>
  <si>
    <t>EBITDA_PRVS</t>
  </si>
  <si>
    <t>EBITDA at previous reported figures</t>
  </si>
  <si>
    <t>EN.060</t>
  </si>
  <si>
    <t>EQTY</t>
  </si>
  <si>
    <t>Equity at most recent reported figures</t>
  </si>
  <si>
    <t>EN.061</t>
  </si>
  <si>
    <t>EQTY_PRVS</t>
  </si>
  <si>
    <t>Equity at previous reported figures</t>
  </si>
  <si>
    <t>EN.062</t>
  </si>
  <si>
    <t>GRP_TTL_DBT</t>
  </si>
  <si>
    <t>Group's total debt at most recent reported figures</t>
  </si>
  <si>
    <t>EN.063</t>
  </si>
  <si>
    <t>GDWILL</t>
  </si>
  <si>
    <t>Goodwill at most recent reported figures</t>
  </si>
  <si>
    <t>EN.064</t>
  </si>
  <si>
    <t>GDWILL_PRVS</t>
  </si>
  <si>
    <t>Goodwill at previous reported figures</t>
  </si>
  <si>
    <t>EN.065</t>
  </si>
  <si>
    <t>LTI</t>
  </si>
  <si>
    <t>Loan to income (LTI)</t>
  </si>
  <si>
    <t>EN.066</t>
  </si>
  <si>
    <t>LVRG</t>
  </si>
  <si>
    <t>Leverage (net debt / EBITDA) at most recent reported figures</t>
  </si>
  <si>
    <t>EN.067</t>
  </si>
  <si>
    <t>LVRG_PRVS</t>
  </si>
  <si>
    <t>Leverage (net debt / EBITDA) at previous reported figures</t>
  </si>
  <si>
    <t>EN.068</t>
  </si>
  <si>
    <t>MNTHL_INCM</t>
  </si>
  <si>
    <t>Monthly income - other</t>
  </si>
  <si>
    <t>EN.069</t>
  </si>
  <si>
    <t>MNTHL_INCM_SLR</t>
  </si>
  <si>
    <t>Monthly income - salary</t>
  </si>
  <si>
    <t>EN.070</t>
  </si>
  <si>
    <t>MNTHL_TRNVR</t>
  </si>
  <si>
    <t>Average monthly turnover to bank account(s)</t>
  </si>
  <si>
    <t>EN.071</t>
  </si>
  <si>
    <t>NT_INCM</t>
  </si>
  <si>
    <t>Net income at most recent reported figures</t>
  </si>
  <si>
    <t>EN.072</t>
  </si>
  <si>
    <t>NT_INCM_PRVS</t>
  </si>
  <si>
    <t>Net income at previous reported figures</t>
  </si>
  <si>
    <t>EN.073</t>
  </si>
  <si>
    <t>TTL_DBT</t>
  </si>
  <si>
    <t>Total debt at latest most recent reported figures</t>
  </si>
  <si>
    <t>EN.074</t>
  </si>
  <si>
    <t>TTL_DBT_PRVS</t>
  </si>
  <si>
    <t>Total debt at previous reported figures</t>
  </si>
  <si>
    <t>EN.075</t>
  </si>
  <si>
    <t>TTL_INTRST_PD</t>
  </si>
  <si>
    <t>Debtor's total interest paid  (over period for one year)</t>
  </si>
  <si>
    <t>EN.076</t>
  </si>
  <si>
    <t>TTL_LVRG_RT</t>
  </si>
  <si>
    <t>Leverage ratio as per ECB Guidance on leveraged transactions; total debt vs EBITDA</t>
  </si>
  <si>
    <t>EN.077</t>
  </si>
  <si>
    <t>TTL_LVRG_RT_PRVS</t>
  </si>
  <si>
    <t>Leverage ratio  at previous reported figures as per ECB Guidance on leveraged transactions; total debt vs EBITDA</t>
  </si>
  <si>
    <t>EN.078</t>
  </si>
  <si>
    <t>DBT_RPYMNT_CPCTY_SNR_DBT</t>
  </si>
  <si>
    <t>Debt repayment capacity of senior secured debt as per ECB Guidance on leveraged transactions</t>
  </si>
  <si>
    <t>EN.079</t>
  </si>
  <si>
    <t>DBT_RPYMNT_CPCTY_TTL</t>
  </si>
  <si>
    <t>Debt repayment capacity of the total debt as per ECB Guidance on leveraged transactions</t>
  </si>
  <si>
    <t>EN.080</t>
  </si>
  <si>
    <t>DBT_SRVC_RT</t>
  </si>
  <si>
    <t>Debt service coverage ratio</t>
  </si>
  <si>
    <t>EN.081</t>
  </si>
  <si>
    <t>DBT_SRVC_RT_12M</t>
  </si>
  <si>
    <t>Debt service coverage ratio at the most recent reported figures prior to the reference date</t>
  </si>
  <si>
    <t>EN.082</t>
  </si>
  <si>
    <t>PD_CRR_RD</t>
  </si>
  <si>
    <t>Probability of default according to CRR at reference date</t>
  </si>
  <si>
    <t>EN.083</t>
  </si>
  <si>
    <t>PD_IFRS9_12M_RD</t>
  </si>
  <si>
    <t>12-month PD at reporting date according to IFRS 9</t>
  </si>
  <si>
    <t>EN.084</t>
  </si>
  <si>
    <t>PD_IFRS9_12M_RD_T1</t>
  </si>
  <si>
    <t>12-month PD one year prior to the reporting date according to IFRS 9</t>
  </si>
  <si>
    <t>EN.085</t>
  </si>
  <si>
    <t>TAX_ID</t>
  </si>
  <si>
    <t>Fiscal ID</t>
  </si>
  <si>
    <t>EN.086</t>
  </si>
  <si>
    <t>ANNL_TRNVR_LE_BDR</t>
  </si>
  <si>
    <t>BDR Annual turnover counterparty (LE)</t>
  </si>
  <si>
    <t>EN.087</t>
  </si>
  <si>
    <t>ANNL_TRNVR_PRVS_BDR</t>
  </si>
  <si>
    <t>BDR Annual turnover counterparty (LE) at previous reporting</t>
  </si>
  <si>
    <t>EN.088</t>
  </si>
  <si>
    <t>OSI_ID</t>
  </si>
  <si>
    <t>On-site inspection identifier</t>
  </si>
  <si>
    <t>EN.089</t>
  </si>
  <si>
    <t>PD_CRR_RD_T1</t>
  </si>
  <si>
    <t>Probability of default according to CRR one year prior to the reference date</t>
  </si>
  <si>
    <t>EN.090</t>
  </si>
  <si>
    <t>EC_GRP_ID</t>
  </si>
  <si>
    <t>Economic (financial) Group ID</t>
  </si>
  <si>
    <t>EN.091</t>
  </si>
  <si>
    <t>EC_GRP_NM</t>
  </si>
  <si>
    <t>Economic (Financial) Group Name</t>
  </si>
  <si>
    <t>EN.092</t>
  </si>
  <si>
    <t>PST_CD</t>
  </si>
  <si>
    <t>Post code / ZIP</t>
  </si>
  <si>
    <t>EN.093</t>
  </si>
  <si>
    <t>ESG_SBSCTR</t>
  </si>
  <si>
    <t>ESG Subsector</t>
  </si>
  <si>
    <t>EN.094</t>
  </si>
  <si>
    <t>NACE_ESG</t>
  </si>
  <si>
    <t>Economic activity counterparty ESG</t>
  </si>
  <si>
    <t>EN.095</t>
  </si>
  <si>
    <t>TTL_LBLTY</t>
  </si>
  <si>
    <t>Total Liabilities at latest most recent reported figures</t>
  </si>
  <si>
    <t>EN.096</t>
  </si>
  <si>
    <t>TXNMY_ELGBL_CAPEX_CCM</t>
  </si>
  <si>
    <t>Taxonomy-eligible CAPEX (CCM) Ratio</t>
  </si>
  <si>
    <t>EN.097</t>
  </si>
  <si>
    <t>TXNMY_ELGBL_TRNVR_CCM</t>
  </si>
  <si>
    <t>Taxonomy-eligible Turnover (CCM) Ratio</t>
  </si>
  <si>
    <t>EN.098</t>
  </si>
  <si>
    <t>TXNMY_ELGBL_CAPEX_CCA</t>
  </si>
  <si>
    <t>Taxonomy-eligible CAPEX (CCA) Ratio</t>
  </si>
  <si>
    <t>EN.099</t>
  </si>
  <si>
    <t>TXNMY_ELGBL_TRNVR_CCA</t>
  </si>
  <si>
    <t>Taxonomy-eligible Turnover (CCA) Ratio</t>
  </si>
  <si>
    <t>EN.100</t>
  </si>
  <si>
    <t>ENBLNG_CAPEX_CCM</t>
  </si>
  <si>
    <t>Taxonomy-aligned CAPEX (CCM) - Enabling Ratio</t>
  </si>
  <si>
    <t>EN.101</t>
  </si>
  <si>
    <t>ENBLNG_CAPEX_CCA</t>
  </si>
  <si>
    <t>Taxonomy-aligned CAPEX (CCA) - Enabling Ratio</t>
  </si>
  <si>
    <t>EN.102</t>
  </si>
  <si>
    <t>TRNSTNL_CAPEX</t>
  </si>
  <si>
    <t>Taxonomy-aligned CAPEX (CCM) - Transitional Ratio</t>
  </si>
  <si>
    <t>EN.103</t>
  </si>
  <si>
    <t>PURE_CAPEX_CCM</t>
  </si>
  <si>
    <t>Taxonomy-aligned CAPEX (CCM) - Pure Ratio</t>
  </si>
  <si>
    <t>EN.104</t>
  </si>
  <si>
    <t>PURE_CAPEX_CCA</t>
  </si>
  <si>
    <t>Taxonomy-aligned CAPEX (CCA) - Pure Ratio</t>
  </si>
  <si>
    <t>EN.105</t>
  </si>
  <si>
    <t>ENBLNG_TRNVR_CCM</t>
  </si>
  <si>
    <t>Taxonomy-aligned Turnover (CCM) - Enabling Ratio</t>
  </si>
  <si>
    <t>EN.106</t>
  </si>
  <si>
    <t>ENBLNG_TRNVR_CCA</t>
  </si>
  <si>
    <t>Taxonomy-aligned Turnover (CCA) - Enabling Ratio</t>
  </si>
  <si>
    <t>EN.107</t>
  </si>
  <si>
    <t>TRNSTNL_TRNVR</t>
  </si>
  <si>
    <t>Taxonomy-aligned Turnover (CCM) - Transitional Ratio</t>
  </si>
  <si>
    <t>EN.108</t>
  </si>
  <si>
    <t>PURE_TRNVR_CCM</t>
  </si>
  <si>
    <t>Taxonomy-aligned turnover (CCM) - Pure Ratio</t>
  </si>
  <si>
    <t>EN.109</t>
  </si>
  <si>
    <t>PURE_TRNVR_CCA</t>
  </si>
  <si>
    <t>Taxonomy-aligned turnover (CCA) - Pure Ratio</t>
  </si>
  <si>
    <t>EN.110</t>
  </si>
  <si>
    <t>FLG_NFRD_APPLCBLTY</t>
  </si>
  <si>
    <t>Flag of NFRD applicability at counterparty level</t>
  </si>
  <si>
    <t>EN.111</t>
  </si>
  <si>
    <t>FLG_GRP_NFRD_APPLCBLTY</t>
  </si>
  <si>
    <t>Flag of NFRD applicability at Group Level</t>
  </si>
  <si>
    <t>EN.112</t>
  </si>
  <si>
    <t>ISIN</t>
  </si>
  <si>
    <t>EN.113</t>
  </si>
  <si>
    <t>GRP_ANNL_TRNVR_LE</t>
  </si>
  <si>
    <t>Group's annual turnover (LE)</t>
  </si>
  <si>
    <t>EN.114</t>
  </si>
  <si>
    <t>GRP_TTL_LBLTY</t>
  </si>
  <si>
    <t>Group's total liability at most recent reported figures</t>
  </si>
  <si>
    <t>EN.115</t>
  </si>
  <si>
    <t>CNTRPRTY_EMSSNS_SCP1</t>
  </si>
  <si>
    <t>Counterparty's emissions scope 1</t>
  </si>
  <si>
    <t>EN.116</t>
  </si>
  <si>
    <t>CNTRPRTY_EMSSNS_SCP2</t>
  </si>
  <si>
    <t>Counterparty's emissions scope 2</t>
  </si>
  <si>
    <t>EN.117</t>
  </si>
  <si>
    <t>CNTRPRTY_EMSSNS_SCP3</t>
  </si>
  <si>
    <t>Counterparty's emissions scope 3</t>
  </si>
  <si>
    <t>EN.118</t>
  </si>
  <si>
    <t>FLG_EXCLDD_EU_PRS_ALGND_BNCHMRK</t>
  </si>
  <si>
    <t>Flag Excluded from EU Paris-aligned benchmark </t>
  </si>
  <si>
    <t>EN.119</t>
  </si>
  <si>
    <t>GRP_EMSSNS_SCP1</t>
  </si>
  <si>
    <t>Group's emissions scope 1</t>
  </si>
  <si>
    <t>EN.120</t>
  </si>
  <si>
    <t>GRP_EMSSNS_SCP2</t>
  </si>
  <si>
    <t>Group's emissions scope 2</t>
  </si>
  <si>
    <t>EN.121</t>
  </si>
  <si>
    <t>GRP_EMSSNS_SCP3</t>
  </si>
  <si>
    <t>Group's emissions scope 3</t>
  </si>
  <si>
    <t>EN.122</t>
  </si>
  <si>
    <t>FLG_ACT_PHYSCL_RSK</t>
  </si>
  <si>
    <t>Flag Acute Physical Risk at entity level</t>
  </si>
  <si>
    <t>EN.123</t>
  </si>
  <si>
    <t>FLG_CHRNC_PHYSCL_RSK</t>
  </si>
  <si>
    <t>Flag Chronic Physical Risk at entity level</t>
  </si>
  <si>
    <t>EN.124</t>
  </si>
  <si>
    <t>GRP_ECNMC_ACTVTY</t>
  </si>
  <si>
    <t>Group's economic activity</t>
  </si>
  <si>
    <t>EN.125</t>
  </si>
  <si>
    <t>PRSN_TYP</t>
  </si>
  <si>
    <t>Type of person</t>
  </si>
  <si>
    <t>EN.126</t>
  </si>
  <si>
    <t>FR_CSH_FLW</t>
  </si>
  <si>
    <t>Free Cash Flow</t>
  </si>
  <si>
    <t>EN.127</t>
  </si>
  <si>
    <t>FR_CSH_FLW_T1</t>
  </si>
  <si>
    <t>Free Cash Flow T+1</t>
  </si>
  <si>
    <t>EN.128</t>
  </si>
  <si>
    <t>FR_CSH_FLW_T2</t>
  </si>
  <si>
    <t>Free Cash Flow T+2</t>
  </si>
  <si>
    <t>EN.129</t>
  </si>
  <si>
    <t>FR_CSH_FLW_T3</t>
  </si>
  <si>
    <t>Free Cash Flow T+3</t>
  </si>
  <si>
    <t>IE.001</t>
  </si>
  <si>
    <t>INSTR_ENTITY</t>
  </si>
  <si>
    <t>IE.002</t>
  </si>
  <si>
    <t>Reference date</t>
  </si>
  <si>
    <t>IE.003</t>
  </si>
  <si>
    <t>IE.004</t>
  </si>
  <si>
    <t>INSTRMNT_ID</t>
  </si>
  <si>
    <t>Instrument ID</t>
  </si>
  <si>
    <t>IE.005</t>
  </si>
  <si>
    <t>JNT_LBLTY_AMNT</t>
  </si>
  <si>
    <t>Joint-liability amount</t>
  </si>
  <si>
    <t>IE.006</t>
  </si>
  <si>
    <t>MN_ENTTY_ID</t>
  </si>
  <si>
    <t>Main Entity ID</t>
  </si>
  <si>
    <t>IN.001</t>
  </si>
  <si>
    <t>INSTRUMENT</t>
  </si>
  <si>
    <t>IN.002</t>
  </si>
  <si>
    <t>SUBPORTFOLIO_ID</t>
  </si>
  <si>
    <t>Subportfolio ID</t>
  </si>
  <si>
    <t>IN.003</t>
  </si>
  <si>
    <t>CRE_FNRP18</t>
  </si>
  <si>
    <t>Flag of CREs</t>
  </si>
  <si>
    <t>IN.004</t>
  </si>
  <si>
    <t>SME_FNRP18</t>
  </si>
  <si>
    <t>Flag of SMEs</t>
  </si>
  <si>
    <t>IN.005</t>
  </si>
  <si>
    <t>RRE_FNRP18</t>
  </si>
  <si>
    <t>Flag of RREs</t>
  </si>
  <si>
    <t>IN.006</t>
  </si>
  <si>
    <t>CNSMPTN_FNRP18</t>
  </si>
  <si>
    <t>Flag of Credit for consumption</t>
  </si>
  <si>
    <t>IN.007</t>
  </si>
  <si>
    <t>IN.008</t>
  </si>
  <si>
    <t>IN.009</t>
  </si>
  <si>
    <t>CNTRCT_ID</t>
  </si>
  <si>
    <t>Contract ID</t>
  </si>
  <si>
    <t>IN.010</t>
  </si>
  <si>
    <t>CRRNCY_DNMNTN</t>
  </si>
  <si>
    <t>Currency denomination</t>
  </si>
  <si>
    <t>IN.011</t>
  </si>
  <si>
    <t>DT_INCPTN</t>
  </si>
  <si>
    <t>Date of inception</t>
  </si>
  <si>
    <t>IN.012</t>
  </si>
  <si>
    <t>OBSRVD_AGNT_ID</t>
  </si>
  <si>
    <t>Observed agent identifier</t>
  </si>
  <si>
    <t>IN.013</t>
  </si>
  <si>
    <t>OBSRVD_AGNT_NM</t>
  </si>
  <si>
    <t>Observed Agent Name</t>
  </si>
  <si>
    <t>IN.014</t>
  </si>
  <si>
    <t>PRDCT</t>
  </si>
  <si>
    <t>Product type according to bank-internal definition</t>
  </si>
  <si>
    <t>IN.015</t>
  </si>
  <si>
    <t>BRCHD_CVNNTS</t>
  </si>
  <si>
    <t>Breached covenants</t>
  </si>
  <si>
    <t>IN.016</t>
  </si>
  <si>
    <t>CHNNL_ORGNTN</t>
  </si>
  <si>
    <t>Channel of origination</t>
  </si>
  <si>
    <t>IN.017</t>
  </si>
  <si>
    <t>CSH_SWP_TRP</t>
  </si>
  <si>
    <t>Cash sweep or cash trap covenants agreed  (Y/N)</t>
  </si>
  <si>
    <t>IN.018</t>
  </si>
  <si>
    <t>CVNNT_STTS</t>
  </si>
  <si>
    <t>Covenant status</t>
  </si>
  <si>
    <t>IN.019</t>
  </si>
  <si>
    <t>CVNNT_TYP</t>
  </si>
  <si>
    <t>Covenant Type</t>
  </si>
  <si>
    <t>IN.020</t>
  </si>
  <si>
    <t>DFLT_STTS_INSTRMNT</t>
  </si>
  <si>
    <t>Default status of the instrument</t>
  </si>
  <si>
    <t>IN.021</t>
  </si>
  <si>
    <t>DT_DFLT_STTS_INSTRMNT</t>
  </si>
  <si>
    <t>IN.022</t>
  </si>
  <si>
    <t>DT_END_GP_PPAL</t>
  </si>
  <si>
    <t>End date of principal grace period</t>
  </si>
  <si>
    <t>IN.023</t>
  </si>
  <si>
    <t>DT_END_INTRST_ONLY</t>
  </si>
  <si>
    <t>End date of the interest-only period</t>
  </si>
  <si>
    <t>IN.024</t>
  </si>
  <si>
    <t>DT_FRBRNC_STTS</t>
  </si>
  <si>
    <t>Date of forbearance status</t>
  </si>
  <si>
    <t>IN.025</t>
  </si>
  <si>
    <t>DT_FRBRNC_STTS_PRVS</t>
  </si>
  <si>
    <t>Date of previous forbearance status</t>
  </si>
  <si>
    <t>IN.026</t>
  </si>
  <si>
    <t>IN.027</t>
  </si>
  <si>
    <t>DT_PRFRMNG_STTS</t>
  </si>
  <si>
    <t>IN.028</t>
  </si>
  <si>
    <t>DT_PRFRMNG_STTS_PRVS</t>
  </si>
  <si>
    <t>Date of previous performing status</t>
  </si>
  <si>
    <t>IN.029</t>
  </si>
  <si>
    <t>DT_STRT_INTRST_ONLY</t>
  </si>
  <si>
    <t>Start date of the interest-only period</t>
  </si>
  <si>
    <t>IN.030</t>
  </si>
  <si>
    <t>EXPSR_IN_SCP</t>
  </si>
  <si>
    <t>Identification of exposure that is in scope of the on-site inspection</t>
  </si>
  <si>
    <t>IN.031</t>
  </si>
  <si>
    <t>FLD_SYNDCTN</t>
  </si>
  <si>
    <t>Failed syndication (as per definition according to the ECB Guidance on leveraged transactions)</t>
  </si>
  <si>
    <t>IN.032</t>
  </si>
  <si>
    <t>FLG_LBO</t>
  </si>
  <si>
    <t>Flag for leverage buy-out transactions</t>
  </si>
  <si>
    <t>IN.033</t>
  </si>
  <si>
    <t>FRBRNC_STTS_INSTRMNT</t>
  </si>
  <si>
    <t>Forbearance status</t>
  </si>
  <si>
    <t>IN.034</t>
  </si>
  <si>
    <t>IMPRMNT_STTS</t>
  </si>
  <si>
    <t>Impairment status</t>
  </si>
  <si>
    <t>IN.035</t>
  </si>
  <si>
    <t>IMPRMNT_STTS_PRVS</t>
  </si>
  <si>
    <t>Previous impairment status</t>
  </si>
  <si>
    <t>IN.036</t>
  </si>
  <si>
    <t>IN.037</t>
  </si>
  <si>
    <t>INTRNL_RTNG_INCPTN</t>
  </si>
  <si>
    <t>Internal rating at inception</t>
  </si>
  <si>
    <t>IN.038</t>
  </si>
  <si>
    <t>IN.039</t>
  </si>
  <si>
    <t>IN.040</t>
  </si>
  <si>
    <t>LCRE</t>
  </si>
  <si>
    <t>Low credit risk exemption for SICR assessment</t>
  </si>
  <si>
    <t>IN.041</t>
  </si>
  <si>
    <t>LGL_PRCDNG_STTS</t>
  </si>
  <si>
    <t>Status of legal proceedings of the instrument</t>
  </si>
  <si>
    <t>IN.042</t>
  </si>
  <si>
    <t>LND_DRGTN</t>
  </si>
  <si>
    <t>Derogation of lending standards when the instrument was granted  (Y/N)</t>
  </si>
  <si>
    <t>IN.043</t>
  </si>
  <si>
    <t>POCI</t>
  </si>
  <si>
    <t>Purchased credit-impaired financial asset (POCI)</t>
  </si>
  <si>
    <t>IN.044</t>
  </si>
  <si>
    <t>PRFRMNG_STTS</t>
  </si>
  <si>
    <t>IN.045</t>
  </si>
  <si>
    <t>PRFRMNG_STTS_PRVS</t>
  </si>
  <si>
    <t>Previous performing status</t>
  </si>
  <si>
    <t>IN.046</t>
  </si>
  <si>
    <t>PRJCT_FNNC_LN</t>
  </si>
  <si>
    <t>Project finance loan</t>
  </si>
  <si>
    <t>IN.047</t>
  </si>
  <si>
    <t>PRPS</t>
  </si>
  <si>
    <t>Purpose</t>
  </si>
  <si>
    <t>IN.048</t>
  </si>
  <si>
    <t>PYMNT_INTRST_ONLY</t>
  </si>
  <si>
    <t>Interest only repayment</t>
  </si>
  <si>
    <t>IN.049</t>
  </si>
  <si>
    <t>RCRS</t>
  </si>
  <si>
    <t>Recourse</t>
  </si>
  <si>
    <t>IN.050</t>
  </si>
  <si>
    <t>RFNNC_PRPS</t>
  </si>
  <si>
    <t>Refinance purpose (Y/N)</t>
  </si>
  <si>
    <t>IN.051</t>
  </si>
  <si>
    <t>SPCLTV_LNDNG</t>
  </si>
  <si>
    <t>Speculative immovable property financing  (Y/N)</t>
  </si>
  <si>
    <t>IN.052</t>
  </si>
  <si>
    <t>STTS_UNDRWRTTN_TRNSCTN</t>
  </si>
  <si>
    <t>Status for underwritten transaction</t>
  </si>
  <si>
    <t>IN.053</t>
  </si>
  <si>
    <t>TRNCH</t>
  </si>
  <si>
    <t>Tranching / security</t>
  </si>
  <si>
    <t>IN.054</t>
  </si>
  <si>
    <t>TYP_AMRTSTN</t>
  </si>
  <si>
    <t>Type of amortisation</t>
  </si>
  <si>
    <t>IN.055</t>
  </si>
  <si>
    <t>TYP_INSTRMNT</t>
  </si>
  <si>
    <t>Type of instrument</t>
  </si>
  <si>
    <t>IN.056</t>
  </si>
  <si>
    <t>TYP_INTRST_RT</t>
  </si>
  <si>
    <t>Type of interest rate</t>
  </si>
  <si>
    <t>IN.057</t>
  </si>
  <si>
    <t>TYP_MRTGG</t>
  </si>
  <si>
    <t>Type of mortgage</t>
  </si>
  <si>
    <t>IN.058</t>
  </si>
  <si>
    <t>TYP_CRE_OPRTN</t>
  </si>
  <si>
    <t>Type of CRE operation financed</t>
  </si>
  <si>
    <t>IN.059</t>
  </si>
  <si>
    <t>DT_STRT_GP_PPAL</t>
  </si>
  <si>
    <t>Start date of principal grace period</t>
  </si>
  <si>
    <t>IN.060</t>
  </si>
  <si>
    <t>GRSS_CRRYNG_AMNT_INSTRMNT</t>
  </si>
  <si>
    <t>Gross carrying amount</t>
  </si>
  <si>
    <t>IN.061</t>
  </si>
  <si>
    <t>ACCMLTD_CHNGS_FV_CR_INSTRMNT</t>
  </si>
  <si>
    <t>Accumulated changes in fair value due to credit risk</t>
  </si>
  <si>
    <t>IN.062</t>
  </si>
  <si>
    <t>ACCNTNG_CLSSFCTN</t>
  </si>
  <si>
    <t>Accounting portfolio</t>
  </si>
  <si>
    <t>IN.063</t>
  </si>
  <si>
    <t>ACCRD_INTRST_INSTRMNT</t>
  </si>
  <si>
    <t>Accrued interest balance as recognised on the balance sheet</t>
  </si>
  <si>
    <t>IN.064</t>
  </si>
  <si>
    <t>AMNT_D_AT_MTRTY</t>
  </si>
  <si>
    <t>Amount due at the legal final maturity date</t>
  </si>
  <si>
    <t>IN.065</t>
  </si>
  <si>
    <t>CCF</t>
  </si>
  <si>
    <t>Credit conversion factor (CCF) according to CRR</t>
  </si>
  <si>
    <t>IN.066</t>
  </si>
  <si>
    <t>CMMTMNT_INCPTN_INSTRMNT</t>
  </si>
  <si>
    <t>Commitment amount at inception</t>
  </si>
  <si>
    <t>IN.067</t>
  </si>
  <si>
    <t>CMMTMNT_INSTRMNT</t>
  </si>
  <si>
    <t>Commitment amount at reference date</t>
  </si>
  <si>
    <t>IN.068</t>
  </si>
  <si>
    <t>CRRYNG_AMNT_INSTRMNT</t>
  </si>
  <si>
    <t>Carrying amount</t>
  </si>
  <si>
    <t>IN.069</t>
  </si>
  <si>
    <t>DBT_YLD</t>
  </si>
  <si>
    <t>Debt yield</t>
  </si>
  <si>
    <t>IN.070</t>
  </si>
  <si>
    <t>DT_LGL_FNL_MTRTY</t>
  </si>
  <si>
    <t>Legal final maturity date (latest repayment date)</t>
  </si>
  <si>
    <t>IN.071</t>
  </si>
  <si>
    <t>DT_NXT_INTRST_RT_RST</t>
  </si>
  <si>
    <t>Next interest rate reset date</t>
  </si>
  <si>
    <t>IN.072</t>
  </si>
  <si>
    <t>DT_ORGNL_MTRTY</t>
  </si>
  <si>
    <t>Original contractual maturity date (latest repayment date)</t>
  </si>
  <si>
    <t>IN.073</t>
  </si>
  <si>
    <t>IFRS9_BHVRL_MTRTY</t>
  </si>
  <si>
    <t>Behavioural maturity</t>
  </si>
  <si>
    <t>IN.074</t>
  </si>
  <si>
    <t>EAD</t>
  </si>
  <si>
    <t>Regulatory EAD</t>
  </si>
  <si>
    <t>IN.075</t>
  </si>
  <si>
    <t>IFRS9_CCF</t>
  </si>
  <si>
    <t>IFRS 9 accounting CCF</t>
  </si>
  <si>
    <t>IN.076</t>
  </si>
  <si>
    <t>IFRS9_EAD</t>
  </si>
  <si>
    <t>IFRS 9 accounting EAD</t>
  </si>
  <si>
    <t>IN.077</t>
  </si>
  <si>
    <t>INSTLMNT_PAY</t>
  </si>
  <si>
    <t>Instalment payable</t>
  </si>
  <si>
    <t>IN.078</t>
  </si>
  <si>
    <t>OFF_BLNC_SHT_AMNT_INSTRMNT</t>
  </si>
  <si>
    <t>Off-balance sheet amount</t>
  </si>
  <si>
    <t>IN.079</t>
  </si>
  <si>
    <t>OFF_BLNC_SHT_AMNT_INSTRMNT_PRVS</t>
  </si>
  <si>
    <t>Previous off-balance amount</t>
  </si>
  <si>
    <t>IN.080</t>
  </si>
  <si>
    <t>OTSTNDNG_NMNL_AMNT_INSTRMNT</t>
  </si>
  <si>
    <t>Outstanding gross nominal amount</t>
  </si>
  <si>
    <t>IN.081</t>
  </si>
  <si>
    <t>OTSTNDNG_NMNL_AMNT_INSTRMNT_PRVS</t>
  </si>
  <si>
    <t>Previous outstanding gross nominal amount</t>
  </si>
  <si>
    <t>IN.082</t>
  </si>
  <si>
    <t>PRVSNS_OFF_BLNC_SHT</t>
  </si>
  <si>
    <t>Provisions associated with off-balance sheet exposures</t>
  </si>
  <si>
    <t>IN.083</t>
  </si>
  <si>
    <t>PYMNT_FRQNCY</t>
  </si>
  <si>
    <t>Payment frequency</t>
  </si>
  <si>
    <t>IN.084</t>
  </si>
  <si>
    <t>RTNTN_SHR</t>
  </si>
  <si>
    <t>Retention share</t>
  </si>
  <si>
    <t>IN.085</t>
  </si>
  <si>
    <t>RWA</t>
  </si>
  <si>
    <t>IN.086</t>
  </si>
  <si>
    <t>RWA_MTHD</t>
  </si>
  <si>
    <t>RWA calculation method</t>
  </si>
  <si>
    <t>IN.087</t>
  </si>
  <si>
    <t>SPNSR_NM</t>
  </si>
  <si>
    <t>Name of the sponsor of the transaction as per definition according to the ECB Guidance on leveraged transactions</t>
  </si>
  <si>
    <t>IN.088</t>
  </si>
  <si>
    <t>ACCMLTD_IMPRMNT_INSTRMNT</t>
  </si>
  <si>
    <t>Sum of LLPs and other allowances</t>
  </si>
  <si>
    <t>IN.089</t>
  </si>
  <si>
    <t>ACCMLTD_IMPRMNT_INSTRMNT_PRVS</t>
  </si>
  <si>
    <t>Previous sum of LLPs and other allowances</t>
  </si>
  <si>
    <t>IN.090</t>
  </si>
  <si>
    <t>ACCMLTD_WRTFFS_INSTRMNT</t>
  </si>
  <si>
    <t>Accumulated write-offs</t>
  </si>
  <si>
    <t>IN.091</t>
  </si>
  <si>
    <t>ARRRS_INSTRMNT</t>
  </si>
  <si>
    <t>Total exposure in arrears</t>
  </si>
  <si>
    <t>IN.092</t>
  </si>
  <si>
    <t>ARRRS_INSTRMNT_12M</t>
  </si>
  <si>
    <t>Highest total exposure in arrears in the last 12 months before the reference date</t>
  </si>
  <si>
    <t>IN.093</t>
  </si>
  <si>
    <t>CMLTV_RCVRS_SNC_DFLT_INSTRMNT</t>
  </si>
  <si>
    <t>Cumulative recoveries since default</t>
  </si>
  <si>
    <t>IN.094</t>
  </si>
  <si>
    <t>DPD</t>
  </si>
  <si>
    <t>Days past due at reference date</t>
  </si>
  <si>
    <t>IN.095</t>
  </si>
  <si>
    <t>DPD_12M</t>
  </si>
  <si>
    <t>Highest number of days past due in the last 12 months</t>
  </si>
  <si>
    <t>IN.096</t>
  </si>
  <si>
    <t>DPD_12M_FRBRNC_STTS</t>
  </si>
  <si>
    <t>Highest number of days past due in the 12 months prior to the most recent change of the forbearance status</t>
  </si>
  <si>
    <t>IN.097</t>
  </si>
  <si>
    <t>DPD_12M_PRFRMNG_STTS</t>
  </si>
  <si>
    <t>Highest number of days past due in the 12 months prior to the most recent change of performing status</t>
  </si>
  <si>
    <t>IN.098</t>
  </si>
  <si>
    <t>DPD_24M_FRBRNC_STTS</t>
  </si>
  <si>
    <t>Highest number of days past due in the 24 months prior to the most recent change of the forbearance status</t>
  </si>
  <si>
    <t>IN.099</t>
  </si>
  <si>
    <t>DPD_24M_PRFRMNG_STTS</t>
  </si>
  <si>
    <t>Highest number of days past due in the 24 months before most recent change of performing status</t>
  </si>
  <si>
    <t>IN.100</t>
  </si>
  <si>
    <t>DPD_FRBRNC_STTS</t>
  </si>
  <si>
    <t>Days past due at the date of the most recent change of the forbearance status</t>
  </si>
  <si>
    <t>IN.101</t>
  </si>
  <si>
    <t>DPD_PRFRMNG_STTS</t>
  </si>
  <si>
    <t>Days past due at the time of the most recent change of the performing status</t>
  </si>
  <si>
    <t>IN.102</t>
  </si>
  <si>
    <t>DT_IMPRMNT_STTS</t>
  </si>
  <si>
    <t>Date of impairment status</t>
  </si>
  <si>
    <t>IN.103</t>
  </si>
  <si>
    <t>DT_IMPRMNT_STTS_PRVS</t>
  </si>
  <si>
    <t>Date of previous impairment status</t>
  </si>
  <si>
    <t>IN.104</t>
  </si>
  <si>
    <t>DT_PST_D</t>
  </si>
  <si>
    <t>Date past due</t>
  </si>
  <si>
    <t>IN.105</t>
  </si>
  <si>
    <t>IMPRMNT_ASSSSMNT_MTHD</t>
  </si>
  <si>
    <t>Impairment assessment method</t>
  </si>
  <si>
    <t>IN.106</t>
  </si>
  <si>
    <t>IMPRMNT_CLCLTN_MTHD</t>
  </si>
  <si>
    <t>Impairment calculation method</t>
  </si>
  <si>
    <t>IN.107</t>
  </si>
  <si>
    <t>NMBR_FRBRNC_MSRS</t>
  </si>
  <si>
    <t>Number of historical forbearance</t>
  </si>
  <si>
    <t>IN.108</t>
  </si>
  <si>
    <t>IFRS9_LGD</t>
  </si>
  <si>
    <t>IFRS 9 accounting LGD</t>
  </si>
  <si>
    <t>IN.109</t>
  </si>
  <si>
    <t>LGD</t>
  </si>
  <si>
    <t>Regulatory LGD</t>
  </si>
  <si>
    <t>IN.110</t>
  </si>
  <si>
    <t>LTV</t>
  </si>
  <si>
    <t>Loan to value (LTV) at reference date</t>
  </si>
  <si>
    <t>IN.111</t>
  </si>
  <si>
    <t>LTV_INCPTN</t>
  </si>
  <si>
    <t>Loan to value (LTV) at inception</t>
  </si>
  <si>
    <t>IN.112</t>
  </si>
  <si>
    <t>LTV_NPE</t>
  </si>
  <si>
    <t>Loan to value (LTV) at the date when the instrument was classified as non performing</t>
  </si>
  <si>
    <t>IN.113</t>
  </si>
  <si>
    <t>PD_CRR_INCPTN</t>
  </si>
  <si>
    <t>Probability of default according to CRR at inception date</t>
  </si>
  <si>
    <t>IN.114</t>
  </si>
  <si>
    <t>IN.115</t>
  </si>
  <si>
    <t>IN.116</t>
  </si>
  <si>
    <t>PD_IFRS9_12M_INCPTN</t>
  </si>
  <si>
    <t>12-month PD at inception date according to IFRS 9</t>
  </si>
  <si>
    <t>IN.117</t>
  </si>
  <si>
    <t>IN.118</t>
  </si>
  <si>
    <t>IN.119</t>
  </si>
  <si>
    <t>PD_IFRS9_LFTM_INCPTN</t>
  </si>
  <si>
    <t>Lifetime PD at inception date according to IFRS 9 (cumulative)</t>
  </si>
  <si>
    <t>IN.120</t>
  </si>
  <si>
    <t>PD_IFRS9_RMNNG_LFTM_INCPTN</t>
  </si>
  <si>
    <t>Remaining lifetime PD at inception date according to IFRS 9 (cumulative)</t>
  </si>
  <si>
    <t>IN.121</t>
  </si>
  <si>
    <t>PD_IFRS9_RMNNG_LFTM_RD</t>
  </si>
  <si>
    <t>Remaining lifetime PD at reporting date according to IFRS 9 (cumulative)</t>
  </si>
  <si>
    <t>IN.122</t>
  </si>
  <si>
    <t>IN.123</t>
  </si>
  <si>
    <t>IN.124</t>
  </si>
  <si>
    <t>SICR_ASSSSMNT_MTHD</t>
  </si>
  <si>
    <t>Significant increase in credit risk assessment approach</t>
  </si>
  <si>
    <t>IN.125</t>
  </si>
  <si>
    <t>ANNLSD_AGRD_RT</t>
  </si>
  <si>
    <t>Interest rate at the rerefence date</t>
  </si>
  <si>
    <t>IN.126</t>
  </si>
  <si>
    <t>EIR</t>
  </si>
  <si>
    <t>Current effective interest rate for provisioning calculation according to IFRS 9.</t>
  </si>
  <si>
    <t>IN.127</t>
  </si>
  <si>
    <t>EIR_INCPTN</t>
  </si>
  <si>
    <t>Effective interest rate at inception</t>
  </si>
  <si>
    <t>IN.128</t>
  </si>
  <si>
    <t>INTRST_RT_RST_FRQNCY</t>
  </si>
  <si>
    <t>Interest rate reset frequency</t>
  </si>
  <si>
    <t>IN.129</t>
  </si>
  <si>
    <t>RCVD_AMRTSTN_12M</t>
  </si>
  <si>
    <t>Received amortisation payments within last 12 months prior to reference date</t>
  </si>
  <si>
    <t>IN.130</t>
  </si>
  <si>
    <t>RCVD_AMRTSTN_24M</t>
  </si>
  <si>
    <t>Received amortisation payments within last 24 months prior to reference date</t>
  </si>
  <si>
    <t>IN.131</t>
  </si>
  <si>
    <t>RCVD_INTRST_12M</t>
  </si>
  <si>
    <t>Received interest payments within last 12 months prior to reference date</t>
  </si>
  <si>
    <t>IN.132</t>
  </si>
  <si>
    <t>RCVD_INTRST_24M</t>
  </si>
  <si>
    <t>Received interest payments within last 24 months prior to reference date</t>
  </si>
  <si>
    <t>IN.133</t>
  </si>
  <si>
    <t>SYNDCT_RL</t>
  </si>
  <si>
    <t>Role of the lender in the syndicate</t>
  </si>
  <si>
    <t>IN.134</t>
  </si>
  <si>
    <t>SYNDCTD_AGNT</t>
  </si>
  <si>
    <t>Syndicate agent name</t>
  </si>
  <si>
    <t>IN.135</t>
  </si>
  <si>
    <t>SYNDCTD_CNTRCT_ID</t>
  </si>
  <si>
    <t>Syndicated contract ID</t>
  </si>
  <si>
    <t>IN.136</t>
  </si>
  <si>
    <t>SYNDCTD_LNDRS</t>
  </si>
  <si>
    <t>Names of the other lenders in the syndicate</t>
  </si>
  <si>
    <t>IN.137</t>
  </si>
  <si>
    <t>SYNDCTD_SHR</t>
  </si>
  <si>
    <t>Share in the syndicate</t>
  </si>
  <si>
    <t>IN.138</t>
  </si>
  <si>
    <t>SYNDCTN_TYP</t>
  </si>
  <si>
    <t>Syndication type</t>
  </si>
  <si>
    <t>IN.139</t>
  </si>
  <si>
    <t>EBA_CMPLNT_MRTR_ST_C19</t>
  </si>
  <si>
    <t>EBA compliant moratoria status. Please report all COVID-related measures until 31 December 2022. Afterwards, please report Not Applicable default value</t>
  </si>
  <si>
    <t>IN.140</t>
  </si>
  <si>
    <t>DT_CMPLNT_MRTR_STTS_C19</t>
  </si>
  <si>
    <t>Date of EBA compliant moratoria status. Please report all COVID-related measures until 31 December 2022. Afterwards, please report Not Applicable default value</t>
  </si>
  <si>
    <t>IN.141</t>
  </si>
  <si>
    <t>DT_CMPLNT_MRTR_STTS_PRVS_C19</t>
  </si>
  <si>
    <t>Initial date of first EBA compliant moratoria status. Please report all COVID-related measures until 31 December 2022. Afterwards, please report Not Applicable default value</t>
  </si>
  <si>
    <t>IN.142</t>
  </si>
  <si>
    <t>MTRTY_LTST_MRTR_C19</t>
  </si>
  <si>
    <t>Maturity of latest EBA compliant moratoria. Please report all COVID-related measures until 31 December 2022. Afterwards, please report Not Applicable default value</t>
  </si>
  <si>
    <t>IN.143</t>
  </si>
  <si>
    <t>TYP_CMPLNT_MRTR_C19</t>
  </si>
  <si>
    <t>Type of EBA-compliant moratoria. Please report all COVID-related measures until 31 December 2022. Afterwards, please report Not Applicable default value</t>
  </si>
  <si>
    <t>IN.144</t>
  </si>
  <si>
    <t>GRC_PRD_CPTL_INTRST_C19</t>
  </si>
  <si>
    <t>Grace period on capital and interest. Please report all COVID-related measures until 31 December 2022. Afterwards, please report Not Applicable default value</t>
  </si>
  <si>
    <t>IN.145</t>
  </si>
  <si>
    <t>CMPLNT_MRTR_C19_NM</t>
  </si>
  <si>
    <t>Internal name of EBA compliant moratoria as registered by the bank. Please report all COVID-related measures until 31 December 2022. Afterwards, please report Not Applicable default value</t>
  </si>
  <si>
    <t>IN.146</t>
  </si>
  <si>
    <t>FRBRNC_STTS_C19</t>
  </si>
  <si>
    <t>COVID-19 related forbearance measure status. Please report all COVID-related measures until 31 December 2022. Afterwards, please report Not Applicable default value</t>
  </si>
  <si>
    <t>IN.147</t>
  </si>
  <si>
    <t>DT_FRBRNC_STTS_C19</t>
  </si>
  <si>
    <t>Date of COVID-19 related forbearance measure status. Please report all COVID-related measures until 31 December 2022. Afterwards, please report Not Applicable default value</t>
  </si>
  <si>
    <t>IN.148</t>
  </si>
  <si>
    <t>DT_FRBRNC_STTS_PRVS_C19</t>
  </si>
  <si>
    <t>Initial date of first COVID-19 related forbearance measure status. Please report all COVID-related measures until 31 December 2022. Afterwards, please report Not Applicable default value</t>
  </si>
  <si>
    <t>IN.149</t>
  </si>
  <si>
    <t>MTRTY_LTST_FRBRNC_MSR_C19</t>
  </si>
  <si>
    <t>Maturity of latest COVID19 related forbearnace measure. Please report all COVID-related measures until 31 December 2022. Afterwards, please report Not Applicable default value</t>
  </si>
  <si>
    <t>IN.150</t>
  </si>
  <si>
    <t>DT_END_GP_PPAL_C19</t>
  </si>
  <si>
    <t>End date of principal grace period for COVID19 related measures. Please report all COVID-related measures until 31 December 2022. Afterwards, please report Not Applicable default value</t>
  </si>
  <si>
    <t>IN.151</t>
  </si>
  <si>
    <t>DT_END_INTRST_ONLY_C19</t>
  </si>
  <si>
    <t>End date of the interest-only period for COVID19 related measures. Please report all COVID-related measures until 31 December 2022. Afterwards, please report Not Applicable default value</t>
  </si>
  <si>
    <t>IN.152</t>
  </si>
  <si>
    <t>SBJCT_PBLC_GRNT_SCHM_C19</t>
  </si>
  <si>
    <t>(Newly originated) Loan subject to a public guarantee scheme. Please report all COVID-related measures until 31 December 2022. Afterwards, please report Not Applicable default value</t>
  </si>
  <si>
    <t>IN.153</t>
  </si>
  <si>
    <t>PBLC_GRNT_SCHM_C19_NM</t>
  </si>
  <si>
    <t>Name of public guarantee scheme applied. Please report all COVID-related measures until 31 December 2022. Afterwards, please report Not Applicable default value</t>
  </si>
  <si>
    <t>IN.154</t>
  </si>
  <si>
    <t>PMNT_PBLC_GRNT_SCHM_C19</t>
  </si>
  <si>
    <t>Payment received from the public guarantor since inception of the public guarantee scheme introduced in response to the COVID19 situation. Please report all COVID-related measures until 31 December 2022. Afterwards, please report Not Applicable default value</t>
  </si>
  <si>
    <t>IN.155</t>
  </si>
  <si>
    <t>ASST_SCRT_CLSS</t>
  </si>
  <si>
    <t>Asset securitisation class</t>
  </si>
  <si>
    <t>IN.156</t>
  </si>
  <si>
    <t>CPN_CRRNCY</t>
  </si>
  <si>
    <t xml:space="preserve">Coupon currency </t>
  </si>
  <si>
    <t>IN.157</t>
  </si>
  <si>
    <t>CPN_RT</t>
  </si>
  <si>
    <t xml:space="preserve">Coupon rate </t>
  </si>
  <si>
    <t>Coupon rate (if fixed).</t>
  </si>
  <si>
    <t>IN.158</t>
  </si>
  <si>
    <t>DT_VLTN</t>
  </si>
  <si>
    <t>Valuation date</t>
  </si>
  <si>
    <t>IN.159</t>
  </si>
  <si>
    <t>ELGBLTY_ECB</t>
  </si>
  <si>
    <t>Eligibility for standard central bank (ECB) operations</t>
  </si>
  <si>
    <t>IN.160</t>
  </si>
  <si>
    <t>GRNTR_ID</t>
  </si>
  <si>
    <t>Guarantor ID</t>
  </si>
  <si>
    <t>IN.161</t>
  </si>
  <si>
    <t>GRNTR_ID_TYP</t>
  </si>
  <si>
    <t>Guarantor ID type</t>
  </si>
  <si>
    <t>IN.162</t>
  </si>
  <si>
    <t>HEDGE_ID</t>
  </si>
  <si>
    <t>Hedge ID</t>
  </si>
  <si>
    <t>IN.163</t>
  </si>
  <si>
    <t>INSTR_SNRTY_CLSS</t>
  </si>
  <si>
    <t>Instrument seniority type</t>
  </si>
  <si>
    <t>IN.164</t>
  </si>
  <si>
    <t>INSTRMNT_CLSS</t>
  </si>
  <si>
    <t>Instrument class</t>
  </si>
  <si>
    <t>IN.165</t>
  </si>
  <si>
    <t>IN.166</t>
  </si>
  <si>
    <t>ISSR_CNTRY</t>
  </si>
  <si>
    <t>Country of the issuer</t>
  </si>
  <si>
    <t>IN.167</t>
  </si>
  <si>
    <t>ISSR_ESA_2010</t>
  </si>
  <si>
    <t>Issuer ESA 2010</t>
  </si>
  <si>
    <t>IN.168</t>
  </si>
  <si>
    <t>ISSR_ID</t>
  </si>
  <si>
    <t>ID of the issuer</t>
  </si>
  <si>
    <t>IN.169</t>
  </si>
  <si>
    <t>ISSR_ID_TYP</t>
  </si>
  <si>
    <t>Type of ID of the issuer</t>
  </si>
  <si>
    <t>IN.170</t>
  </si>
  <si>
    <t>ISSR_NACE_SCTR</t>
  </si>
  <si>
    <t>Issuer NACE sector</t>
  </si>
  <si>
    <t>IN.171</t>
  </si>
  <si>
    <t>ISSR_RTNG</t>
  </si>
  <si>
    <t>Issuer Rating(s)</t>
  </si>
  <si>
    <t>IN.172</t>
  </si>
  <si>
    <t>ISSR_RTNG_SRC</t>
  </si>
  <si>
    <t>Issuer Rating(s) Source(s)</t>
  </si>
  <si>
    <t>IN.173</t>
  </si>
  <si>
    <t>ISSR_TYP</t>
  </si>
  <si>
    <t>Type of Issuer</t>
  </si>
  <si>
    <t>IN.174</t>
  </si>
  <si>
    <t>LCR_BFFR_CTGRY</t>
  </si>
  <si>
    <t>Category of LCR buffer</t>
  </si>
  <si>
    <t>IN.175</t>
  </si>
  <si>
    <t>PRCH_UNDR_RSL_AGR</t>
  </si>
  <si>
    <t>Purchased under resale agreement</t>
  </si>
  <si>
    <t>IN.176</t>
  </si>
  <si>
    <t>PRDNTL_PRTFL</t>
  </si>
  <si>
    <t>Prudential portfolio of the instrument</t>
  </si>
  <si>
    <t>IN.177</t>
  </si>
  <si>
    <t>PRMRY_ASST_CLSSF</t>
  </si>
  <si>
    <t>Primary asset classification</t>
  </si>
  <si>
    <t>IN.178</t>
  </si>
  <si>
    <t>PRT_LCR_BFFR</t>
  </si>
  <si>
    <t>Part of LCR buffer</t>
  </si>
  <si>
    <t>IN.179</t>
  </si>
  <si>
    <t>RFRNC_RT</t>
  </si>
  <si>
    <t xml:space="preserve">Reference rate </t>
  </si>
  <si>
    <t>Coupon rate (if floating).</t>
  </si>
  <si>
    <t>IN.180</t>
  </si>
  <si>
    <t>SPRD</t>
  </si>
  <si>
    <t xml:space="preserve">Spread </t>
  </si>
  <si>
    <t>IN.181</t>
  </si>
  <si>
    <t>SRCS_ENCMBRNC</t>
  </si>
  <si>
    <t>Sources of encumbrance</t>
  </si>
  <si>
    <t>IN.182</t>
  </si>
  <si>
    <t>TYPE_OF_PLCMNT</t>
  </si>
  <si>
    <t>Type of placement</t>
  </si>
  <si>
    <t>IN.183</t>
  </si>
  <si>
    <t>VLTN_CRRNCY</t>
  </si>
  <si>
    <t>Currency of the value</t>
  </si>
  <si>
    <t>IN.184</t>
  </si>
  <si>
    <t>VLTN_TYP</t>
  </si>
  <si>
    <t>Valuation type</t>
  </si>
  <si>
    <t>IN.185</t>
  </si>
  <si>
    <t>LVRG_FNNC_FLG</t>
  </si>
  <si>
    <t>Leverage finance flag</t>
  </si>
  <si>
    <t>IN.186</t>
  </si>
  <si>
    <t>INTRNL_SGMNT_IFRS9</t>
  </si>
  <si>
    <t>IFRS9 Segment</t>
  </si>
  <si>
    <t>IN.187</t>
  </si>
  <si>
    <t>INTRNL_SGMNT_CAT_MSTA</t>
  </si>
  <si>
    <t>COREP Segment - Final Category BIS II</t>
  </si>
  <si>
    <t>IN.188</t>
  </si>
  <si>
    <t>INTRNL_SGMNT_CATGSUB</t>
  </si>
  <si>
    <t>COREP Segment - Final Subcategory BIS II</t>
  </si>
  <si>
    <t>IN.189</t>
  </si>
  <si>
    <t>CRRLTN_CFFCNT</t>
  </si>
  <si>
    <t>Coefficient of correlation (R)</t>
  </si>
  <si>
    <t>IN.190</t>
  </si>
  <si>
    <t>ISIN_SCRTSTN</t>
  </si>
  <si>
    <t>ISIN code of the securitisation bonds and SRT (Y/N)</t>
  </si>
  <si>
    <t>IN.191</t>
  </si>
  <si>
    <t>CNTRCT_ID_BDR</t>
  </si>
  <si>
    <t xml:space="preserve">BDR Contract ID </t>
  </si>
  <si>
    <t>IN.192</t>
  </si>
  <si>
    <t>COD_SOC_INTRGRP</t>
  </si>
  <si>
    <t>Cargabal identification code of the intragroup exposure</t>
  </si>
  <si>
    <t>IN.193</t>
  </si>
  <si>
    <t>LCL_INSTMRNT_ID</t>
  </si>
  <si>
    <t>Local Instrument ID</t>
  </si>
  <si>
    <t>IN.194</t>
  </si>
  <si>
    <t>SSTNBL_INDCTR</t>
  </si>
  <si>
    <t>Sustainable Indicator</t>
  </si>
  <si>
    <t>IN.195</t>
  </si>
  <si>
    <t>SSTNBL_CTGRY</t>
  </si>
  <si>
    <t>Sustainable Category</t>
  </si>
  <si>
    <t>IN.196</t>
  </si>
  <si>
    <t>AVRG_BLNC</t>
  </si>
  <si>
    <t>Average balance</t>
  </si>
  <si>
    <t>IN.197</t>
  </si>
  <si>
    <t>NW_BSNSS</t>
  </si>
  <si>
    <t>New Business</t>
  </si>
  <si>
    <t>IN.198</t>
  </si>
  <si>
    <t>GRSS_INTRST_INCM</t>
  </si>
  <si>
    <t>Gross Interest income before distribution to SCIB under the Collabotarion Revenues distribution agreement</t>
  </si>
  <si>
    <t>IN.199</t>
  </si>
  <si>
    <t>GRSS_CMMSSN_INCM</t>
  </si>
  <si>
    <t>Gross fee and commission income before distribution to SCIB under the Collabotarion Revenues distribution agreement</t>
  </si>
  <si>
    <t>IN.200</t>
  </si>
  <si>
    <t>INTRNL_TRNSFR_RT</t>
  </si>
  <si>
    <t>Internal transfer rate amount</t>
  </si>
  <si>
    <t>IN.201</t>
  </si>
  <si>
    <t>NT_LN_LSS_PRVSN</t>
  </si>
  <si>
    <t>Net loan-loss provisions</t>
  </si>
  <si>
    <t>IN.202</t>
  </si>
  <si>
    <t>BSNSS_AREA</t>
  </si>
  <si>
    <t>Business Area</t>
  </si>
  <si>
    <t>IN.203</t>
  </si>
  <si>
    <t>MNGMNT_PRDCT</t>
  </si>
  <si>
    <t>Management Product</t>
  </si>
  <si>
    <t>IN.204</t>
  </si>
  <si>
    <t>GRSS_CMMSSN_EXPNS</t>
  </si>
  <si>
    <t>Gross fee and commission expense before distribution to SCIB under the Collabotarion Revenues distribution agreement</t>
  </si>
  <si>
    <t>IN.205</t>
  </si>
  <si>
    <t>GNS_FNNCL_TRNSCTN_EXCHNG_DFFRNCS</t>
  </si>
  <si>
    <t>Gains (Losses) On Financial Transaction (gft) And Exchange Differences, before distribution to SCIB under the Collabotarion Revenues distribution agreement</t>
  </si>
  <si>
    <t>IN.206</t>
  </si>
  <si>
    <t>FLG_INTRBSNSS</t>
  </si>
  <si>
    <t>Flag of interbusiness</t>
  </si>
  <si>
    <t>IN.207</t>
  </si>
  <si>
    <t>INTRBSNSS_ADJ_COD</t>
  </si>
  <si>
    <t>Interbusiness adjustment code</t>
  </si>
  <si>
    <t>IN.208</t>
  </si>
  <si>
    <t>COD_SOC_DSTNTN</t>
  </si>
  <si>
    <t>Cargabal identification code of the destination entity</t>
  </si>
  <si>
    <t>IN.209</t>
  </si>
  <si>
    <t>BSNSS_AREA_DSTNTN</t>
  </si>
  <si>
    <t>Destination Business area</t>
  </si>
  <si>
    <t>IN.210</t>
  </si>
  <si>
    <t>AVRG_BLNC_OFF_BLNC</t>
  </si>
  <si>
    <t>Average off balance</t>
  </si>
  <si>
    <t>IN.211</t>
  </si>
  <si>
    <t>INTRNL_TRNSFR_RT_OFF_BLNC</t>
  </si>
  <si>
    <t>Internal transfer rate due to off balance amounts</t>
  </si>
  <si>
    <t>IN.212</t>
  </si>
  <si>
    <t>GRSS_CMMSSN_INCM_OFF_BLNC</t>
  </si>
  <si>
    <t>Gross fee and commission income corresponding to off balance product before distribution to SCIB under the Collabotarion Revenues distribution agreement</t>
  </si>
  <si>
    <t>IN.213</t>
  </si>
  <si>
    <t>GRSS_CMMSSN_EXPNS_OFF_BLNC</t>
  </si>
  <si>
    <t>Gross fee and commission expense corresponding to off balance product before distribution to SCIB under the Collabotarion Revenues distribution agreement</t>
  </si>
  <si>
    <t>IN.214</t>
  </si>
  <si>
    <t>RWA_OFF_BLNC</t>
  </si>
  <si>
    <t>RWA Off Balance</t>
  </si>
  <si>
    <t>IN.215</t>
  </si>
  <si>
    <t>GRSS_INTRST_EXPNS</t>
  </si>
  <si>
    <t>Gross Interest expense before distribution to SCIB under the Collabotarion Revenues distribution agreement</t>
  </si>
  <si>
    <t>IN.216</t>
  </si>
  <si>
    <t>NT_LN_LSS_PRVSN_OFF_BLNC</t>
  </si>
  <si>
    <t>Net loan-loss provisions corresponding to off balance exposures</t>
  </si>
  <si>
    <t>IN.217</t>
  </si>
  <si>
    <t>GRSS_INTRST_INCM_CCRR</t>
  </si>
  <si>
    <t>Gross Interest income distributed to SCIB under the Collabotarion Revenues distribution agreement</t>
  </si>
  <si>
    <t>IN.218</t>
  </si>
  <si>
    <t>GRSS_INTRST_EXPNS_CCRR</t>
  </si>
  <si>
    <t>Gross Interest expense distributed to SCIB under the Collabotarion Revenues distribution agreement</t>
  </si>
  <si>
    <t>IN.219</t>
  </si>
  <si>
    <t>GRSS_CMMSSN_INCM_CCRR</t>
  </si>
  <si>
    <t>Gross fee and commission income distributed to SCIB under the Collabotarion Revenues distribution agreement</t>
  </si>
  <si>
    <t>IN.220</t>
  </si>
  <si>
    <t>GRSS_CMMSSN_EXPNS_CCRR</t>
  </si>
  <si>
    <t>Gross fee and commission expense distributed to SCIB under the Collabotarion Revenues distribution agreement</t>
  </si>
  <si>
    <t>IN.221</t>
  </si>
  <si>
    <t>GNS_FNNCL_TRNSCTN_EXCHNG_CCRR</t>
  </si>
  <si>
    <t>Gains (Losses) On Financial Transaction (gft) And Exchange Differences distributed to SCIB under the Collabotarion Revenues distribution agreement</t>
  </si>
  <si>
    <t>IN.222</t>
  </si>
  <si>
    <t>BSNSS_AREA_CCRR</t>
  </si>
  <si>
    <t>Business Area related to CIB</t>
  </si>
  <si>
    <t>IN.223</t>
  </si>
  <si>
    <t>GRSS_CMMSSN_INCM_OFF_BLNC_CCRR</t>
  </si>
  <si>
    <t>Gross fee and commission income corresponding to off balance product distributed to SCIB under the Collabotarion Revenues distribution agreement</t>
  </si>
  <si>
    <t>IN.224</t>
  </si>
  <si>
    <t>GRSS_CMMSSN_EXPNS_OFF_BLNC_CCRR</t>
  </si>
  <si>
    <t>Gross fee and commission expense corresponding to off balance product distributed to SCIB under the Collabotarion Revenues distribution agreement</t>
  </si>
  <si>
    <t>IN.225</t>
  </si>
  <si>
    <t>ENVRNMNTL_OBJCTV</t>
  </si>
  <si>
    <t>Environmental objective</t>
  </si>
  <si>
    <t>IN.226</t>
  </si>
  <si>
    <t>RSK_MTGTD_CCT</t>
  </si>
  <si>
    <t>Risk Mitigated CCT</t>
  </si>
  <si>
    <t>IN.227</t>
  </si>
  <si>
    <t>RSK_MTGTD_CCP</t>
  </si>
  <si>
    <t>Risk Mitigated CCP</t>
  </si>
  <si>
    <t>IN.228</t>
  </si>
  <si>
    <t>TYP_ACTVTY</t>
  </si>
  <si>
    <t>Type of activity</t>
  </si>
  <si>
    <t>IN.229</t>
  </si>
  <si>
    <t>LNS_CLLTRLZD_CLSSFCTN</t>
  </si>
  <si>
    <t>Loans collateralized classification</t>
  </si>
  <si>
    <t>IN.230</t>
  </si>
  <si>
    <t>MTHD_USD_INSTRMNT_SCP_1</t>
  </si>
  <si>
    <t>Financed emissions calculation approach at instrument level scope 1</t>
  </si>
  <si>
    <t>IN.231</t>
  </si>
  <si>
    <t>MTHD_USD_INSTRMNT_SCP_2</t>
  </si>
  <si>
    <t>Financed emissions calculation approach at instrument level scope 2</t>
  </si>
  <si>
    <t>IN.232</t>
  </si>
  <si>
    <t>MTHD_USD_INSTRMNT_SCP_3</t>
  </si>
  <si>
    <t>Financed emissions calculation approach at instrument level scope 3</t>
  </si>
  <si>
    <t>IN.233</t>
  </si>
  <si>
    <t>CNCLLD_INSTRMNT_STTS</t>
  </si>
  <si>
    <t>Cancelled instrument status</t>
  </si>
  <si>
    <t>IN.234</t>
  </si>
  <si>
    <t>IDCMB</t>
  </si>
  <si>
    <t>IDCOMB</t>
  </si>
  <si>
    <t>IN.235</t>
  </si>
  <si>
    <t>EXPCTD_LSS_CRR</t>
  </si>
  <si>
    <t>Expected loss (CRR)</t>
  </si>
  <si>
    <t>IN.236</t>
  </si>
  <si>
    <t>LSTI</t>
  </si>
  <si>
    <t>LSTI at reference date</t>
  </si>
  <si>
    <t>IN.237</t>
  </si>
  <si>
    <t>DSTI</t>
  </si>
  <si>
    <t>DSTI at reference date</t>
  </si>
  <si>
    <t>IN.238</t>
  </si>
  <si>
    <t>LTI_INSTRMNT</t>
  </si>
  <si>
    <t>IN.239</t>
  </si>
  <si>
    <t>SSTNBL_CTGRY_TXNMY</t>
  </si>
  <si>
    <t>Sustainable category according to the European Taxonomy</t>
  </si>
  <si>
    <t>IP.001</t>
  </si>
  <si>
    <t>INSTR_PROTECTION</t>
  </si>
  <si>
    <t>IP.002</t>
  </si>
  <si>
    <t>IP.003</t>
  </si>
  <si>
    <t>IP.004</t>
  </si>
  <si>
    <t>PRTCTN_ID</t>
  </si>
  <si>
    <t>Protection ID</t>
  </si>
  <si>
    <t>IP.005</t>
  </si>
  <si>
    <t>PRTCTN_ALLCTD_VL</t>
  </si>
  <si>
    <t>Protection allocated value</t>
  </si>
  <si>
    <t>IP.006</t>
  </si>
  <si>
    <t>THRD_PRTY_PRRTY_CLMS</t>
  </si>
  <si>
    <t>Third party priority claims against the protection </t>
  </si>
  <si>
    <t>PR.001</t>
  </si>
  <si>
    <t>PROTECTION</t>
  </si>
  <si>
    <t>PR.002</t>
  </si>
  <si>
    <t>DT_MTRTY_PRTCTN</t>
  </si>
  <si>
    <t>Maturity date of the protection</t>
  </si>
  <si>
    <t>PR.003</t>
  </si>
  <si>
    <t>PR.004</t>
  </si>
  <si>
    <t>NTNL_ID</t>
  </si>
  <si>
    <t>National reference of the property</t>
  </si>
  <si>
    <t>PR.005</t>
  </si>
  <si>
    <t>PR.006</t>
  </si>
  <si>
    <t>PRTCTN_PRVDR_ID</t>
  </si>
  <si>
    <t>Protection Provider ID (Guarantor)</t>
  </si>
  <si>
    <t>PR.007</t>
  </si>
  <si>
    <t>RL_ESTT_ADDRSS</t>
  </si>
  <si>
    <t>Address (street) and number</t>
  </si>
  <si>
    <t>PR.008</t>
  </si>
  <si>
    <t>RL_ESTT_CLLTRL_LCTN</t>
  </si>
  <si>
    <t>Real estate collateral location</t>
  </si>
  <si>
    <t>PR.009</t>
  </si>
  <si>
    <t>RL_ESTT_CLLTRL_LCTN_INT</t>
  </si>
  <si>
    <t>Real estate asset location according to bank-internal definition</t>
  </si>
  <si>
    <t>PR.010</t>
  </si>
  <si>
    <t>RL_ESTT_CTY</t>
  </si>
  <si>
    <t>City real estate</t>
  </si>
  <si>
    <t>PR.011</t>
  </si>
  <si>
    <t>RL_ESTT_PST_CD</t>
  </si>
  <si>
    <t>PR.012</t>
  </si>
  <si>
    <t>HRCT_MV</t>
  </si>
  <si>
    <t>Haircut applied by the bank to the market value</t>
  </si>
  <si>
    <t>PR.013</t>
  </si>
  <si>
    <t>PRTCTN_CLLD</t>
  </si>
  <si>
    <t>Protection called</t>
  </si>
  <si>
    <t>PR.014</t>
  </si>
  <si>
    <t>TYP_PRTCTN</t>
  </si>
  <si>
    <t>Protection type</t>
  </si>
  <si>
    <t>PR.015</t>
  </si>
  <si>
    <t>TYP_PRTCTN_INTRNL</t>
  </si>
  <si>
    <t>Type of protection received, irrespective of its eligibility for credit risk mitigation according to bank-internal classification</t>
  </si>
  <si>
    <t>PR.016</t>
  </si>
  <si>
    <t>TYP_PRTCTN_VL</t>
  </si>
  <si>
    <t>Type of protection value</t>
  </si>
  <si>
    <t>PR.017</t>
  </si>
  <si>
    <t>APPRSL_CRRNCY</t>
  </si>
  <si>
    <t>Appraisal currency</t>
  </si>
  <si>
    <t>PR.018</t>
  </si>
  <si>
    <t>APPRSR</t>
  </si>
  <si>
    <t>Provider of latest valuation (appraiser)</t>
  </si>
  <si>
    <t>PR.019</t>
  </si>
  <si>
    <t>DT_LST_FLL_APPRSL</t>
  </si>
  <si>
    <t>Date of last full appraisal</t>
  </si>
  <si>
    <t>PR.020</t>
  </si>
  <si>
    <t>DT_ORGNL_PRTCTN_VL</t>
  </si>
  <si>
    <t>Date of original protection value</t>
  </si>
  <si>
    <t>PR.021</t>
  </si>
  <si>
    <t>DT_PRTCTN_VL</t>
  </si>
  <si>
    <t>Date of protection value</t>
  </si>
  <si>
    <t>PR.022</t>
  </si>
  <si>
    <t>ORGNL_PRTCTN_VL</t>
  </si>
  <si>
    <t>Original protection value (at inception)</t>
  </si>
  <si>
    <t>PR.023</t>
  </si>
  <si>
    <t>PRTCTN_FRCD_SL_VL</t>
  </si>
  <si>
    <t>Forced sale value</t>
  </si>
  <si>
    <t>PR.024</t>
  </si>
  <si>
    <t>PRTCTN_VL</t>
  </si>
  <si>
    <t>Appraised market value</t>
  </si>
  <si>
    <t>PR.025</t>
  </si>
  <si>
    <t>PRTCTN_VL_NPE</t>
  </si>
  <si>
    <t>Most recent appraised market value at the time when the instrument was classified as non-performing</t>
  </si>
  <si>
    <t>PR.026</t>
  </si>
  <si>
    <t>PRTCTN_VLTN_APPRCH</t>
  </si>
  <si>
    <t>Protection valuation approach</t>
  </si>
  <si>
    <t>PR.027</t>
  </si>
  <si>
    <t>DT_APPRSL_PRVS</t>
  </si>
  <si>
    <t>Previous appraisal date</t>
  </si>
  <si>
    <t>PR.028</t>
  </si>
  <si>
    <t>PRTCTN_VL_PRVS</t>
  </si>
  <si>
    <t>Previous appraised market value</t>
  </si>
  <si>
    <t>PR.029</t>
  </si>
  <si>
    <t>CNSTRCTN_STTS</t>
  </si>
  <si>
    <t>Construction status</t>
  </si>
  <si>
    <t>PR.030</t>
  </si>
  <si>
    <t>DT_CNSTRCTN_STTS</t>
  </si>
  <si>
    <t>Date of construction status</t>
  </si>
  <si>
    <t>PR.031</t>
  </si>
  <si>
    <t>DT_FRST_USG</t>
  </si>
  <si>
    <t>Date of first usage of the building</t>
  </si>
  <si>
    <t>PR.032</t>
  </si>
  <si>
    <t>DVLPMNT_STTS</t>
  </si>
  <si>
    <t>Development status</t>
  </si>
  <si>
    <t>PR.033</t>
  </si>
  <si>
    <t>MN_PRPS</t>
  </si>
  <si>
    <t>Main purpose</t>
  </si>
  <si>
    <t>PR.034</t>
  </si>
  <si>
    <t>PRM_LCTN</t>
  </si>
  <si>
    <t>Prime location according to bank-internal definition  (Y/N)</t>
  </si>
  <si>
    <t>PR.035</t>
  </si>
  <si>
    <t>CRE_INCM_CRRNCY</t>
  </si>
  <si>
    <t>Currency of annual income and expenses</t>
  </si>
  <si>
    <t>PR.036</t>
  </si>
  <si>
    <t>CRE_YRLY_EXPNSS</t>
  </si>
  <si>
    <t>Current annual operating expenses</t>
  </si>
  <si>
    <t>PR.037</t>
  </si>
  <si>
    <t>CRE_YRLY_INCM</t>
  </si>
  <si>
    <t>Current annual income</t>
  </si>
  <si>
    <t>PR.038</t>
  </si>
  <si>
    <t>PRTCTN_TYP_PBLC_GRNT_SCHM_C19</t>
  </si>
  <si>
    <t>Type protection value is a public guarantee scheme in response to the COVID19 situation. Please report all COVID-related measures until 31 December 2022. Afterwards, please report Not Applicable default value</t>
  </si>
  <si>
    <t>PR.039</t>
  </si>
  <si>
    <t>PR.040</t>
  </si>
  <si>
    <t>TYP_EP_SCR</t>
  </si>
  <si>
    <t>EP Score Data Type</t>
  </si>
  <si>
    <t>PR.041</t>
  </si>
  <si>
    <t>EP_SCR</t>
  </si>
  <si>
    <t>EP Score</t>
  </si>
  <si>
    <t>PR.042</t>
  </si>
  <si>
    <t>TYP_EPC_LBL</t>
  </si>
  <si>
    <t>EPC Label Data Type</t>
  </si>
  <si>
    <t>PR.043</t>
  </si>
  <si>
    <t>EPC_LBL</t>
  </si>
  <si>
    <t>EPC Label</t>
  </si>
  <si>
    <t>PR.044</t>
  </si>
  <si>
    <t>TYP_EMSSNS_LBL</t>
  </si>
  <si>
    <t>EPC or Vehicle emissions label data type</t>
  </si>
  <si>
    <t>PR.045</t>
  </si>
  <si>
    <t>EPC_EMSSNS_LBL</t>
  </si>
  <si>
    <t>EPC emissions label</t>
  </si>
  <si>
    <t>PR.046</t>
  </si>
  <si>
    <t>VHCL_EMSSNS_LBL</t>
  </si>
  <si>
    <t>Vehicle emissions label</t>
  </si>
  <si>
    <t>PR.047</t>
  </si>
  <si>
    <t>TYP_EMSSNS_SCR</t>
  </si>
  <si>
    <t>Emissions score data type</t>
  </si>
  <si>
    <t>PR.048</t>
  </si>
  <si>
    <t>EPC_EMSSNS_SCR</t>
  </si>
  <si>
    <t>EPC emissions score</t>
  </si>
  <si>
    <t>PR.049</t>
  </si>
  <si>
    <t>VHCL_EMSSNS_SCR</t>
  </si>
  <si>
    <t>Vehicle's emissions score</t>
  </si>
  <si>
    <t>PR.050</t>
  </si>
  <si>
    <t>EMSSNS_SCP1_PRTCTN</t>
  </si>
  <si>
    <t>Protection's emissions scope 1</t>
  </si>
  <si>
    <t>PR.051</t>
  </si>
  <si>
    <t>EMSSNS_SCP2_PRTCTN</t>
  </si>
  <si>
    <t>Protection's emissions scope 2</t>
  </si>
  <si>
    <t>PR.052</t>
  </si>
  <si>
    <t>EMSSNS_SCP3_PRTCTN</t>
  </si>
  <si>
    <t>Protection's emissions scope 3</t>
  </si>
  <si>
    <t>PR.053</t>
  </si>
  <si>
    <t>MTHD_USD_PRTCTN_SCP_1</t>
  </si>
  <si>
    <t>Financed emissions calculation approach at protection level scope 1</t>
  </si>
  <si>
    <t>PR.054</t>
  </si>
  <si>
    <t>MTHD_USD_PRTCTN_SCP_2</t>
  </si>
  <si>
    <t>Financed emissions calculation approach at protection level scope 2</t>
  </si>
  <si>
    <t>PR.055</t>
  </si>
  <si>
    <t>MTHD_USD_PRTCTN_SCP_3</t>
  </si>
  <si>
    <t>Financed emissions calculation approach at protection level scope 3</t>
  </si>
  <si>
    <t>PR.056</t>
  </si>
  <si>
    <t>Flag Acute Physical Risk at protection level</t>
  </si>
  <si>
    <t>PR.057</t>
  </si>
  <si>
    <t>Flag Chronic Physical Risk at protection level</t>
  </si>
  <si>
    <t>PR.058</t>
  </si>
  <si>
    <t>INSRNC_ID</t>
  </si>
  <si>
    <t>Insurance ID</t>
  </si>
  <si>
    <t>PR.059</t>
  </si>
  <si>
    <t>TYP_HZRDS_INSRD</t>
  </si>
  <si>
    <t>Type of hazards insured</t>
  </si>
  <si>
    <t>PR.060</t>
  </si>
  <si>
    <t>AMNT_CVRD_INSRNC</t>
  </si>
  <si>
    <t>Total amount covered by the insurance</t>
  </si>
  <si>
    <t>PR.061</t>
  </si>
  <si>
    <t>DT_MTRTY_INSRNC</t>
  </si>
  <si>
    <t>Maturity date of the insurance</t>
  </si>
  <si>
    <t>PR.062</t>
  </si>
  <si>
    <t>FLG_FRST_HM</t>
  </si>
  <si>
    <t>Flag first home</t>
  </si>
  <si>
    <t>PR.063</t>
  </si>
  <si>
    <t>YR_CNSTRCTN</t>
  </si>
  <si>
    <t>Year of construction</t>
  </si>
  <si>
    <t>EN.130</t>
  </si>
  <si>
    <t>ADDRSS_CTY</t>
  </si>
  <si>
    <t>Address: city/town/village</t>
  </si>
  <si>
    <t>EN.131</t>
  </si>
  <si>
    <t>ADDRSS_STRT</t>
  </si>
  <si>
    <t>Address: street</t>
  </si>
  <si>
    <t>EN.132</t>
  </si>
  <si>
    <t>DT_ENTRPRS_SZ</t>
  </si>
  <si>
    <t>Date of enterprise size</t>
  </si>
  <si>
    <t>EN.133</t>
  </si>
  <si>
    <t>NMBR_EMPLYS</t>
  </si>
  <si>
    <t>Number of employees</t>
  </si>
  <si>
    <t>EN.134</t>
  </si>
  <si>
    <t>LGL_FRM</t>
  </si>
  <si>
    <t>Legal form</t>
  </si>
  <si>
    <t>EN.135</t>
  </si>
  <si>
    <t>HD_OFFC_UNDRTKNG_ID</t>
  </si>
  <si>
    <t>Head office undertaking identifier</t>
  </si>
  <si>
    <t>EN.136</t>
  </si>
  <si>
    <t>IMMDT_PRNT_UNDRTKNG_ID</t>
  </si>
  <si>
    <t>Immediate parent undertaking identifier</t>
  </si>
  <si>
    <t>EN.137</t>
  </si>
  <si>
    <t>ULTMT_PRNT_UNDRTKNG_ID</t>
  </si>
  <si>
    <t>Ultimate parent undertaking identifier</t>
  </si>
  <si>
    <t>EN.138</t>
  </si>
  <si>
    <t>TTL_ASSTS</t>
  </si>
  <si>
    <t>Total Assets</t>
  </si>
  <si>
    <t>EN.139</t>
  </si>
  <si>
    <t>FLLN_ANGL_NRRW_DFNTN</t>
  </si>
  <si>
    <t>Fallen Angel narrow definition</t>
  </si>
  <si>
    <t>EN.140</t>
  </si>
  <si>
    <t>FLLN_ANGL_EXTNDD_DFNTN</t>
  </si>
  <si>
    <t>Fallen Angel extended definition</t>
  </si>
  <si>
    <t>EN.141</t>
  </si>
  <si>
    <t>ENTTY_ID_BDR</t>
  </si>
  <si>
    <t xml:space="preserve">BDR Entity ID </t>
  </si>
  <si>
    <t>CPN_RT_FXD</t>
  </si>
  <si>
    <t>CPN_RT_FLTNG</t>
  </si>
  <si>
    <t>IN.240</t>
  </si>
  <si>
    <t>INTRST_RT_CP</t>
  </si>
  <si>
    <t>Interest rate cap</t>
  </si>
  <si>
    <t>IN.241</t>
  </si>
  <si>
    <t>INTRST_RT_FLR</t>
  </si>
  <si>
    <t>Interest rate floor</t>
  </si>
  <si>
    <t>IN.242</t>
  </si>
  <si>
    <t>NMNL_INTRST_RT_FEE</t>
  </si>
  <si>
    <t>Nominal interest rate or fee</t>
  </si>
  <si>
    <t>IN.243</t>
  </si>
  <si>
    <t xml:space="preserve">Reference interest rate </t>
  </si>
  <si>
    <t>IN.244</t>
  </si>
  <si>
    <t>DT_STTLMNT</t>
  </si>
  <si>
    <t>Settlement date</t>
  </si>
  <si>
    <t>IN.245</t>
  </si>
  <si>
    <t>TRNSFRRD_AMNT</t>
  </si>
  <si>
    <t>Transferred amount</t>
  </si>
  <si>
    <t>IN.246</t>
  </si>
  <si>
    <t>TYP_SCRTZTN</t>
  </si>
  <si>
    <t>Type of securitization</t>
  </si>
  <si>
    <t>IN.247</t>
  </si>
  <si>
    <t>TYP_OFF_BLNC_PRDCT</t>
  </si>
  <si>
    <t>Type of off balance product</t>
  </si>
  <si>
    <t>IN.248</t>
  </si>
  <si>
    <t>BLNC_SHT_RCGNTN</t>
  </si>
  <si>
    <t>Balance sheet recognition</t>
  </si>
  <si>
    <t>IN.249</t>
  </si>
  <si>
    <t>FLG_DFLT</t>
  </si>
  <si>
    <t>Flag default (CRR Exposure class)</t>
  </si>
  <si>
    <t>IN.250</t>
  </si>
  <si>
    <t>FLG_HGH_RSK</t>
  </si>
  <si>
    <t>Flag high risk (CRR Exposure class)</t>
  </si>
  <si>
    <t>IN.251</t>
  </si>
  <si>
    <t>EXCLDD_LF</t>
  </si>
  <si>
    <t>Excluded Leveraged Transaction Exposures</t>
  </si>
  <si>
    <t>IN.252</t>
  </si>
  <si>
    <t>RWA_MTGTN</t>
  </si>
  <si>
    <t>RWA for exposures subject to credit risk mitigation techniques</t>
  </si>
  <si>
    <t>IN.253</t>
  </si>
  <si>
    <t>RWA_PRMTGTN</t>
  </si>
  <si>
    <t>RWA premitigation</t>
  </si>
  <si>
    <t>IN.254</t>
  </si>
  <si>
    <t>US_PRCDS</t>
  </si>
  <si>
    <t>Use of proceeds</t>
  </si>
  <si>
    <t>IN.255</t>
  </si>
  <si>
    <t>TTL_LVRG_RT_INCPTN</t>
  </si>
  <si>
    <t>Leverage ratio at inception date</t>
  </si>
  <si>
    <t>IN.256</t>
  </si>
  <si>
    <t>TYP_FCLTY</t>
  </si>
  <si>
    <t>Type of Facility</t>
  </si>
  <si>
    <t>IN.257</t>
  </si>
  <si>
    <t>TYP_CL</t>
  </si>
  <si>
    <t>Type of CLO</t>
  </si>
  <si>
    <t>IP.007</t>
  </si>
  <si>
    <t>TYP_RLTN</t>
  </si>
  <si>
    <t>Type of relation</t>
  </si>
  <si>
    <t>PR.064</t>
  </si>
  <si>
    <t>BLDNG_AR</t>
  </si>
  <si>
    <t>Building Area (M2)</t>
  </si>
  <si>
    <t>PR.065</t>
  </si>
  <si>
    <t>LND_AR</t>
  </si>
  <si>
    <t>Land Area (M2)</t>
  </si>
  <si>
    <t>PR.066</t>
  </si>
  <si>
    <t>LN_PSTN</t>
  </si>
  <si>
    <t>Lien position</t>
  </si>
  <si>
    <t>Green Finance</t>
  </si>
  <si>
    <t>Leveraged Finance</t>
  </si>
  <si>
    <r>
      <t>FLG_</t>
    </r>
    <r>
      <rPr>
        <b/>
        <sz val="11"/>
        <color rgb="FFFF0000"/>
        <rFont val="Arial"/>
        <family val="2"/>
        <scheme val="minor"/>
      </rPr>
      <t>CSRD</t>
    </r>
    <r>
      <rPr>
        <b/>
        <sz val="11"/>
        <rFont val="Arial"/>
        <family val="2"/>
        <scheme val="minor"/>
      </rPr>
      <t>_APPLCBLTY</t>
    </r>
  </si>
  <si>
    <t>Flag of CSRD applicability at counterparty level</t>
  </si>
  <si>
    <r>
      <t>FLG_GRP_</t>
    </r>
    <r>
      <rPr>
        <b/>
        <sz val="11"/>
        <color rgb="FFFF0000"/>
        <rFont val="Arial"/>
        <family val="2"/>
        <scheme val="minor"/>
      </rPr>
      <t>CSRD</t>
    </r>
    <r>
      <rPr>
        <b/>
        <sz val="11"/>
        <rFont val="Arial"/>
        <family val="2"/>
        <scheme val="minor"/>
      </rPr>
      <t>_APPLCBLTY</t>
    </r>
  </si>
  <si>
    <t>Flag of CSRD applicability at Group Level</t>
  </si>
  <si>
    <t>EN.142</t>
  </si>
  <si>
    <t>TXNMY_ELGBL_CAPEX_W</t>
  </si>
  <si>
    <t>Taxonomy-eligible CAPEX (W) Ratio</t>
  </si>
  <si>
    <t>EN.143</t>
  </si>
  <si>
    <t>TXNMY_ELGBL_TRNVR_W</t>
  </si>
  <si>
    <t>Taxonomy-eligible Turnover (W) Ratio</t>
  </si>
  <si>
    <t>EN.144</t>
  </si>
  <si>
    <t>TXNMY_ELGBL_CAPEX_P</t>
  </si>
  <si>
    <t>Taxonomy-eligible CAPEX (P) Ratio</t>
  </si>
  <si>
    <t>EN.145</t>
  </si>
  <si>
    <t>TXNMY_ELGBL_TRNVR_P</t>
  </si>
  <si>
    <t>Taxonomy-eligible Turnover (P) Ratio</t>
  </si>
  <si>
    <t>EN.146</t>
  </si>
  <si>
    <t>TXNMY_ELGBL_CAPEX_B</t>
  </si>
  <si>
    <t>Taxonomy-eligible CAPEX (B) Ratio</t>
  </si>
  <si>
    <t>EN.147</t>
  </si>
  <si>
    <t>TXNMY_ELGBL_TRNVR_B</t>
  </si>
  <si>
    <t>Taxonomy-eligible Turnover (B) Ratio</t>
  </si>
  <si>
    <t>EN.148</t>
  </si>
  <si>
    <t>TXNMY_ELGBL_CAPEX_CE</t>
  </si>
  <si>
    <t>Taxonomy-eligible CAPEX (CE) Ratio</t>
  </si>
  <si>
    <t>EN.149</t>
  </si>
  <si>
    <t>TXNMY_ELGBL_TRNVR_CE</t>
  </si>
  <si>
    <t>Taxonomy-eligible Turnover (CE) Ratio</t>
  </si>
  <si>
    <t>EN.150</t>
  </si>
  <si>
    <t>PURE_CAPEX_P</t>
  </si>
  <si>
    <t>Taxonomy-aligned CAPEX (P) - Pure Ratio</t>
  </si>
  <si>
    <t>EN.151</t>
  </si>
  <si>
    <t>PURE_TRNVR_P</t>
  </si>
  <si>
    <t>Taxonomy-aligned Turnover (P) - Pure Ratio</t>
  </si>
  <si>
    <t>EN.152</t>
  </si>
  <si>
    <t>PURE_CAPEX_B</t>
  </si>
  <si>
    <t>Taxonomy-aligned CAPEX (B) - Pure Ratio</t>
  </si>
  <si>
    <t>EN.153</t>
  </si>
  <si>
    <t>PURE_TRNVR_B</t>
  </si>
  <si>
    <t>Taxonomy-aligned Turnover (B) - Pure Ratio</t>
  </si>
  <si>
    <t>EN.154</t>
  </si>
  <si>
    <t>PURE_CAPEX_W</t>
  </si>
  <si>
    <t>Taxonomy-aligned CAPEX (W) - Pure Ratio</t>
  </si>
  <si>
    <t>EN.155</t>
  </si>
  <si>
    <t>PURE_TRNVR_W</t>
  </si>
  <si>
    <t>Taxonomy-aligned Turnover (W) - Pure Ratio</t>
  </si>
  <si>
    <t>EN.156</t>
  </si>
  <si>
    <t>PURE_CAPEX_CE</t>
  </si>
  <si>
    <t>Taxonomy-aligned CAPEX (CE) - Pure Ratio</t>
  </si>
  <si>
    <t>EN.157</t>
  </si>
  <si>
    <t>PURE_TRNVR_CE</t>
  </si>
  <si>
    <t>Taxonomy-aligned Turnover (CE) - Pure Ratio</t>
  </si>
  <si>
    <t>EN.158</t>
  </si>
  <si>
    <t>ENBLNG_CAPEX_W</t>
  </si>
  <si>
    <t>Taxonomy-aligned CAPEX (W) - Enabling Ratio</t>
  </si>
  <si>
    <t>EN.159</t>
  </si>
  <si>
    <t>ENBLNG_TRNVR_W</t>
  </si>
  <si>
    <t>Taxonomy-aligned Turnover (W) - Enabling Ratio</t>
  </si>
  <si>
    <t>EN.160</t>
  </si>
  <si>
    <t>ENBLNG_CAPEX_CE</t>
  </si>
  <si>
    <t>Taxonomy-aligned CAPEX (CE) - Enabling Ratio</t>
  </si>
  <si>
    <t>EN.161</t>
  </si>
  <si>
    <t>ENBLNG_TRNVR_CE</t>
  </si>
  <si>
    <t>Taxonomy-aligned Turnover (CE) - Enabling Ratio</t>
  </si>
  <si>
    <t>EN.162</t>
  </si>
  <si>
    <t>RORAC</t>
  </si>
  <si>
    <t xml:space="preserve">RORAC </t>
  </si>
  <si>
    <t>EN.163</t>
  </si>
  <si>
    <t>GRP_RORAC</t>
  </si>
  <si>
    <t>Group's RORAC</t>
  </si>
  <si>
    <t>EN.164</t>
  </si>
  <si>
    <t>RORWA</t>
  </si>
  <si>
    <t>RoRWA</t>
  </si>
  <si>
    <t>EN.165</t>
  </si>
  <si>
    <t>GRP_RORWA</t>
  </si>
  <si>
    <t>Group's RoRWA</t>
  </si>
  <si>
    <t>EN.166</t>
  </si>
  <si>
    <t>SCAN</t>
  </si>
  <si>
    <t>EN.167</t>
  </si>
  <si>
    <t>TTL_PRMSSBL_DBT_BLNC</t>
  </si>
  <si>
    <t>Total permissible debt balance</t>
  </si>
  <si>
    <t>Interest rate at the reference date</t>
  </si>
  <si>
    <t>IN.258</t>
  </si>
  <si>
    <t>FLG_MNMM_SFGRDS</t>
  </si>
  <si>
    <t>Minimum safeguards flag</t>
  </si>
  <si>
    <t>IN.259</t>
  </si>
  <si>
    <t>IN.260</t>
  </si>
  <si>
    <t>IN.261</t>
  </si>
  <si>
    <t>TYP_DL</t>
  </si>
  <si>
    <t>Type of Deal</t>
  </si>
  <si>
    <t>IN.262</t>
  </si>
  <si>
    <t>DSTNTN_FNDS</t>
  </si>
  <si>
    <t>Destination of funds</t>
  </si>
  <si>
    <t>IN.263</t>
  </si>
  <si>
    <t>PRTNR</t>
  </si>
  <si>
    <t>Partner</t>
  </si>
  <si>
    <t>IN.264</t>
  </si>
  <si>
    <t>INCNTVS</t>
  </si>
  <si>
    <t>Incentives</t>
  </si>
  <si>
    <t>IN.265</t>
  </si>
  <si>
    <t>OTHR_OPRTNG_INCM</t>
  </si>
  <si>
    <t>Other operating income</t>
  </si>
  <si>
    <t>IN.266</t>
  </si>
  <si>
    <t>RFRRL_FS</t>
  </si>
  <si>
    <t>Referral Fees</t>
  </si>
  <si>
    <t>IN.267</t>
  </si>
  <si>
    <t>INSRNC_CMSSNS</t>
  </si>
  <si>
    <t>Insurance</t>
  </si>
  <si>
    <t>IN.268</t>
  </si>
  <si>
    <t>OTHR_INCM_AND_CHRGS</t>
  </si>
  <si>
    <t>Other income and charges</t>
  </si>
  <si>
    <t>IN.269</t>
  </si>
  <si>
    <t>TX_ON_PRFT</t>
  </si>
  <si>
    <t>Tax on Profit</t>
  </si>
  <si>
    <t>PR.067</t>
  </si>
  <si>
    <t>RL_ESTT_CRTFCTN</t>
  </si>
  <si>
    <t>Real estate sustainable certifications</t>
  </si>
  <si>
    <t>PR.068</t>
  </si>
  <si>
    <t>TYP_VHCL</t>
  </si>
  <si>
    <t>Type of vehicle</t>
  </si>
  <si>
    <t>PR.069</t>
  </si>
  <si>
    <t>DT_RGSTRTN</t>
  </si>
  <si>
    <t>Registration date of the vehicle</t>
  </si>
  <si>
    <t>PR.070</t>
  </si>
  <si>
    <t>PRMRY_ENRGY_DMND_NN_RNWBL</t>
  </si>
  <si>
    <t>Actual annual primary energy demand from non renewable sources of the building</t>
  </si>
  <si>
    <t>PR.071</t>
  </si>
  <si>
    <t>PRMRY_ENRGY_DMND_TTL</t>
  </si>
  <si>
    <t>Actual annual primary energy demand of the building</t>
  </si>
  <si>
    <t>PR.072</t>
  </si>
  <si>
    <t>PRMRY_ENRGY_DMND_RFRNC_VL</t>
  </si>
  <si>
    <t>Annual primary energy demand of reference</t>
  </si>
  <si>
    <t>PR.073</t>
  </si>
  <si>
    <t>RL_ESTT_CLMT_ZN</t>
  </si>
  <si>
    <t>Climatic zone of the building</t>
  </si>
  <si>
    <t>PR.074</t>
  </si>
  <si>
    <t>RL_ESTT_LNGTD</t>
  </si>
  <si>
    <t>Real estate longitude</t>
  </si>
  <si>
    <t>PR.075</t>
  </si>
  <si>
    <t>RL_ESTT_LTTD</t>
  </si>
  <si>
    <t>Real estate latitude</t>
  </si>
  <si>
    <t>PR.076</t>
  </si>
  <si>
    <t>FLG_ELCTRC_VHCL</t>
  </si>
  <si>
    <t>Flag of electric vehicle</t>
  </si>
  <si>
    <t>AC.001</t>
  </si>
  <si>
    <t>INSTR_ACTIVITY</t>
  </si>
  <si>
    <t>AC.002</t>
  </si>
  <si>
    <t>AC.003</t>
  </si>
  <si>
    <t>AC.004</t>
  </si>
  <si>
    <t>Sustainable Category Green (specific purpose) and General (general purpose)</t>
  </si>
  <si>
    <t>AC.005</t>
  </si>
  <si>
    <t>PRCNTG_ACTVTY</t>
  </si>
  <si>
    <t>Percentage of UoP</t>
  </si>
  <si>
    <t>AC.006</t>
  </si>
  <si>
    <t>AC.007</t>
  </si>
  <si>
    <t>AC.008</t>
  </si>
  <si>
    <t>AC.009</t>
  </si>
  <si>
    <t>FLG_SBSTNTL_CNTRBTN</t>
  </si>
  <si>
    <t>Substantial contribution compliance</t>
  </si>
  <si>
    <t>AC.010</t>
  </si>
  <si>
    <t>FLG_DNSH_CMPLNC</t>
  </si>
  <si>
    <t>DNSH compliance</t>
  </si>
  <si>
    <t>AC.011</t>
  </si>
  <si>
    <t>DNSH_DTL</t>
  </si>
  <si>
    <t>DNSH detail</t>
  </si>
  <si>
    <t>SETEMBRO</t>
  </si>
  <si>
    <t>n/a</t>
  </si>
  <si>
    <t>val</t>
  </si>
  <si>
    <t>Campo eliminado</t>
  </si>
  <si>
    <t>Nome campo alterado</t>
  </si>
  <si>
    <t>ESTR</t>
  </si>
  <si>
    <t>AMBITO</t>
  </si>
  <si>
    <t>xx</t>
  </si>
  <si>
    <t>Novo Campo</t>
  </si>
  <si>
    <t>Novo Campo ESG Risks (lista atual)</t>
  </si>
  <si>
    <t>Descrição</t>
  </si>
  <si>
    <t>9. Concluído</t>
  </si>
  <si>
    <t>5.2 Em testes - Incidência</t>
  </si>
  <si>
    <t>2. Alterar especificação</t>
  </si>
  <si>
    <t>3. Pendente de decisão</t>
  </si>
  <si>
    <t>1. Especificar</t>
  </si>
  <si>
    <t>7. Analisar controlos e completude</t>
  </si>
  <si>
    <t>8. Concluído - sem dados</t>
  </si>
  <si>
    <t>4.1 Em implementação - Re-especificação</t>
  </si>
  <si>
    <t>5.1 Em testes - Re-especificação</t>
  </si>
  <si>
    <t>6. Outros Desenvolvimentos</t>
  </si>
  <si>
    <t>4.2 Em implementação - Incidência</t>
  </si>
  <si>
    <t>Status Data Lake</t>
  </si>
  <si>
    <t>val_GD</t>
  </si>
  <si>
    <t>val_ESTR</t>
  </si>
  <si>
    <t>val_PILAR3</t>
  </si>
  <si>
    <t>val_ESG_RISKS</t>
  </si>
  <si>
    <t>ATUAL_Structural 
ECB Loan Tape</t>
  </si>
  <si>
    <t>ATUAL_Green 
Dashboard</t>
  </si>
  <si>
    <t>ATUAL_Pillar III ESG</t>
  </si>
  <si>
    <t>ATUAL_Green Finance</t>
  </si>
  <si>
    <t>ATUAL_ESG Risks</t>
  </si>
  <si>
    <t>ATUAL_Leveraged Finance</t>
  </si>
  <si>
    <t>CONCAT</t>
  </si>
  <si>
    <t>ESTR &amp; GD &amp; PILAR3</t>
  </si>
  <si>
    <t>ESTR &amp; GD</t>
  </si>
  <si>
    <t>GD</t>
  </si>
  <si>
    <t>PILAR3</t>
  </si>
  <si>
    <t>ESG_RISKS</t>
  </si>
  <si>
    <t>LF</t>
  </si>
  <si>
    <t xml:space="preserve"> &amp; </t>
  </si>
  <si>
    <t>STATUS</t>
  </si>
  <si>
    <t>GFINANCE</t>
  </si>
  <si>
    <t>Sem alteração</t>
  </si>
  <si>
    <t>Nova tabela</t>
  </si>
  <si>
    <t>Nova Tabela</t>
  </si>
  <si>
    <t>Nova Tabela - Campo existente</t>
  </si>
  <si>
    <t>Campo eliminado - troca tabela</t>
  </si>
  <si>
    <t>GD &amp; PILAR3</t>
  </si>
  <si>
    <t>ESTR &amp; GFINANCE</t>
  </si>
  <si>
    <t>ESTR &amp; PILAR3</t>
  </si>
  <si>
    <t># Campos</t>
  </si>
  <si>
    <t>Alteração</t>
  </si>
  <si>
    <t>Âmbito</t>
  </si>
  <si>
    <t>Observações</t>
  </si>
  <si>
    <t>Sem alterações</t>
  </si>
  <si>
    <t>ESTR (&amp; outros)</t>
  </si>
  <si>
    <t>Fonte manual LF</t>
  </si>
  <si>
    <t>Status Data Lake (Detalhe)</t>
  </si>
  <si>
    <t>Total</t>
  </si>
  <si>
    <t>Leverage Finance = "Y"</t>
  </si>
  <si>
    <t>Leverage Finance = "N"</t>
  </si>
  <si>
    <t>De notar que 2 campos trocaram de tabela</t>
  </si>
  <si>
    <t>n.a.</t>
  </si>
  <si>
    <t>ESTR (&amp; Green Finance)</t>
  </si>
  <si>
    <t>Nome de campo alterado</t>
  </si>
  <si>
    <t>Total (excl. campos elim.)</t>
  </si>
  <si>
    <t>Sem impacto previsto a nível de re-especificação.</t>
  </si>
  <si>
    <t>Campos adicionados pela Corporação antes de abril e não contemplados no Data Lake.</t>
  </si>
  <si>
    <r>
      <t xml:space="preserve">De notar que destes campos (âmbito ESTR):
- </t>
    </r>
    <r>
      <rPr>
        <b/>
        <sz val="10"/>
        <color theme="7"/>
        <rFont val="Arial"/>
        <family val="2"/>
        <scheme val="major"/>
      </rPr>
      <t>29</t>
    </r>
    <r>
      <rPr>
        <sz val="10"/>
        <color theme="1"/>
        <rFont val="Arial"/>
        <family val="2"/>
        <scheme val="major"/>
      </rPr>
      <t xml:space="preserve"> estão sem dados/pouca qualidade com necessidades de (re)-especificações (Salários, Demonstrações Financeiras CIB)
- </t>
    </r>
    <r>
      <rPr>
        <b/>
        <sz val="10"/>
        <color theme="7"/>
        <rFont val="Arial"/>
        <family val="2"/>
        <scheme val="major"/>
      </rPr>
      <t>27</t>
    </r>
    <r>
      <rPr>
        <sz val="10"/>
        <color theme="1"/>
        <rFont val="Arial"/>
        <family val="2"/>
        <scheme val="major"/>
      </rPr>
      <t xml:space="preserve"> em testes/implementação
- </t>
    </r>
    <r>
      <rPr>
        <b/>
        <sz val="10"/>
        <color theme="7"/>
        <rFont val="Arial"/>
        <family val="2"/>
        <scheme val="major"/>
      </rPr>
      <t>42</t>
    </r>
    <r>
      <rPr>
        <sz val="10"/>
        <color theme="1"/>
        <rFont val="Arial"/>
        <family val="2"/>
        <scheme val="major"/>
      </rPr>
      <t xml:space="preserve"> com incidências nos controlos corporativos</t>
    </r>
  </si>
  <si>
    <t>Comparação com lista ATUAL</t>
  </si>
  <si>
    <t>Estimação Horas</t>
  </si>
  <si>
    <t>Tipologia de testes</t>
  </si>
  <si>
    <t>Categorização de Testes</t>
  </si>
  <si>
    <t>Baixa</t>
  </si>
  <si>
    <t>Média</t>
  </si>
  <si>
    <t>Alta</t>
  </si>
  <si>
    <t>Simulação da especificação funcional.
Suplementarmente, realizar reuniões de validações e esclarecimentos funcionais junto do negócio/owner.</t>
  </si>
  <si>
    <t xml:space="preserve">A partir da simulação realizada, comparar resultados com a implementação de IT. </t>
  </si>
  <si>
    <t>Validação de formato de acordo com o que é esperado pela Corporação (incluindo validação de codelists, missing e default values)
Validar especificação e controlos da especificação vs o que está implementado</t>
  </si>
  <si>
    <t>Validar controlos corporativos e se a especificação cumpre os requisitos.</t>
  </si>
  <si>
    <t xml:space="preserve">A partir da simulação realizada, comparar com as parametrizações implementadas por IT (code list). </t>
  </si>
  <si>
    <t>Estimativas</t>
  </si>
  <si>
    <t>2. Testes comparativos</t>
  </si>
  <si>
    <t>3. Val. Code List</t>
  </si>
  <si>
    <t>4. Val. Formatos</t>
  </si>
  <si>
    <t>5. Val.Controlos Corp.</t>
  </si>
  <si>
    <t>VARCHAR2(5)</t>
  </si>
  <si>
    <t>Code List</t>
  </si>
  <si>
    <t>DATE</t>
  </si>
  <si>
    <t>VARCHAR2(255)</t>
  </si>
  <si>
    <t>VARCHAR2(20)</t>
  </si>
  <si>
    <t>Y, N</t>
  </si>
  <si>
    <t>FLOAT 2 decimal places</t>
  </si>
  <si>
    <t>FLOAT 6 decimal places</t>
  </si>
  <si>
    <t>VARCHAR(12)</t>
  </si>
  <si>
    <t>INTEGER</t>
  </si>
  <si>
    <t>VARCHAR2(60)</t>
  </si>
  <si>
    <t>VARCHAR2(50)</t>
  </si>
  <si>
    <t>VARCHAR(5)</t>
  </si>
  <si>
    <t>VARCHAR(255)</t>
  </si>
  <si>
    <t>FLOAT 4 decimal places</t>
  </si>
  <si>
    <t>format</t>
  </si>
  <si>
    <t>Complexidade
(todos)</t>
  </si>
  <si>
    <t>Complexidade (code list)</t>
  </si>
  <si>
    <t>Capital</t>
  </si>
  <si>
    <t>MIS</t>
  </si>
  <si>
    <t>Dem. Fin</t>
  </si>
  <si>
    <t>Especificação</t>
  </si>
  <si>
    <t>Levantamento de informação e especificação de requisitos</t>
  </si>
  <si>
    <t>MBI &amp; MUG</t>
  </si>
  <si>
    <t>MV</t>
  </si>
  <si>
    <t>M. Baixa</t>
  </si>
  <si>
    <t>Total Testes</t>
  </si>
  <si>
    <t>Simulação</t>
  </si>
  <si>
    <t>M. Alta</t>
  </si>
  <si>
    <t>Mudar N/A</t>
  </si>
  <si>
    <t>stress testing - ingestas</t>
  </si>
  <si>
    <t>novas fontes/NA</t>
  </si>
  <si>
    <t>default</t>
  </si>
  <si>
    <t>re-estruturados</t>
  </si>
  <si>
    <t>empresa mãe</t>
  </si>
  <si>
    <t>mudança de fonte ifrs</t>
  </si>
  <si>
    <t>internal ratings</t>
  </si>
  <si>
    <t>Quem está a solicitar esta informação? &gt;&gt; 25 campos ESTR &gt;&gt; custo à unidade</t>
  </si>
  <si>
    <r>
      <t xml:space="preserve">Apenas 1 campo reportado na LT estrutural (questionar corporação) &gt;&gt;&gt; </t>
    </r>
    <r>
      <rPr>
        <b/>
        <sz val="10"/>
        <color theme="1"/>
        <rFont val="Arial"/>
        <family val="2"/>
        <scheme val="major"/>
      </rPr>
      <t>é para ESG</t>
    </r>
  </si>
  <si>
    <t>Confirmar com ficheiro enviado pela Raquel &gt; LF</t>
  </si>
  <si>
    <t>Green finance + ESG Risks o que são e para que são utilizados &gt;&gt; 7+12</t>
  </si>
  <si>
    <t>Adicionar flag de marcação</t>
  </si>
  <si>
    <t>Ver com a Zeneida se os de CIB podem não ser preenchidos pq vêm do AQUA &gt; corporativo</t>
  </si>
  <si>
    <t>Dependente de decisão</t>
  </si>
  <si>
    <t>Capital + informação histórica</t>
  </si>
  <si>
    <t>Contabilidade</t>
  </si>
  <si>
    <t>Contabilidade vs CL001</t>
  </si>
  <si>
    <t>Sindicados</t>
  </si>
  <si>
    <t>Leverage finance - Manual</t>
  </si>
  <si>
    <r>
      <t>De notar que destes campos:
-</t>
    </r>
    <r>
      <rPr>
        <b/>
        <sz val="10"/>
        <color theme="7"/>
        <rFont val="Arial"/>
        <family val="2"/>
        <scheme val="major"/>
      </rPr>
      <t xml:space="preserve"> 9</t>
    </r>
    <r>
      <rPr>
        <sz val="10"/>
        <color theme="1"/>
        <rFont val="Arial"/>
        <family val="2"/>
        <scheme val="major"/>
      </rPr>
      <t xml:space="preserve"> provém da fonte manual de LF (lt601_lev_fin)
- </t>
    </r>
    <r>
      <rPr>
        <b/>
        <sz val="10"/>
        <color theme="7"/>
        <rFont val="Arial"/>
        <family val="2"/>
        <scheme val="major"/>
      </rPr>
      <t>39</t>
    </r>
    <r>
      <rPr>
        <sz val="10"/>
        <color theme="1"/>
        <rFont val="Arial"/>
        <family val="2"/>
        <scheme val="major"/>
      </rPr>
      <t xml:space="preserve"> estão sem dados/pouca qualidade com necessidades de (re)-especificações (Sindicados, Demonstrações Financeiras CIB, Re-estruturados)
- </t>
    </r>
    <r>
      <rPr>
        <b/>
        <sz val="10"/>
        <color theme="7"/>
        <rFont val="Arial"/>
        <family val="2"/>
        <scheme val="major"/>
      </rPr>
      <t>24</t>
    </r>
    <r>
      <rPr>
        <sz val="10"/>
        <color theme="1"/>
        <rFont val="Arial"/>
        <family val="2"/>
        <scheme val="major"/>
      </rPr>
      <t xml:space="preserve"> em testes/implementação
- </t>
    </r>
    <r>
      <rPr>
        <b/>
        <sz val="10"/>
        <color theme="7"/>
        <rFont val="Arial"/>
        <family val="2"/>
        <scheme val="major"/>
      </rPr>
      <t>15</t>
    </r>
    <r>
      <rPr>
        <sz val="10"/>
        <color theme="1"/>
        <rFont val="Arial"/>
        <family val="2"/>
        <scheme val="major"/>
      </rPr>
      <t xml:space="preserve"> com incidências nos controlos corporativos</t>
    </r>
  </si>
  <si>
    <t>6. Testes Regressivos</t>
  </si>
  <si>
    <t>Testar que, com reprocessamentos, nenhum outro campo foi alterado (aplicável a toda a LT)</t>
  </si>
  <si>
    <t>Janeiro</t>
  </si>
  <si>
    <t>Fevereiro</t>
  </si>
  <si>
    <t>Março</t>
  </si>
  <si>
    <t>Abril</t>
  </si>
  <si>
    <t>FTE ESP.</t>
  </si>
  <si>
    <t>FTE REAIS</t>
  </si>
  <si>
    <t>VAL</t>
  </si>
  <si>
    <t>Duração (horas)</t>
  </si>
  <si>
    <t>Testes</t>
  </si>
  <si>
    <t>Gestão Projeto</t>
  </si>
  <si>
    <t>Re-testes</t>
  </si>
  <si>
    <t>7. Re-testes</t>
  </si>
  <si>
    <t>Pressupostos</t>
  </si>
  <si>
    <t>O esforço estimado de implementação de IT corresponde a metade do tempo estimado para especificação dos campos</t>
  </si>
  <si>
    <t>Implementações de IT</t>
  </si>
  <si>
    <t>As implementações devem começar 2 semanas após o envio das definições de requisitos</t>
  </si>
  <si>
    <t>Serão realizados testes regressivos de 3 em 3 semanas (com base em reprocessamentos sobre as várias entregas)</t>
  </si>
  <si>
    <t>Assume-se que 20% dos campos entregues terão incidências/re-especificações de pequenos ajustos e devem ser re-implementados</t>
  </si>
  <si>
    <t>Não serão realizados re-testes para as streams 4, 5 e 6 uma vez que as mesmas já pressupõe testes anteriores.</t>
  </si>
  <si>
    <t>Especificação de Requisitos - P3</t>
  </si>
  <si>
    <t>Especificação de Requisitos - ESG Risks</t>
  </si>
  <si>
    <t>Simulação campos (P3 + ESG Risks)</t>
  </si>
  <si>
    <t>Testes Campos (P3 + ESG Risks)</t>
  </si>
  <si>
    <t>1. Re-especificações + Simulação + Testes + Re-testes requisitos atuais)</t>
  </si>
  <si>
    <t>2. Novos Campos (Especificação + Simulação + Testes+ Re-testes)</t>
  </si>
  <si>
    <t>MunichRe</t>
  </si>
  <si>
    <t>Gloval - Tabela intermédia</t>
  </si>
  <si>
    <t>Duração (Dias)</t>
  </si>
  <si>
    <t>Horas Total</t>
  </si>
  <si>
    <t>Horas Novos Requisitos</t>
  </si>
  <si>
    <t>SMART TOTAL</t>
  </si>
  <si>
    <t>SMART NOVOS REQUISITOS</t>
  </si>
  <si>
    <r>
      <t xml:space="preserve">Especificação novo </t>
    </r>
    <r>
      <rPr>
        <i/>
        <sz val="10"/>
        <rFont val="Arial"/>
        <family val="2"/>
        <scheme val="major"/>
      </rPr>
      <t>input</t>
    </r>
  </si>
  <si>
    <r>
      <t xml:space="preserve">Testar </t>
    </r>
    <r>
      <rPr>
        <i/>
        <sz val="10"/>
        <rFont val="Arial"/>
        <family val="2"/>
        <scheme val="major"/>
      </rPr>
      <t>input</t>
    </r>
  </si>
  <si>
    <t>Re-especificação de campos riscos fisicos - Modelo Verde (4)</t>
  </si>
  <si>
    <t>Testar campos risco MV (4)</t>
  </si>
  <si>
    <t>Testar 4 campos de LT P3</t>
  </si>
  <si>
    <t>esperar IT</t>
  </si>
  <si>
    <t>0. Re-especificações + Simulação + Testes + Re-testes requisitos atuais)</t>
  </si>
  <si>
    <t>1. Re-especificação de MunichRe</t>
  </si>
  <si>
    <t>Parque de campos</t>
  </si>
  <si>
    <t>Não será contemplado no âmbito da proposta - Campos do LT ESTR</t>
  </si>
  <si>
    <t>Âmbito de proposta - Especificação &amp; Simular</t>
  </si>
  <si>
    <t>ESG_RISKS &amp; ESTR</t>
  </si>
  <si>
    <t>Âmbito de proposta - Especificação</t>
  </si>
  <si>
    <t>ESG_RISKS &amp; ESTR &amp; GD</t>
  </si>
  <si>
    <t>SB - Validar com CdG</t>
  </si>
  <si>
    <t>Não será contemplado no âmbito da proposta - Banco não tem esta informação na fonte/Sem materialidade</t>
  </si>
  <si>
    <t>3. Simulação campos (P3 + ESG Risks)</t>
  </si>
  <si>
    <t>4. Testes Campos (P3 + ESG Risks)</t>
  </si>
  <si>
    <t>5. Re-testes</t>
  </si>
  <si>
    <t xml:space="preserve"> </t>
  </si>
  <si>
    <r>
      <t>12,13,14 Março ==&gt; Dias de '</t>
    </r>
    <r>
      <rPr>
        <b/>
        <i/>
        <sz val="10"/>
        <color theme="3"/>
        <rFont val="Arial"/>
        <family val="2"/>
        <scheme val="major"/>
      </rPr>
      <t>buffer</t>
    </r>
    <r>
      <rPr>
        <b/>
        <sz val="10"/>
        <color theme="3"/>
        <rFont val="Arial"/>
        <family val="2"/>
        <scheme val="major"/>
      </rPr>
      <t>'</t>
    </r>
  </si>
  <si>
    <r>
      <t xml:space="preserve">12 a 20 Fevereiro ==&gt; </t>
    </r>
    <r>
      <rPr>
        <b/>
        <i/>
        <sz val="10"/>
        <color theme="3"/>
        <rFont val="Arial"/>
        <family val="2"/>
        <scheme val="major"/>
      </rPr>
      <t>Freeze</t>
    </r>
    <r>
      <rPr>
        <b/>
        <sz val="10"/>
        <color theme="3"/>
        <rFont val="Arial"/>
        <family val="2"/>
        <scheme val="major"/>
      </rPr>
      <t xml:space="preserve"> 'teórico'</t>
    </r>
  </si>
  <si>
    <t>Gloval - Novo processo/input</t>
  </si>
  <si>
    <t xml:space="preserve">Plano </t>
  </si>
  <si>
    <t>Análise</t>
  </si>
  <si>
    <t>ENTITY_TXNMY_ELGBL_CAPEX_W</t>
  </si>
  <si>
    <t>ENTITY_TXNMY_ELGBL_TRNVR_W</t>
  </si>
  <si>
    <t>ENTITY_TXNMY_ELGBL_CAPEX_P</t>
  </si>
  <si>
    <t>ENTITY_TXNMY_ELGBL_TRNVR_P</t>
  </si>
  <si>
    <t>ENTITY_TXNMY_ELGBL_CAPEX_B</t>
  </si>
  <si>
    <t>ENTITY_TXNMY_ELGBL_TRNVR_B</t>
  </si>
  <si>
    <t>ENTITY_TXNMY_ELGBL_CAPEX_CE</t>
  </si>
  <si>
    <t>ENTITY_TXNMY_ELGBL_TRNVR_CE</t>
  </si>
  <si>
    <t>ENTITY_PURE_CAPEX_P</t>
  </si>
  <si>
    <t>ENTITY_PURE_TRNVR_P</t>
  </si>
  <si>
    <t>ENTITY_PURE_CAPEX_B</t>
  </si>
  <si>
    <t>ENTITY_PURE_TRNVR_B</t>
  </si>
  <si>
    <t>ENTITY_PURE_CAPEX_W</t>
  </si>
  <si>
    <t>ENTITY_PURE_TRNVR_W</t>
  </si>
  <si>
    <t>ENTITY_PURE_CAPEX_CE</t>
  </si>
  <si>
    <t>ENTITY_PURE_TRNVR_CE</t>
  </si>
  <si>
    <t>ENTITY_ENBLNG_CAPEX_W</t>
  </si>
  <si>
    <t>ENTITY_ENBLNG_TRNVR_W</t>
  </si>
  <si>
    <t>ENTITY_ENBLNG_CAPEX_CE</t>
  </si>
  <si>
    <t>ENTITY_ENBLNG_TRNVR_CE</t>
  </si>
  <si>
    <t>PROTECTION_BLDNG_AR</t>
  </si>
  <si>
    <t>PROTECTION_PRMRY_ENRGY_DMND_NN_RNWBL</t>
  </si>
  <si>
    <t>PROTECTION_PRMRY_ENRGY_DMND_TTL</t>
  </si>
  <si>
    <t>PROTECTION_PRMRY_ENRGY_DMND_RFRNC_VL</t>
  </si>
  <si>
    <t>PROTECTION_RL_ESTT_CLMT_ZN</t>
  </si>
  <si>
    <t>INSTR_ACTIVITY_FLG_SBSTNTL_CNTRBTN</t>
  </si>
  <si>
    <t>INSTRUMENT_IFRS9_BHVRL_MTRTY</t>
  </si>
  <si>
    <t>INSTRUMENT_LTV</t>
  </si>
  <si>
    <t>INSTRUMENT_LTV_INCPTN</t>
  </si>
  <si>
    <t>INSTRUMENT_ANNLSD_AGRD_RT</t>
  </si>
  <si>
    <t>INSTRUMENT_EIR_INCPTN</t>
  </si>
  <si>
    <t>INSTRUMENT_NW_BSNSS</t>
  </si>
  <si>
    <t>PROTECTION_YR_CNSTRCTN</t>
  </si>
  <si>
    <t>INSTRUMENT_TYP_OFF_BLNC_PRDCT</t>
  </si>
  <si>
    <t>INSTR_PROTECTION_TYP_RLTN</t>
  </si>
  <si>
    <t>INSTR_ACTIVITY_COD_SOC</t>
  </si>
  <si>
    <t>INSTR_ACTIVITY_DT_RFRNC</t>
  </si>
  <si>
    <t>INSTR_ACTIVITY_INSTRMNT_ID</t>
  </si>
  <si>
    <t>INSTR_ACTIVITY_PRCNTG_ACTVTY</t>
  </si>
  <si>
    <t>ENTITY_ENTTY_NM</t>
  </si>
  <si>
    <t>ENTITY_EC_GRP_NM</t>
  </si>
  <si>
    <t>INSTRUMENT_FRBRNC_STTS_INSTRMNT</t>
  </si>
  <si>
    <t>ENTITY_GRP_ECNMC_ACTVTY</t>
  </si>
  <si>
    <t>INSTRUMENT_INTRNL_SGMNT</t>
  </si>
  <si>
    <t>INSTRUMENT_EAD</t>
  </si>
  <si>
    <t>INSTRUMENT_OFF_BLNC_SHT_AMNT_INSTRMNT</t>
  </si>
  <si>
    <t>INSTRUMENT_INTRNL_SGMNT_CAT_MSTA</t>
  </si>
  <si>
    <t>INSTRUMENT_INTRNL_SGMNT_CATGSUB</t>
  </si>
  <si>
    <t>PROTECTION_RL_ESTT_ADDRSS</t>
  </si>
  <si>
    <t>PROTECTION_RL_ESTT_CLLTRL_LCTN_INT</t>
  </si>
  <si>
    <t>PROTECTION_RL_ESTT_CTY</t>
  </si>
  <si>
    <t>PROTECTION_EPC_EMSSNS_LBL</t>
  </si>
  <si>
    <t>PROTECTION_TYP_EMSSNS_SCR</t>
  </si>
  <si>
    <t>PROTECTION_EPC_EMSSNS_SCR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</si>
</sst>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d"/>
    <numFmt numFmtId="165" formatCode="dd"/>
    <numFmt numFmtId="166" formatCode="0.0"/>
  </numFmts>
  <fonts count="44" x14ac:knownFonts="1">
    <font>
      <sz val="11"/>
      <color theme="1"/>
      <name val="Arial"/>
      <family val="2"/>
      <scheme val="minor"/>
    </font>
    <font>
      <b/>
      <sz val="11"/>
      <color theme="3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trike/>
      <sz val="11"/>
      <color rgb="FFFF0000"/>
      <name val="Arial"/>
      <family val="2"/>
      <scheme val="minor"/>
    </font>
    <font>
      <strike/>
      <sz val="11"/>
      <color rgb="FFFF0000"/>
      <name val="Arial"/>
      <family val="2"/>
      <scheme val="minor"/>
    </font>
    <font>
      <b/>
      <strike/>
      <sz val="11"/>
      <name val="Arial"/>
      <family val="2"/>
      <scheme val="minor"/>
    </font>
    <font>
      <strike/>
      <sz val="11"/>
      <name val="Arial"/>
      <family val="2"/>
      <scheme val="minor"/>
    </font>
    <font>
      <b/>
      <sz val="11"/>
      <color theme="0" tint="-0.249977111117893"/>
      <name val="Arial"/>
      <family val="2"/>
      <scheme val="minor"/>
    </font>
    <font>
      <b/>
      <sz val="10"/>
      <color theme="0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theme="1"/>
      <name val="Arial"/>
      <family val="2"/>
      <scheme val="major"/>
    </font>
    <font>
      <b/>
      <sz val="10"/>
      <color theme="1"/>
      <name val="Arial"/>
      <family val="2"/>
      <scheme val="minor"/>
    </font>
    <font>
      <b/>
      <sz val="10"/>
      <color theme="7"/>
      <name val="Arial"/>
      <family val="2"/>
      <scheme val="major"/>
    </font>
    <font>
      <sz val="11"/>
      <color theme="4" tint="-0.499984740745262"/>
      <name val="Arial"/>
      <family val="2"/>
      <scheme val="minor"/>
    </font>
    <font>
      <b/>
      <sz val="11"/>
      <color theme="4" tint="-0.499984740745262"/>
      <name val="Arial"/>
      <family val="2"/>
      <scheme val="minor"/>
    </font>
    <font>
      <b/>
      <sz val="14"/>
      <color theme="0"/>
      <name val="Arial"/>
      <family val="2"/>
      <scheme val="minor"/>
    </font>
    <font>
      <sz val="10"/>
      <color theme="0"/>
      <name val="Arial"/>
      <family val="2"/>
      <scheme val="major"/>
    </font>
    <font>
      <b/>
      <sz val="10"/>
      <name val="Arial"/>
      <family val="2"/>
      <scheme val="major"/>
    </font>
    <font>
      <b/>
      <u/>
      <sz val="10"/>
      <color rgb="FFFF0000"/>
      <name val="Arial"/>
      <family val="2"/>
      <scheme val="major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sz val="10"/>
      <color theme="3"/>
      <name val="Arial"/>
      <family val="2"/>
      <scheme val="major"/>
    </font>
    <font>
      <b/>
      <sz val="8"/>
      <color theme="1"/>
      <name val="Arial"/>
      <family val="2"/>
      <scheme val="major"/>
    </font>
    <font>
      <b/>
      <sz val="8"/>
      <color theme="3"/>
      <name val="Arial"/>
      <family val="2"/>
      <scheme val="major"/>
    </font>
    <font>
      <sz val="8"/>
      <color theme="1"/>
      <name val="Arial"/>
      <family val="2"/>
      <scheme val="major"/>
    </font>
    <font>
      <sz val="8"/>
      <color theme="1"/>
      <name val="Arial"/>
      <family val="2"/>
      <scheme val="minor"/>
    </font>
    <font>
      <sz val="8"/>
      <color theme="0" tint="-0.499984740745262"/>
      <name val="Arial"/>
      <family val="2"/>
      <scheme val="major"/>
    </font>
    <font>
      <sz val="10"/>
      <color theme="3"/>
      <name val="Arial"/>
      <family val="2"/>
      <scheme val="major"/>
    </font>
    <font>
      <sz val="10"/>
      <name val="Arial"/>
      <family val="2"/>
      <scheme val="major"/>
    </font>
    <font>
      <sz val="10"/>
      <color theme="0" tint="-0.14999847407452621"/>
      <name val="Arial"/>
      <family val="2"/>
      <scheme val="major"/>
    </font>
    <font>
      <b/>
      <sz val="10"/>
      <color theme="1"/>
      <name val="Santander Text"/>
      <family val="2"/>
    </font>
    <font>
      <b/>
      <sz val="11"/>
      <color theme="1"/>
      <name val="Santander Text"/>
      <family val="2"/>
    </font>
    <font>
      <b/>
      <sz val="8"/>
      <color theme="1"/>
      <name val="Arial"/>
      <family val="2"/>
      <scheme val="minor"/>
    </font>
    <font>
      <b/>
      <sz val="8"/>
      <color theme="0" tint="-0.499984740745262"/>
      <name val="Arial"/>
      <family val="2"/>
      <scheme val="major"/>
    </font>
    <font>
      <b/>
      <sz val="8"/>
      <name val="Arial"/>
      <family val="2"/>
      <scheme val="major"/>
    </font>
    <font>
      <i/>
      <sz val="10"/>
      <name val="Arial"/>
      <family val="2"/>
      <scheme val="major"/>
    </font>
    <font>
      <b/>
      <i/>
      <sz val="10"/>
      <color theme="3"/>
      <name val="Arial"/>
      <family val="2"/>
      <scheme val="major"/>
    </font>
  </fonts>
  <fills count="3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rgb="FF8CC1CE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darkUp">
        <fgColor theme="0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2">
    <border>
      <left/>
      <right/>
      <top/>
      <bottom/>
      <diagonal/>
    </border>
    <border>
      <left/>
      <right style="thin">
        <color rgb="FF9BAFCD"/>
      </right>
      <top style="thin">
        <color rgb="FF9BAFCD"/>
      </top>
      <bottom/>
      <diagonal/>
    </border>
    <border>
      <left/>
      <right style="thin">
        <color rgb="FF9BAFCD"/>
      </right>
      <top style="thin">
        <color rgb="FF9BAFCD"/>
      </top>
      <bottom style="thin">
        <color rgb="FF9BAFCD"/>
      </bottom>
      <diagonal/>
    </border>
    <border>
      <left style="thin">
        <color rgb="FF9BAFCD"/>
      </left>
      <right style="thin">
        <color rgb="FF9BAFCD"/>
      </right>
      <top style="thin">
        <color rgb="FF9BAFCD"/>
      </top>
      <bottom style="thin">
        <color rgb="FF9BAFCD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1" fillId="7" borderId="0" xfId="0" applyFont="1" applyFill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0" fillId="0" borderId="3" xfId="0" applyBorder="1" applyAlignment="1">
      <alignment vertical="center" wrapText="1"/>
    </xf>
    <xf numFmtId="0" fontId="7" fillId="8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0" fillId="0" borderId="3" xfId="0" applyBorder="1" applyAlignment="1">
      <alignment vertical="top"/>
    </xf>
    <xf numFmtId="0" fontId="7" fillId="0" borderId="0" xfId="0" applyFont="1" applyAlignment="1">
      <alignment horizontal="left" vertical="center"/>
    </xf>
    <xf numFmtId="9" fontId="0" fillId="0" borderId="0" xfId="0" applyNumberFormat="1" applyAlignment="1">
      <alignment vertical="center"/>
    </xf>
    <xf numFmtId="9" fontId="7" fillId="0" borderId="2" xfId="0" applyNumberFormat="1" applyFont="1" applyBorder="1" applyAlignment="1">
      <alignment horizontal="center" vertical="center"/>
    </xf>
    <xf numFmtId="9" fontId="7" fillId="0" borderId="2" xfId="0" applyNumberFormat="1" applyFont="1" applyBorder="1" applyAlignment="1">
      <alignment horizontal="left" vertical="center"/>
    </xf>
    <xf numFmtId="9" fontId="0" fillId="0" borderId="3" xfId="0" applyNumberFormat="1" applyBorder="1" applyAlignment="1">
      <alignment vertical="center"/>
    </xf>
    <xf numFmtId="0" fontId="10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0" fillId="0" borderId="2" xfId="0" applyBorder="1" applyAlignment="1">
      <alignment vertical="center"/>
    </xf>
    <xf numFmtId="9" fontId="8" fillId="0" borderId="3" xfId="0" applyNumberFormat="1" applyFont="1" applyBorder="1" applyAlignment="1">
      <alignment vertical="center"/>
    </xf>
    <xf numFmtId="0" fontId="7" fillId="6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9" fontId="8" fillId="0" borderId="0" xfId="0" applyNumberFormat="1" applyFont="1" applyAlignment="1">
      <alignment vertical="center"/>
    </xf>
    <xf numFmtId="0" fontId="8" fillId="0" borderId="3" xfId="0" applyFont="1" applyBorder="1" applyAlignment="1">
      <alignment vertical="top"/>
    </xf>
    <xf numFmtId="0" fontId="8" fillId="0" borderId="3" xfId="0" applyFont="1" applyBorder="1"/>
    <xf numFmtId="0" fontId="8" fillId="0" borderId="3" xfId="0" applyFont="1" applyBorder="1" applyAlignment="1">
      <alignment vertical="center" wrapText="1"/>
    </xf>
    <xf numFmtId="0" fontId="11" fillId="0" borderId="2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7" fillId="4" borderId="0" xfId="0" applyFont="1" applyFill="1" applyAlignment="1">
      <alignment horizontal="left" vertical="center"/>
    </xf>
    <xf numFmtId="0" fontId="13" fillId="0" borderId="2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9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vertical="top"/>
    </xf>
    <xf numFmtId="0" fontId="8" fillId="4" borderId="2" xfId="0" applyFont="1" applyFill="1" applyBorder="1" applyAlignment="1">
      <alignment horizontal="center" vertical="center"/>
    </xf>
    <xf numFmtId="0" fontId="3" fillId="4" borderId="3" xfId="0" applyFont="1" applyFill="1" applyBorder="1"/>
    <xf numFmtId="14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4" xfId="0" pivotButton="1" applyBorder="1"/>
    <xf numFmtId="0" fontId="0" fillId="0" borderId="7" xfId="0" applyBorder="1"/>
    <xf numFmtId="0" fontId="0" fillId="0" borderId="8" xfId="0" applyBorder="1"/>
    <xf numFmtId="0" fontId="0" fillId="10" borderId="4" xfId="0" applyFill="1" applyBorder="1"/>
    <xf numFmtId="0" fontId="0" fillId="12" borderId="4" xfId="0" applyFill="1" applyBorder="1"/>
    <xf numFmtId="0" fontId="0" fillId="13" borderId="4" xfId="0" applyFill="1" applyBorder="1"/>
    <xf numFmtId="0" fontId="0" fillId="0" borderId="10" xfId="0" applyBorder="1"/>
    <xf numFmtId="0" fontId="15" fillId="16" borderId="12" xfId="0" applyFont="1" applyFill="1" applyBorder="1" applyAlignment="1">
      <alignment vertical="center" wrapText="1"/>
    </xf>
    <xf numFmtId="0" fontId="16" fillId="0" borderId="12" xfId="0" applyFont="1" applyBorder="1" applyAlignment="1">
      <alignment vertical="center" wrapText="1"/>
    </xf>
    <xf numFmtId="0" fontId="16" fillId="15" borderId="0" xfId="0" applyFont="1" applyFill="1"/>
    <xf numFmtId="0" fontId="17" fillId="15" borderId="0" xfId="0" applyFont="1" applyFill="1" applyAlignment="1">
      <alignment vertical="center" wrapText="1"/>
    </xf>
    <xf numFmtId="0" fontId="17" fillId="15" borderId="0" xfId="0" applyFont="1" applyFill="1"/>
    <xf numFmtId="0" fontId="18" fillId="0" borderId="0" xfId="0" applyFont="1"/>
    <xf numFmtId="0" fontId="18" fillId="4" borderId="0" xfId="0" applyFont="1" applyFill="1"/>
    <xf numFmtId="0" fontId="16" fillId="0" borderId="15" xfId="0" applyFont="1" applyBorder="1" applyAlignment="1">
      <alignment horizontal="left" vertical="center" wrapText="1"/>
    </xf>
    <xf numFmtId="0" fontId="16" fillId="13" borderId="12" xfId="0" applyFont="1" applyFill="1" applyBorder="1" applyAlignment="1">
      <alignment vertical="center" wrapText="1"/>
    </xf>
    <xf numFmtId="0" fontId="17" fillId="15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17" borderId="0" xfId="0" applyFont="1" applyFill="1" applyAlignment="1">
      <alignment horizontal="centerContinuous" vertical="center"/>
    </xf>
    <xf numFmtId="0" fontId="20" fillId="18" borderId="0" xfId="0" applyFont="1" applyFill="1" applyAlignment="1">
      <alignment horizontal="center" vertical="center"/>
    </xf>
    <xf numFmtId="0" fontId="21" fillId="18" borderId="0" xfId="0" applyFont="1" applyFill="1" applyAlignment="1">
      <alignment horizontal="left" vertical="center"/>
    </xf>
    <xf numFmtId="0" fontId="22" fillId="18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Continuous" vertical="center"/>
    </xf>
    <xf numFmtId="0" fontId="5" fillId="18" borderId="0" xfId="0" applyFont="1" applyFill="1" applyAlignment="1">
      <alignment horizontal="centerContinuous" vertical="center"/>
    </xf>
    <xf numFmtId="0" fontId="14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7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14" borderId="12" xfId="0" applyFill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0" fillId="12" borderId="12" xfId="0" applyFill="1" applyBorder="1" applyAlignment="1">
      <alignment vertical="center"/>
    </xf>
    <xf numFmtId="0" fontId="9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vertical="top"/>
    </xf>
    <xf numFmtId="0" fontId="8" fillId="0" borderId="12" xfId="0" applyFont="1" applyBorder="1"/>
    <xf numFmtId="0" fontId="7" fillId="4" borderId="12" xfId="0" applyFont="1" applyFill="1" applyBorder="1" applyAlignment="1">
      <alignment horizontal="left" vertical="center"/>
    </xf>
    <xf numFmtId="0" fontId="8" fillId="9" borderId="12" xfId="0" applyFont="1" applyFill="1" applyBorder="1" applyAlignment="1">
      <alignment vertical="center"/>
    </xf>
    <xf numFmtId="9" fontId="7" fillId="0" borderId="12" xfId="0" applyNumberFormat="1" applyFont="1" applyBorder="1" applyAlignment="1">
      <alignment horizontal="left" vertical="center"/>
    </xf>
    <xf numFmtId="9" fontId="8" fillId="0" borderId="12" xfId="0" applyNumberFormat="1" applyFont="1" applyBorder="1" applyAlignment="1">
      <alignment vertical="center"/>
    </xf>
    <xf numFmtId="0" fontId="12" fillId="0" borderId="12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10" fillId="0" borderId="12" xfId="0" applyFont="1" applyBorder="1" applyAlignment="1">
      <alignment horizontal="left" vertical="center"/>
    </xf>
    <xf numFmtId="0" fontId="11" fillId="0" borderId="12" xfId="0" applyFont="1" applyBorder="1" applyAlignment="1">
      <alignment vertical="center"/>
    </xf>
    <xf numFmtId="0" fontId="11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vertical="center" wrapText="1"/>
    </xf>
    <xf numFmtId="0" fontId="0" fillId="0" borderId="12" xfId="0" applyBorder="1" applyAlignment="1">
      <alignment vertical="top"/>
    </xf>
    <xf numFmtId="0" fontId="8" fillId="9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2" fillId="11" borderId="12" xfId="0" applyFont="1" applyFill="1" applyBorder="1" applyAlignment="1">
      <alignment vertical="center"/>
    </xf>
    <xf numFmtId="0" fontId="2" fillId="19" borderId="12" xfId="0" applyFont="1" applyFill="1" applyBorder="1" applyAlignment="1">
      <alignment horizontal="center" vertical="center" wrapText="1"/>
    </xf>
    <xf numFmtId="0" fontId="7" fillId="19" borderId="12" xfId="0" applyFont="1" applyFill="1" applyBorder="1" applyAlignment="1">
      <alignment horizontal="center" vertical="center" wrapText="1"/>
    </xf>
    <xf numFmtId="0" fontId="2" fillId="20" borderId="12" xfId="0" applyFont="1" applyFill="1" applyBorder="1" applyAlignment="1">
      <alignment vertical="center"/>
    </xf>
    <xf numFmtId="0" fontId="22" fillId="17" borderId="0" xfId="0" applyFont="1" applyFill="1" applyAlignment="1">
      <alignment horizontal="centerContinuous" vertical="center"/>
    </xf>
    <xf numFmtId="0" fontId="16" fillId="0" borderId="0" xfId="0" applyFont="1"/>
    <xf numFmtId="0" fontId="23" fillId="16" borderId="12" xfId="0" applyFont="1" applyFill="1" applyBorder="1" applyAlignment="1">
      <alignment horizontal="centerContinuous" vertical="center"/>
    </xf>
    <xf numFmtId="0" fontId="24" fillId="21" borderId="12" xfId="0" applyFont="1" applyFill="1" applyBorder="1" applyAlignment="1">
      <alignment horizontal="left"/>
    </xf>
    <xf numFmtId="0" fontId="16" fillId="21" borderId="12" xfId="0" applyFont="1" applyFill="1" applyBorder="1" applyAlignment="1">
      <alignment horizontal="center" vertical="center"/>
    </xf>
    <xf numFmtId="0" fontId="16" fillId="0" borderId="12" xfId="0" applyFont="1" applyBorder="1" applyAlignment="1">
      <alignment vertical="center"/>
    </xf>
    <xf numFmtId="0" fontId="16" fillId="0" borderId="12" xfId="0" quotePrefix="1" applyFont="1" applyBorder="1" applyAlignment="1">
      <alignment wrapText="1"/>
    </xf>
    <xf numFmtId="0" fontId="16" fillId="0" borderId="12" xfId="0" applyFont="1" applyBorder="1" applyAlignment="1">
      <alignment horizontal="center" vertical="center"/>
    </xf>
    <xf numFmtId="0" fontId="16" fillId="9" borderId="12" xfId="0" applyFont="1" applyFill="1" applyBorder="1" applyAlignment="1">
      <alignment vertical="center"/>
    </xf>
    <xf numFmtId="0" fontId="15" fillId="16" borderId="12" xfId="0" applyFont="1" applyFill="1" applyBorder="1" applyAlignment="1">
      <alignment horizontal="centerContinuous"/>
    </xf>
    <xf numFmtId="0" fontId="25" fillId="0" borderId="0" xfId="0" applyFont="1"/>
    <xf numFmtId="0" fontId="0" fillId="0" borderId="9" xfId="0" applyBorder="1"/>
    <xf numFmtId="0" fontId="0" fillId="0" borderId="11" xfId="0" applyBorder="1"/>
    <xf numFmtId="0" fontId="2" fillId="20" borderId="16" xfId="0" applyFont="1" applyFill="1" applyBorder="1" applyAlignment="1">
      <alignment vertical="center"/>
    </xf>
    <xf numFmtId="0" fontId="0" fillId="0" borderId="16" xfId="0" applyBorder="1" applyAlignment="1">
      <alignment vertical="center"/>
    </xf>
    <xf numFmtId="0" fontId="2" fillId="22" borderId="12" xfId="0" applyFont="1" applyFill="1" applyBorder="1" applyAlignment="1">
      <alignment horizontal="centerContinuous" vertical="center"/>
    </xf>
    <xf numFmtId="0" fontId="5" fillId="22" borderId="12" xfId="0" applyFont="1" applyFill="1" applyBorder="1" applyAlignment="1">
      <alignment horizontal="centerContinuous" vertical="center"/>
    </xf>
    <xf numFmtId="0" fontId="4" fillId="12" borderId="12" xfId="0" applyFont="1" applyFill="1" applyBorder="1" applyAlignment="1">
      <alignment vertical="center" wrapText="1"/>
    </xf>
    <xf numFmtId="0" fontId="0" fillId="10" borderId="12" xfId="0" applyFill="1" applyBorder="1" applyAlignment="1">
      <alignment vertical="center"/>
    </xf>
    <xf numFmtId="0" fontId="4" fillId="19" borderId="14" xfId="0" applyFont="1" applyFill="1" applyBorder="1" applyAlignment="1">
      <alignment vertical="center"/>
    </xf>
    <xf numFmtId="0" fontId="0" fillId="13" borderId="12" xfId="0" applyFill="1" applyBorder="1" applyAlignment="1">
      <alignment vertical="center"/>
    </xf>
    <xf numFmtId="0" fontId="26" fillId="0" borderId="0" xfId="0" applyFont="1"/>
    <xf numFmtId="0" fontId="27" fillId="0" borderId="0" xfId="0" applyFont="1"/>
    <xf numFmtId="0" fontId="16" fillId="10" borderId="12" xfId="0" applyFont="1" applyFill="1" applyBorder="1" applyAlignment="1">
      <alignment vertical="center" wrapText="1"/>
    </xf>
    <xf numFmtId="0" fontId="0" fillId="10" borderId="0" xfId="0" applyFill="1"/>
    <xf numFmtId="0" fontId="1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5" fillId="3" borderId="18" xfId="0" applyFont="1" applyFill="1" applyBorder="1" applyAlignment="1">
      <alignment horizontal="centerContinuous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32" fillId="0" borderId="0" xfId="0" applyFont="1"/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4" fillId="0" borderId="0" xfId="0" applyFont="1" applyAlignment="1">
      <alignment horizontal="left" vertical="center" indent="2"/>
    </xf>
    <xf numFmtId="0" fontId="34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4" fillId="12" borderId="16" xfId="0" applyFont="1" applyFill="1" applyBorder="1" applyAlignment="1">
      <alignment vertical="center" wrapText="1"/>
    </xf>
    <xf numFmtId="0" fontId="0" fillId="12" borderId="16" xfId="0" applyFill="1" applyBorder="1" applyAlignment="1">
      <alignment vertical="center"/>
    </xf>
    <xf numFmtId="9" fontId="0" fillId="0" borderId="12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3" xfId="0" applyBorder="1" applyAlignment="1">
      <alignment vertical="center"/>
    </xf>
    <xf numFmtId="0" fontId="4" fillId="12" borderId="14" xfId="0" applyFont="1" applyFill="1" applyBorder="1" applyAlignment="1">
      <alignment vertical="center" wrapText="1"/>
    </xf>
    <xf numFmtId="0" fontId="16" fillId="0" borderId="20" xfId="0" applyFont="1" applyBorder="1" applyAlignment="1">
      <alignment vertical="center"/>
    </xf>
    <xf numFmtId="0" fontId="26" fillId="0" borderId="0" xfId="0" applyFont="1" applyAlignment="1">
      <alignment horizontal="left" indent="1"/>
    </xf>
    <xf numFmtId="164" fontId="37" fillId="23" borderId="0" xfId="0" applyNumberFormat="1" applyFont="1" applyFill="1" applyAlignment="1">
      <alignment horizontal="center" vertical="center"/>
    </xf>
    <xf numFmtId="165" fontId="38" fillId="24" borderId="0" xfId="0" applyNumberFormat="1" applyFont="1" applyFill="1" applyAlignment="1" applyProtection="1">
      <alignment horizontal="center" vertical="center"/>
      <protection hidden="1"/>
    </xf>
    <xf numFmtId="14" fontId="16" fillId="0" borderId="0" xfId="0" applyNumberFormat="1" applyFont="1" applyAlignment="1">
      <alignment vertical="center"/>
    </xf>
    <xf numFmtId="0" fontId="0" fillId="25" borderId="21" xfId="0" applyFill="1" applyBorder="1"/>
    <xf numFmtId="0" fontId="16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16" fillId="0" borderId="0" xfId="0" applyNumberFormat="1" applyFont="1" applyAlignment="1">
      <alignment vertical="center"/>
    </xf>
    <xf numFmtId="0" fontId="24" fillId="0" borderId="0" xfId="0" applyFont="1" applyAlignment="1">
      <alignment horizontal="left" vertical="center"/>
    </xf>
    <xf numFmtId="0" fontId="39" fillId="0" borderId="0" xfId="0" applyFont="1"/>
    <xf numFmtId="0" fontId="24" fillId="12" borderId="0" xfId="0" applyFont="1" applyFill="1" applyAlignment="1">
      <alignment horizontal="left" vertical="center"/>
    </xf>
    <xf numFmtId="0" fontId="17" fillId="12" borderId="0" xfId="0" applyFont="1" applyFill="1" applyAlignment="1">
      <alignment horizontal="left" vertical="center"/>
    </xf>
    <xf numFmtId="0" fontId="28" fillId="12" borderId="0" xfId="0" applyFont="1" applyFill="1" applyAlignment="1">
      <alignment vertical="center"/>
    </xf>
    <xf numFmtId="0" fontId="17" fillId="12" borderId="0" xfId="0" applyFont="1" applyFill="1" applyAlignment="1">
      <alignment horizontal="center" vertical="center"/>
    </xf>
    <xf numFmtId="0" fontId="39" fillId="12" borderId="0" xfId="0" applyFont="1" applyFill="1"/>
    <xf numFmtId="0" fontId="16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 indent="2"/>
    </xf>
    <xf numFmtId="0" fontId="34" fillId="0" borderId="0" xfId="0" applyFont="1" applyAlignment="1">
      <alignment horizontal="left" vertical="center" indent="4"/>
    </xf>
    <xf numFmtId="2" fontId="17" fillId="0" borderId="0" xfId="0" applyNumberFormat="1" applyFont="1" applyAlignment="1">
      <alignment horizontal="center" vertical="center"/>
    </xf>
    <xf numFmtId="2" fontId="29" fillId="0" borderId="0" xfId="0" applyNumberFormat="1" applyFont="1" applyAlignment="1">
      <alignment horizontal="left" vertical="center"/>
    </xf>
    <xf numFmtId="2" fontId="17" fillId="0" borderId="0" xfId="0" applyNumberFormat="1" applyFont="1" applyAlignment="1">
      <alignment horizontal="left" vertical="center"/>
    </xf>
    <xf numFmtId="2" fontId="28" fillId="0" borderId="0" xfId="0" applyNumberFormat="1" applyFont="1" applyAlignment="1">
      <alignment vertical="center"/>
    </xf>
    <xf numFmtId="2" fontId="17" fillId="12" borderId="0" xfId="0" applyNumberFormat="1" applyFont="1" applyFill="1" applyAlignment="1">
      <alignment horizontal="center" vertical="center"/>
    </xf>
    <xf numFmtId="2" fontId="34" fillId="0" borderId="0" xfId="0" applyNumberFormat="1" applyFont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vertical="center"/>
    </xf>
    <xf numFmtId="0" fontId="16" fillId="14" borderId="20" xfId="0" applyFont="1" applyFill="1" applyBorder="1" applyAlignment="1">
      <alignment vertical="center"/>
    </xf>
    <xf numFmtId="0" fontId="16" fillId="26" borderId="20" xfId="0" applyFont="1" applyFill="1" applyBorder="1" applyAlignment="1">
      <alignment vertical="center"/>
    </xf>
    <xf numFmtId="0" fontId="24" fillId="27" borderId="0" xfId="0" applyFont="1" applyFill="1" applyAlignment="1">
      <alignment horizontal="left" vertical="center"/>
    </xf>
    <xf numFmtId="0" fontId="17" fillId="27" borderId="0" xfId="0" applyFont="1" applyFill="1" applyAlignment="1">
      <alignment horizontal="left" vertical="center"/>
    </xf>
    <xf numFmtId="0" fontId="28" fillId="27" borderId="0" xfId="0" applyFont="1" applyFill="1" applyAlignment="1">
      <alignment vertical="center"/>
    </xf>
    <xf numFmtId="0" fontId="17" fillId="27" borderId="0" xfId="0" applyFont="1" applyFill="1" applyAlignment="1">
      <alignment horizontal="center" vertical="center"/>
    </xf>
    <xf numFmtId="2" fontId="17" fillId="27" borderId="0" xfId="0" applyNumberFormat="1" applyFont="1" applyFill="1" applyAlignment="1">
      <alignment horizontal="center" vertical="center"/>
    </xf>
    <xf numFmtId="0" fontId="39" fillId="27" borderId="0" xfId="0" applyFont="1" applyFill="1"/>
    <xf numFmtId="0" fontId="40" fillId="0" borderId="0" xfId="0" applyFont="1" applyAlignment="1">
      <alignment horizontal="center" vertical="center"/>
    </xf>
    <xf numFmtId="0" fontId="16" fillId="0" borderId="20" xfId="0" quotePrefix="1" applyFont="1" applyBorder="1" applyAlignment="1">
      <alignment vertical="center"/>
    </xf>
    <xf numFmtId="0" fontId="32" fillId="12" borderId="0" xfId="0" applyFont="1" applyFill="1"/>
    <xf numFmtId="0" fontId="24" fillId="12" borderId="0" xfId="0" applyFont="1" applyFill="1" applyAlignment="1">
      <alignment horizontal="center" vertical="center"/>
    </xf>
    <xf numFmtId="1" fontId="24" fillId="12" borderId="0" xfId="0" applyNumberFormat="1" applyFont="1" applyFill="1" applyAlignment="1">
      <alignment horizontal="center" vertical="center"/>
    </xf>
    <xf numFmtId="0" fontId="35" fillId="12" borderId="0" xfId="0" applyFont="1" applyFill="1" applyAlignment="1">
      <alignment horizontal="left" vertical="center" indent="1"/>
    </xf>
    <xf numFmtId="2" fontId="24" fillId="12" borderId="0" xfId="0" applyNumberFormat="1" applyFont="1" applyFill="1" applyAlignment="1">
      <alignment horizontal="center" vertical="center"/>
    </xf>
    <xf numFmtId="2" fontId="16" fillId="12" borderId="0" xfId="0" applyNumberFormat="1" applyFont="1" applyFill="1" applyAlignment="1">
      <alignment vertical="center"/>
    </xf>
    <xf numFmtId="2" fontId="32" fillId="12" borderId="0" xfId="0" applyNumberFormat="1" applyFont="1" applyFill="1"/>
    <xf numFmtId="0" fontId="24" fillId="12" borderId="0" xfId="0" applyFont="1" applyFill="1" applyAlignment="1">
      <alignment horizontal="left" vertical="center" indent="1"/>
    </xf>
    <xf numFmtId="0" fontId="24" fillId="12" borderId="0" xfId="0" applyFont="1" applyFill="1" applyAlignment="1">
      <alignment horizontal="left" vertical="center" indent="2"/>
    </xf>
    <xf numFmtId="0" fontId="0" fillId="4" borderId="16" xfId="0" applyFill="1" applyBorder="1" applyAlignment="1">
      <alignment vertical="center"/>
    </xf>
    <xf numFmtId="1" fontId="35" fillId="0" borderId="0" xfId="0" applyNumberFormat="1" applyFont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24" fillId="27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7" fillId="4" borderId="0" xfId="0" applyFont="1" applyFill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2" fontId="39" fillId="0" borderId="0" xfId="0" applyNumberFormat="1" applyFont="1"/>
    <xf numFmtId="2" fontId="17" fillId="0" borderId="0" xfId="0" applyNumberFormat="1" applyFont="1" applyAlignment="1">
      <alignment vertical="center"/>
    </xf>
    <xf numFmtId="3" fontId="29" fillId="0" borderId="0" xfId="0" applyNumberFormat="1" applyFont="1" applyAlignment="1">
      <alignment horizontal="left" vertical="center"/>
    </xf>
    <xf numFmtId="4" fontId="17" fillId="0" borderId="0" xfId="0" applyNumberFormat="1" applyFont="1" applyAlignment="1">
      <alignment horizontal="left" vertical="center"/>
    </xf>
    <xf numFmtId="4" fontId="16" fillId="0" borderId="0" xfId="0" applyNumberFormat="1" applyFont="1" applyAlignment="1">
      <alignment vertical="center"/>
    </xf>
    <xf numFmtId="2" fontId="39" fillId="12" borderId="0" xfId="0" applyNumberFormat="1" applyFont="1" applyFill="1"/>
    <xf numFmtId="0" fontId="0" fillId="4" borderId="17" xfId="0" applyFill="1" applyBorder="1" applyAlignment="1">
      <alignment vertical="center"/>
    </xf>
    <xf numFmtId="0" fontId="16" fillId="14" borderId="0" xfId="0" applyFont="1" applyFill="1" applyAlignment="1">
      <alignment vertical="center"/>
    </xf>
    <xf numFmtId="0" fontId="16" fillId="14" borderId="0" xfId="0" applyFont="1" applyFill="1" applyAlignment="1">
      <alignment horizontal="center" vertical="center"/>
    </xf>
    <xf numFmtId="0" fontId="35" fillId="14" borderId="0" xfId="0" applyFont="1" applyFill="1" applyAlignment="1">
      <alignment horizontal="left" vertical="center" indent="2"/>
    </xf>
    <xf numFmtId="0" fontId="16" fillId="14" borderId="0" xfId="0" applyFont="1" applyFill="1" applyAlignment="1">
      <alignment horizontal="left" vertical="center"/>
    </xf>
    <xf numFmtId="0" fontId="34" fillId="14" borderId="0" xfId="0" applyFont="1" applyFill="1" applyAlignment="1">
      <alignment vertical="center"/>
    </xf>
    <xf numFmtId="0" fontId="35" fillId="14" borderId="0" xfId="0" applyFont="1" applyFill="1" applyAlignment="1">
      <alignment horizontal="center" vertical="center"/>
    </xf>
    <xf numFmtId="2" fontId="34" fillId="14" borderId="0" xfId="0" applyNumberFormat="1" applyFont="1" applyFill="1" applyAlignment="1">
      <alignment horizontal="center" vertical="center"/>
    </xf>
    <xf numFmtId="2" fontId="16" fillId="14" borderId="0" xfId="0" applyNumberFormat="1" applyFont="1" applyFill="1" applyAlignment="1">
      <alignment vertical="center"/>
    </xf>
    <xf numFmtId="0" fontId="36" fillId="14" borderId="0" xfId="0" applyFont="1" applyFill="1" applyAlignment="1">
      <alignment horizontal="center" vertical="center"/>
    </xf>
    <xf numFmtId="0" fontId="34" fillId="14" borderId="0" xfId="0" applyFont="1" applyFill="1" applyAlignment="1">
      <alignment horizontal="left" vertical="center" indent="2"/>
    </xf>
    <xf numFmtId="0" fontId="24" fillId="14" borderId="0" xfId="0" applyFont="1" applyFill="1" applyAlignment="1">
      <alignment horizontal="center" vertical="center"/>
    </xf>
    <xf numFmtId="2" fontId="28" fillId="14" borderId="0" xfId="0" applyNumberFormat="1" applyFont="1" applyFill="1" applyAlignment="1">
      <alignment horizontal="center" vertical="center"/>
    </xf>
    <xf numFmtId="2" fontId="17" fillId="14" borderId="0" xfId="0" applyNumberFormat="1" applyFont="1" applyFill="1" applyAlignment="1">
      <alignment vertical="center"/>
    </xf>
    <xf numFmtId="0" fontId="34" fillId="14" borderId="0" xfId="0" applyFont="1" applyFill="1" applyAlignment="1">
      <alignment horizontal="left" vertical="center" indent="4"/>
    </xf>
    <xf numFmtId="0" fontId="0" fillId="14" borderId="16" xfId="0" applyFill="1" applyBorder="1" applyAlignment="1">
      <alignment vertical="center"/>
    </xf>
    <xf numFmtId="0" fontId="34" fillId="14" borderId="0" xfId="0" applyFont="1" applyFill="1" applyAlignment="1">
      <alignment horizontal="left" vertical="center"/>
    </xf>
    <xf numFmtId="0" fontId="16" fillId="28" borderId="20" xfId="0" applyFont="1" applyFill="1" applyBorder="1" applyAlignment="1">
      <alignment vertical="center"/>
    </xf>
    <xf numFmtId="0" fontId="28" fillId="10" borderId="0" xfId="0" applyFont="1" applyFill="1" applyAlignment="1">
      <alignment vertical="center"/>
    </xf>
    <xf numFmtId="4" fontId="17" fillId="10" borderId="0" xfId="0" applyNumberFormat="1" applyFont="1" applyFill="1" applyAlignment="1">
      <alignment horizontal="left" vertical="center"/>
    </xf>
    <xf numFmtId="0" fontId="16" fillId="19" borderId="20" xfId="0" applyFont="1" applyFill="1" applyBorder="1" applyAlignment="1">
      <alignment vertical="center"/>
    </xf>
    <xf numFmtId="0" fontId="16" fillId="0" borderId="12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0" borderId="15" xfId="0" applyFont="1" applyBorder="1" applyAlignment="1">
      <alignment horizontal="left" vertical="center" wrapText="1"/>
    </xf>
    <xf numFmtId="0" fontId="16" fillId="0" borderId="14" xfId="0" applyFont="1" applyBorder="1" applyAlignment="1">
      <alignment horizontal="left" vertical="center" wrapText="1"/>
    </xf>
    <xf numFmtId="0" fontId="16" fillId="10" borderId="20" xfId="0" applyFont="1" applyFill="1" applyBorder="1" applyAlignment="1">
      <alignment vertical="center"/>
    </xf>
    <xf numFmtId="0" fontId="34" fillId="10" borderId="0" xfId="0" applyFont="1" applyFill="1" applyAlignment="1">
      <alignment horizontal="left" vertical="center" indent="4"/>
    </xf>
    <xf numFmtId="0" fontId="34" fillId="29" borderId="0" xfId="0" applyFont="1" applyFill="1" applyAlignment="1">
      <alignment horizontal="left" vertical="center" indent="4"/>
    </xf>
    <xf numFmtId="0" fontId="34" fillId="13" borderId="0" xfId="0" applyFont="1" applyFill="1" applyAlignment="1">
      <alignment horizontal="left" vertical="center" indent="4"/>
    </xf>
    <xf numFmtId="0" fontId="34" fillId="30" borderId="0" xfId="0" applyFont="1" applyFill="1" applyAlignment="1">
      <alignment horizontal="left" vertical="center" indent="4"/>
    </xf>
    <xf numFmtId="0" fontId="34" fillId="27" borderId="0" xfId="0" applyFont="1" applyFill="1" applyAlignment="1">
      <alignment horizontal="left" vertical="center" indent="4"/>
    </xf>
    <xf numFmtId="0" fontId="16" fillId="13" borderId="20" xfId="0" applyFont="1" applyFill="1" applyBorder="1" applyAlignment="1">
      <alignment vertical="center"/>
    </xf>
    <xf numFmtId="0" fontId="16" fillId="29" borderId="20" xfId="0" applyFont="1" applyFill="1" applyBorder="1" applyAlignment="1">
      <alignment vertical="center"/>
    </xf>
    <xf numFmtId="0" fontId="16" fillId="30" borderId="20" xfId="0" applyFont="1" applyFill="1" applyBorder="1" applyAlignment="1">
      <alignment vertical="center"/>
    </xf>
    <xf numFmtId="0" fontId="34" fillId="30" borderId="0" xfId="0" applyFont="1" applyFill="1" applyAlignment="1">
      <alignment horizontal="left" vertical="center" indent="2"/>
    </xf>
    <xf numFmtId="0" fontId="34" fillId="13" borderId="0" xfId="0" applyFont="1" applyFill="1" applyAlignment="1">
      <alignment horizontal="left" vertical="center" indent="2"/>
    </xf>
    <xf numFmtId="0" fontId="34" fillId="29" borderId="0" xfId="0" applyFont="1" applyFill="1" applyAlignment="1">
      <alignment horizontal="left" vertical="center" indent="2"/>
    </xf>
    <xf numFmtId="0" fontId="34" fillId="10" borderId="0" xfId="0" applyFont="1" applyFill="1" applyAlignment="1">
      <alignment horizontal="left" vertical="center" indent="2"/>
    </xf>
  </cellXfs>
  <cellStyles count="2">
    <cellStyle name="Hipervínculo" xfId="1"/>
    <cellStyle name="Normal" xfId="0" builtinId="0"/>
  </cellStyles>
  <dxfs count="96">
    <dxf>
      <font>
        <color rgb="FF00B050"/>
      </font>
    </dxf>
    <dxf>
      <font>
        <color theme="4"/>
      </font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rgb="FF00B050"/>
      </font>
    </dxf>
    <dxf>
      <font>
        <color theme="4"/>
      </font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rgb="FF00B050"/>
      </font>
    </dxf>
    <dxf>
      <font>
        <color theme="4"/>
      </font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rgb="FF00B050"/>
      </font>
    </dxf>
    <dxf>
      <font>
        <color theme="4"/>
      </font>
    </dxf>
    <dxf>
      <alignment horizontal="general" vertical="center" textRotation="0" wrapText="0" indent="0" justifyLastLine="0" shrinkToFit="0" readingOrder="0"/>
      <border outline="0">
        <left style="thin">
          <color indexed="64"/>
        </left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rial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 tint="-0.499984740745262"/>
        </top>
        <bottom style="thin">
          <color theme="4" tint="-0.499984740745262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0.249977111117893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8CC1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Nádia Genebra Ahmad" refreshedDate="45602.475379166666" backgroundQuery="1" createdVersion="8" refreshedVersion="8" minRefreshableVersion="3" recordCount="0" supportSubquery="1" supportAdvancedDrill="1">
  <cacheSource type="external" connectionId="1"/>
  <cacheFields count="5">
    <cacheField name="[Range].[STATUS].[STATUS]" caption="STATUS" numFmtId="0" hierarchy="25" level="1">
      <sharedItems count="7">
        <s v="Campo eliminado"/>
        <s v="Campo eliminado - troca tabela"/>
        <s v="Nome campo alterado"/>
        <s v="Nova Tabela"/>
        <s v="Nova Tabela - Campo existente"/>
        <s v="Novo Campo"/>
        <s v="Sem alteração"/>
      </sharedItems>
    </cacheField>
    <cacheField name="[Range].[AMBITO].[AMBITO]" caption="AMBITO" numFmtId="0" hierarchy="24" level="1">
      <sharedItems count="10">
        <s v="PILAR3"/>
        <s v="GD &amp; PILAR3"/>
        <s v="ESTR &amp; GD &amp; PILAR3"/>
        <s v="ESG_RISKS"/>
        <s v="ESTR"/>
        <s v="ESTR &amp; GFINANCE"/>
        <s v="GD"/>
        <s v="ESTR &amp; GD"/>
        <s v="ESTR &amp; PILAR3"/>
        <s v="LF"/>
      </sharedItems>
    </cacheField>
    <cacheField name="[Measures].[Count of ID Data field / Field order]" caption="Count of ID Data field / Field order" numFmtId="0" hierarchy="29" level="32767"/>
    <cacheField name="[Range].[Status Data Lake].[Status Data Lake]" caption="Status Data Lake" numFmtId="0" hierarchy="22" level="1">
      <sharedItems count="12">
        <s v="n/a"/>
        <s v="1. Especificar"/>
        <s v="2. Alterar especificação"/>
        <s v="3. Pendente de decisão"/>
        <s v="4.1 Em implementação - Re-especificação"/>
        <s v="4.2 Em implementação - Incidência"/>
        <s v="5.1 Em testes - Re-especificação"/>
        <s v="5.2 Em testes - Incidência"/>
        <s v="7. Analisar controlos e completude"/>
        <s v="8. Concluído - sem dados"/>
        <s v="9. Concluído"/>
        <s v="6. Outros Desenvolvimentos"/>
      </sharedItems>
    </cacheField>
    <cacheField name="[Range].[Leveraged Finance].[Leveraged Finance]" caption="Leveraged Finance" numFmtId="0" hierarchy="10" level="1">
      <sharedItems count="2">
        <s v="N"/>
        <s v="Y"/>
      </sharedItems>
    </cacheField>
  </cacheFields>
  <cacheHierarchies count="30">
    <cacheHierarchy uniqueName="[Range].[ID Data field / Field order]" caption="ID Data field / Field order" attribute="1" defaultMemberUniqueName="[Range].[ID Data field / Field order].[All]" allUniqueName="[Range].[ID Data field / Field order].[All]" dimensionUniqueName="[Range]" displayFolder="" count="0" memberValueDatatype="130" unbalanced="0"/>
    <cacheHierarchy uniqueName="[Range].[CONCAT]" caption="CONCAT" attribute="1" defaultMemberUniqueName="[Range].[CONCAT].[All]" allUniqueName="[Range].[CONCAT].[All]" dimensionUniqueName="[Range]" displayFolder="" count="0" memberValueDatatype="130" unbalanced="0"/>
    <cacheHierarchy uniqueName="[Range].[Table]" caption="Table" attribute="1" defaultMemberUniqueName="[Range].[Table].[All]" allUniqueName="[Range].[Table].[All]" dimensionUniqueName="[Range]" displayFolder="" count="0" memberValueDatatype="130" unbalanced="0"/>
    <cacheHierarchy uniqueName="[Range].[Data field]" caption="Data field" attribute="1" defaultMemberUniqueName="[Range].[Data field].[All]" allUniqueName="[Range].[Data field].[All]" dimensionUniqueName="[Range]" displayFolder="" count="0" memberValueDatatype="130" unbalanced="0"/>
    <cacheHierarchy uniqueName="[Range].[Field name]" caption="Field name" attribute="1" defaultMemberUniqueName="[Range].[Field name].[All]" allUniqueName="[Range].[Field name].[All]" dimensionUniqueName="[Range]" displayFolder="" count="0" memberValueDatatype="130" unbalanced="0"/>
    <cacheHierarchy uniqueName="[Range].[Structural  ECB Loan Tape]" caption="Structural  ECB Loan Tape" attribute="1" defaultMemberUniqueName="[Range].[Structural  ECB Loan Tape].[All]" allUniqueName="[Range].[Structural  ECB Loan Tape].[All]" dimensionUniqueName="[Range]" displayFolder="" count="0" memberValueDatatype="130" unbalanced="0"/>
    <cacheHierarchy uniqueName="[Range].[Green  Dashboard]" caption="Green  Dashboard" attribute="1" defaultMemberUniqueName="[Range].[Green  Dashboard].[All]" allUniqueName="[Range].[Green  Dashboard].[All]" dimensionUniqueName="[Range]" displayFolder="" count="0" memberValueDatatype="130" unbalanced="0"/>
    <cacheHierarchy uniqueName="[Range].[Pillar III ESG]" caption="Pillar III ESG" attribute="1" defaultMemberUniqueName="[Range].[Pillar III ESG].[All]" allUniqueName="[Range].[Pillar III ESG].[All]" dimensionUniqueName="[Range]" displayFolder="" count="0" memberValueDatatype="130" unbalanced="0"/>
    <cacheHierarchy uniqueName="[Range].[Green Finance]" caption="Green Finance" attribute="1" defaultMemberUniqueName="[Range].[Green Finance].[All]" allUniqueName="[Range].[Green Finance].[All]" dimensionUniqueName="[Range]" displayFolder="" count="0" memberValueDatatype="130" unbalanced="0"/>
    <cacheHierarchy uniqueName="[Range].[ESG Risks]" caption="ESG Risks" attribute="1" defaultMemberUniqueName="[Range].[ESG Risks].[All]" allUniqueName="[Range].[ESG Risks].[All]" dimensionUniqueName="[Range]" displayFolder="" count="0" memberValueDatatype="130" unbalanced="0"/>
    <cacheHierarchy uniqueName="[Range].[Leveraged Finance]" caption="Leveraged Finance" attribute="1" defaultMemberUniqueName="[Range].[Leveraged Finance].[All]" allUniqueName="[Range].[Leveraged Finance].[All]" dimensionUniqueName="[Range]" displayFolder="" count="2" memberValueDatatype="130" unbalanced="0">
      <fieldsUsage count="2">
        <fieldUsage x="-1"/>
        <fieldUsage x="4"/>
      </fieldsUsage>
    </cacheHierarchy>
    <cacheHierarchy uniqueName="[Range].[ATUAL_Structural  ECB Loan Tape]" caption="ATUAL_Structural  ECB Loan Tape" attribute="1" defaultMemberUniqueName="[Range].[ATUAL_Structural  ECB Loan Tape].[All]" allUniqueName="[Range].[ATUAL_Structural  ECB Loan Tape].[All]" dimensionUniqueName="[Range]" displayFolder="" count="0" memberValueDatatype="130" unbalanced="0"/>
    <cacheHierarchy uniqueName="[Range].[val_ESTR]" caption="val_ESTR" attribute="1" defaultMemberUniqueName="[Range].[val_ESTR].[All]" allUniqueName="[Range].[val_ESTR].[All]" dimensionUniqueName="[Range]" displayFolder="" count="0" memberValueDatatype="130" unbalanced="0"/>
    <cacheHierarchy uniqueName="[Range].[ATUAL_Green  Dashboard]" caption="ATUAL_Green  Dashboard" attribute="1" defaultMemberUniqueName="[Range].[ATUAL_Green  Dashboard].[All]" allUniqueName="[Range].[ATUAL_Green  Dashboard].[All]" dimensionUniqueName="[Range]" displayFolder="" count="0" memberValueDatatype="130" unbalanced="0"/>
    <cacheHierarchy uniqueName="[Range].[val_GD]" caption="val_GD" attribute="1" defaultMemberUniqueName="[Range].[val_GD].[All]" allUniqueName="[Range].[val_GD].[All]" dimensionUniqueName="[Range]" displayFolder="" count="0" memberValueDatatype="130" unbalanced="0"/>
    <cacheHierarchy uniqueName="[Range].[ATUAL_Pillar III ESG]" caption="ATUAL_Pillar III ESG" attribute="1" defaultMemberUniqueName="[Range].[ATUAL_Pillar III ESG].[All]" allUniqueName="[Range].[ATUAL_Pillar III ESG].[All]" dimensionUniqueName="[Range]" displayFolder="" count="0" memberValueDatatype="130" unbalanced="0"/>
    <cacheHierarchy uniqueName="[Range].[val_PILAR3]" caption="val_PILAR3" attribute="1" defaultMemberUniqueName="[Range].[val_PILAR3].[All]" allUniqueName="[Range].[val_PILAR3].[All]" dimensionUniqueName="[Range]" displayFolder="" count="0" memberValueDatatype="130" unbalanced="0"/>
    <cacheHierarchy uniqueName="[Range].[ATUAL_Green Finance]" caption="ATUAL_Green Finance" attribute="1" defaultMemberUniqueName="[Range].[ATUAL_Green Finance].[All]" allUniqueName="[Range].[ATUAL_Green Finance].[All]" dimensionUniqueName="[Range]" displayFolder="" count="0" memberValueDatatype="130" unbalanced="0"/>
    <cacheHierarchy uniqueName="[Range].[ATUAL_ESG Risks]" caption="ATUAL_ESG Risks" attribute="1" defaultMemberUniqueName="[Range].[ATUAL_ESG Risks].[All]" allUniqueName="[Range].[ATUAL_ESG Risks].[All]" dimensionUniqueName="[Range]" displayFolder="" count="0" memberValueDatatype="130" unbalanced="0"/>
    <cacheHierarchy uniqueName="[Range].[val_ESG_RISKS]" caption="val_ESG_RISKS" attribute="1" defaultMemberUniqueName="[Range].[val_ESG_RISKS].[All]" allUniqueName="[Range].[val_ESG_RISKS].[All]" dimensionUniqueName="[Range]" displayFolder="" count="0" memberValueDatatype="130" unbalanced="0"/>
    <cacheHierarchy uniqueName="[Range].[ATUAL_Leveraged Finance]" caption="ATUAL_Leveraged Finance" attribute="1" defaultMemberUniqueName="[Range].[ATUAL_Leveraged Finance].[All]" allUniqueName="[Range].[ATUAL_Leveraged Finance].[All]" dimensionUniqueName="[Range]" displayFolder="" count="0" memberValueDatatype="130" unbalanced="0"/>
    <cacheHierarchy uniqueName="[Range].[Fonte manual LF]" caption="Fonte manual LF" attribute="1" defaultMemberUniqueName="[Range].[Fonte manual LF].[All]" allUniqueName="[Range].[Fonte manual LF].[All]" dimensionUniqueName="[Range]" displayFolder="" count="0" memberValueDatatype="130" unbalanced="0"/>
    <cacheHierarchy uniqueName="[Range].[Status Data Lake]" caption="Status Data Lake" attribute="1" defaultMemberUniqueName="[Range].[Status Data Lake].[All]" allUniqueName="[Range].[Status Data Lake].[All]" dimensionUniqueName="[Range]" displayFolder="" count="2" memberValueDatatype="130" unbalanced="0">
      <fieldsUsage count="2">
        <fieldUsage x="-1"/>
        <fieldUsage x="3"/>
      </fieldsUsage>
    </cacheHierarchy>
    <cacheHierarchy uniqueName="[Range].[Status Data Lake (Detalhe)]" caption="Status Data Lake (Detalhe)" attribute="1" defaultMemberUniqueName="[Range].[Status Data Lake (Detalhe)].[All]" allUniqueName="[Range].[Status Data Lake (Detalhe)].[All]" dimensionUniqueName="[Range]" displayFolder="" count="0" memberValueDatatype="130" unbalanced="0"/>
    <cacheHierarchy uniqueName="[Range].[AMBITO]" caption="AMBITO" attribute="1" defaultMemberUniqueName="[Range].[AMBITO].[All]" allUniqueName="[Range].[AMBITO].[All]" dimensionUniqueName="[Range]" displayFolder="" count="2" memberValueDatatype="130" unbalanced="0">
      <fieldsUsage count="2">
        <fieldUsage x="-1"/>
        <fieldUsage x="1"/>
      </fieldsUsage>
    </cacheHierarchy>
    <cacheHierarchy uniqueName="[Range].[STATUS]" caption="STATUS" attribute="1" defaultMemberUniqueName="[Range].[STATUS].[All]" allUniqueName="[Range].[STATUS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ONCAT]" caption="Count of CONCA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ID Data field / Field order]" caption="Count of ID Data field / Field order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H4:L72" firstHeaderRow="1" firstDataRow="1" firstDataCol="4"/>
  <pivotFields count="5"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compact="0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4">
    <field x="4"/>
    <field x="0"/>
    <field x="1"/>
    <field x="3"/>
  </rowFields>
  <rowItems count="68">
    <i>
      <x/>
      <x/>
      <x/>
      <x/>
    </i>
    <i r="1">
      <x v="1"/>
      <x v="1"/>
      <x/>
    </i>
    <i r="2">
      <x/>
      <x/>
    </i>
    <i r="1">
      <x v="2"/>
      <x/>
      <x/>
    </i>
    <i r="1">
      <x v="3"/>
      <x v="2"/>
      <x/>
    </i>
    <i r="2">
      <x v="1"/>
      <x/>
    </i>
    <i r="2">
      <x/>
      <x/>
    </i>
    <i r="1">
      <x v="4"/>
      <x v="1"/>
      <x/>
    </i>
    <i r="2">
      <x/>
      <x/>
    </i>
    <i r="1">
      <x v="5"/>
      <x v="3"/>
      <x/>
    </i>
    <i r="2">
      <x v="4"/>
      <x/>
    </i>
    <i r="2">
      <x v="5"/>
      <x/>
    </i>
    <i r="2">
      <x v="6"/>
      <x/>
    </i>
    <i r="2">
      <x v="1"/>
      <x/>
    </i>
    <i r="2">
      <x/>
      <x/>
    </i>
    <i r="1">
      <x v="6"/>
      <x v="4"/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7"/>
      <x v="6"/>
    </i>
    <i r="3">
      <x v="10"/>
    </i>
    <i r="2">
      <x v="2"/>
      <x v="4"/>
    </i>
    <i r="3">
      <x v="7"/>
    </i>
    <i r="3">
      <x v="8"/>
    </i>
    <i r="3">
      <x v="10"/>
    </i>
    <i r="2">
      <x v="5"/>
      <x v="10"/>
    </i>
    <i r="2">
      <x v="8"/>
      <x v="1"/>
    </i>
    <i r="3">
      <x v="2"/>
    </i>
    <i r="3">
      <x v="3"/>
    </i>
    <i r="3">
      <x v="4"/>
    </i>
    <i r="3">
      <x v="8"/>
    </i>
    <i r="3">
      <x v="10"/>
    </i>
    <i r="2">
      <x v="6"/>
      <x v="1"/>
    </i>
    <i r="3">
      <x/>
    </i>
    <i r="2">
      <x v="1"/>
      <x/>
    </i>
    <i r="2">
      <x/>
      <x v="1"/>
    </i>
    <i r="3">
      <x/>
    </i>
    <i>
      <x v="1"/>
      <x v="5"/>
      <x v="2"/>
      <x/>
    </i>
    <i r="2">
      <x v="9"/>
      <x/>
    </i>
    <i r="1">
      <x v="6"/>
      <x v="4"/>
      <x v="1"/>
    </i>
    <i r="3">
      <x v="2"/>
    </i>
    <i r="3">
      <x v="3"/>
    </i>
    <i r="3">
      <x v="4"/>
    </i>
    <i r="3">
      <x v="6"/>
    </i>
    <i r="3">
      <x v="7"/>
    </i>
    <i r="3">
      <x v="11"/>
    </i>
    <i r="3">
      <x v="8"/>
    </i>
    <i r="3">
      <x v="9"/>
    </i>
    <i r="3">
      <x v="10"/>
    </i>
    <i r="2">
      <x v="7"/>
      <x v="6"/>
    </i>
    <i r="3">
      <x v="8"/>
    </i>
    <i r="3">
      <x v="10"/>
    </i>
    <i r="2">
      <x v="2"/>
      <x v="2"/>
    </i>
    <i r="3">
      <x v="4"/>
    </i>
    <i r="3">
      <x v="6"/>
    </i>
    <i r="3">
      <x v="10"/>
    </i>
    <i r="2">
      <x v="8"/>
      <x v="1"/>
    </i>
    <i r="3">
      <x v="2"/>
    </i>
    <i r="3">
      <x v="4"/>
    </i>
    <i r="3">
      <x v="7"/>
    </i>
    <i r="3">
      <x v="8"/>
    </i>
    <i r="3">
      <x v="10"/>
    </i>
  </rowItems>
  <colItems count="1">
    <i/>
  </colItems>
  <dataFields count="1">
    <dataField name="# Campos" fld="2" subtotal="count" baseField="0" baseItem="0"/>
  </dataFields>
  <formats count="16">
    <format dxfId="95">
      <pivotArea collapsedLevelsAreSubtotals="1" fieldPosition="0">
        <references count="2">
          <reference field="0" count="1" selected="0">
            <x v="2"/>
          </reference>
          <reference field="1" count="1">
            <x v="0"/>
          </reference>
        </references>
      </pivotArea>
    </format>
    <format dxfId="94">
      <pivotArea dataOnly="0" labelOnly="1" fieldPosition="0">
        <references count="2">
          <reference field="0" count="1" selected="0">
            <x v="2"/>
          </reference>
          <reference field="1" count="1">
            <x v="0"/>
          </reference>
        </references>
      </pivotArea>
    </format>
    <format dxfId="93">
      <pivotArea collapsedLevelsAreSubtotals="1" fieldPosition="0">
        <references count="2">
          <reference field="0" count="1" selected="0">
            <x v="3"/>
          </reference>
          <reference field="1" count="2">
            <x v="0"/>
            <x v="1"/>
          </reference>
        </references>
      </pivotArea>
    </format>
    <format dxfId="92">
      <pivotArea dataOnly="0" labelOnly="1" fieldPosition="0">
        <references count="2">
          <reference field="0" count="1" selected="0">
            <x v="3"/>
          </reference>
          <reference field="1" count="2">
            <x v="0"/>
            <x v="1"/>
          </reference>
        </references>
      </pivotArea>
    </format>
    <format dxfId="91">
      <pivotArea collapsedLevelsAreSubtotals="1" fieldPosition="0">
        <references count="2">
          <reference field="0" count="1" selected="0">
            <x v="4"/>
          </reference>
          <reference field="1" count="2">
            <x v="0"/>
            <x v="1"/>
          </reference>
        </references>
      </pivotArea>
    </format>
    <format dxfId="90">
      <pivotArea dataOnly="0" labelOnly="1" fieldPosition="0">
        <references count="2">
          <reference field="0" count="1" selected="0">
            <x v="4"/>
          </reference>
          <reference field="1" count="2">
            <x v="0"/>
            <x v="1"/>
          </reference>
        </references>
      </pivotArea>
    </format>
    <format dxfId="89">
      <pivotArea collapsedLevelsAreSubtotals="1" fieldPosition="0">
        <references count="2">
          <reference field="0" count="1" selected="0">
            <x v="5"/>
          </reference>
          <reference field="1" count="1">
            <x v="3"/>
          </reference>
        </references>
      </pivotArea>
    </format>
    <format dxfId="88">
      <pivotArea dataOnly="0" labelOnly="1" fieldPosition="0">
        <references count="2">
          <reference field="0" count="1" selected="0">
            <x v="5"/>
          </reference>
          <reference field="1" count="1">
            <x v="3"/>
          </reference>
        </references>
      </pivotArea>
    </format>
    <format dxfId="87">
      <pivotArea collapsedLevelsAreSubtotals="1" fieldPosition="0">
        <references count="2">
          <reference field="0" count="1" selected="0">
            <x v="5"/>
          </reference>
          <reference field="1" count="1">
            <x v="9"/>
          </reference>
        </references>
      </pivotArea>
    </format>
    <format dxfId="86">
      <pivotArea dataOnly="0" labelOnly="1" fieldPosition="0">
        <references count="2">
          <reference field="0" count="1" selected="0">
            <x v="5"/>
          </reference>
          <reference field="1" count="1">
            <x v="9"/>
          </reference>
        </references>
      </pivotArea>
    </format>
    <format dxfId="85">
      <pivotArea collapsedLevelsAreSubtotals="1" fieldPosition="0">
        <references count="2">
          <reference field="0" count="1" selected="0">
            <x v="5"/>
          </reference>
          <reference field="1" count="2">
            <x v="1"/>
            <x v="6"/>
          </reference>
        </references>
      </pivotArea>
    </format>
    <format dxfId="84">
      <pivotArea dataOnly="0" labelOnly="1" fieldPosition="0">
        <references count="2">
          <reference field="0" count="1" selected="0">
            <x v="5"/>
          </reference>
          <reference field="1" count="2">
            <x v="1"/>
            <x v="6"/>
          </reference>
        </references>
      </pivotArea>
    </format>
    <format dxfId="83">
      <pivotArea collapsedLevelsAreSubtotals="1" fieldPosition="0">
        <references count="2">
          <reference field="0" count="1" selected="0">
            <x v="5"/>
          </reference>
          <reference field="1" count="3">
            <x v="2"/>
            <x v="4"/>
            <x v="5"/>
          </reference>
        </references>
      </pivotArea>
    </format>
    <format dxfId="82">
      <pivotArea dataOnly="0" labelOnly="1" fieldPosition="0">
        <references count="2">
          <reference field="0" count="1" selected="0">
            <x v="5"/>
          </reference>
          <reference field="1" count="3">
            <x v="2"/>
            <x v="4"/>
            <x v="5"/>
          </reference>
        </references>
      </pivotArea>
    </format>
    <format dxfId="81">
      <pivotArea collapsedLevelsAreSubtotals="1" fieldPosition="0">
        <references count="2">
          <reference field="0" count="1" selected="0">
            <x v="3"/>
          </reference>
          <reference field="1" count="1">
            <x v="2"/>
          </reference>
        </references>
      </pivotArea>
    </format>
    <format dxfId="80">
      <pivotArea dataOnly="0" labelOnly="1" fieldPosition="0">
        <references count="2">
          <reference field="0" count="1" selected="0">
            <x v="3"/>
          </reference>
          <reference field="1" count="1">
            <x v="2"/>
          </reference>
        </references>
      </pivotArea>
    </format>
  </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# Campos"/>
  </pivotHierarchies>
  <pivotTableStyleInfo showRowHeaders="1" showColHeaders="1" showRowStripes="0" showColStripes="0" showLastColumn="1"/>
  <rowHierarchiesUsage count="4">
    <rowHierarchyUsage hierarchyUsage="10"/>
    <rowHierarchyUsage hierarchyUsage="25"/>
    <rowHierarchyUsage hierarchyUsage="24"/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STA - Setembro2024!$A$3:$Z$53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id="1" name="Table1" displayName="Table1" ref="A3:AL539" totalsRowShown="0" headerRowDxfId="79" dataDxfId="78" tableBorderDxfId="77">
  <tableColumns count="38">
    <tableColumn id="1" name="ID Data field / Field order" dataDxfId="76"/>
    <tableColumn id="2" name="CONCAT" dataDxfId="75">
      <calculatedColumnFormula>C4&amp;"_"&amp;D4</calculatedColumnFormula>
    </tableColumn>
    <tableColumn id="3" name="Table" dataDxfId="74"/>
    <tableColumn id="4" name="Data field" dataDxfId="73"/>
    <tableColumn id="5" name="Field name" dataDxfId="72"/>
    <tableColumn id="6" name="Structural _x000a_ECB Loan Tape" dataDxfId="71"/>
    <tableColumn id="7" name="Green _x000a_Dashboard" dataDxfId="70"/>
    <tableColumn id="8" name="Pillar III ESG" dataDxfId="69"/>
    <tableColumn id="9" name="Green Finance" dataDxfId="68"/>
    <tableColumn id="10" name="ESG Risks" dataDxfId="67"/>
    <tableColumn id="11" name="Leveraged Finance" dataDxfId="66"/>
    <tableColumn id="12" name="ATUAL_Structural _x000a_ECB Loan Tape" dataDxfId="65">
      <calculatedColumnFormula>IFERROR(VLOOKUP($B4,'LISTA - Atual'!$B$1:$I$444,5,0),"Novo")</calculatedColumnFormula>
    </tableColumn>
    <tableColumn id="13" name="val_ESTR" dataDxfId="64">
      <calculatedColumnFormula>IF(L4="Novo","Novo Campo",IF(L4=F4,"Igual","Diferente"))</calculatedColumnFormula>
    </tableColumn>
    <tableColumn id="14" name="ATUAL_Green _x000a_Dashboard" dataDxfId="63">
      <calculatedColumnFormula>IFERROR(VLOOKUP($B4,'LISTA - Atual'!$B$1:$I$444,6,0),"Novo")</calculatedColumnFormula>
    </tableColumn>
    <tableColumn id="15" name="val_GD" dataDxfId="62">
      <calculatedColumnFormula>IF(N4="Novo","Novo Campo",IF(N4=G4,"Igual","Diferente"))</calculatedColumnFormula>
    </tableColumn>
    <tableColumn id="16" name="ATUAL_Pillar III ESG" dataDxfId="61">
      <calculatedColumnFormula>IFERROR(VLOOKUP($B4,'LISTA - Atual'!$B$1:$I$444,7,0),"Novo")</calculatedColumnFormula>
    </tableColumn>
    <tableColumn id="17" name="val_PILAR3" dataDxfId="60">
      <calculatedColumnFormula>IF(P4="Novo","Novo Campo",IF(P4=H4,"Igual","Diferente"))</calculatedColumnFormula>
    </tableColumn>
    <tableColumn id="18" name="ATUAL_Green Finance" dataDxfId="59"/>
    <tableColumn id="19" name="ATUAL_ESG Risks" dataDxfId="58">
      <calculatedColumnFormula>IFERROR(VLOOKUP($B4,'LISTA - Atual'!$B$1:$I$444,8,0),"Novo")</calculatedColumnFormula>
    </tableColumn>
    <tableColumn id="20" name="val_ESG_RISKS" dataDxfId="57">
      <calculatedColumnFormula>IF(S4="Novo","Novo Campo",IF(S4=J4,"Igual","Diferente"))</calculatedColumnFormula>
    </tableColumn>
    <tableColumn id="21" name="ATUAL_Leveraged Finance" dataDxfId="56"/>
    <tableColumn id="22" name="Fonte manual LF" dataDxfId="55"/>
    <tableColumn id="23" name="Status Data Lake" dataDxfId="54">
      <calculatedColumnFormula>IFERROR(VLOOKUP(B4,#REF!,11,0),"n/a")</calculatedColumnFormula>
    </tableColumn>
    <tableColumn id="24" name="Status Data Lake (Detalhe)" dataDxfId="53">
      <calculatedColumnFormula>IFERROR(VLOOKUP(B4,#REF!,8,0),"n/a")</calculatedColumnFormula>
    </tableColumn>
    <tableColumn id="25" name="AMBITO" dataDxfId="52">
      <calculatedColumnFormula>$H$2</calculatedColumnFormula>
    </tableColumn>
    <tableColumn id="26" name="STATUS" dataDxfId="51"/>
    <tableColumn id="27" name="xx" dataDxfId="50">
      <calculatedColumnFormula>VLOOKUP(Table1[[#This Row],[CONCAT]],'Campos Resumo Prop2.0'!A:H,8,0)</calculatedColumnFormula>
    </tableColumn>
    <tableColumn id="28" name="format" dataDxfId="49"/>
    <tableColumn id="29" name="Complexidade_x000a_(todos)" dataDxfId="48"/>
    <tableColumn id="30" name="Especificação" dataDxfId="47">
      <calculatedColumnFormula>INDEX(Auxiliar!$D$5:$I$10,MATCH('LISTA - Setembro2024'!AD$3,Auxiliar!$B$5:$B$10,0),MATCH('LISTA - Setembro2024'!$AC4,Auxiliar!$D$4:$I$4,0))</calculatedColumnFormula>
    </tableColumn>
    <tableColumn id="31" name="Simulação" dataDxfId="46">
      <calculatedColumnFormula>INDEX(Auxiliar!$D$5:$I$10,MATCH('LISTA - Setembro2024'!AE$3,Auxiliar!$B$5:$B$10,0),MATCH('LISTA - Setembro2024'!$AC4,Auxiliar!$D$4:$I$4,0))</calculatedColumnFormula>
    </tableColumn>
    <tableColumn id="32" name="2. Testes comparativos" dataDxfId="45">
      <calculatedColumnFormula>INDEX(Auxiliar!$D$5:$I$10,MATCH('LISTA - Setembro2024'!AF$3,Auxiliar!$B$5:$B$10,0),MATCH('LISTA - Setembro2024'!$AC4,Auxiliar!$D$4:$I$4,0))</calculatedColumnFormula>
    </tableColumn>
    <tableColumn id="33" name="Complexidade (code list)" dataDxfId="44">
      <calculatedColumnFormula>IF(OR(AB4="Code List",AB4="Y, N"),AC4,"n.a.")</calculatedColumnFormula>
    </tableColumn>
    <tableColumn id="34" name="3. Val. Code List" dataDxfId="43">
      <calculatedColumnFormula>INDEX(Auxiliar!$D$5:$I$10,MATCH('LISTA - Setembro2024'!AH$3,Auxiliar!$B$5:$B$10,0),MATCH('LISTA - Setembro2024'!$AG4,Auxiliar!$D$4:$I$4,0))</calculatedColumnFormula>
    </tableColumn>
    <tableColumn id="35" name="4. Val. Formatos" dataDxfId="42">
      <calculatedColumnFormula>INDEX(Auxiliar!$D$5:$I$10,MATCH('LISTA - Setembro2024'!AI$3,Auxiliar!$B$5:$B$10,0),MATCH('LISTA - Setembro2024'!$AC4,Auxiliar!$D$4:$I$4,0))</calculatedColumnFormula>
    </tableColumn>
    <tableColumn id="36" name="5. Val.Controlos Corp." dataDxfId="41">
      <calculatedColumnFormula>INDEX(Auxiliar!$D$5:$I$10,MATCH('LISTA - Setembro2024'!AJ$3,Auxiliar!$B$5:$B$10,0),MATCH('LISTA - Setembro2024'!$AC4,Auxiliar!$D$4:$I$4,0))</calculatedColumnFormula>
    </tableColumn>
    <tableColumn id="37" name="Total Testes" dataDxfId="40">
      <calculatedColumnFormula>SUM(AF4,AH4:AJ4)</calculatedColumnFormula>
    </tableColumn>
    <tableColumn id="38" name="Observações" dataDxfId="3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B3:H71" totalsRowShown="0" headerRowDxfId="38" dataDxfId="37" tableBorderDxfId="36">
  <autoFilter ref="B3:H71">
    <filterColumn colId="6">
      <filters>
        <filter val="Não será contemplado no âmbito da proposta - Banco não tem esta informação na fonte/Sem materialidade"/>
        <filter val="Não será contemplado no âmbito da proposta - Campos do LT ESTR"/>
        <filter val="SB - Validar com CdG"/>
      </filters>
    </filterColumn>
  </autoFilter>
  <tableColumns count="7">
    <tableColumn id="3" name="Table" dataDxfId="35"/>
    <tableColumn id="4" name="Data field" dataDxfId="34"/>
    <tableColumn id="5" name="Field name" dataDxfId="33"/>
    <tableColumn id="28" name="format" dataDxfId="32"/>
    <tableColumn id="25" name="AMBITO" dataDxfId="31"/>
    <tableColumn id="29" name="Complexidade_x000a_(todos)" dataDxfId="30"/>
    <tableColumn id="1" name="Observações" dataDxfId="2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autoPageBreaks="0"/>
  </sheetPr>
  <dimension ref="A1:CQ226"/>
  <sheetViews>
    <sheetView showGridLines="0" zoomScale="66" zoomScaleNormal="60" workbookViewId="0">
      <pane xSplit="4" ySplit="8" topLeftCell="E9" activePane="bottomRight" state="frozen"/>
      <selection pane="topRight" activeCell="F1" sqref="F1"/>
      <selection pane="bottomLeft" activeCell="A4" sqref="A4"/>
      <selection pane="bottomRight" activeCell="F69" sqref="F69"/>
    </sheetView>
  </sheetViews>
  <sheetFormatPr defaultColWidth="5.59765625" defaultRowHeight="0" customHeight="1" zeroHeight="1" outlineLevelRow="3" x14ac:dyDescent="0.25"/>
  <cols>
    <col min="1" max="1" width="2.69921875" style="145" customWidth="1"/>
    <col min="2" max="2" width="2.69921875" style="142" customWidth="1"/>
    <col min="3" max="3" width="39.8984375" style="143" bestFit="1" customWidth="1"/>
    <col min="4" max="4" width="20.69921875" style="144" customWidth="1"/>
    <col min="5" max="5" width="29.5" style="144" bestFit="1" customWidth="1"/>
    <col min="6" max="6" width="15.69921875" style="173" customWidth="1"/>
    <col min="7" max="7" width="18.69921875" style="144" customWidth="1"/>
    <col min="8" max="8" width="18.69921875" style="187" customWidth="1"/>
    <col min="9" max="9" width="9" style="145" bestFit="1" customWidth="1"/>
    <col min="10" max="14" width="5.59765625" style="145"/>
  </cols>
  <sheetData>
    <row r="1" spans="1:95" ht="14.85" customHeight="1" x14ac:dyDescent="0.25">
      <c r="H1" s="185">
        <f>I1/8/5</f>
        <v>68.2</v>
      </c>
      <c r="I1" s="174">
        <f>SUM(J1:AF1)</f>
        <v>2728</v>
      </c>
      <c r="K1" s="145">
        <f t="shared" ref="K1:M1" si="0">K4*8*5</f>
        <v>124</v>
      </c>
      <c r="L1" s="145">
        <f t="shared" si="0"/>
        <v>124</v>
      </c>
      <c r="M1" s="145">
        <f t="shared" si="0"/>
        <v>124</v>
      </c>
      <c r="N1" s="145">
        <f t="shared" ref="N1:BM1" si="1">N4*8*5</f>
        <v>124</v>
      </c>
      <c r="O1" s="145">
        <f t="shared" si="1"/>
        <v>124</v>
      </c>
      <c r="P1" s="145">
        <f t="shared" si="1"/>
        <v>124</v>
      </c>
      <c r="Q1" s="145">
        <f t="shared" si="1"/>
        <v>124</v>
      </c>
      <c r="R1" s="145">
        <f t="shared" si="1"/>
        <v>124</v>
      </c>
      <c r="S1" s="145">
        <f t="shared" si="1"/>
        <v>124</v>
      </c>
      <c r="T1" s="145">
        <f t="shared" si="1"/>
        <v>124</v>
      </c>
      <c r="U1" s="145">
        <f t="shared" si="1"/>
        <v>124</v>
      </c>
      <c r="V1" s="145">
        <f t="shared" si="1"/>
        <v>124</v>
      </c>
      <c r="W1" s="145">
        <f t="shared" si="1"/>
        <v>124</v>
      </c>
      <c r="X1" s="145">
        <f t="shared" si="1"/>
        <v>124</v>
      </c>
      <c r="Y1" s="145">
        <f t="shared" si="1"/>
        <v>124</v>
      </c>
      <c r="Z1" s="145">
        <f t="shared" si="1"/>
        <v>124</v>
      </c>
      <c r="AA1" s="145">
        <f t="shared" si="1"/>
        <v>124</v>
      </c>
      <c r="AB1" s="145">
        <f t="shared" si="1"/>
        <v>124</v>
      </c>
      <c r="AC1" s="145">
        <f t="shared" si="1"/>
        <v>124</v>
      </c>
      <c r="AD1" s="145">
        <f t="shared" si="1"/>
        <v>124</v>
      </c>
      <c r="AE1" s="145">
        <f t="shared" si="1"/>
        <v>124</v>
      </c>
      <c r="AF1" s="145">
        <f t="shared" si="1"/>
        <v>124</v>
      </c>
      <c r="AG1" s="145">
        <f t="shared" si="1"/>
        <v>84</v>
      </c>
      <c r="AH1" s="145">
        <f t="shared" si="1"/>
        <v>84</v>
      </c>
      <c r="AI1" s="145">
        <f t="shared" si="1"/>
        <v>84</v>
      </c>
      <c r="AJ1" s="145">
        <f t="shared" si="1"/>
        <v>84</v>
      </c>
      <c r="AK1" s="145">
        <f t="shared" si="1"/>
        <v>84</v>
      </c>
      <c r="AL1" s="145">
        <f t="shared" si="1"/>
        <v>84</v>
      </c>
      <c r="AM1" s="145">
        <f t="shared" si="1"/>
        <v>84</v>
      </c>
      <c r="AN1" s="145">
        <f t="shared" si="1"/>
        <v>84</v>
      </c>
      <c r="AO1" s="145">
        <f t="shared" si="1"/>
        <v>84</v>
      </c>
      <c r="AP1" s="145">
        <f t="shared" si="1"/>
        <v>84</v>
      </c>
      <c r="AQ1" s="145">
        <f t="shared" si="1"/>
        <v>84</v>
      </c>
      <c r="AR1" s="145">
        <f t="shared" si="1"/>
        <v>84</v>
      </c>
      <c r="AS1" s="145">
        <f t="shared" si="1"/>
        <v>84</v>
      </c>
      <c r="AT1" s="145">
        <f t="shared" si="1"/>
        <v>84</v>
      </c>
      <c r="AU1" s="145">
        <f t="shared" si="1"/>
        <v>84</v>
      </c>
      <c r="AV1" s="145">
        <f t="shared" si="1"/>
        <v>84</v>
      </c>
      <c r="AW1" s="145">
        <f t="shared" si="1"/>
        <v>84</v>
      </c>
      <c r="AX1" s="145">
        <f t="shared" si="1"/>
        <v>84</v>
      </c>
      <c r="AY1" s="145">
        <f t="shared" si="1"/>
        <v>84</v>
      </c>
      <c r="AZ1" s="145">
        <f t="shared" si="1"/>
        <v>84</v>
      </c>
      <c r="BA1" s="145">
        <f t="shared" si="1"/>
        <v>84</v>
      </c>
      <c r="BB1" s="145">
        <f t="shared" si="1"/>
        <v>0</v>
      </c>
      <c r="BC1" s="145">
        <f t="shared" si="1"/>
        <v>84</v>
      </c>
      <c r="BD1" s="145">
        <f t="shared" si="1"/>
        <v>84</v>
      </c>
      <c r="BE1" s="145">
        <f t="shared" si="1"/>
        <v>84</v>
      </c>
      <c r="BF1" s="145">
        <f t="shared" si="1"/>
        <v>84</v>
      </c>
      <c r="BG1" s="145">
        <f t="shared" si="1"/>
        <v>84</v>
      </c>
      <c r="BH1" s="145">
        <f t="shared" si="1"/>
        <v>84</v>
      </c>
      <c r="BI1" s="145">
        <f t="shared" si="1"/>
        <v>84</v>
      </c>
      <c r="BJ1" s="145">
        <f t="shared" si="1"/>
        <v>84</v>
      </c>
      <c r="BK1" s="145">
        <f t="shared" si="1"/>
        <v>84</v>
      </c>
      <c r="BL1" s="145">
        <f t="shared" si="1"/>
        <v>84</v>
      </c>
      <c r="BM1" s="145">
        <f t="shared" si="1"/>
        <v>84</v>
      </c>
      <c r="BN1" s="145">
        <f t="shared" ref="BN1:BU1" si="2">BN4*8*5</f>
        <v>84</v>
      </c>
      <c r="BO1" s="145">
        <f t="shared" si="2"/>
        <v>84</v>
      </c>
      <c r="BP1" s="145">
        <f t="shared" si="2"/>
        <v>84</v>
      </c>
      <c r="BQ1" s="145">
        <f t="shared" si="2"/>
        <v>84</v>
      </c>
      <c r="BR1" s="145">
        <f t="shared" si="2"/>
        <v>84</v>
      </c>
      <c r="BS1" s="145">
        <f t="shared" si="2"/>
        <v>84</v>
      </c>
      <c r="BT1" s="145">
        <f t="shared" si="2"/>
        <v>84</v>
      </c>
      <c r="BU1" s="145">
        <f t="shared" si="2"/>
        <v>84</v>
      </c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</row>
    <row r="2" spans="1:95" ht="14.85" customHeight="1" x14ac:dyDescent="0.25">
      <c r="A2" s="150"/>
      <c r="B2" s="147"/>
      <c r="C2" s="148"/>
      <c r="D2" s="149"/>
      <c r="E2" s="149"/>
      <c r="F2" s="217"/>
      <c r="G2" s="149"/>
      <c r="H2" s="186"/>
      <c r="I2" s="152" t="s">
        <v>1707</v>
      </c>
      <c r="J2" s="151"/>
      <c r="K2" s="151">
        <f t="shared" ref="K2:M2" si="3">K3-K4</f>
        <v>0</v>
      </c>
      <c r="L2" s="151">
        <f t="shared" si="3"/>
        <v>0</v>
      </c>
      <c r="M2" s="151">
        <f t="shared" si="3"/>
        <v>0</v>
      </c>
      <c r="N2" s="151">
        <f t="shared" ref="N2:BM2" si="4">N3-N4</f>
        <v>0</v>
      </c>
      <c r="O2" s="151">
        <f t="shared" si="4"/>
        <v>0</v>
      </c>
      <c r="P2" s="151">
        <f t="shared" si="4"/>
        <v>0</v>
      </c>
      <c r="Q2" s="151">
        <f t="shared" si="4"/>
        <v>0</v>
      </c>
      <c r="R2" s="151">
        <f t="shared" si="4"/>
        <v>0</v>
      </c>
      <c r="S2" s="151">
        <f t="shared" si="4"/>
        <v>0</v>
      </c>
      <c r="T2" s="151">
        <f t="shared" si="4"/>
        <v>0</v>
      </c>
      <c r="U2" s="151">
        <f t="shared" si="4"/>
        <v>0</v>
      </c>
      <c r="V2" s="151">
        <f t="shared" si="4"/>
        <v>0</v>
      </c>
      <c r="W2" s="151">
        <f t="shared" si="4"/>
        <v>0</v>
      </c>
      <c r="X2" s="151">
        <f t="shared" si="4"/>
        <v>0</v>
      </c>
      <c r="Y2" s="151">
        <f t="shared" si="4"/>
        <v>0</v>
      </c>
      <c r="Z2" s="151">
        <f t="shared" si="4"/>
        <v>0</v>
      </c>
      <c r="AA2" s="151">
        <f t="shared" si="4"/>
        <v>0</v>
      </c>
      <c r="AB2" s="151">
        <f t="shared" si="4"/>
        <v>0</v>
      </c>
      <c r="AC2" s="151">
        <f t="shared" si="4"/>
        <v>0</v>
      </c>
      <c r="AD2" s="151">
        <f t="shared" si="4"/>
        <v>0</v>
      </c>
      <c r="AE2" s="151">
        <f t="shared" si="4"/>
        <v>0</v>
      </c>
      <c r="AF2" s="151">
        <f t="shared" si="4"/>
        <v>0</v>
      </c>
      <c r="AG2" s="151">
        <f t="shared" si="4"/>
        <v>0</v>
      </c>
      <c r="AH2" s="151">
        <f t="shared" si="4"/>
        <v>0</v>
      </c>
      <c r="AI2" s="151">
        <f t="shared" si="4"/>
        <v>0</v>
      </c>
      <c r="AJ2" s="151">
        <f t="shared" si="4"/>
        <v>0</v>
      </c>
      <c r="AK2" s="151">
        <f t="shared" si="4"/>
        <v>0</v>
      </c>
      <c r="AL2" s="151">
        <f t="shared" si="4"/>
        <v>0</v>
      </c>
      <c r="AM2" s="151">
        <f t="shared" si="4"/>
        <v>0</v>
      </c>
      <c r="AN2" s="151">
        <f t="shared" si="4"/>
        <v>0</v>
      </c>
      <c r="AO2" s="151">
        <f t="shared" si="4"/>
        <v>0</v>
      </c>
      <c r="AP2" s="151">
        <f t="shared" si="4"/>
        <v>0</v>
      </c>
      <c r="AQ2" s="151">
        <f t="shared" si="4"/>
        <v>0</v>
      </c>
      <c r="AR2" s="151">
        <f t="shared" si="4"/>
        <v>0</v>
      </c>
      <c r="AS2" s="151">
        <f t="shared" si="4"/>
        <v>0</v>
      </c>
      <c r="AT2" s="151">
        <f t="shared" si="4"/>
        <v>0</v>
      </c>
      <c r="AU2" s="151">
        <f t="shared" si="4"/>
        <v>0</v>
      </c>
      <c r="AV2" s="151">
        <f t="shared" si="4"/>
        <v>0</v>
      </c>
      <c r="AW2" s="151">
        <f t="shared" si="4"/>
        <v>0</v>
      </c>
      <c r="AX2" s="151">
        <f t="shared" si="4"/>
        <v>0</v>
      </c>
      <c r="AY2" s="151">
        <f t="shared" si="4"/>
        <v>0</v>
      </c>
      <c r="AZ2" s="151">
        <f t="shared" si="4"/>
        <v>0</v>
      </c>
      <c r="BA2" s="151">
        <f t="shared" si="4"/>
        <v>0</v>
      </c>
      <c r="BB2" s="151"/>
      <c r="BC2" s="151">
        <f t="shared" si="4"/>
        <v>0</v>
      </c>
      <c r="BD2" s="151">
        <f t="shared" si="4"/>
        <v>0</v>
      </c>
      <c r="BE2" s="151">
        <f t="shared" si="4"/>
        <v>0</v>
      </c>
      <c r="BF2" s="151">
        <f t="shared" si="4"/>
        <v>0</v>
      </c>
      <c r="BG2" s="151">
        <f t="shared" si="4"/>
        <v>0</v>
      </c>
      <c r="BH2" s="151">
        <f t="shared" si="4"/>
        <v>0</v>
      </c>
      <c r="BI2" s="151">
        <f t="shared" si="4"/>
        <v>0</v>
      </c>
      <c r="BJ2" s="151">
        <f t="shared" si="4"/>
        <v>0</v>
      </c>
      <c r="BK2" s="151">
        <f t="shared" si="4"/>
        <v>0</v>
      </c>
      <c r="BL2" s="151">
        <f t="shared" si="4"/>
        <v>0</v>
      </c>
      <c r="BM2" s="151">
        <f t="shared" si="4"/>
        <v>0</v>
      </c>
      <c r="BN2" s="151">
        <f t="shared" ref="BN2:BU2" si="5">BN3-BN4</f>
        <v>0</v>
      </c>
      <c r="BO2" s="151">
        <f t="shared" si="5"/>
        <v>0</v>
      </c>
      <c r="BP2" s="151">
        <f t="shared" si="5"/>
        <v>0</v>
      </c>
      <c r="BQ2" s="151">
        <f t="shared" si="5"/>
        <v>0</v>
      </c>
      <c r="BR2" s="151">
        <f t="shared" si="5"/>
        <v>0</v>
      </c>
      <c r="BS2" s="151">
        <f t="shared" si="5"/>
        <v>0</v>
      </c>
      <c r="BT2" s="151">
        <f t="shared" si="5"/>
        <v>0</v>
      </c>
      <c r="BU2" s="151">
        <f t="shared" si="5"/>
        <v>0</v>
      </c>
    </row>
    <row r="3" spans="1:95" ht="14.85" customHeight="1" x14ac:dyDescent="0.25">
      <c r="A3" s="150"/>
      <c r="B3" s="147"/>
      <c r="C3" s="148"/>
      <c r="D3" s="149"/>
      <c r="E3" s="149"/>
      <c r="F3" s="217"/>
      <c r="G3" s="149"/>
      <c r="H3" s="186"/>
      <c r="I3" s="152" t="s">
        <v>1706</v>
      </c>
      <c r="J3" s="152"/>
      <c r="K3" s="152">
        <f t="shared" ref="K3:AF3" si="6">SUM(K9:K226)</f>
        <v>3.1</v>
      </c>
      <c r="L3" s="152">
        <f t="shared" si="6"/>
        <v>3.1</v>
      </c>
      <c r="M3" s="152">
        <f t="shared" si="6"/>
        <v>3.1</v>
      </c>
      <c r="N3" s="152">
        <f t="shared" si="6"/>
        <v>3.1</v>
      </c>
      <c r="O3" s="152">
        <f t="shared" si="6"/>
        <v>3.1</v>
      </c>
      <c r="P3" s="152">
        <f t="shared" si="6"/>
        <v>3.1</v>
      </c>
      <c r="Q3" s="152">
        <f t="shared" si="6"/>
        <v>3.1</v>
      </c>
      <c r="R3" s="152">
        <f t="shared" si="6"/>
        <v>3.1</v>
      </c>
      <c r="S3" s="152">
        <f t="shared" si="6"/>
        <v>3.1</v>
      </c>
      <c r="T3" s="152">
        <f t="shared" si="6"/>
        <v>3.1</v>
      </c>
      <c r="U3" s="152">
        <f t="shared" si="6"/>
        <v>3.1</v>
      </c>
      <c r="V3" s="152">
        <f t="shared" si="6"/>
        <v>3.1</v>
      </c>
      <c r="W3" s="152">
        <f t="shared" si="6"/>
        <v>3.1</v>
      </c>
      <c r="X3" s="152">
        <f t="shared" si="6"/>
        <v>3.1</v>
      </c>
      <c r="Y3" s="152">
        <f t="shared" si="6"/>
        <v>3.1000000000000005</v>
      </c>
      <c r="Z3" s="152">
        <f t="shared" si="6"/>
        <v>3.0999999999999996</v>
      </c>
      <c r="AA3" s="152">
        <f t="shared" si="6"/>
        <v>3.1</v>
      </c>
      <c r="AB3" s="152">
        <f t="shared" si="6"/>
        <v>3.1</v>
      </c>
      <c r="AC3" s="152">
        <f t="shared" si="6"/>
        <v>3.1</v>
      </c>
      <c r="AD3" s="152">
        <f t="shared" si="6"/>
        <v>3.1</v>
      </c>
      <c r="AE3" s="152">
        <f t="shared" si="6"/>
        <v>3.100000000000001</v>
      </c>
      <c r="AF3" s="152">
        <f t="shared" si="6"/>
        <v>3.1</v>
      </c>
      <c r="AG3" s="152">
        <f t="shared" ref="AG3:BM3" si="7">SUM(AG9:AG226)</f>
        <v>2.1</v>
      </c>
      <c r="AH3" s="152">
        <f t="shared" si="7"/>
        <v>2.1</v>
      </c>
      <c r="AI3" s="152">
        <f t="shared" si="7"/>
        <v>2.1</v>
      </c>
      <c r="AJ3" s="152">
        <f t="shared" si="7"/>
        <v>2.1</v>
      </c>
      <c r="AK3" s="152">
        <f t="shared" si="7"/>
        <v>2.1</v>
      </c>
      <c r="AL3" s="152">
        <f t="shared" si="7"/>
        <v>2.0999999999999996</v>
      </c>
      <c r="AM3" s="152">
        <f t="shared" si="7"/>
        <v>2.0999999999999996</v>
      </c>
      <c r="AN3" s="152">
        <f t="shared" si="7"/>
        <v>2.1</v>
      </c>
      <c r="AO3" s="152">
        <f t="shared" si="7"/>
        <v>2.1</v>
      </c>
      <c r="AP3" s="152">
        <f t="shared" si="7"/>
        <v>2.0999999999999996</v>
      </c>
      <c r="AQ3" s="152">
        <f t="shared" si="7"/>
        <v>2.0999999999999996</v>
      </c>
      <c r="AR3" s="152">
        <f t="shared" si="7"/>
        <v>2.1</v>
      </c>
      <c r="AS3" s="152">
        <f t="shared" si="7"/>
        <v>2.1</v>
      </c>
      <c r="AT3" s="152">
        <f t="shared" si="7"/>
        <v>2.1</v>
      </c>
      <c r="AU3" s="152">
        <f t="shared" si="7"/>
        <v>2.1</v>
      </c>
      <c r="AV3" s="152">
        <f t="shared" si="7"/>
        <v>2.1</v>
      </c>
      <c r="AW3" s="152">
        <f t="shared" si="7"/>
        <v>2.0999999999999996</v>
      </c>
      <c r="AX3" s="152">
        <f t="shared" si="7"/>
        <v>2.0999999999999996</v>
      </c>
      <c r="AY3" s="152">
        <f t="shared" si="7"/>
        <v>2.1</v>
      </c>
      <c r="AZ3" s="152">
        <f t="shared" si="7"/>
        <v>2.0999999999999996</v>
      </c>
      <c r="BA3" s="152">
        <f t="shared" si="7"/>
        <v>2.0999999999999996</v>
      </c>
      <c r="BB3" s="152"/>
      <c r="BC3" s="152">
        <f t="shared" si="7"/>
        <v>2.0999999999999996</v>
      </c>
      <c r="BD3" s="152">
        <f t="shared" si="7"/>
        <v>2.0999999999999996</v>
      </c>
      <c r="BE3" s="152">
        <f t="shared" si="7"/>
        <v>2.0999999999999996</v>
      </c>
      <c r="BF3" s="152">
        <f t="shared" si="7"/>
        <v>2.0999999999999996</v>
      </c>
      <c r="BG3" s="152">
        <f t="shared" si="7"/>
        <v>2.1</v>
      </c>
      <c r="BH3" s="152">
        <f t="shared" si="7"/>
        <v>2.1</v>
      </c>
      <c r="BI3" s="152">
        <f t="shared" si="7"/>
        <v>2.0999999999999996</v>
      </c>
      <c r="BJ3" s="152">
        <f t="shared" si="7"/>
        <v>2.1</v>
      </c>
      <c r="BK3" s="152">
        <f t="shared" si="7"/>
        <v>2.1</v>
      </c>
      <c r="BL3" s="152">
        <f t="shared" si="7"/>
        <v>2.1</v>
      </c>
      <c r="BM3" s="152">
        <f t="shared" si="7"/>
        <v>2.1</v>
      </c>
      <c r="BN3" s="152">
        <f t="shared" ref="BN3:BU3" si="8">SUM(BN9:BN226)</f>
        <v>2.1</v>
      </c>
      <c r="BO3" s="152">
        <f t="shared" si="8"/>
        <v>2.0999999999999996</v>
      </c>
      <c r="BP3" s="152">
        <f t="shared" si="8"/>
        <v>2.0999999999999996</v>
      </c>
      <c r="BQ3" s="152">
        <f t="shared" si="8"/>
        <v>2.1</v>
      </c>
      <c r="BR3" s="152">
        <f t="shared" si="8"/>
        <v>2.1</v>
      </c>
      <c r="BS3" s="152">
        <f t="shared" si="8"/>
        <v>2.0999999999999996</v>
      </c>
      <c r="BT3" s="152">
        <f t="shared" si="8"/>
        <v>2.1</v>
      </c>
      <c r="BU3" s="152">
        <f t="shared" si="8"/>
        <v>2.1</v>
      </c>
      <c r="BV3" s="152"/>
      <c r="BW3" s="152"/>
      <c r="BX3" s="152"/>
      <c r="BY3" s="152"/>
      <c r="BZ3" s="152"/>
      <c r="CA3" s="152"/>
      <c r="CB3" s="152"/>
      <c r="CC3" s="152"/>
      <c r="CD3" s="152"/>
      <c r="CE3" s="152"/>
      <c r="CF3" s="152"/>
      <c r="CG3" s="152"/>
      <c r="CH3" s="152"/>
      <c r="CI3" s="152"/>
      <c r="CJ3" s="152"/>
      <c r="CK3" s="152"/>
      <c r="CL3" s="152"/>
      <c r="CM3" s="152"/>
      <c r="CN3" s="152"/>
      <c r="CO3" s="152"/>
      <c r="CP3" s="152"/>
      <c r="CQ3" s="152"/>
    </row>
    <row r="4" spans="1:95" ht="14.85" customHeight="1" x14ac:dyDescent="0.25">
      <c r="A4" s="150"/>
      <c r="B4" s="147"/>
      <c r="C4" s="148"/>
      <c r="D4" s="149"/>
      <c r="E4" s="149"/>
      <c r="F4" s="217"/>
      <c r="G4" s="149"/>
      <c r="H4" s="186"/>
      <c r="I4" s="152" t="s">
        <v>1705</v>
      </c>
      <c r="J4" s="152"/>
      <c r="K4" s="152">
        <v>3.1</v>
      </c>
      <c r="L4" s="152">
        <v>3.1</v>
      </c>
      <c r="M4" s="152">
        <v>3.1</v>
      </c>
      <c r="N4" s="152">
        <v>3.1</v>
      </c>
      <c r="O4" s="152">
        <v>3.1</v>
      </c>
      <c r="P4" s="152">
        <v>3.1</v>
      </c>
      <c r="Q4" s="152">
        <v>3.1</v>
      </c>
      <c r="R4" s="152">
        <v>3.1</v>
      </c>
      <c r="S4" s="152">
        <v>3.1</v>
      </c>
      <c r="T4" s="152">
        <v>3.1</v>
      </c>
      <c r="U4" s="152">
        <v>3.1</v>
      </c>
      <c r="V4" s="152">
        <v>3.1</v>
      </c>
      <c r="W4" s="152">
        <v>3.1</v>
      </c>
      <c r="X4" s="152">
        <v>3.1</v>
      </c>
      <c r="Y4" s="152">
        <v>3.1</v>
      </c>
      <c r="Z4" s="152">
        <v>3.1</v>
      </c>
      <c r="AA4" s="152">
        <v>3.1</v>
      </c>
      <c r="AB4" s="152">
        <v>3.1</v>
      </c>
      <c r="AC4" s="152">
        <v>3.1</v>
      </c>
      <c r="AD4" s="152">
        <v>3.1</v>
      </c>
      <c r="AE4" s="152">
        <v>3.1</v>
      </c>
      <c r="AF4" s="152">
        <v>3.1</v>
      </c>
      <c r="AG4" s="152">
        <v>2.1</v>
      </c>
      <c r="AH4" s="152">
        <v>2.1</v>
      </c>
      <c r="AI4" s="152">
        <v>2.1</v>
      </c>
      <c r="AJ4" s="152">
        <v>2.1</v>
      </c>
      <c r="AK4" s="152">
        <v>2.1</v>
      </c>
      <c r="AL4" s="152">
        <v>2.1</v>
      </c>
      <c r="AM4" s="152">
        <v>2.1</v>
      </c>
      <c r="AN4" s="152">
        <v>2.1</v>
      </c>
      <c r="AO4" s="152">
        <v>2.1</v>
      </c>
      <c r="AP4" s="152">
        <v>2.1</v>
      </c>
      <c r="AQ4" s="152">
        <v>2.1</v>
      </c>
      <c r="AR4" s="152">
        <v>2.1</v>
      </c>
      <c r="AS4" s="152">
        <v>2.1</v>
      </c>
      <c r="AT4" s="152">
        <v>2.1</v>
      </c>
      <c r="AU4" s="152">
        <v>2.1</v>
      </c>
      <c r="AV4" s="152">
        <v>2.1</v>
      </c>
      <c r="AW4" s="152">
        <v>2.1</v>
      </c>
      <c r="AX4" s="152">
        <v>2.1</v>
      </c>
      <c r="AY4" s="152">
        <v>2.1</v>
      </c>
      <c r="AZ4" s="152">
        <v>2.1</v>
      </c>
      <c r="BA4" s="152">
        <v>2.1</v>
      </c>
      <c r="BB4" s="152"/>
      <c r="BC4" s="152">
        <v>2.1</v>
      </c>
      <c r="BD4" s="152">
        <v>2.1</v>
      </c>
      <c r="BE4" s="152">
        <v>2.1</v>
      </c>
      <c r="BF4" s="152">
        <v>2.1</v>
      </c>
      <c r="BG4" s="152">
        <v>2.1</v>
      </c>
      <c r="BH4" s="152">
        <v>2.1</v>
      </c>
      <c r="BI4" s="152">
        <v>2.1</v>
      </c>
      <c r="BJ4" s="152">
        <v>2.1</v>
      </c>
      <c r="BK4" s="152">
        <v>2.1</v>
      </c>
      <c r="BL4" s="152">
        <v>2.1</v>
      </c>
      <c r="BM4" s="152">
        <v>2.1</v>
      </c>
      <c r="BN4" s="152">
        <v>2.1</v>
      </c>
      <c r="BO4" s="152">
        <v>2.1</v>
      </c>
      <c r="BP4" s="152">
        <v>2.1</v>
      </c>
      <c r="BQ4" s="152">
        <v>2.1</v>
      </c>
      <c r="BR4" s="152">
        <v>2.1</v>
      </c>
      <c r="BS4" s="152">
        <v>2.1</v>
      </c>
      <c r="BT4" s="152">
        <v>2.1</v>
      </c>
      <c r="BU4" s="152">
        <v>2.1</v>
      </c>
      <c r="BV4" s="152"/>
      <c r="BW4" s="152"/>
      <c r="BX4" s="152"/>
      <c r="BY4" s="152"/>
      <c r="BZ4" s="152"/>
      <c r="CA4" s="152"/>
      <c r="CB4" s="152"/>
      <c r="CC4" s="152"/>
      <c r="CD4" s="152"/>
      <c r="CE4" s="152"/>
      <c r="CF4" s="152"/>
      <c r="CG4" s="152"/>
      <c r="CH4" s="152"/>
      <c r="CI4" s="152"/>
      <c r="CJ4" s="152"/>
      <c r="CK4" s="152"/>
      <c r="CL4" s="152"/>
      <c r="CM4" s="152"/>
      <c r="CN4" s="152"/>
      <c r="CO4" s="152"/>
      <c r="CP4" s="152"/>
      <c r="CQ4" s="152"/>
    </row>
    <row r="5" spans="1:95" ht="14.85" customHeight="1" x14ac:dyDescent="0.25">
      <c r="J5" s="146" t="s">
        <v>1701</v>
      </c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 t="s">
        <v>1702</v>
      </c>
      <c r="AH5" s="146"/>
      <c r="AI5" s="146"/>
      <c r="AJ5" s="146"/>
      <c r="AK5" s="146"/>
      <c r="AL5" s="146"/>
      <c r="AM5" s="146"/>
      <c r="AN5" s="146"/>
      <c r="AO5" s="146"/>
      <c r="AP5" s="146"/>
      <c r="AQ5" s="146"/>
      <c r="AR5" s="146"/>
      <c r="AS5" s="146"/>
      <c r="AT5" s="146"/>
      <c r="AU5" s="146"/>
      <c r="AV5" s="146"/>
      <c r="AW5" s="146"/>
      <c r="AX5" s="146"/>
      <c r="AY5" s="146"/>
      <c r="AZ5" s="146"/>
      <c r="BA5" s="146" t="s">
        <v>1703</v>
      </c>
      <c r="BB5" s="146"/>
      <c r="BC5" s="146"/>
      <c r="BD5" s="146"/>
      <c r="BE5" s="146"/>
      <c r="BF5" s="146"/>
      <c r="BG5" s="146"/>
      <c r="BH5" s="146"/>
      <c r="BI5" s="146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 t="s">
        <v>1704</v>
      </c>
      <c r="BW5" s="146"/>
      <c r="BX5" s="146"/>
      <c r="BY5" s="146"/>
      <c r="BZ5" s="146"/>
      <c r="CA5" s="146"/>
      <c r="CB5" s="146"/>
      <c r="CC5" s="146"/>
      <c r="CD5" s="146"/>
      <c r="CE5" s="146"/>
      <c r="CF5" s="146"/>
      <c r="CG5" s="146"/>
      <c r="CH5" s="146"/>
      <c r="CI5" s="146"/>
      <c r="CJ5" s="146"/>
      <c r="CK5" s="146"/>
      <c r="CL5" s="146"/>
      <c r="CM5" s="146"/>
      <c r="CN5" s="146"/>
      <c r="CO5" s="146"/>
      <c r="CP5" s="146"/>
      <c r="CQ5" s="146"/>
    </row>
    <row r="6" spans="1:95" ht="16.2" x14ac:dyDescent="0.25">
      <c r="D6" s="143"/>
      <c r="E6" s="143"/>
      <c r="G6" s="143"/>
      <c r="H6" s="188"/>
      <c r="J6" s="167">
        <v>45649</v>
      </c>
      <c r="K6" s="167">
        <v>45650</v>
      </c>
      <c r="L6" s="167">
        <v>45651</v>
      </c>
      <c r="M6" s="167">
        <v>45652</v>
      </c>
      <c r="N6" s="167">
        <v>45653</v>
      </c>
      <c r="O6" s="167">
        <v>45649</v>
      </c>
      <c r="P6" s="167">
        <v>45650</v>
      </c>
      <c r="Q6" s="167">
        <v>45651</v>
      </c>
      <c r="R6" s="167">
        <v>45652</v>
      </c>
      <c r="S6" s="167">
        <v>45653</v>
      </c>
      <c r="T6" s="167">
        <v>45649</v>
      </c>
      <c r="U6" s="167">
        <v>45650</v>
      </c>
      <c r="V6" s="167">
        <v>45651</v>
      </c>
      <c r="W6" s="167">
        <v>45652</v>
      </c>
      <c r="X6" s="167">
        <v>45653</v>
      </c>
      <c r="Y6" s="167">
        <v>45649</v>
      </c>
      <c r="Z6" s="167">
        <v>45650</v>
      </c>
      <c r="AA6" s="167">
        <v>45651</v>
      </c>
      <c r="AB6" s="167">
        <v>45652</v>
      </c>
      <c r="AC6" s="167">
        <v>45653</v>
      </c>
      <c r="AD6" s="167">
        <v>45649</v>
      </c>
      <c r="AE6" s="167">
        <v>45650</v>
      </c>
      <c r="AF6" s="167">
        <v>45651</v>
      </c>
      <c r="AG6" s="167">
        <v>45652</v>
      </c>
      <c r="AH6" s="167">
        <v>45653</v>
      </c>
      <c r="AI6" s="167">
        <v>45649</v>
      </c>
      <c r="AJ6" s="167">
        <v>45650</v>
      </c>
      <c r="AK6" s="167">
        <v>45651</v>
      </c>
      <c r="AL6" s="167">
        <v>45652</v>
      </c>
      <c r="AM6" s="167">
        <v>45653</v>
      </c>
      <c r="AN6" s="167">
        <v>45649</v>
      </c>
      <c r="AO6" s="167">
        <v>45650</v>
      </c>
      <c r="AP6" s="167">
        <v>45651</v>
      </c>
      <c r="AQ6" s="167">
        <v>45652</v>
      </c>
      <c r="AR6" s="167">
        <v>45653</v>
      </c>
      <c r="AS6" s="167">
        <v>45649</v>
      </c>
      <c r="AT6" s="167">
        <v>45650</v>
      </c>
      <c r="AU6" s="167">
        <v>45651</v>
      </c>
      <c r="AV6" s="167">
        <v>45652</v>
      </c>
      <c r="AW6" s="167">
        <v>45653</v>
      </c>
      <c r="AX6" s="167">
        <v>45649</v>
      </c>
      <c r="AY6" s="167">
        <v>45650</v>
      </c>
      <c r="AZ6" s="167">
        <v>45651</v>
      </c>
      <c r="BA6" s="167">
        <v>45652</v>
      </c>
      <c r="BB6" s="167">
        <v>45653</v>
      </c>
      <c r="BC6" s="167">
        <v>45649</v>
      </c>
      <c r="BD6" s="167">
        <v>45650</v>
      </c>
      <c r="BE6" s="167">
        <v>45651</v>
      </c>
      <c r="BF6" s="167">
        <v>45652</v>
      </c>
      <c r="BG6" s="167">
        <v>45653</v>
      </c>
      <c r="BH6" s="167">
        <v>45649</v>
      </c>
      <c r="BI6" s="167">
        <v>45650</v>
      </c>
      <c r="BJ6" s="167">
        <v>45651</v>
      </c>
      <c r="BK6" s="167">
        <v>45652</v>
      </c>
      <c r="BL6" s="167">
        <v>45653</v>
      </c>
      <c r="BM6" s="167">
        <v>45649</v>
      </c>
      <c r="BN6" s="167">
        <v>45650</v>
      </c>
      <c r="BO6" s="167">
        <v>45651</v>
      </c>
      <c r="BP6" s="167">
        <v>45652</v>
      </c>
      <c r="BQ6" s="167">
        <v>45653</v>
      </c>
      <c r="BR6" s="167">
        <v>45649</v>
      </c>
      <c r="BS6" s="167">
        <v>45650</v>
      </c>
      <c r="BT6" s="167">
        <v>45651</v>
      </c>
      <c r="BU6" s="167">
        <v>45652</v>
      </c>
      <c r="BV6" s="167">
        <v>45653</v>
      </c>
      <c r="BW6" s="167">
        <v>45649</v>
      </c>
      <c r="BX6" s="167">
        <v>45650</v>
      </c>
      <c r="BY6" s="167">
        <v>45651</v>
      </c>
      <c r="BZ6" s="167">
        <v>45652</v>
      </c>
      <c r="CA6" s="167">
        <v>45653</v>
      </c>
      <c r="CB6" s="167">
        <v>45649</v>
      </c>
      <c r="CC6" s="167">
        <v>45650</v>
      </c>
      <c r="CD6" s="167">
        <v>45651</v>
      </c>
      <c r="CE6" s="167">
        <v>45652</v>
      </c>
      <c r="CF6" s="167">
        <v>45653</v>
      </c>
      <c r="CG6" s="167">
        <v>45649</v>
      </c>
      <c r="CH6" s="167">
        <v>45650</v>
      </c>
      <c r="CI6" s="167">
        <v>45651</v>
      </c>
      <c r="CJ6" s="167">
        <v>45652</v>
      </c>
      <c r="CK6" s="167">
        <v>45653</v>
      </c>
      <c r="CL6" s="167">
        <v>45649</v>
      </c>
      <c r="CM6" s="167">
        <v>45650</v>
      </c>
      <c r="CN6" s="167">
        <v>45651</v>
      </c>
      <c r="CO6" s="167">
        <v>45652</v>
      </c>
      <c r="CP6" s="167">
        <v>45653</v>
      </c>
      <c r="CQ6" s="167">
        <v>45649</v>
      </c>
    </row>
    <row r="7" spans="1:95" ht="17.399999999999999" hidden="1" x14ac:dyDescent="0.25">
      <c r="D7" s="143"/>
      <c r="E7" s="143"/>
      <c r="G7" s="143"/>
      <c r="H7" s="188"/>
      <c r="I7" s="169">
        <v>45657</v>
      </c>
      <c r="J7" s="168">
        <f>WORKDAY(I7,1)</f>
        <v>45658</v>
      </c>
      <c r="K7" s="168">
        <f t="shared" ref="K7:N7" si="9">WORKDAY(J7,1)</f>
        <v>45659</v>
      </c>
      <c r="L7" s="168">
        <f t="shared" si="9"/>
        <v>45660</v>
      </c>
      <c r="M7" s="168">
        <f t="shared" si="9"/>
        <v>45663</v>
      </c>
      <c r="N7" s="168">
        <f t="shared" si="9"/>
        <v>45664</v>
      </c>
      <c r="O7" s="168">
        <f>WORKDAY(N7,1)</f>
        <v>45665</v>
      </c>
      <c r="P7" s="168">
        <f t="shared" ref="P7:S7" si="10">WORKDAY(O7,1)</f>
        <v>45666</v>
      </c>
      <c r="Q7" s="168">
        <f t="shared" si="10"/>
        <v>45667</v>
      </c>
      <c r="R7" s="168">
        <f t="shared" si="10"/>
        <v>45670</v>
      </c>
      <c r="S7" s="168">
        <f t="shared" si="10"/>
        <v>45671</v>
      </c>
      <c r="T7" s="168">
        <f>WORKDAY(S7,1)</f>
        <v>45672</v>
      </c>
      <c r="U7" s="168">
        <f t="shared" ref="U7:X7" si="11">WORKDAY(T7,1)</f>
        <v>45673</v>
      </c>
      <c r="V7" s="168">
        <f t="shared" si="11"/>
        <v>45674</v>
      </c>
      <c r="W7" s="168">
        <f t="shared" si="11"/>
        <v>45677</v>
      </c>
      <c r="X7" s="168">
        <f t="shared" si="11"/>
        <v>45678</v>
      </c>
    </row>
    <row r="8" spans="1:95" ht="17.399999999999999" x14ac:dyDescent="0.25">
      <c r="D8" s="143"/>
      <c r="E8" s="143"/>
      <c r="F8" s="173" t="s">
        <v>1613</v>
      </c>
      <c r="G8" s="173" t="s">
        <v>1708</v>
      </c>
      <c r="H8" s="192" t="s">
        <v>1728</v>
      </c>
      <c r="I8" s="202" t="s">
        <v>1707</v>
      </c>
      <c r="J8" s="168">
        <f>WORKDAY(I7,1)</f>
        <v>45658</v>
      </c>
      <c r="K8" s="168">
        <f t="shared" ref="K8" si="12">WORKDAY(J8,1)</f>
        <v>45659</v>
      </c>
      <c r="L8" s="168">
        <f t="shared" ref="L8" si="13">WORKDAY(K8,1)</f>
        <v>45660</v>
      </c>
      <c r="M8" s="168">
        <f t="shared" ref="M8" si="14">WORKDAY(L8,1)</f>
        <v>45663</v>
      </c>
      <c r="N8" s="168">
        <f t="shared" ref="N8" si="15">WORKDAY(M8,1)</f>
        <v>45664</v>
      </c>
      <c r="O8" s="168">
        <f>WORKDAY(N8,1)</f>
        <v>45665</v>
      </c>
      <c r="P8" s="168">
        <f t="shared" ref="P8" si="16">WORKDAY(O8,1)</f>
        <v>45666</v>
      </c>
      <c r="Q8" s="168">
        <f t="shared" ref="Q8" si="17">WORKDAY(P8,1)</f>
        <v>45667</v>
      </c>
      <c r="R8" s="168">
        <f t="shared" ref="R8" si="18">WORKDAY(Q8,1)</f>
        <v>45670</v>
      </c>
      <c r="S8" s="168">
        <f t="shared" ref="S8" si="19">WORKDAY(R8,1)</f>
        <v>45671</v>
      </c>
      <c r="T8" s="168">
        <f>WORKDAY(S8,1)</f>
        <v>45672</v>
      </c>
      <c r="U8" s="168">
        <f t="shared" ref="U8" si="20">WORKDAY(T8,1)</f>
        <v>45673</v>
      </c>
      <c r="V8" s="168">
        <f t="shared" ref="V8" si="21">WORKDAY(U8,1)</f>
        <v>45674</v>
      </c>
      <c r="W8" s="168">
        <f t="shared" ref="W8" si="22">WORKDAY(V8,1)</f>
        <v>45677</v>
      </c>
      <c r="X8" s="168">
        <f t="shared" ref="X8" si="23">WORKDAY(W8,1)</f>
        <v>45678</v>
      </c>
      <c r="Y8" s="168">
        <f t="shared" ref="Y8" si="24">WORKDAY(X8,1)</f>
        <v>45679</v>
      </c>
      <c r="Z8" s="168">
        <f t="shared" ref="Z8" si="25">WORKDAY(Y8,1)</f>
        <v>45680</v>
      </c>
      <c r="AA8" s="168">
        <f t="shared" ref="AA8" si="26">WORKDAY(Z8,1)</f>
        <v>45681</v>
      </c>
      <c r="AB8" s="168">
        <f t="shared" ref="AB8" si="27">WORKDAY(AA8,1)</f>
        <v>45684</v>
      </c>
      <c r="AC8" s="168">
        <f t="shared" ref="AC8" si="28">WORKDAY(AB8,1)</f>
        <v>45685</v>
      </c>
      <c r="AD8" s="168">
        <f t="shared" ref="AD8" si="29">WORKDAY(AC8,1)</f>
        <v>45686</v>
      </c>
      <c r="AE8" s="168">
        <f t="shared" ref="AE8" si="30">WORKDAY(AD8,1)</f>
        <v>45687</v>
      </c>
      <c r="AF8" s="168">
        <f t="shared" ref="AF8" si="31">WORKDAY(AE8,1)</f>
        <v>45688</v>
      </c>
      <c r="AG8" s="168">
        <f t="shared" ref="AG8" si="32">WORKDAY(AF8,1)</f>
        <v>45691</v>
      </c>
      <c r="AH8" s="168">
        <f t="shared" ref="AH8" si="33">WORKDAY(AG8,1)</f>
        <v>45692</v>
      </c>
      <c r="AI8" s="168">
        <f t="shared" ref="AI8" si="34">WORKDAY(AH8,1)</f>
        <v>45693</v>
      </c>
      <c r="AJ8" s="168">
        <f t="shared" ref="AJ8" si="35">WORKDAY(AI8,1)</f>
        <v>45694</v>
      </c>
      <c r="AK8" s="168">
        <f t="shared" ref="AK8" si="36">WORKDAY(AJ8,1)</f>
        <v>45695</v>
      </c>
      <c r="AL8" s="168">
        <f t="shared" ref="AL8" si="37">WORKDAY(AK8,1)</f>
        <v>45698</v>
      </c>
      <c r="AM8" s="168">
        <f t="shared" ref="AM8" si="38">WORKDAY(AL8,1)</f>
        <v>45699</v>
      </c>
      <c r="AN8" s="168">
        <f t="shared" ref="AN8" si="39">WORKDAY(AM8,1)</f>
        <v>45700</v>
      </c>
      <c r="AO8" s="168">
        <f t="shared" ref="AO8" si="40">WORKDAY(AN8,1)</f>
        <v>45701</v>
      </c>
      <c r="AP8" s="168">
        <f t="shared" ref="AP8" si="41">WORKDAY(AO8,1)</f>
        <v>45702</v>
      </c>
      <c r="AQ8" s="168">
        <f t="shared" ref="AQ8" si="42">WORKDAY(AP8,1)</f>
        <v>45705</v>
      </c>
      <c r="AR8" s="168">
        <f t="shared" ref="AR8" si="43">WORKDAY(AQ8,1)</f>
        <v>45706</v>
      </c>
      <c r="AS8" s="168">
        <f t="shared" ref="AS8" si="44">WORKDAY(AR8,1)</f>
        <v>45707</v>
      </c>
      <c r="AT8" s="168">
        <f t="shared" ref="AT8" si="45">WORKDAY(AS8,1)</f>
        <v>45708</v>
      </c>
      <c r="AU8" s="168">
        <f t="shared" ref="AU8" si="46">WORKDAY(AT8,1)</f>
        <v>45709</v>
      </c>
      <c r="AV8" s="168">
        <f t="shared" ref="AV8" si="47">WORKDAY(AU8,1)</f>
        <v>45712</v>
      </c>
      <c r="AW8" s="168">
        <f t="shared" ref="AW8" si="48">WORKDAY(AV8,1)</f>
        <v>45713</v>
      </c>
      <c r="AX8" s="168">
        <f t="shared" ref="AX8" si="49">WORKDAY(AW8,1)</f>
        <v>45714</v>
      </c>
      <c r="AY8" s="168">
        <f t="shared" ref="AY8" si="50">WORKDAY(AX8,1)</f>
        <v>45715</v>
      </c>
      <c r="AZ8" s="168">
        <f t="shared" ref="AZ8" si="51">WORKDAY(AY8,1)</f>
        <v>45716</v>
      </c>
      <c r="BA8" s="168">
        <f t="shared" ref="BA8" si="52">WORKDAY(AZ8,1)</f>
        <v>45719</v>
      </c>
      <c r="BB8" s="168">
        <f t="shared" ref="BB8" si="53">WORKDAY(BA8,1)</f>
        <v>45720</v>
      </c>
      <c r="BC8" s="168">
        <f t="shared" ref="BC8" si="54">WORKDAY(BB8,1)</f>
        <v>45721</v>
      </c>
      <c r="BD8" s="168">
        <f t="shared" ref="BD8" si="55">WORKDAY(BC8,1)</f>
        <v>45722</v>
      </c>
      <c r="BE8" s="168">
        <f t="shared" ref="BE8" si="56">WORKDAY(BD8,1)</f>
        <v>45723</v>
      </c>
      <c r="BF8" s="168">
        <f t="shared" ref="BF8" si="57">WORKDAY(BE8,1)</f>
        <v>45726</v>
      </c>
      <c r="BG8" s="168">
        <f t="shared" ref="BG8" si="58">WORKDAY(BF8,1)</f>
        <v>45727</v>
      </c>
      <c r="BH8" s="168">
        <f t="shared" ref="BH8" si="59">WORKDAY(BG8,1)</f>
        <v>45728</v>
      </c>
      <c r="BI8" s="168">
        <f t="shared" ref="BI8" si="60">WORKDAY(BH8,1)</f>
        <v>45729</v>
      </c>
      <c r="BJ8" s="168">
        <f t="shared" ref="BJ8" si="61">WORKDAY(BI8,1)</f>
        <v>45730</v>
      </c>
      <c r="BK8" s="168">
        <f t="shared" ref="BK8" si="62">WORKDAY(BJ8,1)</f>
        <v>45733</v>
      </c>
      <c r="BL8" s="168">
        <f t="shared" ref="BL8" si="63">WORKDAY(BK8,1)</f>
        <v>45734</v>
      </c>
      <c r="BM8" s="168">
        <f t="shared" ref="BM8" si="64">WORKDAY(BL8,1)</f>
        <v>45735</v>
      </c>
      <c r="BN8" s="168">
        <f t="shared" ref="BN8" si="65">WORKDAY(BM8,1)</f>
        <v>45736</v>
      </c>
      <c r="BO8" s="168">
        <f t="shared" ref="BO8" si="66">WORKDAY(BN8,1)</f>
        <v>45737</v>
      </c>
      <c r="BP8" s="168">
        <f t="shared" ref="BP8" si="67">WORKDAY(BO8,1)</f>
        <v>45740</v>
      </c>
      <c r="BQ8" s="168">
        <f t="shared" ref="BQ8" si="68">WORKDAY(BP8,1)</f>
        <v>45741</v>
      </c>
      <c r="BR8" s="168">
        <f t="shared" ref="BR8" si="69">WORKDAY(BQ8,1)</f>
        <v>45742</v>
      </c>
      <c r="BS8" s="168">
        <f t="shared" ref="BS8" si="70">WORKDAY(BR8,1)</f>
        <v>45743</v>
      </c>
      <c r="BT8" s="168">
        <f t="shared" ref="BT8" si="71">WORKDAY(BS8,1)</f>
        <v>45744</v>
      </c>
      <c r="BU8" s="168">
        <f t="shared" ref="BU8" si="72">WORKDAY(BT8,1)</f>
        <v>45747</v>
      </c>
      <c r="BV8" s="168">
        <f t="shared" ref="BV8" si="73">WORKDAY(BU8,1)</f>
        <v>45748</v>
      </c>
      <c r="BW8" s="168">
        <f t="shared" ref="BW8" si="74">WORKDAY(BV8,1)</f>
        <v>45749</v>
      </c>
      <c r="BX8" s="168">
        <f t="shared" ref="BX8" si="75">WORKDAY(BW8,1)</f>
        <v>45750</v>
      </c>
      <c r="BY8" s="168">
        <f t="shared" ref="BY8" si="76">WORKDAY(BX8,1)</f>
        <v>45751</v>
      </c>
      <c r="BZ8" s="168">
        <f t="shared" ref="BZ8" si="77">WORKDAY(BY8,1)</f>
        <v>45754</v>
      </c>
      <c r="CA8" s="168">
        <f t="shared" ref="CA8" si="78">WORKDAY(BZ8,1)</f>
        <v>45755</v>
      </c>
      <c r="CB8" s="168">
        <f t="shared" ref="CB8" si="79">WORKDAY(CA8,1)</f>
        <v>45756</v>
      </c>
      <c r="CC8" s="168">
        <f t="shared" ref="CC8" si="80">WORKDAY(CB8,1)</f>
        <v>45757</v>
      </c>
      <c r="CD8" s="168">
        <f t="shared" ref="CD8" si="81">WORKDAY(CC8,1)</f>
        <v>45758</v>
      </c>
      <c r="CE8" s="168">
        <f t="shared" ref="CE8" si="82">WORKDAY(CD8,1)</f>
        <v>45761</v>
      </c>
      <c r="CF8" s="168">
        <f t="shared" ref="CF8" si="83">WORKDAY(CE8,1)</f>
        <v>45762</v>
      </c>
      <c r="CG8" s="168">
        <f t="shared" ref="CG8" si="84">WORKDAY(CF8,1)</f>
        <v>45763</v>
      </c>
      <c r="CH8" s="168">
        <f t="shared" ref="CH8" si="85">WORKDAY(CG8,1)</f>
        <v>45764</v>
      </c>
      <c r="CI8" s="168">
        <f t="shared" ref="CI8" si="86">WORKDAY(CH8,1)</f>
        <v>45765</v>
      </c>
      <c r="CJ8" s="168">
        <f t="shared" ref="CJ8" si="87">WORKDAY(CI8,1)</f>
        <v>45768</v>
      </c>
      <c r="CK8" s="168">
        <f t="shared" ref="CK8" si="88">WORKDAY(CJ8,1)</f>
        <v>45769</v>
      </c>
      <c r="CL8" s="168">
        <f t="shared" ref="CL8" si="89">WORKDAY(CK8,1)</f>
        <v>45770</v>
      </c>
      <c r="CM8" s="168">
        <f t="shared" ref="CM8" si="90">WORKDAY(CL8,1)</f>
        <v>45771</v>
      </c>
      <c r="CN8" s="168">
        <f t="shared" ref="CN8" si="91">WORKDAY(CM8,1)</f>
        <v>45772</v>
      </c>
      <c r="CO8" s="168">
        <f t="shared" ref="CO8" si="92">WORKDAY(CN8,1)</f>
        <v>45775</v>
      </c>
      <c r="CP8" s="168">
        <f t="shared" ref="CP8" si="93">WORKDAY(CO8,1)</f>
        <v>45776</v>
      </c>
      <c r="CQ8" s="168">
        <f t="shared" ref="CQ8" si="94">WORKDAY(CP8,1)</f>
        <v>45777</v>
      </c>
    </row>
    <row r="9" spans="1:95" ht="13.8" x14ac:dyDescent="0.25">
      <c r="G9" s="142"/>
      <c r="H9" s="185"/>
      <c r="J9" s="170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65"/>
      <c r="AZ9" s="165"/>
      <c r="BA9" s="165"/>
      <c r="BB9" s="170"/>
      <c r="BC9" s="165"/>
      <c r="BD9" s="165"/>
      <c r="BE9" s="165"/>
      <c r="BF9" s="165"/>
      <c r="BG9" s="165"/>
      <c r="BH9" s="165"/>
      <c r="BI9" s="165"/>
      <c r="BJ9" s="165"/>
      <c r="BK9" s="165"/>
      <c r="BL9" s="165"/>
      <c r="BM9" s="165"/>
      <c r="BN9" s="165"/>
      <c r="BO9" s="165"/>
      <c r="BP9" s="165"/>
      <c r="BQ9" s="165"/>
      <c r="BR9" s="165"/>
      <c r="BS9" s="165"/>
      <c r="BT9" s="165"/>
      <c r="BU9" s="165"/>
      <c r="BV9" s="165"/>
      <c r="BW9" s="165"/>
      <c r="BX9" s="165"/>
      <c r="BY9" s="165"/>
      <c r="BZ9" s="165"/>
      <c r="CA9" s="165"/>
      <c r="CB9" s="165"/>
      <c r="CC9" s="165"/>
      <c r="CD9" s="165"/>
      <c r="CE9" s="165"/>
      <c r="CF9" s="165"/>
      <c r="CG9" s="165"/>
      <c r="CH9" s="165"/>
      <c r="CI9" s="170"/>
      <c r="CJ9" s="165"/>
      <c r="CK9" s="165"/>
      <c r="CL9" s="165"/>
      <c r="CM9" s="165"/>
      <c r="CN9" s="170"/>
      <c r="CO9" s="165"/>
      <c r="CP9" s="165"/>
      <c r="CQ9" s="165"/>
    </row>
    <row r="10" spans="1:95" ht="13.8" x14ac:dyDescent="0.25">
      <c r="C10" s="196" t="s">
        <v>1710</v>
      </c>
      <c r="D10" s="197"/>
      <c r="E10" s="198"/>
      <c r="F10" s="216" t="s">
        <v>1625</v>
      </c>
      <c r="G10" s="199">
        <f>H10*8*5</f>
        <v>0</v>
      </c>
      <c r="H10" s="200">
        <f>SUM(J10:M10)</f>
        <v>0</v>
      </c>
      <c r="I10" s="201"/>
      <c r="J10" s="170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70"/>
      <c r="BC10" s="194"/>
      <c r="BD10" s="194"/>
      <c r="BE10" s="194"/>
      <c r="BF10" s="194"/>
      <c r="BG10" s="194"/>
      <c r="BH10" s="194"/>
      <c r="BI10" s="194"/>
      <c r="BJ10" s="194"/>
      <c r="BK10" s="194"/>
      <c r="BL10" s="194"/>
      <c r="BM10" s="194"/>
      <c r="BN10" s="165"/>
      <c r="BO10" s="165"/>
      <c r="BP10" s="165"/>
      <c r="BQ10" s="165"/>
      <c r="BR10" s="165"/>
      <c r="BS10" s="165"/>
      <c r="BT10" s="165"/>
      <c r="BU10" s="165"/>
      <c r="BV10" s="165"/>
      <c r="BW10" s="165"/>
      <c r="BX10" s="165"/>
      <c r="BY10" s="165"/>
      <c r="BZ10" s="165"/>
      <c r="CA10" s="165"/>
      <c r="CB10" s="165"/>
      <c r="CC10" s="165"/>
      <c r="CD10" s="165"/>
      <c r="CE10" s="165"/>
      <c r="CF10" s="165"/>
      <c r="CG10" s="165"/>
      <c r="CH10" s="165"/>
      <c r="CI10" s="170"/>
      <c r="CJ10" s="165"/>
      <c r="CK10" s="165"/>
      <c r="CL10" s="165"/>
      <c r="CM10" s="165"/>
      <c r="CN10" s="170"/>
      <c r="CO10" s="165"/>
      <c r="CP10" s="165"/>
      <c r="CQ10" s="165"/>
    </row>
    <row r="11" spans="1:95" ht="13.8" hidden="1" x14ac:dyDescent="0.25">
      <c r="C11" s="175" t="s">
        <v>1710</v>
      </c>
      <c r="E11" s="143"/>
      <c r="F11" s="173" t="s">
        <v>1625</v>
      </c>
      <c r="G11" s="142">
        <f>H11*8*5</f>
        <v>12.000000000000002</v>
      </c>
      <c r="H11" s="185">
        <f>SUM(J11:M11)</f>
        <v>0.30000000000000004</v>
      </c>
      <c r="I11" s="176">
        <f>SUM(J11:M11)-H11</f>
        <v>0</v>
      </c>
      <c r="J11" s="170"/>
      <c r="K11" s="165">
        <v>0.1</v>
      </c>
      <c r="L11" s="165">
        <v>0.1</v>
      </c>
      <c r="M11" s="165">
        <v>0.1</v>
      </c>
      <c r="N11" s="165">
        <v>0.1</v>
      </c>
      <c r="O11" s="165">
        <v>0.1</v>
      </c>
      <c r="P11" s="165">
        <v>0.1</v>
      </c>
      <c r="Q11" s="165">
        <v>0.1</v>
      </c>
      <c r="R11" s="165">
        <v>0.1</v>
      </c>
      <c r="S11" s="165">
        <v>0.1</v>
      </c>
      <c r="T11" s="165">
        <v>0.1</v>
      </c>
      <c r="U11" s="165">
        <v>0.1</v>
      </c>
      <c r="V11" s="165">
        <v>0.1</v>
      </c>
      <c r="W11" s="165">
        <v>0.1</v>
      </c>
      <c r="X11" s="165">
        <v>0.1</v>
      </c>
      <c r="Y11" s="165">
        <v>0.1</v>
      </c>
      <c r="Z11" s="165">
        <v>0.1</v>
      </c>
      <c r="AA11" s="165">
        <v>0.1</v>
      </c>
      <c r="AB11" s="165">
        <v>0.1</v>
      </c>
      <c r="AC11" s="165">
        <v>0.1</v>
      </c>
      <c r="AD11" s="165">
        <v>0.1</v>
      </c>
      <c r="AE11" s="165">
        <v>0.1</v>
      </c>
      <c r="AF11" s="165">
        <v>0.1</v>
      </c>
      <c r="AG11" s="165">
        <v>0.1</v>
      </c>
      <c r="AH11" s="165">
        <v>0.1</v>
      </c>
      <c r="AI11" s="165">
        <v>0.1</v>
      </c>
      <c r="AJ11" s="165">
        <v>0.1</v>
      </c>
      <c r="AK11" s="165">
        <v>0.1</v>
      </c>
      <c r="AL11" s="165">
        <v>0.1</v>
      </c>
      <c r="AM11" s="165">
        <v>0.1</v>
      </c>
      <c r="AN11" s="165">
        <v>0.1</v>
      </c>
      <c r="AO11" s="165">
        <v>0.1</v>
      </c>
      <c r="AP11" s="165">
        <v>0.1</v>
      </c>
      <c r="AQ11" s="165">
        <v>0.1</v>
      </c>
      <c r="AR11" s="165">
        <v>0.1</v>
      </c>
      <c r="AS11" s="165">
        <v>0.1</v>
      </c>
      <c r="AT11" s="165">
        <v>0.1</v>
      </c>
      <c r="AU11" s="165">
        <v>0.1</v>
      </c>
      <c r="AV11" s="165">
        <v>0.1</v>
      </c>
      <c r="AW11" s="165">
        <v>0.1</v>
      </c>
      <c r="AX11" s="165">
        <v>0.1</v>
      </c>
      <c r="AY11" s="165">
        <v>0.1</v>
      </c>
      <c r="AZ11" s="165">
        <v>0.1</v>
      </c>
      <c r="BA11" s="165">
        <v>0.1</v>
      </c>
      <c r="BB11" s="170"/>
      <c r="BC11" s="165">
        <v>0.1</v>
      </c>
      <c r="BD11" s="165">
        <v>0.1</v>
      </c>
      <c r="BE11" s="165">
        <v>0.1</v>
      </c>
      <c r="BF11" s="165">
        <v>0.1</v>
      </c>
      <c r="BG11" s="165">
        <v>0.1</v>
      </c>
      <c r="BH11" s="165">
        <v>0.1</v>
      </c>
      <c r="BI11" s="165">
        <v>0.1</v>
      </c>
      <c r="BJ11" s="165">
        <v>0.1</v>
      </c>
      <c r="BK11" s="165">
        <v>0.1</v>
      </c>
      <c r="BL11" s="165">
        <v>0.1</v>
      </c>
      <c r="BM11" s="165">
        <v>0.1</v>
      </c>
      <c r="BN11" s="165">
        <v>0.1</v>
      </c>
      <c r="BO11" s="165">
        <v>0.1</v>
      </c>
      <c r="BP11" s="165">
        <v>0.1</v>
      </c>
      <c r="BQ11" s="165">
        <v>0.1</v>
      </c>
      <c r="BR11" s="165">
        <v>0.1</v>
      </c>
      <c r="BS11" s="165">
        <v>0.1</v>
      </c>
      <c r="BT11" s="165">
        <v>0.1</v>
      </c>
      <c r="BU11" s="165">
        <v>0.1</v>
      </c>
      <c r="BV11" s="165">
        <v>0.1</v>
      </c>
      <c r="BW11" s="165">
        <v>0.1</v>
      </c>
      <c r="BX11" s="165">
        <v>0.1</v>
      </c>
      <c r="BY11" s="165">
        <v>0.1</v>
      </c>
      <c r="BZ11" s="165">
        <v>0.1</v>
      </c>
      <c r="CA11" s="165">
        <v>0.1</v>
      </c>
      <c r="CB11" s="165">
        <v>0.1</v>
      </c>
      <c r="CC11" s="165">
        <v>0.1</v>
      </c>
      <c r="CD11" s="165">
        <v>0.1</v>
      </c>
      <c r="CE11" s="165">
        <v>0.1</v>
      </c>
      <c r="CF11" s="165">
        <v>0.1</v>
      </c>
      <c r="CG11" s="165">
        <v>0.1</v>
      </c>
      <c r="CH11" s="165">
        <v>0.1</v>
      </c>
      <c r="CI11" s="170"/>
      <c r="CJ11" s="165">
        <v>0.1</v>
      </c>
      <c r="CK11" s="165">
        <v>0.1</v>
      </c>
      <c r="CL11" s="165">
        <v>0.1</v>
      </c>
      <c r="CM11" s="165">
        <v>0.1</v>
      </c>
      <c r="CN11" s="170"/>
      <c r="CO11" s="165">
        <v>0.1</v>
      </c>
      <c r="CP11" s="165">
        <v>0.1</v>
      </c>
      <c r="CQ11" s="165">
        <v>0.1</v>
      </c>
    </row>
    <row r="12" spans="1:95" ht="13.8" x14ac:dyDescent="0.25">
      <c r="C12" s="177" t="s">
        <v>1724</v>
      </c>
      <c r="D12" s="178"/>
      <c r="E12" s="179"/>
      <c r="F12" s="205"/>
      <c r="G12" s="180">
        <f>SUM(G13:G15)</f>
        <v>128</v>
      </c>
      <c r="H12" s="189">
        <f>ROUND(SUM(H13:H15),0)</f>
        <v>16</v>
      </c>
      <c r="I12" s="181"/>
      <c r="J12" s="170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65"/>
      <c r="AZ12" s="165"/>
      <c r="BA12" s="165"/>
      <c r="BB12" s="170"/>
      <c r="BC12" s="165"/>
      <c r="BD12" s="165"/>
      <c r="BE12" s="165"/>
      <c r="BF12" s="165"/>
      <c r="BG12" s="165"/>
      <c r="BH12" s="165"/>
      <c r="BI12" s="165"/>
      <c r="BJ12" s="165"/>
      <c r="BK12" s="165"/>
      <c r="BL12" s="165"/>
      <c r="BM12" s="165"/>
      <c r="BN12" s="165"/>
      <c r="BO12" s="165"/>
      <c r="BP12" s="165"/>
      <c r="BQ12" s="165"/>
      <c r="BR12" s="165"/>
      <c r="BS12" s="165"/>
      <c r="BT12" s="165"/>
      <c r="BU12" s="165"/>
      <c r="BV12" s="165"/>
      <c r="BW12" s="165"/>
      <c r="BX12" s="165"/>
      <c r="BY12" s="165"/>
      <c r="BZ12" s="165"/>
      <c r="CA12" s="165"/>
      <c r="CB12" s="165"/>
      <c r="CC12" s="165"/>
      <c r="CD12" s="165"/>
      <c r="CE12" s="165"/>
      <c r="CF12" s="165"/>
      <c r="CG12" s="165"/>
      <c r="CH12" s="165"/>
      <c r="CI12" s="170"/>
      <c r="CJ12" s="165"/>
      <c r="CK12" s="165"/>
      <c r="CL12" s="165"/>
      <c r="CM12" s="165"/>
      <c r="CN12" s="170"/>
      <c r="CO12" s="165"/>
      <c r="CP12" s="165"/>
      <c r="CQ12" s="165"/>
    </row>
    <row r="13" spans="1:95" ht="13.8" outlineLevel="1" x14ac:dyDescent="0.25">
      <c r="B13" s="171"/>
      <c r="C13" s="183" t="s">
        <v>1726</v>
      </c>
      <c r="D13" s="182"/>
      <c r="E13" s="153"/>
      <c r="F13" s="172"/>
      <c r="G13" s="171">
        <v>16</v>
      </c>
      <c r="H13" s="190">
        <f>ROUNDUP(G13/8,1)</f>
        <v>2</v>
      </c>
      <c r="I13" s="193">
        <v>0</v>
      </c>
      <c r="J13" s="170"/>
      <c r="K13" s="165">
        <v>3</v>
      </c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65"/>
      <c r="AZ13" s="165"/>
      <c r="BA13" s="165"/>
      <c r="BB13" s="170"/>
      <c r="BC13" s="165"/>
      <c r="BD13" s="165"/>
      <c r="BE13" s="165"/>
      <c r="BF13" s="165"/>
      <c r="BG13" s="165"/>
      <c r="BH13" s="165"/>
      <c r="BI13" s="165"/>
      <c r="BJ13" s="165"/>
      <c r="BK13" s="165"/>
      <c r="BL13" s="165"/>
      <c r="BM13" s="165"/>
      <c r="BN13" s="165"/>
      <c r="BO13" s="165"/>
      <c r="BP13" s="165"/>
      <c r="BQ13" s="165"/>
      <c r="BR13" s="165"/>
      <c r="BS13" s="165"/>
      <c r="BT13" s="165"/>
      <c r="BU13" s="165"/>
      <c r="BV13" s="165"/>
      <c r="BW13" s="165"/>
      <c r="BX13" s="165"/>
      <c r="BY13" s="165"/>
      <c r="BZ13" s="165"/>
      <c r="CA13" s="165"/>
      <c r="CB13" s="165"/>
      <c r="CC13" s="165"/>
      <c r="CD13" s="165"/>
      <c r="CE13" s="165"/>
      <c r="CF13" s="165"/>
      <c r="CG13" s="165"/>
      <c r="CH13" s="165"/>
      <c r="CI13" s="170"/>
      <c r="CJ13" s="165"/>
      <c r="CK13" s="165"/>
      <c r="CL13" s="165"/>
      <c r="CM13" s="165"/>
      <c r="CN13" s="170"/>
      <c r="CO13" s="165"/>
      <c r="CP13" s="165"/>
      <c r="CQ13" s="165"/>
    </row>
    <row r="14" spans="1:95" ht="13.8" outlineLevel="1" x14ac:dyDescent="0.25">
      <c r="B14" s="171"/>
      <c r="C14" s="183" t="s">
        <v>1727</v>
      </c>
      <c r="D14" s="182"/>
      <c r="E14" s="153"/>
      <c r="F14" s="172"/>
      <c r="G14" s="171">
        <v>16</v>
      </c>
      <c r="H14" s="190">
        <f>ROUNDUP(G14/8,1)</f>
        <v>2</v>
      </c>
      <c r="I14" s="193">
        <v>0</v>
      </c>
      <c r="J14" s="170"/>
      <c r="K14" s="165"/>
      <c r="L14" s="165">
        <v>3</v>
      </c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5"/>
      <c r="AX14" s="165"/>
      <c r="AY14" s="165"/>
      <c r="AZ14" s="165"/>
      <c r="BA14" s="165"/>
      <c r="BB14" s="170"/>
      <c r="BC14" s="165"/>
      <c r="BD14" s="165"/>
      <c r="BE14" s="165"/>
      <c r="BF14" s="165"/>
      <c r="BG14" s="165"/>
      <c r="BH14" s="165"/>
      <c r="BI14" s="165"/>
      <c r="BJ14" s="165"/>
      <c r="BK14" s="165"/>
      <c r="BL14" s="165"/>
      <c r="BM14" s="165"/>
      <c r="BN14" s="165"/>
      <c r="BO14" s="165"/>
      <c r="BP14" s="165"/>
      <c r="BQ14" s="165"/>
      <c r="BR14" s="165"/>
      <c r="BS14" s="165"/>
      <c r="BT14" s="165"/>
      <c r="BU14" s="165"/>
      <c r="BV14" s="165"/>
      <c r="BW14" s="165"/>
      <c r="BX14" s="165"/>
      <c r="BY14" s="165"/>
      <c r="BZ14" s="165"/>
      <c r="CA14" s="165"/>
      <c r="CB14" s="165"/>
      <c r="CC14" s="165"/>
      <c r="CD14" s="165"/>
      <c r="CE14" s="165"/>
      <c r="CF14" s="165"/>
      <c r="CG14" s="165"/>
      <c r="CH14" s="165"/>
      <c r="CI14" s="170"/>
      <c r="CJ14" s="165"/>
      <c r="CK14" s="165"/>
      <c r="CL14" s="165"/>
      <c r="CM14" s="165"/>
      <c r="CN14" s="170"/>
      <c r="CO14" s="165"/>
      <c r="CP14" s="165"/>
      <c r="CQ14" s="165"/>
    </row>
    <row r="15" spans="1:95" ht="13.8" outlineLevel="1" x14ac:dyDescent="0.25">
      <c r="B15" s="171"/>
      <c r="C15" s="183" t="s">
        <v>1711</v>
      </c>
      <c r="D15" s="182"/>
      <c r="E15" s="153"/>
      <c r="F15" s="172"/>
      <c r="G15" s="171">
        <f>12*8</f>
        <v>96</v>
      </c>
      <c r="H15" s="190">
        <f>ROUNDUP(G15/8,1)</f>
        <v>12</v>
      </c>
      <c r="I15" s="193">
        <v>0</v>
      </c>
      <c r="J15" s="170"/>
      <c r="K15" s="165"/>
      <c r="L15" s="165"/>
      <c r="M15" s="195">
        <v>3</v>
      </c>
      <c r="N15" s="195">
        <v>3</v>
      </c>
      <c r="O15" s="195">
        <v>3</v>
      </c>
      <c r="P15" s="195">
        <v>3</v>
      </c>
      <c r="Q15" s="195">
        <v>3</v>
      </c>
      <c r="R15" s="195">
        <v>3</v>
      </c>
      <c r="S15" s="195">
        <v>3</v>
      </c>
      <c r="T15" s="195">
        <v>3</v>
      </c>
      <c r="U15" s="195">
        <v>3</v>
      </c>
      <c r="V15" s="195">
        <v>3</v>
      </c>
      <c r="W15" s="195">
        <v>3</v>
      </c>
      <c r="X15" s="195">
        <v>3</v>
      </c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5"/>
      <c r="AW15" s="165"/>
      <c r="AX15" s="165"/>
      <c r="AY15" s="165"/>
      <c r="AZ15" s="165"/>
      <c r="BA15" s="165"/>
      <c r="BB15" s="170"/>
      <c r="BC15" s="165"/>
      <c r="BD15" s="165"/>
      <c r="BE15" s="165"/>
      <c r="BF15" s="165"/>
      <c r="BG15" s="165"/>
      <c r="BH15" s="165"/>
      <c r="BI15" s="165"/>
      <c r="BJ15" s="165"/>
      <c r="BK15" s="165"/>
      <c r="BL15" s="165"/>
      <c r="BM15" s="165"/>
      <c r="BN15" s="165"/>
      <c r="BO15" s="165"/>
      <c r="BP15" s="165"/>
      <c r="BQ15" s="165"/>
      <c r="BR15" s="165"/>
      <c r="BS15" s="165"/>
      <c r="BT15" s="165"/>
      <c r="BU15" s="165"/>
      <c r="BV15" s="165"/>
      <c r="BW15" s="165"/>
      <c r="BX15" s="165"/>
      <c r="BY15" s="165"/>
      <c r="BZ15" s="165"/>
      <c r="CA15" s="165"/>
      <c r="CB15" s="165"/>
      <c r="CC15" s="165"/>
      <c r="CD15" s="165"/>
      <c r="CE15" s="165"/>
      <c r="CF15" s="165"/>
      <c r="CG15" s="165"/>
      <c r="CH15" s="165"/>
      <c r="CI15" s="170"/>
      <c r="CJ15" s="165"/>
      <c r="CK15" s="165"/>
      <c r="CL15" s="165"/>
      <c r="CM15" s="165"/>
      <c r="CN15" s="170"/>
      <c r="CO15" s="165"/>
      <c r="CP15" s="165"/>
      <c r="CQ15" s="165"/>
    </row>
    <row r="16" spans="1:95" ht="13.8" x14ac:dyDescent="0.25">
      <c r="C16" s="177" t="s">
        <v>1725</v>
      </c>
      <c r="D16" s="178"/>
      <c r="E16" s="179"/>
      <c r="F16" s="205">
        <f>F17+F66</f>
        <v>68</v>
      </c>
      <c r="G16" s="180">
        <f>G17+G66+G87+G156+G225</f>
        <v>311.5</v>
      </c>
      <c r="H16" s="180">
        <f>H17+H66+H87+H156+H225</f>
        <v>46</v>
      </c>
      <c r="I16" s="204"/>
      <c r="J16" s="170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  <c r="AU16" s="194"/>
      <c r="AV16" s="194"/>
      <c r="AW16" s="194"/>
      <c r="AX16" s="194"/>
      <c r="AY16" s="194"/>
      <c r="AZ16" s="194"/>
      <c r="BA16" s="194"/>
      <c r="BB16" s="170"/>
      <c r="BC16" s="194"/>
      <c r="BD16" s="194"/>
      <c r="BE16" s="194"/>
      <c r="BF16" s="194"/>
      <c r="BG16" s="194"/>
      <c r="BH16" s="194"/>
      <c r="BI16" s="194"/>
      <c r="BJ16" s="194"/>
      <c r="BK16" s="194"/>
      <c r="BL16" s="194"/>
      <c r="BM16" s="194"/>
      <c r="BN16" s="194"/>
      <c r="BO16" s="194"/>
      <c r="BP16" s="194"/>
      <c r="BQ16" s="194"/>
      <c r="BR16" s="194"/>
      <c r="BS16" s="194"/>
      <c r="BT16" s="194"/>
      <c r="BU16" s="194"/>
      <c r="BV16" s="165"/>
      <c r="BW16" s="165"/>
      <c r="BX16" s="165"/>
      <c r="BY16" s="165"/>
      <c r="BZ16" s="165"/>
      <c r="CA16" s="165"/>
      <c r="CB16" s="165"/>
      <c r="CC16" s="165"/>
      <c r="CD16" s="165"/>
      <c r="CE16" s="165"/>
      <c r="CF16" s="165"/>
      <c r="CG16" s="165"/>
      <c r="CH16" s="165"/>
      <c r="CI16" s="170"/>
      <c r="CJ16" s="165"/>
      <c r="CK16" s="165"/>
      <c r="CL16" s="165"/>
      <c r="CM16" s="165"/>
      <c r="CN16" s="170"/>
      <c r="CO16" s="165"/>
      <c r="CP16" s="165"/>
      <c r="CQ16" s="165"/>
    </row>
    <row r="17" spans="2:95" ht="13.8" x14ac:dyDescent="0.25">
      <c r="B17" s="156"/>
      <c r="C17" s="212" t="s">
        <v>1720</v>
      </c>
      <c r="D17" s="178"/>
      <c r="E17" s="179"/>
      <c r="F17" s="205">
        <f>COUNTA(E18:E65)</f>
        <v>48</v>
      </c>
      <c r="G17" s="205">
        <f>SUM(G18:G55)</f>
        <v>86</v>
      </c>
      <c r="H17" s="206">
        <f>ROUND(SUM(H18:H55),0)</f>
        <v>13</v>
      </c>
      <c r="I17" s="204"/>
      <c r="J17" s="170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94"/>
      <c r="Z17" s="194"/>
      <c r="AA17" s="194"/>
      <c r="AB17" s="194"/>
      <c r="AC17" s="194"/>
      <c r="AD17" s="194"/>
      <c r="AE17" s="194"/>
      <c r="AF17" s="194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70"/>
      <c r="BC17" s="165"/>
      <c r="BD17" s="165"/>
      <c r="BE17" s="165"/>
      <c r="BF17" s="165"/>
      <c r="BG17" s="165"/>
      <c r="BH17" s="165"/>
      <c r="BI17" s="165"/>
      <c r="BJ17" s="165"/>
      <c r="BK17" s="165"/>
      <c r="BL17" s="165"/>
      <c r="BM17" s="165"/>
      <c r="BN17" s="165"/>
      <c r="BO17" s="165"/>
      <c r="BP17" s="165"/>
      <c r="BQ17" s="165"/>
      <c r="BR17" s="165"/>
      <c r="BS17" s="165"/>
      <c r="BT17" s="165"/>
      <c r="BU17" s="165"/>
      <c r="BV17" s="165"/>
      <c r="BW17" s="165"/>
      <c r="BX17" s="165"/>
      <c r="BY17" s="165"/>
      <c r="BZ17" s="165"/>
      <c r="CA17" s="165"/>
      <c r="CB17" s="165"/>
      <c r="CC17" s="165"/>
      <c r="CD17" s="165"/>
      <c r="CE17" s="165"/>
      <c r="CF17" s="165"/>
      <c r="CG17" s="165"/>
      <c r="CH17" s="165"/>
      <c r="CI17" s="170"/>
      <c r="CJ17" s="165"/>
      <c r="CK17" s="165"/>
      <c r="CL17" s="165"/>
      <c r="CM17" s="165"/>
      <c r="CN17" s="170"/>
      <c r="CO17" s="165"/>
      <c r="CP17" s="165"/>
      <c r="CQ17" s="165"/>
    </row>
    <row r="18" spans="2:95" ht="13.8" outlineLevel="3" x14ac:dyDescent="0.25">
      <c r="B18" s="156" t="str">
        <f>Table1[[#Headers],[Especificação]]</f>
        <v>Especificação</v>
      </c>
      <c r="C18" s="184" t="str">
        <f t="shared" ref="C18:C67" si="95">D18&amp;"_"&amp;E18</f>
        <v>ENTITY_TXNMY_ELGBL_CAPEX_W</v>
      </c>
      <c r="D18" s="153" t="s">
        <v>10</v>
      </c>
      <c r="E18" s="153" t="s">
        <v>1402</v>
      </c>
      <c r="G18" s="172">
        <f>INDEX(Table1[[Especificação]:[Total Testes]],MATCH(PlanoV1.0!C18,Table1[CONCAT],0),MATCH(PlanoV1.0!B18,Table1[[#Headers],[Especificação]:[Total Testes]],0))</f>
        <v>8</v>
      </c>
      <c r="H18" s="191">
        <f>ROUNDUP(G18/8,1)</f>
        <v>1</v>
      </c>
      <c r="I18" s="193">
        <f>SUM(J18:CQ18)-H18</f>
        <v>0</v>
      </c>
      <c r="J18" s="170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>
        <v>1</v>
      </c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165"/>
      <c r="AT18" s="165"/>
      <c r="AU18" s="165"/>
      <c r="AV18" s="165"/>
      <c r="AW18" s="165"/>
      <c r="AX18" s="165"/>
      <c r="AY18" s="165"/>
      <c r="AZ18" s="165"/>
      <c r="BA18" s="165"/>
      <c r="BB18" s="170"/>
      <c r="BC18" s="165"/>
      <c r="BD18" s="165"/>
      <c r="BE18" s="165"/>
      <c r="BF18" s="165"/>
      <c r="BG18" s="165"/>
      <c r="BH18" s="165"/>
      <c r="BI18" s="165"/>
      <c r="BJ18" s="165"/>
      <c r="BK18" s="165"/>
      <c r="BL18" s="165"/>
      <c r="BM18" s="165"/>
      <c r="BN18" s="165"/>
      <c r="BO18" s="165"/>
      <c r="BP18" s="165"/>
      <c r="BQ18" s="165"/>
      <c r="BR18" s="165"/>
      <c r="BS18" s="165"/>
      <c r="BT18" s="165"/>
      <c r="BU18" s="165"/>
      <c r="BV18" s="165"/>
      <c r="BW18" s="165"/>
      <c r="BX18" s="165"/>
      <c r="BY18" s="165"/>
      <c r="BZ18" s="165"/>
      <c r="CA18" s="165"/>
      <c r="CB18" s="165"/>
      <c r="CC18" s="165"/>
      <c r="CD18" s="165"/>
      <c r="CE18" s="165"/>
      <c r="CF18" s="165"/>
      <c r="CG18" s="165"/>
      <c r="CH18" s="165"/>
      <c r="CI18" s="170"/>
      <c r="CJ18" s="165"/>
      <c r="CK18" s="165"/>
      <c r="CL18" s="165"/>
      <c r="CM18" s="165"/>
      <c r="CN18" s="170"/>
      <c r="CO18" s="165"/>
      <c r="CP18" s="165"/>
      <c r="CQ18" s="165"/>
    </row>
    <row r="19" spans="2:95" ht="13.8" outlineLevel="3" x14ac:dyDescent="0.25">
      <c r="B19" s="156" t="str">
        <f>Table1[[#Headers],[Especificação]]</f>
        <v>Especificação</v>
      </c>
      <c r="C19" s="184" t="str">
        <f t="shared" ref="C19:C31" si="96">D19&amp;"_"&amp;E19</f>
        <v>ENTITY_TXNMY_ELGBL_TRNVR_W</v>
      </c>
      <c r="D19" s="153" t="s">
        <v>10</v>
      </c>
      <c r="E19" s="153" t="s">
        <v>1405</v>
      </c>
      <c r="G19" s="172">
        <f>INDEX(Table1[[Especificação]:[Total Testes]],MATCH(PlanoV1.0!C19,Table1[CONCAT],0),MATCH(PlanoV1.0!B19,Table1[[#Headers],[Especificação]:[Total Testes]],0))</f>
        <v>8</v>
      </c>
      <c r="H19" s="191">
        <f t="shared" ref="H19:H100" si="97">ROUNDUP(G19/8,1)</f>
        <v>1</v>
      </c>
      <c r="I19" s="193">
        <f t="shared" ref="I19:I100" si="98">SUM(J19:CQ19)-H19</f>
        <v>-0.5</v>
      </c>
      <c r="J19" s="170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>
        <v>0.5</v>
      </c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65"/>
      <c r="AU19" s="165"/>
      <c r="AV19" s="165"/>
      <c r="AW19" s="165"/>
      <c r="AX19" s="165"/>
      <c r="AY19" s="165"/>
      <c r="AZ19" s="165"/>
      <c r="BA19" s="165"/>
      <c r="BB19" s="170"/>
      <c r="BC19" s="165"/>
      <c r="BD19" s="165"/>
      <c r="BE19" s="165"/>
      <c r="BF19" s="165"/>
      <c r="BG19" s="165"/>
      <c r="BH19" s="165"/>
      <c r="BI19" s="165"/>
      <c r="BJ19" s="165"/>
      <c r="BK19" s="165"/>
      <c r="BL19" s="165"/>
      <c r="BM19" s="165"/>
      <c r="BN19" s="165"/>
      <c r="BO19" s="165"/>
      <c r="BP19" s="165"/>
      <c r="BQ19" s="165"/>
      <c r="BR19" s="165"/>
      <c r="BS19" s="165"/>
      <c r="BT19" s="165"/>
      <c r="BU19" s="165"/>
      <c r="BV19" s="165"/>
      <c r="BW19" s="165"/>
      <c r="BX19" s="165"/>
      <c r="BY19" s="165"/>
      <c r="BZ19" s="165"/>
      <c r="CA19" s="165"/>
      <c r="CB19" s="165"/>
      <c r="CC19" s="165"/>
      <c r="CD19" s="165"/>
      <c r="CE19" s="165"/>
      <c r="CF19" s="165"/>
      <c r="CG19" s="165"/>
      <c r="CH19" s="165"/>
      <c r="CI19" s="170"/>
      <c r="CJ19" s="165"/>
      <c r="CK19" s="165"/>
      <c r="CL19" s="165"/>
      <c r="CM19" s="165"/>
      <c r="CN19" s="170"/>
      <c r="CO19" s="165"/>
      <c r="CP19" s="165"/>
      <c r="CQ19" s="165"/>
    </row>
    <row r="20" spans="2:95" ht="13.8" outlineLevel="3" x14ac:dyDescent="0.25">
      <c r="B20" s="156" t="str">
        <f>Table1[[#Headers],[Especificação]]</f>
        <v>Especificação</v>
      </c>
      <c r="C20" s="184" t="str">
        <f t="shared" si="96"/>
        <v>ENTITY_TXNMY_ELGBL_CAPEX_P</v>
      </c>
      <c r="D20" s="153" t="s">
        <v>10</v>
      </c>
      <c r="E20" s="153" t="s">
        <v>1408</v>
      </c>
      <c r="G20" s="172">
        <f>INDEX(Table1[[Especificação]:[Total Testes]],MATCH(PlanoV1.0!C20,Table1[CONCAT],0),MATCH(PlanoV1.0!B20,Table1[[#Headers],[Especificação]:[Total Testes]],0))</f>
        <v>1</v>
      </c>
      <c r="H20" s="191">
        <f t="shared" si="97"/>
        <v>0.2</v>
      </c>
      <c r="I20" s="193">
        <f t="shared" si="98"/>
        <v>9.9999999999999978E-2</v>
      </c>
      <c r="J20" s="170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>
        <v>0.3</v>
      </c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70"/>
      <c r="BC20" s="165"/>
      <c r="BD20" s="165"/>
      <c r="BE20" s="165"/>
      <c r="BF20" s="165"/>
      <c r="BG20" s="165"/>
      <c r="BH20" s="165"/>
      <c r="BI20" s="165"/>
      <c r="BJ20" s="165"/>
      <c r="BK20" s="165"/>
      <c r="BL20" s="165"/>
      <c r="BM20" s="165"/>
      <c r="BN20" s="165"/>
      <c r="BO20" s="165"/>
      <c r="BP20" s="165"/>
      <c r="BQ20" s="165"/>
      <c r="BR20" s="165"/>
      <c r="BS20" s="165"/>
      <c r="BT20" s="165"/>
      <c r="BU20" s="165"/>
      <c r="BV20" s="165"/>
      <c r="BW20" s="165"/>
      <c r="BX20" s="165"/>
      <c r="BY20" s="165"/>
      <c r="BZ20" s="165"/>
      <c r="CA20" s="165"/>
      <c r="CB20" s="165"/>
      <c r="CC20" s="165"/>
      <c r="CD20" s="165"/>
      <c r="CE20" s="165"/>
      <c r="CF20" s="165"/>
      <c r="CG20" s="165"/>
      <c r="CH20" s="165"/>
      <c r="CI20" s="170"/>
      <c r="CJ20" s="165"/>
      <c r="CK20" s="165"/>
      <c r="CL20" s="165"/>
      <c r="CM20" s="165"/>
      <c r="CN20" s="170"/>
      <c r="CO20" s="165"/>
      <c r="CP20" s="165"/>
      <c r="CQ20" s="165"/>
    </row>
    <row r="21" spans="2:95" ht="13.8" outlineLevel="3" x14ac:dyDescent="0.25">
      <c r="B21" s="156" t="str">
        <f>Table1[[#Headers],[Especificação]]</f>
        <v>Especificação</v>
      </c>
      <c r="C21" s="184" t="str">
        <f t="shared" si="96"/>
        <v>ENTITY_TXNMY_ELGBL_TRNVR_P</v>
      </c>
      <c r="D21" s="153" t="s">
        <v>10</v>
      </c>
      <c r="E21" s="153" t="s">
        <v>1411</v>
      </c>
      <c r="G21" s="172">
        <f>INDEX(Table1[[Especificação]:[Total Testes]],MATCH(PlanoV1.0!C21,Table1[CONCAT],0),MATCH(PlanoV1.0!B21,Table1[[#Headers],[Especificação]:[Total Testes]],0))</f>
        <v>1</v>
      </c>
      <c r="H21" s="191">
        <f t="shared" si="97"/>
        <v>0.2</v>
      </c>
      <c r="I21" s="193">
        <f t="shared" si="98"/>
        <v>0.10000000000000003</v>
      </c>
      <c r="J21" s="170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>
        <v>0.2</v>
      </c>
      <c r="AA21" s="165">
        <v>0.1</v>
      </c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5"/>
      <c r="BB21" s="170"/>
      <c r="BC21" s="165"/>
      <c r="BD21" s="165"/>
      <c r="BE21" s="165"/>
      <c r="BF21" s="165"/>
      <c r="BG21" s="165"/>
      <c r="BH21" s="165"/>
      <c r="BI21" s="165"/>
      <c r="BJ21" s="165"/>
      <c r="BK21" s="165"/>
      <c r="BL21" s="165"/>
      <c r="BM21" s="165"/>
      <c r="BN21" s="165"/>
      <c r="BO21" s="165"/>
      <c r="BP21" s="165"/>
      <c r="BQ21" s="165"/>
      <c r="BR21" s="165"/>
      <c r="BS21" s="165"/>
      <c r="BT21" s="165"/>
      <c r="BU21" s="165"/>
      <c r="BV21" s="165"/>
      <c r="BW21" s="165"/>
      <c r="BX21" s="165"/>
      <c r="BY21" s="165"/>
      <c r="BZ21" s="165"/>
      <c r="CA21" s="165"/>
      <c r="CB21" s="165"/>
      <c r="CC21" s="165"/>
      <c r="CD21" s="165"/>
      <c r="CE21" s="165"/>
      <c r="CF21" s="165"/>
      <c r="CG21" s="165"/>
      <c r="CH21" s="165"/>
      <c r="CI21" s="170"/>
      <c r="CJ21" s="165"/>
      <c r="CK21" s="165"/>
      <c r="CL21" s="165"/>
      <c r="CM21" s="165"/>
      <c r="CN21" s="170"/>
      <c r="CO21" s="165"/>
      <c r="CP21" s="165"/>
      <c r="CQ21" s="165"/>
    </row>
    <row r="22" spans="2:95" ht="13.8" outlineLevel="3" x14ac:dyDescent="0.25">
      <c r="B22" s="156" t="str">
        <f>Table1[[#Headers],[Especificação]]</f>
        <v>Especificação</v>
      </c>
      <c r="C22" s="184" t="str">
        <f t="shared" si="96"/>
        <v>ENTITY_TXNMY_ELGBL_CAPEX_B</v>
      </c>
      <c r="D22" s="153" t="s">
        <v>10</v>
      </c>
      <c r="E22" s="153" t="s">
        <v>1414</v>
      </c>
      <c r="G22" s="172">
        <f>INDEX(Table1[[Especificação]:[Total Testes]],MATCH(PlanoV1.0!C22,Table1[CONCAT],0),MATCH(PlanoV1.0!B22,Table1[[#Headers],[Especificação]:[Total Testes]],0))</f>
        <v>1</v>
      </c>
      <c r="H22" s="191">
        <f t="shared" si="97"/>
        <v>0.2</v>
      </c>
      <c r="I22" s="193">
        <f t="shared" si="98"/>
        <v>9.9999999999999978E-2</v>
      </c>
      <c r="J22" s="170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>
        <v>0.3</v>
      </c>
      <c r="AB22" s="165"/>
      <c r="AC22" s="165"/>
      <c r="AD22" s="165"/>
      <c r="AE22" s="165"/>
      <c r="AF22" s="165"/>
      <c r="AG22" s="165"/>
      <c r="AH22" s="165"/>
      <c r="AI22" s="165"/>
      <c r="AJ22" s="165"/>
      <c r="AK22" s="165"/>
      <c r="AL22" s="165"/>
      <c r="AM22" s="165"/>
      <c r="AN22" s="165"/>
      <c r="AO22" s="165"/>
      <c r="AP22" s="165"/>
      <c r="AQ22" s="165"/>
      <c r="AR22" s="165"/>
      <c r="AS22" s="165"/>
      <c r="AT22" s="165"/>
      <c r="AU22" s="165"/>
      <c r="AV22" s="165"/>
      <c r="AW22" s="165"/>
      <c r="AX22" s="165"/>
      <c r="AY22" s="165"/>
      <c r="AZ22" s="165"/>
      <c r="BA22" s="165"/>
      <c r="BB22" s="170"/>
      <c r="BC22" s="165"/>
      <c r="BD22" s="165"/>
      <c r="BE22" s="165"/>
      <c r="BF22" s="165"/>
      <c r="BG22" s="165"/>
      <c r="BH22" s="165"/>
      <c r="BI22" s="165"/>
      <c r="BJ22" s="165"/>
      <c r="BK22" s="165"/>
      <c r="BL22" s="165"/>
      <c r="BM22" s="165"/>
      <c r="BN22" s="165"/>
      <c r="BO22" s="165"/>
      <c r="BP22" s="165"/>
      <c r="BQ22" s="165"/>
      <c r="BR22" s="165"/>
      <c r="BS22" s="165"/>
      <c r="BT22" s="165"/>
      <c r="BU22" s="165"/>
      <c r="BV22" s="165"/>
      <c r="BW22" s="165"/>
      <c r="BX22" s="165"/>
      <c r="BY22" s="165"/>
      <c r="BZ22" s="165"/>
      <c r="CA22" s="165"/>
      <c r="CB22" s="165"/>
      <c r="CC22" s="165"/>
      <c r="CD22" s="165"/>
      <c r="CE22" s="165"/>
      <c r="CF22" s="165"/>
      <c r="CG22" s="165"/>
      <c r="CH22" s="165"/>
      <c r="CI22" s="170"/>
      <c r="CJ22" s="165"/>
      <c r="CK22" s="165"/>
      <c r="CL22" s="165"/>
      <c r="CM22" s="165"/>
      <c r="CN22" s="170"/>
      <c r="CO22" s="165"/>
      <c r="CP22" s="165"/>
      <c r="CQ22" s="165"/>
    </row>
    <row r="23" spans="2:95" ht="13.8" outlineLevel="3" x14ac:dyDescent="0.25">
      <c r="B23" s="156" t="str">
        <f>Table1[[#Headers],[Especificação]]</f>
        <v>Especificação</v>
      </c>
      <c r="C23" s="184" t="str">
        <f t="shared" si="96"/>
        <v>ENTITY_TXNMY_ELGBL_TRNVR_B</v>
      </c>
      <c r="D23" s="153" t="s">
        <v>10</v>
      </c>
      <c r="E23" s="153" t="s">
        <v>1417</v>
      </c>
      <c r="G23" s="172">
        <f>INDEX(Table1[[Especificação]:[Total Testes]],MATCH(PlanoV1.0!C23,Table1[CONCAT],0),MATCH(PlanoV1.0!B23,Table1[[#Headers],[Especificação]:[Total Testes]],0))</f>
        <v>1</v>
      </c>
      <c r="H23" s="191">
        <f t="shared" si="97"/>
        <v>0.2</v>
      </c>
      <c r="I23" s="193">
        <f t="shared" si="98"/>
        <v>9.9999999999999978E-2</v>
      </c>
      <c r="J23" s="170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>
        <v>0.3</v>
      </c>
      <c r="AB23" s="165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5"/>
      <c r="AO23" s="165"/>
      <c r="AP23" s="165"/>
      <c r="AQ23" s="165"/>
      <c r="AR23" s="165"/>
      <c r="AS23" s="165"/>
      <c r="AT23" s="165"/>
      <c r="AU23" s="165"/>
      <c r="AV23" s="165"/>
      <c r="AW23" s="165"/>
      <c r="AX23" s="165"/>
      <c r="AY23" s="165"/>
      <c r="AZ23" s="165"/>
      <c r="BA23" s="165"/>
      <c r="BB23" s="170"/>
      <c r="BC23" s="165"/>
      <c r="BD23" s="165"/>
      <c r="BE23" s="165"/>
      <c r="BF23" s="165"/>
      <c r="BG23" s="165"/>
      <c r="BH23" s="165"/>
      <c r="BI23" s="165"/>
      <c r="BJ23" s="165"/>
      <c r="BK23" s="165"/>
      <c r="BL23" s="165"/>
      <c r="BM23" s="165"/>
      <c r="BN23" s="165"/>
      <c r="BO23" s="165"/>
      <c r="BP23" s="165"/>
      <c r="BQ23" s="165"/>
      <c r="BR23" s="165"/>
      <c r="BS23" s="165"/>
      <c r="BT23" s="165"/>
      <c r="BU23" s="165"/>
      <c r="BV23" s="165"/>
      <c r="BW23" s="165"/>
      <c r="BX23" s="165"/>
      <c r="BY23" s="165"/>
      <c r="BZ23" s="165"/>
      <c r="CA23" s="165"/>
      <c r="CB23" s="165"/>
      <c r="CC23" s="165"/>
      <c r="CD23" s="165"/>
      <c r="CE23" s="165"/>
      <c r="CF23" s="165"/>
      <c r="CG23" s="165"/>
      <c r="CH23" s="165"/>
      <c r="CI23" s="170"/>
      <c r="CJ23" s="165"/>
      <c r="CK23" s="165"/>
      <c r="CL23" s="165"/>
      <c r="CM23" s="165"/>
      <c r="CN23" s="170"/>
      <c r="CO23" s="165"/>
      <c r="CP23" s="165"/>
      <c r="CQ23" s="165"/>
    </row>
    <row r="24" spans="2:95" ht="13.8" outlineLevel="3" x14ac:dyDescent="0.25">
      <c r="B24" s="156" t="str">
        <f>Table1[[#Headers],[Especificação]]</f>
        <v>Especificação</v>
      </c>
      <c r="C24" s="184" t="str">
        <f t="shared" si="96"/>
        <v>ENTITY_TXNMY_ELGBL_CAPEX_CE</v>
      </c>
      <c r="D24" s="153" t="s">
        <v>10</v>
      </c>
      <c r="E24" s="153" t="s">
        <v>1420</v>
      </c>
      <c r="G24" s="172">
        <f>INDEX(Table1[[Especificação]:[Total Testes]],MATCH(PlanoV1.0!C24,Table1[CONCAT],0),MATCH(PlanoV1.0!B24,Table1[[#Headers],[Especificação]:[Total Testes]],0))</f>
        <v>1</v>
      </c>
      <c r="H24" s="191">
        <f t="shared" si="97"/>
        <v>0.2</v>
      </c>
      <c r="I24" s="193">
        <f t="shared" si="98"/>
        <v>0</v>
      </c>
      <c r="J24" s="170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>
        <v>0.2</v>
      </c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5"/>
      <c r="AX24" s="165"/>
      <c r="AY24" s="165"/>
      <c r="AZ24" s="165"/>
      <c r="BA24" s="165"/>
      <c r="BB24" s="170"/>
      <c r="BC24" s="165"/>
      <c r="BD24" s="165"/>
      <c r="BE24" s="165"/>
      <c r="BF24" s="165"/>
      <c r="BG24" s="165"/>
      <c r="BH24" s="165"/>
      <c r="BI24" s="165"/>
      <c r="BJ24" s="165"/>
      <c r="BK24" s="165"/>
      <c r="BL24" s="165"/>
      <c r="BM24" s="165"/>
      <c r="BN24" s="165"/>
      <c r="BO24" s="165"/>
      <c r="BP24" s="165"/>
      <c r="BQ24" s="165"/>
      <c r="BR24" s="165"/>
      <c r="BS24" s="165"/>
      <c r="BT24" s="165"/>
      <c r="BU24" s="165"/>
      <c r="BV24" s="165"/>
      <c r="BW24" s="165"/>
      <c r="BX24" s="165"/>
      <c r="BY24" s="165"/>
      <c r="BZ24" s="165"/>
      <c r="CA24" s="165"/>
      <c r="CB24" s="165"/>
      <c r="CC24" s="165"/>
      <c r="CD24" s="165"/>
      <c r="CE24" s="165"/>
      <c r="CF24" s="165"/>
      <c r="CG24" s="165"/>
      <c r="CH24" s="165"/>
      <c r="CI24" s="170"/>
      <c r="CJ24" s="165"/>
      <c r="CK24" s="165"/>
      <c r="CL24" s="165"/>
      <c r="CM24" s="165"/>
      <c r="CN24" s="170"/>
      <c r="CO24" s="165"/>
      <c r="CP24" s="165"/>
      <c r="CQ24" s="165"/>
    </row>
    <row r="25" spans="2:95" ht="13.8" outlineLevel="3" x14ac:dyDescent="0.25">
      <c r="B25" s="156" t="str">
        <f>Table1[[#Headers],[Especificação]]</f>
        <v>Especificação</v>
      </c>
      <c r="C25" s="184" t="str">
        <f t="shared" si="96"/>
        <v>ENTITY_TXNMY_ELGBL_TRNVR_CE</v>
      </c>
      <c r="D25" s="153" t="s">
        <v>10</v>
      </c>
      <c r="E25" s="153" t="s">
        <v>1423</v>
      </c>
      <c r="G25" s="172">
        <f>INDEX(Table1[[Especificação]:[Total Testes]],MATCH(PlanoV1.0!C25,Table1[CONCAT],0),MATCH(PlanoV1.0!B25,Table1[[#Headers],[Especificação]:[Total Testes]],0))</f>
        <v>1</v>
      </c>
      <c r="H25" s="191">
        <f t="shared" si="97"/>
        <v>0.2</v>
      </c>
      <c r="I25" s="193">
        <f t="shared" si="98"/>
        <v>0</v>
      </c>
      <c r="J25" s="170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>
        <v>0.1</v>
      </c>
      <c r="AB25" s="165">
        <v>0.1</v>
      </c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  <c r="AO25" s="165"/>
      <c r="AP25" s="165"/>
      <c r="AQ25" s="165"/>
      <c r="AR25" s="165"/>
      <c r="AS25" s="165"/>
      <c r="AT25" s="165"/>
      <c r="AU25" s="165"/>
      <c r="AV25" s="165"/>
      <c r="AW25" s="165"/>
      <c r="AX25" s="165"/>
      <c r="AY25" s="165"/>
      <c r="AZ25" s="165"/>
      <c r="BA25" s="165"/>
      <c r="BB25" s="170"/>
      <c r="BC25" s="165"/>
      <c r="BD25" s="165"/>
      <c r="BE25" s="165"/>
      <c r="BF25" s="165"/>
      <c r="BG25" s="165"/>
      <c r="BH25" s="165"/>
      <c r="BI25" s="165"/>
      <c r="BJ25" s="165"/>
      <c r="BK25" s="165"/>
      <c r="BL25" s="165"/>
      <c r="BM25" s="165"/>
      <c r="BN25" s="165"/>
      <c r="BO25" s="165"/>
      <c r="BP25" s="165"/>
      <c r="BQ25" s="165"/>
      <c r="BR25" s="165"/>
      <c r="BS25" s="165"/>
      <c r="BT25" s="165"/>
      <c r="BU25" s="165"/>
      <c r="BV25" s="165"/>
      <c r="BW25" s="165"/>
      <c r="BX25" s="165"/>
      <c r="BY25" s="165"/>
      <c r="BZ25" s="165"/>
      <c r="CA25" s="165"/>
      <c r="CB25" s="165"/>
      <c r="CC25" s="165"/>
      <c r="CD25" s="165"/>
      <c r="CE25" s="165"/>
      <c r="CF25" s="165"/>
      <c r="CG25" s="165"/>
      <c r="CH25" s="165"/>
      <c r="CI25" s="170"/>
      <c r="CJ25" s="165"/>
      <c r="CK25" s="165"/>
      <c r="CL25" s="165"/>
      <c r="CM25" s="165"/>
      <c r="CN25" s="170"/>
      <c r="CO25" s="165"/>
      <c r="CP25" s="165"/>
      <c r="CQ25" s="165"/>
    </row>
    <row r="26" spans="2:95" ht="13.8" outlineLevel="3" x14ac:dyDescent="0.25">
      <c r="B26" s="156" t="str">
        <f>Table1[[#Headers],[Especificação]]</f>
        <v>Especificação</v>
      </c>
      <c r="C26" s="184" t="str">
        <f t="shared" si="96"/>
        <v>ENTITY_PURE_CAPEX_P</v>
      </c>
      <c r="D26" s="153" t="s">
        <v>10</v>
      </c>
      <c r="E26" s="153" t="s">
        <v>1426</v>
      </c>
      <c r="G26" s="172">
        <f>INDEX(Table1[[Especificação]:[Total Testes]],MATCH(PlanoV1.0!C26,Table1[CONCAT],0),MATCH(PlanoV1.0!B26,Table1[[#Headers],[Especificação]:[Total Testes]],0))</f>
        <v>1</v>
      </c>
      <c r="H26" s="191">
        <f t="shared" si="97"/>
        <v>0.2</v>
      </c>
      <c r="I26" s="193">
        <f t="shared" si="98"/>
        <v>0</v>
      </c>
      <c r="J26" s="170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>
        <v>0.2</v>
      </c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5"/>
      <c r="BB26" s="170"/>
      <c r="BC26" s="165"/>
      <c r="BD26" s="165"/>
      <c r="BE26" s="165"/>
      <c r="BF26" s="165"/>
      <c r="BG26" s="165"/>
      <c r="BH26" s="165"/>
      <c r="BI26" s="165"/>
      <c r="BJ26" s="165"/>
      <c r="BK26" s="165"/>
      <c r="BL26" s="165"/>
      <c r="BM26" s="165"/>
      <c r="BN26" s="165"/>
      <c r="BO26" s="165"/>
      <c r="BP26" s="165"/>
      <c r="BQ26" s="165"/>
      <c r="BR26" s="165"/>
      <c r="BS26" s="165"/>
      <c r="BT26" s="165"/>
      <c r="BU26" s="165"/>
      <c r="BV26" s="165"/>
      <c r="BW26" s="165"/>
      <c r="BX26" s="165"/>
      <c r="BY26" s="165"/>
      <c r="BZ26" s="165"/>
      <c r="CA26" s="165"/>
      <c r="CB26" s="165"/>
      <c r="CC26" s="165"/>
      <c r="CD26" s="165"/>
      <c r="CE26" s="165"/>
      <c r="CF26" s="165"/>
      <c r="CG26" s="165"/>
      <c r="CH26" s="165"/>
      <c r="CI26" s="170"/>
      <c r="CJ26" s="165"/>
      <c r="CK26" s="165"/>
      <c r="CL26" s="165"/>
      <c r="CM26" s="165"/>
      <c r="CN26" s="170"/>
      <c r="CO26" s="165"/>
      <c r="CP26" s="165"/>
      <c r="CQ26" s="165"/>
    </row>
    <row r="27" spans="2:95" ht="13.8" outlineLevel="3" x14ac:dyDescent="0.25">
      <c r="B27" s="156" t="str">
        <f>Table1[[#Headers],[Especificação]]</f>
        <v>Especificação</v>
      </c>
      <c r="C27" s="184" t="str">
        <f t="shared" si="96"/>
        <v>ENTITY_PURE_TRNVR_P</v>
      </c>
      <c r="D27" s="153" t="s">
        <v>10</v>
      </c>
      <c r="E27" s="153" t="s">
        <v>1429</v>
      </c>
      <c r="G27" s="172">
        <f>INDEX(Table1[[Especificação]:[Total Testes]],MATCH(PlanoV1.0!C27,Table1[CONCAT],0),MATCH(PlanoV1.0!B27,Table1[[#Headers],[Especificação]:[Total Testes]],0))</f>
        <v>1</v>
      </c>
      <c r="H27" s="191">
        <f t="shared" si="97"/>
        <v>0.2</v>
      </c>
      <c r="I27" s="193">
        <f t="shared" si="98"/>
        <v>0</v>
      </c>
      <c r="J27" s="170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>
        <v>0.2</v>
      </c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65"/>
      <c r="BA27" s="165"/>
      <c r="BB27" s="170"/>
      <c r="BC27" s="165"/>
      <c r="BD27" s="165"/>
      <c r="BE27" s="165"/>
      <c r="BF27" s="165"/>
      <c r="BG27" s="165"/>
      <c r="BH27" s="165"/>
      <c r="BI27" s="165"/>
      <c r="BJ27" s="165"/>
      <c r="BK27" s="165"/>
      <c r="BL27" s="165"/>
      <c r="BM27" s="165"/>
      <c r="BN27" s="165"/>
      <c r="BO27" s="165"/>
      <c r="BP27" s="165"/>
      <c r="BQ27" s="165"/>
      <c r="BR27" s="165"/>
      <c r="BS27" s="165"/>
      <c r="BT27" s="165"/>
      <c r="BU27" s="165"/>
      <c r="BV27" s="165"/>
      <c r="BW27" s="165"/>
      <c r="BX27" s="165"/>
      <c r="BY27" s="165"/>
      <c r="BZ27" s="165"/>
      <c r="CA27" s="165"/>
      <c r="CB27" s="165"/>
      <c r="CC27" s="165"/>
      <c r="CD27" s="165"/>
      <c r="CE27" s="165"/>
      <c r="CF27" s="165"/>
      <c r="CG27" s="165"/>
      <c r="CH27" s="165"/>
      <c r="CI27" s="170"/>
      <c r="CJ27" s="165"/>
      <c r="CK27" s="165"/>
      <c r="CL27" s="165"/>
      <c r="CM27" s="165"/>
      <c r="CN27" s="170"/>
      <c r="CO27" s="165"/>
      <c r="CP27" s="165"/>
      <c r="CQ27" s="165"/>
    </row>
    <row r="28" spans="2:95" ht="13.8" outlineLevel="3" x14ac:dyDescent="0.25">
      <c r="B28" s="156" t="str">
        <f>Table1[[#Headers],[Especificação]]</f>
        <v>Especificação</v>
      </c>
      <c r="C28" s="184" t="str">
        <f t="shared" si="96"/>
        <v>ENTITY_PURE_CAPEX_B</v>
      </c>
      <c r="D28" s="153" t="s">
        <v>10</v>
      </c>
      <c r="E28" s="153" t="s">
        <v>1432</v>
      </c>
      <c r="G28" s="172">
        <f>INDEX(Table1[[Especificação]:[Total Testes]],MATCH(PlanoV1.0!C28,Table1[CONCAT],0),MATCH(PlanoV1.0!B28,Table1[[#Headers],[Especificação]:[Total Testes]],0))</f>
        <v>1</v>
      </c>
      <c r="H28" s="191">
        <f t="shared" si="97"/>
        <v>0.2</v>
      </c>
      <c r="I28" s="193">
        <f t="shared" si="98"/>
        <v>0</v>
      </c>
      <c r="J28" s="170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>
        <v>0.2</v>
      </c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5"/>
      <c r="BB28" s="170"/>
      <c r="BC28" s="165"/>
      <c r="BD28" s="165"/>
      <c r="BE28" s="165"/>
      <c r="BF28" s="165"/>
      <c r="BG28" s="165"/>
      <c r="BH28" s="165"/>
      <c r="BI28" s="165"/>
      <c r="BJ28" s="165"/>
      <c r="BK28" s="165"/>
      <c r="BL28" s="165"/>
      <c r="BM28" s="165"/>
      <c r="BN28" s="165"/>
      <c r="BO28" s="165"/>
      <c r="BP28" s="165"/>
      <c r="BQ28" s="165"/>
      <c r="BR28" s="165"/>
      <c r="BS28" s="165"/>
      <c r="BT28" s="165"/>
      <c r="BU28" s="165"/>
      <c r="BV28" s="165"/>
      <c r="BW28" s="165"/>
      <c r="BX28" s="165"/>
      <c r="BY28" s="165"/>
      <c r="BZ28" s="165"/>
      <c r="CA28" s="165"/>
      <c r="CB28" s="165"/>
      <c r="CC28" s="165"/>
      <c r="CD28" s="165"/>
      <c r="CE28" s="165"/>
      <c r="CF28" s="165"/>
      <c r="CG28" s="165"/>
      <c r="CH28" s="165"/>
      <c r="CI28" s="170"/>
      <c r="CJ28" s="165"/>
      <c r="CK28" s="165"/>
      <c r="CL28" s="165"/>
      <c r="CM28" s="165"/>
      <c r="CN28" s="170"/>
      <c r="CO28" s="165"/>
      <c r="CP28" s="165"/>
      <c r="CQ28" s="165"/>
    </row>
    <row r="29" spans="2:95" ht="13.8" outlineLevel="3" x14ac:dyDescent="0.25">
      <c r="B29" s="156" t="str">
        <f>Table1[[#Headers],[Especificação]]</f>
        <v>Especificação</v>
      </c>
      <c r="C29" s="184" t="str">
        <f t="shared" si="96"/>
        <v>ENTITY_PURE_TRNVR_B</v>
      </c>
      <c r="D29" s="153" t="s">
        <v>10</v>
      </c>
      <c r="E29" s="153" t="s">
        <v>1435</v>
      </c>
      <c r="G29" s="172">
        <f>INDEX(Table1[[Especificação]:[Total Testes]],MATCH(PlanoV1.0!C29,Table1[CONCAT],0),MATCH(PlanoV1.0!B29,Table1[[#Headers],[Especificação]:[Total Testes]],0))</f>
        <v>1</v>
      </c>
      <c r="H29" s="191">
        <f t="shared" si="97"/>
        <v>0.2</v>
      </c>
      <c r="I29" s="193">
        <f t="shared" si="98"/>
        <v>0</v>
      </c>
      <c r="J29" s="170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>
        <v>0.2</v>
      </c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65"/>
      <c r="AY29" s="165"/>
      <c r="AZ29" s="165"/>
      <c r="BA29" s="165"/>
      <c r="BB29" s="170"/>
      <c r="BC29" s="165"/>
      <c r="BD29" s="165"/>
      <c r="BE29" s="165"/>
      <c r="BF29" s="165"/>
      <c r="BG29" s="165"/>
      <c r="BH29" s="165"/>
      <c r="BI29" s="165"/>
      <c r="BJ29" s="165"/>
      <c r="BK29" s="165"/>
      <c r="BL29" s="165"/>
      <c r="BM29" s="165"/>
      <c r="BN29" s="165"/>
      <c r="BO29" s="165"/>
      <c r="BP29" s="165"/>
      <c r="BQ29" s="165"/>
      <c r="BR29" s="165"/>
      <c r="BS29" s="165"/>
      <c r="BT29" s="165"/>
      <c r="BU29" s="165"/>
      <c r="BV29" s="165"/>
      <c r="BW29" s="165"/>
      <c r="BX29" s="165"/>
      <c r="BY29" s="165"/>
      <c r="BZ29" s="165"/>
      <c r="CA29" s="165"/>
      <c r="CB29" s="165"/>
      <c r="CC29" s="165"/>
      <c r="CD29" s="165"/>
      <c r="CE29" s="165"/>
      <c r="CF29" s="165"/>
      <c r="CG29" s="165"/>
      <c r="CH29" s="165"/>
      <c r="CI29" s="170"/>
      <c r="CJ29" s="165"/>
      <c r="CK29" s="165"/>
      <c r="CL29" s="165"/>
      <c r="CM29" s="165"/>
      <c r="CN29" s="170"/>
      <c r="CO29" s="165"/>
      <c r="CP29" s="165"/>
      <c r="CQ29" s="165"/>
    </row>
    <row r="30" spans="2:95" ht="13.8" outlineLevel="3" x14ac:dyDescent="0.25">
      <c r="B30" s="156" t="str">
        <f>Table1[[#Headers],[Especificação]]</f>
        <v>Especificação</v>
      </c>
      <c r="C30" s="184" t="str">
        <f t="shared" si="96"/>
        <v>ENTITY_PURE_CAPEX_W</v>
      </c>
      <c r="D30" s="153" t="s">
        <v>10</v>
      </c>
      <c r="E30" s="153" t="s">
        <v>1438</v>
      </c>
      <c r="G30" s="172">
        <f>INDEX(Table1[[Especificação]:[Total Testes]],MATCH(PlanoV1.0!C30,Table1[CONCAT],0),MATCH(PlanoV1.0!B30,Table1[[#Headers],[Especificação]:[Total Testes]],0))</f>
        <v>1</v>
      </c>
      <c r="H30" s="191">
        <f t="shared" si="97"/>
        <v>0.2</v>
      </c>
      <c r="I30" s="193">
        <f t="shared" si="98"/>
        <v>0</v>
      </c>
      <c r="J30" s="170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>
        <v>0.1</v>
      </c>
      <c r="AC30" s="165">
        <v>0.1</v>
      </c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5"/>
      <c r="AY30" s="165"/>
      <c r="AZ30" s="165"/>
      <c r="BA30" s="165"/>
      <c r="BB30" s="170"/>
      <c r="BC30" s="165"/>
      <c r="BD30" s="165"/>
      <c r="BE30" s="165"/>
      <c r="BF30" s="165"/>
      <c r="BG30" s="165"/>
      <c r="BH30" s="165"/>
      <c r="BI30" s="165"/>
      <c r="BJ30" s="165"/>
      <c r="BK30" s="165"/>
      <c r="BL30" s="165"/>
      <c r="BM30" s="165"/>
      <c r="BN30" s="165"/>
      <c r="BO30" s="165"/>
      <c r="BP30" s="165"/>
      <c r="BQ30" s="165"/>
      <c r="BR30" s="165"/>
      <c r="BS30" s="165"/>
      <c r="BT30" s="165"/>
      <c r="BU30" s="165"/>
      <c r="BV30" s="165"/>
      <c r="BW30" s="165"/>
      <c r="BX30" s="165"/>
      <c r="BY30" s="165"/>
      <c r="BZ30" s="165"/>
      <c r="CA30" s="165"/>
      <c r="CB30" s="165"/>
      <c r="CC30" s="165"/>
      <c r="CD30" s="165"/>
      <c r="CE30" s="165"/>
      <c r="CF30" s="165"/>
      <c r="CG30" s="165"/>
      <c r="CH30" s="165"/>
      <c r="CI30" s="170"/>
      <c r="CJ30" s="165"/>
      <c r="CK30" s="165"/>
      <c r="CL30" s="165"/>
      <c r="CM30" s="165"/>
      <c r="CN30" s="170"/>
      <c r="CO30" s="165"/>
      <c r="CP30" s="165"/>
      <c r="CQ30" s="165"/>
    </row>
    <row r="31" spans="2:95" ht="13.8" outlineLevel="3" x14ac:dyDescent="0.25">
      <c r="B31" s="156" t="str">
        <f>Table1[[#Headers],[Especificação]]</f>
        <v>Especificação</v>
      </c>
      <c r="C31" s="184" t="str">
        <f t="shared" si="96"/>
        <v>ENTITY_PURE_TRNVR_W</v>
      </c>
      <c r="D31" s="153" t="s">
        <v>10</v>
      </c>
      <c r="E31" s="153" t="s">
        <v>1441</v>
      </c>
      <c r="G31" s="172">
        <f>INDEX(Table1[[Especificação]:[Total Testes]],MATCH(PlanoV1.0!C31,Table1[CONCAT],0),MATCH(PlanoV1.0!B31,Table1[[#Headers],[Especificação]:[Total Testes]],0))</f>
        <v>1</v>
      </c>
      <c r="H31" s="191">
        <f t="shared" si="97"/>
        <v>0.2</v>
      </c>
      <c r="I31" s="193">
        <f t="shared" si="98"/>
        <v>0</v>
      </c>
      <c r="J31" s="170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>
        <v>0.2</v>
      </c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5"/>
      <c r="AZ31" s="165"/>
      <c r="BA31" s="165"/>
      <c r="BB31" s="170"/>
      <c r="BC31" s="165"/>
      <c r="BD31" s="165"/>
      <c r="BE31" s="165"/>
      <c r="BF31" s="165"/>
      <c r="BG31" s="165"/>
      <c r="BH31" s="165"/>
      <c r="BI31" s="165"/>
      <c r="BJ31" s="165"/>
      <c r="BK31" s="165"/>
      <c r="BL31" s="165"/>
      <c r="BM31" s="165"/>
      <c r="BN31" s="165"/>
      <c r="BO31" s="165"/>
      <c r="BP31" s="165"/>
      <c r="BQ31" s="165"/>
      <c r="BR31" s="165"/>
      <c r="BS31" s="165"/>
      <c r="BT31" s="165"/>
      <c r="BU31" s="165"/>
      <c r="BV31" s="165"/>
      <c r="BW31" s="165"/>
      <c r="BX31" s="165"/>
      <c r="BY31" s="165"/>
      <c r="BZ31" s="165"/>
      <c r="CA31" s="165"/>
      <c r="CB31" s="165"/>
      <c r="CC31" s="165"/>
      <c r="CD31" s="165"/>
      <c r="CE31" s="165"/>
      <c r="CF31" s="165"/>
      <c r="CG31" s="165"/>
      <c r="CH31" s="165"/>
      <c r="CI31" s="170"/>
      <c r="CJ31" s="165"/>
      <c r="CK31" s="165"/>
      <c r="CL31" s="165"/>
      <c r="CM31" s="165"/>
      <c r="CN31" s="170"/>
      <c r="CO31" s="165"/>
      <c r="CP31" s="165"/>
      <c r="CQ31" s="165"/>
    </row>
    <row r="32" spans="2:95" ht="13.8" outlineLevel="3" x14ac:dyDescent="0.25">
      <c r="B32" s="156" t="str">
        <f>Table1[[#Headers],[Especificação]]</f>
        <v>Especificação</v>
      </c>
      <c r="C32" s="184" t="str">
        <f t="shared" si="95"/>
        <v>ENTITY_PURE_CAPEX_CE</v>
      </c>
      <c r="D32" s="153" t="s">
        <v>10</v>
      </c>
      <c r="E32" s="153" t="s">
        <v>1444</v>
      </c>
      <c r="G32" s="172">
        <f>INDEX(Table1[[Especificação]:[Total Testes]],MATCH(PlanoV1.0!C32,Table1[CONCAT],0),MATCH(PlanoV1.0!B32,Table1[[#Headers],[Especificação]:[Total Testes]],0))</f>
        <v>1</v>
      </c>
      <c r="H32" s="191">
        <f t="shared" si="97"/>
        <v>0.2</v>
      </c>
      <c r="I32" s="193">
        <f t="shared" si="98"/>
        <v>0</v>
      </c>
      <c r="J32" s="170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>
        <v>0.2</v>
      </c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70"/>
      <c r="BC32" s="165"/>
      <c r="BD32" s="165"/>
      <c r="BE32" s="165"/>
      <c r="BF32" s="165"/>
      <c r="BG32" s="165"/>
      <c r="BH32" s="165"/>
      <c r="BI32" s="165"/>
      <c r="BJ32" s="165"/>
      <c r="BK32" s="165"/>
      <c r="BL32" s="165"/>
      <c r="BM32" s="165"/>
      <c r="BN32" s="165"/>
      <c r="BO32" s="165"/>
      <c r="BP32" s="165"/>
      <c r="BQ32" s="165"/>
      <c r="BR32" s="165"/>
      <c r="BS32" s="165"/>
      <c r="BT32" s="165"/>
      <c r="BU32" s="165"/>
      <c r="BV32" s="165"/>
      <c r="BW32" s="165"/>
      <c r="BX32" s="165"/>
      <c r="BY32" s="165"/>
      <c r="BZ32" s="165"/>
      <c r="CA32" s="165"/>
      <c r="CB32" s="165"/>
      <c r="CC32" s="165"/>
      <c r="CD32" s="165"/>
      <c r="CE32" s="165"/>
      <c r="CF32" s="165"/>
      <c r="CG32" s="165"/>
      <c r="CH32" s="165"/>
      <c r="CI32" s="170"/>
      <c r="CJ32" s="165"/>
      <c r="CK32" s="165"/>
      <c r="CL32" s="165"/>
      <c r="CM32" s="165"/>
      <c r="CN32" s="170"/>
      <c r="CO32" s="165"/>
      <c r="CP32" s="165"/>
      <c r="CQ32" s="165"/>
    </row>
    <row r="33" spans="2:95" ht="13.8" outlineLevel="3" x14ac:dyDescent="0.25">
      <c r="B33" s="156" t="str">
        <f>Table1[[#Headers],[Especificação]]</f>
        <v>Especificação</v>
      </c>
      <c r="C33" s="184" t="str">
        <f t="shared" si="95"/>
        <v>ENTITY_PURE_TRNVR_CE</v>
      </c>
      <c r="D33" s="153" t="s">
        <v>10</v>
      </c>
      <c r="E33" s="153" t="s">
        <v>1447</v>
      </c>
      <c r="G33" s="172">
        <f>INDEX(Table1[[Especificação]:[Total Testes]],MATCH(PlanoV1.0!C33,Table1[CONCAT],0),MATCH(PlanoV1.0!B33,Table1[[#Headers],[Especificação]:[Total Testes]],0))</f>
        <v>1</v>
      </c>
      <c r="H33" s="191">
        <f t="shared" si="97"/>
        <v>0.2</v>
      </c>
      <c r="I33" s="193">
        <f t="shared" si="98"/>
        <v>0</v>
      </c>
      <c r="J33" s="170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>
        <v>0.2</v>
      </c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5"/>
      <c r="AY33" s="165"/>
      <c r="AZ33" s="165"/>
      <c r="BA33" s="165"/>
      <c r="BB33" s="170"/>
      <c r="BC33" s="165"/>
      <c r="BD33" s="165"/>
      <c r="BE33" s="165"/>
      <c r="BF33" s="165"/>
      <c r="BG33" s="165"/>
      <c r="BH33" s="165"/>
      <c r="BI33" s="165"/>
      <c r="BJ33" s="165"/>
      <c r="BK33" s="165"/>
      <c r="BL33" s="165"/>
      <c r="BM33" s="165"/>
      <c r="BN33" s="165"/>
      <c r="BO33" s="165"/>
      <c r="BP33" s="165"/>
      <c r="BQ33" s="165"/>
      <c r="BR33" s="165"/>
      <c r="BS33" s="165"/>
      <c r="BT33" s="165"/>
      <c r="BU33" s="165"/>
      <c r="BV33" s="165"/>
      <c r="BW33" s="165"/>
      <c r="BX33" s="165"/>
      <c r="BY33" s="165"/>
      <c r="BZ33" s="165"/>
      <c r="CA33" s="165"/>
      <c r="CB33" s="165"/>
      <c r="CC33" s="165"/>
      <c r="CD33" s="165"/>
      <c r="CE33" s="165"/>
      <c r="CF33" s="165"/>
      <c r="CG33" s="165"/>
      <c r="CH33" s="165"/>
      <c r="CI33" s="170"/>
      <c r="CJ33" s="165"/>
      <c r="CK33" s="165"/>
      <c r="CL33" s="165"/>
      <c r="CM33" s="165"/>
      <c r="CN33" s="170"/>
      <c r="CO33" s="165"/>
      <c r="CP33" s="165"/>
      <c r="CQ33" s="165"/>
    </row>
    <row r="34" spans="2:95" ht="13.8" outlineLevel="3" x14ac:dyDescent="0.25">
      <c r="B34" s="156" t="str">
        <f>Table1[[#Headers],[Especificação]]</f>
        <v>Especificação</v>
      </c>
      <c r="C34" s="184" t="str">
        <f t="shared" si="95"/>
        <v>ENTITY_ENBLNG_CAPEX_W</v>
      </c>
      <c r="D34" s="153" t="s">
        <v>10</v>
      </c>
      <c r="E34" s="153" t="s">
        <v>1450</v>
      </c>
      <c r="G34" s="172">
        <f>INDEX(Table1[[Especificação]:[Total Testes]],MATCH(PlanoV1.0!C34,Table1[CONCAT],0),MATCH(PlanoV1.0!B34,Table1[[#Headers],[Especificação]:[Total Testes]],0))</f>
        <v>1</v>
      </c>
      <c r="H34" s="191">
        <f t="shared" si="97"/>
        <v>0.2</v>
      </c>
      <c r="I34" s="193">
        <f t="shared" si="98"/>
        <v>0</v>
      </c>
      <c r="J34" s="170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>
        <v>0.2</v>
      </c>
      <c r="AD34" s="165"/>
      <c r="AE34" s="165"/>
      <c r="AF34" s="165"/>
      <c r="AG34" s="165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5"/>
      <c r="AW34" s="165"/>
      <c r="AX34" s="165"/>
      <c r="AY34" s="165"/>
      <c r="AZ34" s="165"/>
      <c r="BA34" s="165"/>
      <c r="BB34" s="170"/>
      <c r="BC34" s="165"/>
      <c r="BD34" s="165"/>
      <c r="BE34" s="165"/>
      <c r="BF34" s="165"/>
      <c r="BG34" s="165"/>
      <c r="BH34" s="165"/>
      <c r="BI34" s="165"/>
      <c r="BJ34" s="165"/>
      <c r="BK34" s="165"/>
      <c r="BL34" s="165"/>
      <c r="BM34" s="165"/>
      <c r="BN34" s="165"/>
      <c r="BO34" s="165"/>
      <c r="BP34" s="165"/>
      <c r="BQ34" s="165"/>
      <c r="BR34" s="165"/>
      <c r="BS34" s="165"/>
      <c r="BT34" s="165"/>
      <c r="BU34" s="165"/>
      <c r="BV34" s="165"/>
      <c r="BW34" s="165"/>
      <c r="BX34" s="165"/>
      <c r="BY34" s="165"/>
      <c r="BZ34" s="165"/>
      <c r="CA34" s="165"/>
      <c r="CB34" s="165"/>
      <c r="CC34" s="165"/>
      <c r="CD34" s="165"/>
      <c r="CE34" s="165"/>
      <c r="CF34" s="165"/>
      <c r="CG34" s="165"/>
      <c r="CH34" s="165"/>
      <c r="CI34" s="170"/>
      <c r="CJ34" s="165"/>
      <c r="CK34" s="165"/>
      <c r="CL34" s="165"/>
      <c r="CM34" s="165"/>
      <c r="CN34" s="170"/>
      <c r="CO34" s="165"/>
      <c r="CP34" s="165"/>
      <c r="CQ34" s="165"/>
    </row>
    <row r="35" spans="2:95" ht="13.8" outlineLevel="3" x14ac:dyDescent="0.25">
      <c r="B35" s="156" t="str">
        <f>Table1[[#Headers],[Especificação]]</f>
        <v>Especificação</v>
      </c>
      <c r="C35" s="184" t="str">
        <f t="shared" si="95"/>
        <v>ENTITY_ENBLNG_TRNVR_W</v>
      </c>
      <c r="D35" s="153" t="s">
        <v>10</v>
      </c>
      <c r="E35" s="153" t="s">
        <v>1453</v>
      </c>
      <c r="G35" s="172">
        <f>INDEX(Table1[[Especificação]:[Total Testes]],MATCH(PlanoV1.0!C35,Table1[CONCAT],0),MATCH(PlanoV1.0!B35,Table1[[#Headers],[Especificação]:[Total Testes]],0))</f>
        <v>1</v>
      </c>
      <c r="H35" s="191">
        <f t="shared" si="97"/>
        <v>0.2</v>
      </c>
      <c r="I35" s="193">
        <f t="shared" si="98"/>
        <v>0</v>
      </c>
      <c r="J35" s="170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>
        <v>0.1</v>
      </c>
      <c r="AD35" s="165">
        <v>0.1</v>
      </c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5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70"/>
      <c r="BC35" s="165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65"/>
      <c r="BP35" s="165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65"/>
      <c r="CC35" s="165"/>
      <c r="CD35" s="165"/>
      <c r="CE35" s="165"/>
      <c r="CF35" s="165"/>
      <c r="CG35" s="165"/>
      <c r="CH35" s="165"/>
      <c r="CI35" s="170"/>
      <c r="CJ35" s="165"/>
      <c r="CK35" s="165"/>
      <c r="CL35" s="165"/>
      <c r="CM35" s="165"/>
      <c r="CN35" s="170"/>
      <c r="CO35" s="165"/>
      <c r="CP35" s="165"/>
      <c r="CQ35" s="165"/>
    </row>
    <row r="36" spans="2:95" ht="13.8" outlineLevel="3" x14ac:dyDescent="0.25">
      <c r="B36" s="156" t="str">
        <f>Table1[[#Headers],[Especificação]]</f>
        <v>Especificação</v>
      </c>
      <c r="C36" s="184" t="str">
        <f t="shared" si="95"/>
        <v>ENTITY_ENBLNG_CAPEX_CE</v>
      </c>
      <c r="D36" s="153" t="s">
        <v>10</v>
      </c>
      <c r="E36" s="153" t="s">
        <v>1456</v>
      </c>
      <c r="G36" s="172">
        <f>INDEX(Table1[[Especificação]:[Total Testes]],MATCH(PlanoV1.0!C36,Table1[CONCAT],0),MATCH(PlanoV1.0!B36,Table1[[#Headers],[Especificação]:[Total Testes]],0))</f>
        <v>1</v>
      </c>
      <c r="H36" s="191">
        <f t="shared" si="97"/>
        <v>0.2</v>
      </c>
      <c r="I36" s="193">
        <f t="shared" si="98"/>
        <v>0</v>
      </c>
      <c r="J36" s="170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>
        <v>0.2</v>
      </c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5"/>
      <c r="AV36" s="165"/>
      <c r="AW36" s="165"/>
      <c r="AX36" s="165"/>
      <c r="AY36" s="165"/>
      <c r="AZ36" s="165"/>
      <c r="BA36" s="165"/>
      <c r="BB36" s="170"/>
      <c r="BC36" s="165"/>
      <c r="BD36" s="165"/>
      <c r="BE36" s="165"/>
      <c r="BF36" s="165"/>
      <c r="BG36" s="165"/>
      <c r="BH36" s="165"/>
      <c r="BI36" s="165"/>
      <c r="BJ36" s="165"/>
      <c r="BK36" s="165"/>
      <c r="BL36" s="165"/>
      <c r="BM36" s="165"/>
      <c r="BN36" s="165"/>
      <c r="BO36" s="165"/>
      <c r="BP36" s="165"/>
      <c r="BQ36" s="165"/>
      <c r="BR36" s="165"/>
      <c r="BS36" s="165"/>
      <c r="BT36" s="165"/>
      <c r="BU36" s="165"/>
      <c r="BV36" s="165"/>
      <c r="BW36" s="165"/>
      <c r="BX36" s="165"/>
      <c r="BY36" s="165"/>
      <c r="BZ36" s="165"/>
      <c r="CA36" s="165"/>
      <c r="CB36" s="165"/>
      <c r="CC36" s="165"/>
      <c r="CD36" s="165"/>
      <c r="CE36" s="165"/>
      <c r="CF36" s="165"/>
      <c r="CG36" s="165"/>
      <c r="CH36" s="165"/>
      <c r="CI36" s="170"/>
      <c r="CJ36" s="165"/>
      <c r="CK36" s="165"/>
      <c r="CL36" s="165"/>
      <c r="CM36" s="165"/>
      <c r="CN36" s="170"/>
      <c r="CO36" s="165"/>
      <c r="CP36" s="165"/>
      <c r="CQ36" s="165"/>
    </row>
    <row r="37" spans="2:95" ht="13.8" outlineLevel="3" x14ac:dyDescent="0.25">
      <c r="B37" s="156" t="str">
        <f>Table1[[#Headers],[Especificação]]</f>
        <v>Especificação</v>
      </c>
      <c r="C37" s="184" t="str">
        <f t="shared" ref="C37:C51" si="99">D37&amp;"_"&amp;E37</f>
        <v>ENTITY_ENBLNG_TRNVR_CE</v>
      </c>
      <c r="D37" s="153" t="s">
        <v>10</v>
      </c>
      <c r="E37" s="153" t="s">
        <v>1459</v>
      </c>
      <c r="G37" s="172">
        <f>INDEX(Table1[[Especificação]:[Total Testes]],MATCH(PlanoV1.0!C37,Table1[CONCAT],0),MATCH(PlanoV1.0!B37,Table1[[#Headers],[Especificação]:[Total Testes]],0))</f>
        <v>1</v>
      </c>
      <c r="H37" s="191">
        <f t="shared" si="97"/>
        <v>0.2</v>
      </c>
      <c r="I37" s="193">
        <f t="shared" si="98"/>
        <v>0</v>
      </c>
      <c r="J37" s="170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>
        <v>0.2</v>
      </c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5"/>
      <c r="AV37" s="165"/>
      <c r="AW37" s="165"/>
      <c r="AX37" s="165"/>
      <c r="AY37" s="165"/>
      <c r="AZ37" s="165"/>
      <c r="BA37" s="165"/>
      <c r="BB37" s="170"/>
      <c r="BC37" s="165"/>
      <c r="BD37" s="165"/>
      <c r="BE37" s="165"/>
      <c r="BF37" s="165"/>
      <c r="BG37" s="165"/>
      <c r="BH37" s="165"/>
      <c r="BI37" s="165"/>
      <c r="BJ37" s="165"/>
      <c r="BK37" s="165"/>
      <c r="BL37" s="165"/>
      <c r="BM37" s="165"/>
      <c r="BN37" s="165"/>
      <c r="BO37" s="165"/>
      <c r="BP37" s="165"/>
      <c r="BQ37" s="165"/>
      <c r="BR37" s="165"/>
      <c r="BS37" s="165"/>
      <c r="BT37" s="165"/>
      <c r="BU37" s="165"/>
      <c r="BV37" s="165"/>
      <c r="BW37" s="165"/>
      <c r="BX37" s="165"/>
      <c r="BY37" s="165"/>
      <c r="BZ37" s="165"/>
      <c r="CA37" s="165"/>
      <c r="CB37" s="165"/>
      <c r="CC37" s="165"/>
      <c r="CD37" s="165"/>
      <c r="CE37" s="165"/>
      <c r="CF37" s="165"/>
      <c r="CG37" s="165"/>
      <c r="CH37" s="165"/>
      <c r="CI37" s="170"/>
      <c r="CJ37" s="165"/>
      <c r="CK37" s="165"/>
      <c r="CL37" s="165"/>
      <c r="CM37" s="165"/>
      <c r="CN37" s="170"/>
      <c r="CO37" s="165"/>
      <c r="CP37" s="165"/>
      <c r="CQ37" s="165"/>
    </row>
    <row r="38" spans="2:95" ht="13.8" outlineLevel="3" x14ac:dyDescent="0.25">
      <c r="B38" s="156" t="str">
        <f>Table1[[#Headers],[Especificação]]</f>
        <v>Especificação</v>
      </c>
      <c r="C38" s="184" t="str">
        <f t="shared" si="99"/>
        <v>INSTRUMENT_TYP_OFF_BLNC_PRDCT</v>
      </c>
      <c r="D38" s="153" t="s">
        <v>414</v>
      </c>
      <c r="E38" s="153" t="s">
        <v>1351</v>
      </c>
      <c r="G38" s="172">
        <f>INDEX(Table1[[Especificação]:[Total Testes]],MATCH(PlanoV1.0!C38,Table1[CONCAT],0),MATCH(PlanoV1.0!B38,Table1[[#Headers],[Especificação]:[Total Testes]],0))</f>
        <v>1</v>
      </c>
      <c r="H38" s="191">
        <f t="shared" si="97"/>
        <v>0.2</v>
      </c>
      <c r="I38" s="193">
        <f t="shared" si="98"/>
        <v>0</v>
      </c>
      <c r="J38" s="170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>
        <v>0.2</v>
      </c>
      <c r="AE38" s="165"/>
      <c r="AF38" s="165"/>
      <c r="AG38" s="165"/>
      <c r="AH38" s="165"/>
      <c r="AI38" s="165"/>
      <c r="AJ38" s="165"/>
      <c r="AK38" s="165"/>
      <c r="AL38" s="165"/>
      <c r="AM38" s="165"/>
      <c r="AN38" s="165"/>
      <c r="AO38" s="165"/>
      <c r="AP38" s="165"/>
      <c r="AQ38" s="165"/>
      <c r="AR38" s="165"/>
      <c r="AS38" s="165"/>
      <c r="AT38" s="165"/>
      <c r="AU38" s="165"/>
      <c r="AV38" s="165"/>
      <c r="AW38" s="165"/>
      <c r="AX38" s="165"/>
      <c r="AY38" s="165"/>
      <c r="AZ38" s="165"/>
      <c r="BA38" s="165"/>
      <c r="BB38" s="170"/>
      <c r="BC38" s="165"/>
      <c r="BD38" s="165"/>
      <c r="BE38" s="165"/>
      <c r="BF38" s="165"/>
      <c r="BG38" s="165"/>
      <c r="BH38" s="165"/>
      <c r="BI38" s="165"/>
      <c r="BJ38" s="165"/>
      <c r="BK38" s="165"/>
      <c r="BL38" s="165"/>
      <c r="BM38" s="165"/>
      <c r="BN38" s="165"/>
      <c r="BO38" s="165"/>
      <c r="BP38" s="165"/>
      <c r="BQ38" s="165"/>
      <c r="BR38" s="165"/>
      <c r="BS38" s="165"/>
      <c r="BT38" s="165"/>
      <c r="BU38" s="165"/>
      <c r="BV38" s="165"/>
      <c r="BW38" s="165"/>
      <c r="BX38" s="165"/>
      <c r="BY38" s="165"/>
      <c r="BZ38" s="165"/>
      <c r="CA38" s="165"/>
      <c r="CB38" s="165"/>
      <c r="CC38" s="165"/>
      <c r="CD38" s="165"/>
      <c r="CE38" s="165"/>
      <c r="CF38" s="165"/>
      <c r="CG38" s="165"/>
      <c r="CH38" s="165"/>
      <c r="CI38" s="170"/>
      <c r="CJ38" s="165"/>
      <c r="CK38" s="165"/>
      <c r="CL38" s="165"/>
      <c r="CM38" s="165"/>
      <c r="CN38" s="170"/>
      <c r="CO38" s="165"/>
      <c r="CP38" s="165"/>
      <c r="CQ38" s="165"/>
    </row>
    <row r="39" spans="2:95" ht="13.8" outlineLevel="3" x14ac:dyDescent="0.25">
      <c r="B39" s="156" t="str">
        <f>Table1[[#Headers],[Especificação]]</f>
        <v>Especificação</v>
      </c>
      <c r="C39" s="184" t="str">
        <f t="shared" si="99"/>
        <v>INSTRUMENT_FLG_MNMM_SFGRDS</v>
      </c>
      <c r="D39" s="153" t="s">
        <v>414</v>
      </c>
      <c r="E39" s="153" t="s">
        <v>1480</v>
      </c>
      <c r="G39" s="172">
        <f>INDEX(Table1[[Especificação]:[Total Testes]],MATCH(PlanoV1.0!C39,Table1[CONCAT],0),MATCH(PlanoV1.0!B39,Table1[[#Headers],[Especificação]:[Total Testes]],0))</f>
        <v>0</v>
      </c>
      <c r="H39" s="191">
        <f t="shared" si="97"/>
        <v>0</v>
      </c>
      <c r="I39" s="193">
        <f t="shared" si="98"/>
        <v>1.3</v>
      </c>
      <c r="J39" s="170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>
        <v>1.3</v>
      </c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  <c r="AK39" s="165"/>
      <c r="AL39" s="165"/>
      <c r="AM39" s="165"/>
      <c r="AN39" s="165"/>
      <c r="AO39" s="165"/>
      <c r="AP39" s="165"/>
      <c r="AQ39" s="165"/>
      <c r="AR39" s="165"/>
      <c r="AS39" s="165"/>
      <c r="AT39" s="165"/>
      <c r="AU39" s="165"/>
      <c r="AV39" s="165"/>
      <c r="AW39" s="165"/>
      <c r="AX39" s="165"/>
      <c r="AY39" s="165"/>
      <c r="AZ39" s="165"/>
      <c r="BA39" s="165"/>
      <c r="BB39" s="170"/>
      <c r="BC39" s="165"/>
      <c r="BD39" s="165"/>
      <c r="BE39" s="165"/>
      <c r="BF39" s="165"/>
      <c r="BG39" s="165"/>
      <c r="BH39" s="165"/>
      <c r="BI39" s="165"/>
      <c r="BJ39" s="165"/>
      <c r="BK39" s="165"/>
      <c r="BL39" s="165"/>
      <c r="BM39" s="165"/>
      <c r="BN39" s="165"/>
      <c r="BO39" s="165"/>
      <c r="BP39" s="165"/>
      <c r="BQ39" s="165"/>
      <c r="BR39" s="165"/>
      <c r="BS39" s="165"/>
      <c r="BT39" s="165"/>
      <c r="BU39" s="165"/>
      <c r="BV39" s="165"/>
      <c r="BW39" s="165"/>
      <c r="BX39" s="165"/>
      <c r="BY39" s="165"/>
      <c r="BZ39" s="165"/>
      <c r="CA39" s="165"/>
      <c r="CB39" s="165"/>
      <c r="CC39" s="165"/>
      <c r="CD39" s="165"/>
      <c r="CE39" s="165"/>
      <c r="CF39" s="165"/>
      <c r="CG39" s="165"/>
      <c r="CH39" s="165"/>
      <c r="CI39" s="170"/>
      <c r="CJ39" s="165"/>
      <c r="CK39" s="165"/>
      <c r="CL39" s="165"/>
      <c r="CM39" s="165"/>
      <c r="CN39" s="170"/>
      <c r="CO39" s="165"/>
      <c r="CP39" s="165"/>
      <c r="CQ39" s="165"/>
    </row>
    <row r="40" spans="2:95" ht="13.8" outlineLevel="3" x14ac:dyDescent="0.25">
      <c r="B40" s="156" t="str">
        <f>Table1[[#Headers],[Especificação]]</f>
        <v>Especificação</v>
      </c>
      <c r="C40" s="184" t="str">
        <f t="shared" si="99"/>
        <v>INSTR_PROTECTION_TYP_RLTN</v>
      </c>
      <c r="D40" s="153" t="s">
        <v>1101</v>
      </c>
      <c r="E40" s="153" t="s">
        <v>1384</v>
      </c>
      <c r="G40" s="172">
        <f>INDEX(Table1[[Especificação]:[Total Testes]],MATCH(PlanoV1.0!C40,Table1[CONCAT],0),MATCH(PlanoV1.0!B40,Table1[[#Headers],[Especificação]:[Total Testes]],0))</f>
        <v>4</v>
      </c>
      <c r="H40" s="191">
        <f t="shared" si="97"/>
        <v>0.5</v>
      </c>
      <c r="I40" s="193">
        <f t="shared" si="98"/>
        <v>0</v>
      </c>
      <c r="J40" s="170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>
        <v>0.5</v>
      </c>
      <c r="Z40" s="165"/>
      <c r="AA40" s="165"/>
      <c r="AB40" s="165"/>
      <c r="AC40" s="165"/>
      <c r="AD40" s="165"/>
      <c r="AE40" s="165"/>
      <c r="AF40" s="165"/>
      <c r="AG40" s="165"/>
      <c r="AH40" s="165"/>
      <c r="AI40" s="165"/>
      <c r="AJ40" s="165"/>
      <c r="AK40" s="165"/>
      <c r="AL40" s="165"/>
      <c r="AM40" s="165"/>
      <c r="AN40" s="165"/>
      <c r="AO40" s="165"/>
      <c r="AP40" s="165"/>
      <c r="AQ40" s="165"/>
      <c r="AR40" s="165"/>
      <c r="AS40" s="165"/>
      <c r="AT40" s="165"/>
      <c r="AU40" s="165"/>
      <c r="AV40" s="165"/>
      <c r="AW40" s="165"/>
      <c r="AX40" s="165"/>
      <c r="AY40" s="165"/>
      <c r="AZ40" s="165"/>
      <c r="BA40" s="165"/>
      <c r="BB40" s="170"/>
      <c r="BC40" s="165"/>
      <c r="BD40" s="165"/>
      <c r="BE40" s="165"/>
      <c r="BF40" s="165"/>
      <c r="BG40" s="165"/>
      <c r="BH40" s="165"/>
      <c r="BI40" s="165"/>
      <c r="BJ40" s="165"/>
      <c r="BK40" s="165"/>
      <c r="BL40" s="165"/>
      <c r="BM40" s="165"/>
      <c r="BN40" s="165"/>
      <c r="BO40" s="165"/>
      <c r="BP40" s="165"/>
      <c r="BQ40" s="165"/>
      <c r="BR40" s="165"/>
      <c r="BS40" s="165"/>
      <c r="BT40" s="165"/>
      <c r="BU40" s="165"/>
      <c r="BV40" s="165"/>
      <c r="BW40" s="165"/>
      <c r="BX40" s="165"/>
      <c r="BY40" s="165"/>
      <c r="BZ40" s="165"/>
      <c r="CA40" s="165"/>
      <c r="CB40" s="165"/>
      <c r="CC40" s="165"/>
      <c r="CD40" s="165"/>
      <c r="CE40" s="165"/>
      <c r="CF40" s="165"/>
      <c r="CG40" s="165"/>
      <c r="CH40" s="165"/>
      <c r="CI40" s="170"/>
      <c r="CJ40" s="165"/>
      <c r="CK40" s="165"/>
      <c r="CL40" s="165"/>
      <c r="CM40" s="165"/>
      <c r="CN40" s="170"/>
      <c r="CO40" s="165"/>
      <c r="CP40" s="165"/>
      <c r="CQ40" s="165"/>
    </row>
    <row r="41" spans="2:95" ht="13.8" outlineLevel="3" x14ac:dyDescent="0.25">
      <c r="B41" s="156" t="str">
        <f>Table1[[#Headers],[Especificação]]</f>
        <v>Especificação</v>
      </c>
      <c r="C41" s="184" t="str">
        <f t="shared" si="99"/>
        <v>PROTECTION_BLDNG_AR</v>
      </c>
      <c r="D41" s="153" t="s">
        <v>1114</v>
      </c>
      <c r="E41" s="153" t="s">
        <v>1387</v>
      </c>
      <c r="G41" s="172">
        <f>INDEX(Table1[[Especificação]:[Total Testes]],MATCH(PlanoV1.0!C41,Table1[CONCAT],0),MATCH(PlanoV1.0!B41,Table1[[#Headers],[Especificação]:[Total Testes]],0))</f>
        <v>2</v>
      </c>
      <c r="H41" s="191">
        <f t="shared" si="97"/>
        <v>0.30000000000000004</v>
      </c>
      <c r="I41" s="193">
        <f t="shared" si="98"/>
        <v>0</v>
      </c>
      <c r="J41" s="170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  <c r="AD41" s="165">
        <v>0.3</v>
      </c>
      <c r="AE41" s="165"/>
      <c r="AF41" s="165"/>
      <c r="AG41" s="165"/>
      <c r="AH41" s="165"/>
      <c r="AI41" s="165"/>
      <c r="AJ41" s="165"/>
      <c r="AK41" s="165"/>
      <c r="AL41" s="165"/>
      <c r="AM41" s="165"/>
      <c r="AN41" s="165"/>
      <c r="AO41" s="165"/>
      <c r="AP41" s="165"/>
      <c r="AQ41" s="165"/>
      <c r="AR41" s="165"/>
      <c r="AS41" s="165"/>
      <c r="AT41" s="165"/>
      <c r="AU41" s="165"/>
      <c r="AV41" s="165"/>
      <c r="AW41" s="165"/>
      <c r="AX41" s="165"/>
      <c r="AY41" s="165"/>
      <c r="AZ41" s="165"/>
      <c r="BA41" s="165"/>
      <c r="BB41" s="170"/>
      <c r="BC41" s="165"/>
      <c r="BD41" s="165"/>
      <c r="BE41" s="165"/>
      <c r="BF41" s="165"/>
      <c r="BG41" s="165"/>
      <c r="BH41" s="165"/>
      <c r="BI41" s="165"/>
      <c r="BJ41" s="165"/>
      <c r="BK41" s="165"/>
      <c r="BL41" s="165"/>
      <c r="BM41" s="165"/>
      <c r="BN41" s="165"/>
      <c r="BO41" s="165"/>
      <c r="BP41" s="165"/>
      <c r="BQ41" s="165"/>
      <c r="BR41" s="165"/>
      <c r="BS41" s="165"/>
      <c r="BT41" s="165"/>
      <c r="BU41" s="165"/>
      <c r="BV41" s="165"/>
      <c r="BW41" s="165"/>
      <c r="BX41" s="165"/>
      <c r="BY41" s="165"/>
      <c r="BZ41" s="165"/>
      <c r="CA41" s="165"/>
      <c r="CB41" s="165"/>
      <c r="CC41" s="165"/>
      <c r="CD41" s="165"/>
      <c r="CE41" s="165"/>
      <c r="CF41" s="165"/>
      <c r="CG41" s="165"/>
      <c r="CH41" s="165"/>
      <c r="CI41" s="170"/>
      <c r="CJ41" s="165"/>
      <c r="CK41" s="165"/>
      <c r="CL41" s="165"/>
      <c r="CM41" s="165"/>
      <c r="CN41" s="170"/>
      <c r="CO41" s="165"/>
      <c r="CP41" s="165"/>
      <c r="CQ41" s="165"/>
    </row>
    <row r="42" spans="2:95" ht="13.8" outlineLevel="3" x14ac:dyDescent="0.25">
      <c r="B42" s="156" t="str">
        <f>Table1[[#Headers],[Especificação]]</f>
        <v>Especificação</v>
      </c>
      <c r="C42" s="184" t="str">
        <f t="shared" si="99"/>
        <v>PROTECTION_RL_ESTT_CRTFCTN</v>
      </c>
      <c r="D42" s="153" t="s">
        <v>1114</v>
      </c>
      <c r="E42" s="153" t="s">
        <v>1512</v>
      </c>
      <c r="G42" s="172">
        <f>INDEX(Table1[[Especificação]:[Total Testes]],MATCH(PlanoV1.0!C42,Table1[CONCAT],0),MATCH(PlanoV1.0!B42,Table1[[#Headers],[Especificação]:[Total Testes]],0))</f>
        <v>0</v>
      </c>
      <c r="H42" s="191">
        <f t="shared" si="97"/>
        <v>0</v>
      </c>
      <c r="I42" s="193">
        <f t="shared" si="98"/>
        <v>1</v>
      </c>
      <c r="J42" s="170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>
        <v>1</v>
      </c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  <c r="AS42" s="165"/>
      <c r="AT42" s="165"/>
      <c r="AU42" s="165"/>
      <c r="AV42" s="165"/>
      <c r="AW42" s="165"/>
      <c r="AX42" s="165"/>
      <c r="AY42" s="165"/>
      <c r="AZ42" s="165"/>
      <c r="BA42" s="165"/>
      <c r="BB42" s="170"/>
      <c r="BC42" s="165"/>
      <c r="BD42" s="165"/>
      <c r="BE42" s="165"/>
      <c r="BF42" s="165"/>
      <c r="BG42" s="165"/>
      <c r="BH42" s="165"/>
      <c r="BI42" s="165"/>
      <c r="BJ42" s="165"/>
      <c r="BK42" s="165"/>
      <c r="BL42" s="165"/>
      <c r="BM42" s="165"/>
      <c r="BN42" s="165"/>
      <c r="BO42" s="165"/>
      <c r="BP42" s="165"/>
      <c r="BQ42" s="165"/>
      <c r="BR42" s="165"/>
      <c r="BS42" s="165"/>
      <c r="BT42" s="165"/>
      <c r="BU42" s="165"/>
      <c r="BV42" s="165"/>
      <c r="BW42" s="165"/>
      <c r="BX42" s="165"/>
      <c r="BY42" s="165"/>
      <c r="BZ42" s="165"/>
      <c r="CA42" s="165"/>
      <c r="CB42" s="165"/>
      <c r="CC42" s="165"/>
      <c r="CD42" s="165"/>
      <c r="CE42" s="165"/>
      <c r="CF42" s="165"/>
      <c r="CG42" s="165"/>
      <c r="CH42" s="165"/>
      <c r="CI42" s="170"/>
      <c r="CJ42" s="165"/>
      <c r="CK42" s="165"/>
      <c r="CL42" s="165"/>
      <c r="CM42" s="165"/>
      <c r="CN42" s="170"/>
      <c r="CO42" s="165"/>
      <c r="CP42" s="165"/>
      <c r="CQ42" s="165"/>
    </row>
    <row r="43" spans="2:95" ht="13.8" outlineLevel="3" x14ac:dyDescent="0.25">
      <c r="B43" s="156" t="str">
        <f>Table1[[#Headers],[Especificação]]</f>
        <v>Especificação</v>
      </c>
      <c r="C43" s="184" t="str">
        <f t="shared" si="99"/>
        <v>PROTECTION_TYP_VHCL</v>
      </c>
      <c r="D43" s="153" t="s">
        <v>1114</v>
      </c>
      <c r="E43" s="153" t="s">
        <v>1515</v>
      </c>
      <c r="G43" s="172">
        <f>INDEX(Table1[[Especificação]:[Total Testes]],MATCH(PlanoV1.0!C43,Table1[CONCAT],0),MATCH(PlanoV1.0!B43,Table1[[#Headers],[Especificação]:[Total Testes]],0))</f>
        <v>0</v>
      </c>
      <c r="H43" s="191">
        <f t="shared" si="97"/>
        <v>0</v>
      </c>
      <c r="I43" s="193">
        <f t="shared" si="98"/>
        <v>1</v>
      </c>
      <c r="J43" s="170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>
        <v>1</v>
      </c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  <c r="AK43" s="165"/>
      <c r="AL43" s="165"/>
      <c r="AM43" s="165"/>
      <c r="AN43" s="165"/>
      <c r="AO43" s="165"/>
      <c r="AP43" s="165"/>
      <c r="AQ43" s="165"/>
      <c r="AR43" s="165"/>
      <c r="AS43" s="165"/>
      <c r="AT43" s="165"/>
      <c r="AU43" s="165"/>
      <c r="AV43" s="165"/>
      <c r="AW43" s="165"/>
      <c r="AX43" s="165"/>
      <c r="AY43" s="165"/>
      <c r="AZ43" s="165"/>
      <c r="BA43" s="165"/>
      <c r="BB43" s="170"/>
      <c r="BC43" s="165"/>
      <c r="BD43" s="165"/>
      <c r="BE43" s="165"/>
      <c r="BF43" s="165"/>
      <c r="BG43" s="165"/>
      <c r="BH43" s="165"/>
      <c r="BI43" s="165"/>
      <c r="BJ43" s="165"/>
      <c r="BK43" s="165"/>
      <c r="BL43" s="165"/>
      <c r="BM43" s="165"/>
      <c r="BN43" s="165"/>
      <c r="BO43" s="165"/>
      <c r="BP43" s="165"/>
      <c r="BQ43" s="165"/>
      <c r="BR43" s="165"/>
      <c r="BS43" s="165"/>
      <c r="BT43" s="165"/>
      <c r="BU43" s="165"/>
      <c r="BV43" s="165"/>
      <c r="BW43" s="165"/>
      <c r="BX43" s="165"/>
      <c r="BY43" s="165"/>
      <c r="BZ43" s="165"/>
      <c r="CA43" s="165"/>
      <c r="CB43" s="165"/>
      <c r="CC43" s="165"/>
      <c r="CD43" s="165"/>
      <c r="CE43" s="165"/>
      <c r="CF43" s="165"/>
      <c r="CG43" s="165"/>
      <c r="CH43" s="165"/>
      <c r="CI43" s="170"/>
      <c r="CJ43" s="165"/>
      <c r="CK43" s="165"/>
      <c r="CL43" s="165"/>
      <c r="CM43" s="165"/>
      <c r="CN43" s="170"/>
      <c r="CO43" s="165"/>
      <c r="CP43" s="165"/>
      <c r="CQ43" s="165"/>
    </row>
    <row r="44" spans="2:95" ht="13.8" outlineLevel="3" x14ac:dyDescent="0.25">
      <c r="B44" s="156" t="str">
        <f>Table1[[#Headers],[Especificação]]</f>
        <v>Especificação</v>
      </c>
      <c r="C44" s="184" t="str">
        <f t="shared" si="99"/>
        <v>PROTECTION_DT_RGSTRTN</v>
      </c>
      <c r="D44" s="153" t="s">
        <v>1114</v>
      </c>
      <c r="E44" s="153" t="s">
        <v>1518</v>
      </c>
      <c r="G44" s="172">
        <f>INDEX(Table1[[Especificação]:[Total Testes]],MATCH(PlanoV1.0!C44,Table1[CONCAT],0),MATCH(PlanoV1.0!B44,Table1[[#Headers],[Especificação]:[Total Testes]],0))</f>
        <v>0</v>
      </c>
      <c r="H44" s="191">
        <f t="shared" si="97"/>
        <v>0</v>
      </c>
      <c r="I44" s="193">
        <f t="shared" si="98"/>
        <v>1</v>
      </c>
      <c r="J44" s="170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>
        <v>1</v>
      </c>
      <c r="AB44" s="165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5"/>
      <c r="AO44" s="165"/>
      <c r="AP44" s="165"/>
      <c r="AQ44" s="165"/>
      <c r="AR44" s="165"/>
      <c r="AS44" s="165"/>
      <c r="AT44" s="165"/>
      <c r="AU44" s="165"/>
      <c r="AV44" s="165"/>
      <c r="AW44" s="165"/>
      <c r="AX44" s="165"/>
      <c r="AY44" s="165"/>
      <c r="AZ44" s="165"/>
      <c r="BA44" s="165"/>
      <c r="BB44" s="170"/>
      <c r="BC44" s="165"/>
      <c r="BD44" s="165"/>
      <c r="BE44" s="165"/>
      <c r="BF44" s="165"/>
      <c r="BG44" s="165"/>
      <c r="BH44" s="165"/>
      <c r="BI44" s="165"/>
      <c r="BJ44" s="165"/>
      <c r="BK44" s="165"/>
      <c r="BL44" s="165"/>
      <c r="BM44" s="165"/>
      <c r="BN44" s="165"/>
      <c r="BO44" s="165"/>
      <c r="BP44" s="165"/>
      <c r="BQ44" s="165"/>
      <c r="BR44" s="165"/>
      <c r="BS44" s="165"/>
      <c r="BT44" s="165"/>
      <c r="BU44" s="165"/>
      <c r="BV44" s="165"/>
      <c r="BW44" s="165"/>
      <c r="BX44" s="165"/>
      <c r="BY44" s="165"/>
      <c r="BZ44" s="165"/>
      <c r="CA44" s="165"/>
      <c r="CB44" s="165"/>
      <c r="CC44" s="165"/>
      <c r="CD44" s="165"/>
      <c r="CE44" s="165"/>
      <c r="CF44" s="165"/>
      <c r="CG44" s="165"/>
      <c r="CH44" s="165"/>
      <c r="CI44" s="170"/>
      <c r="CJ44" s="165"/>
      <c r="CK44" s="165"/>
      <c r="CL44" s="165"/>
      <c r="CM44" s="165"/>
      <c r="CN44" s="170"/>
      <c r="CO44" s="165"/>
      <c r="CP44" s="165"/>
      <c r="CQ44" s="165"/>
    </row>
    <row r="45" spans="2:95" ht="13.8" outlineLevel="3" x14ac:dyDescent="0.25">
      <c r="B45" s="156" t="str">
        <f>Table1[[#Headers],[Especificação]]</f>
        <v>Especificação</v>
      </c>
      <c r="C45" s="184" t="str">
        <f t="shared" si="99"/>
        <v>PROTECTION_PRMRY_ENRGY_DMND_NN_RNWBL</v>
      </c>
      <c r="D45" s="153" t="s">
        <v>1114</v>
      </c>
      <c r="E45" s="153" t="s">
        <v>1521</v>
      </c>
      <c r="G45" s="172">
        <f>INDEX(Table1[[Especificação]:[Total Testes]],MATCH(PlanoV1.0!C45,Table1[CONCAT],0),MATCH(PlanoV1.0!B45,Table1[[#Headers],[Especificação]:[Total Testes]],0))</f>
        <v>10</v>
      </c>
      <c r="H45" s="191">
        <f t="shared" si="97"/>
        <v>1.3</v>
      </c>
      <c r="I45" s="193">
        <f t="shared" si="98"/>
        <v>0</v>
      </c>
      <c r="J45" s="170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>
        <v>1.3</v>
      </c>
      <c r="AC45" s="165"/>
      <c r="AD45" s="165"/>
      <c r="AE45" s="165"/>
      <c r="AF45" s="165"/>
      <c r="AG45" s="165"/>
      <c r="AH45" s="165"/>
      <c r="AI45" s="165"/>
      <c r="AJ45" s="165"/>
      <c r="AK45" s="165"/>
      <c r="AL45" s="165"/>
      <c r="AM45" s="165"/>
      <c r="AN45" s="165"/>
      <c r="AO45" s="165"/>
      <c r="AP45" s="165"/>
      <c r="AQ45" s="165"/>
      <c r="AR45" s="165"/>
      <c r="AS45" s="165"/>
      <c r="AT45" s="165"/>
      <c r="AU45" s="165"/>
      <c r="AV45" s="165"/>
      <c r="AW45" s="165"/>
      <c r="AX45" s="165"/>
      <c r="AY45" s="165"/>
      <c r="AZ45" s="165"/>
      <c r="BA45" s="165"/>
      <c r="BB45" s="170"/>
      <c r="BC45" s="165"/>
      <c r="BD45" s="165"/>
      <c r="BE45" s="165"/>
      <c r="BF45" s="165"/>
      <c r="BG45" s="165"/>
      <c r="BH45" s="165"/>
      <c r="BI45" s="165"/>
      <c r="BJ45" s="165"/>
      <c r="BK45" s="165"/>
      <c r="BL45" s="165"/>
      <c r="BM45" s="165"/>
      <c r="BN45" s="165"/>
      <c r="BO45" s="165"/>
      <c r="BP45" s="165"/>
      <c r="BQ45" s="165"/>
      <c r="BR45" s="165"/>
      <c r="BS45" s="165"/>
      <c r="BT45" s="165"/>
      <c r="BU45" s="165"/>
      <c r="BV45" s="165"/>
      <c r="BW45" s="165"/>
      <c r="BX45" s="165"/>
      <c r="BY45" s="165"/>
      <c r="BZ45" s="165"/>
      <c r="CA45" s="165"/>
      <c r="CB45" s="165"/>
      <c r="CC45" s="165"/>
      <c r="CD45" s="165"/>
      <c r="CE45" s="165"/>
      <c r="CF45" s="165"/>
      <c r="CG45" s="165"/>
      <c r="CH45" s="165"/>
      <c r="CI45" s="170"/>
      <c r="CJ45" s="165"/>
      <c r="CK45" s="165"/>
      <c r="CL45" s="165"/>
      <c r="CM45" s="165"/>
      <c r="CN45" s="170"/>
      <c r="CO45" s="165"/>
      <c r="CP45" s="165"/>
      <c r="CQ45" s="165"/>
    </row>
    <row r="46" spans="2:95" ht="13.8" outlineLevel="3" x14ac:dyDescent="0.25">
      <c r="B46" s="156" t="str">
        <f>Table1[[#Headers],[Especificação]]</f>
        <v>Especificação</v>
      </c>
      <c r="C46" s="184" t="str">
        <f t="shared" si="99"/>
        <v>PROTECTION_PRMRY_ENRGY_DMND_TTL</v>
      </c>
      <c r="D46" s="153" t="s">
        <v>1114</v>
      </c>
      <c r="E46" s="153" t="s">
        <v>1524</v>
      </c>
      <c r="G46" s="172">
        <f>INDEX(Table1[[Especificação]:[Total Testes]],MATCH(PlanoV1.0!C46,Table1[CONCAT],0),MATCH(PlanoV1.0!B46,Table1[[#Headers],[Especificação]:[Total Testes]],0))</f>
        <v>8</v>
      </c>
      <c r="H46" s="191">
        <f t="shared" si="97"/>
        <v>1</v>
      </c>
      <c r="I46" s="193">
        <f t="shared" si="98"/>
        <v>0</v>
      </c>
      <c r="J46" s="170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>
        <v>1</v>
      </c>
      <c r="AB46" s="165"/>
      <c r="AC46" s="165"/>
      <c r="AD46" s="165"/>
      <c r="AE46" s="165"/>
      <c r="AF46" s="165"/>
      <c r="AG46" s="165"/>
      <c r="AH46" s="165"/>
      <c r="AI46" s="165"/>
      <c r="AJ46" s="165"/>
      <c r="AK46" s="165"/>
      <c r="AL46" s="165"/>
      <c r="AM46" s="165"/>
      <c r="AN46" s="165"/>
      <c r="AO46" s="165"/>
      <c r="AP46" s="165"/>
      <c r="AQ46" s="165"/>
      <c r="AR46" s="165"/>
      <c r="AS46" s="165"/>
      <c r="AT46" s="165"/>
      <c r="AU46" s="165"/>
      <c r="AV46" s="165"/>
      <c r="AW46" s="165"/>
      <c r="AX46" s="165"/>
      <c r="AY46" s="165"/>
      <c r="AZ46" s="165"/>
      <c r="BA46" s="165"/>
      <c r="BB46" s="170"/>
      <c r="BC46" s="165"/>
      <c r="BD46" s="165"/>
      <c r="BE46" s="165"/>
      <c r="BF46" s="165"/>
      <c r="BG46" s="165"/>
      <c r="BH46" s="165"/>
      <c r="BI46" s="165"/>
      <c r="BJ46" s="165"/>
      <c r="BK46" s="165"/>
      <c r="BL46" s="165"/>
      <c r="BM46" s="165"/>
      <c r="BN46" s="165"/>
      <c r="BO46" s="165"/>
      <c r="BP46" s="165"/>
      <c r="BQ46" s="165"/>
      <c r="BR46" s="165"/>
      <c r="BS46" s="165"/>
      <c r="BT46" s="165"/>
      <c r="BU46" s="165"/>
      <c r="BV46" s="165"/>
      <c r="BW46" s="165"/>
      <c r="BX46" s="165"/>
      <c r="BY46" s="165"/>
      <c r="BZ46" s="165"/>
      <c r="CA46" s="165"/>
      <c r="CB46" s="165"/>
      <c r="CC46" s="165"/>
      <c r="CD46" s="165"/>
      <c r="CE46" s="165"/>
      <c r="CF46" s="165"/>
      <c r="CG46" s="165"/>
      <c r="CH46" s="165"/>
      <c r="CI46" s="170"/>
      <c r="CJ46" s="165"/>
      <c r="CK46" s="165"/>
      <c r="CL46" s="165"/>
      <c r="CM46" s="165"/>
      <c r="CN46" s="170"/>
      <c r="CO46" s="165"/>
      <c r="CP46" s="165"/>
      <c r="CQ46" s="165"/>
    </row>
    <row r="47" spans="2:95" ht="13.8" outlineLevel="3" x14ac:dyDescent="0.25">
      <c r="B47" s="156" t="str">
        <f>Table1[[#Headers],[Especificação]]</f>
        <v>Especificação</v>
      </c>
      <c r="C47" s="184" t="str">
        <f t="shared" si="99"/>
        <v>PROTECTION_PRMRY_ENRGY_DMND_RFRNC_VL</v>
      </c>
      <c r="D47" s="153" t="s">
        <v>1114</v>
      </c>
      <c r="E47" s="153" t="s">
        <v>1527</v>
      </c>
      <c r="G47" s="172">
        <f>INDEX(Table1[[Especificação]:[Total Testes]],MATCH(PlanoV1.0!C47,Table1[CONCAT],0),MATCH(PlanoV1.0!B47,Table1[[#Headers],[Especificação]:[Total Testes]],0))</f>
        <v>8</v>
      </c>
      <c r="H47" s="191">
        <f t="shared" si="97"/>
        <v>1</v>
      </c>
      <c r="I47" s="193">
        <f t="shared" si="98"/>
        <v>0</v>
      </c>
      <c r="J47" s="170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65">
        <v>1</v>
      </c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5"/>
      <c r="AO47" s="165"/>
      <c r="AP47" s="165"/>
      <c r="AQ47" s="165"/>
      <c r="AR47" s="165"/>
      <c r="AS47" s="165"/>
      <c r="AT47" s="165"/>
      <c r="AU47" s="165"/>
      <c r="AV47" s="165"/>
      <c r="AW47" s="165"/>
      <c r="AX47" s="165"/>
      <c r="AY47" s="165"/>
      <c r="AZ47" s="165"/>
      <c r="BA47" s="165"/>
      <c r="BB47" s="170"/>
      <c r="BC47" s="165"/>
      <c r="BD47" s="165"/>
      <c r="BE47" s="165"/>
      <c r="BF47" s="165"/>
      <c r="BG47" s="165"/>
      <c r="BH47" s="165"/>
      <c r="BI47" s="165"/>
      <c r="BJ47" s="165"/>
      <c r="BK47" s="165"/>
      <c r="BL47" s="165"/>
      <c r="BM47" s="165"/>
      <c r="BN47" s="165"/>
      <c r="BO47" s="165"/>
      <c r="BP47" s="165"/>
      <c r="BQ47" s="165"/>
      <c r="BR47" s="165"/>
      <c r="BS47" s="165"/>
      <c r="BT47" s="165"/>
      <c r="BU47" s="165"/>
      <c r="BV47" s="165"/>
      <c r="BW47" s="165"/>
      <c r="BX47" s="165"/>
      <c r="BY47" s="165"/>
      <c r="BZ47" s="165"/>
      <c r="CA47" s="165"/>
      <c r="CB47" s="165"/>
      <c r="CC47" s="165"/>
      <c r="CD47" s="165"/>
      <c r="CE47" s="165"/>
      <c r="CF47" s="165"/>
      <c r="CG47" s="165"/>
      <c r="CH47" s="165"/>
      <c r="CI47" s="170"/>
      <c r="CJ47" s="165"/>
      <c r="CK47" s="165"/>
      <c r="CL47" s="165"/>
      <c r="CM47" s="165"/>
      <c r="CN47" s="170"/>
      <c r="CO47" s="165"/>
      <c r="CP47" s="165"/>
      <c r="CQ47" s="165"/>
    </row>
    <row r="48" spans="2:95" ht="13.8" outlineLevel="3" x14ac:dyDescent="0.25">
      <c r="B48" s="156" t="str">
        <f>Table1[[#Headers],[Especificação]]</f>
        <v>Especificação</v>
      </c>
      <c r="C48" s="184" t="str">
        <f t="shared" si="99"/>
        <v>PROTECTION_RL_ESTT_CLMT_ZN</v>
      </c>
      <c r="D48" s="153" t="s">
        <v>1114</v>
      </c>
      <c r="E48" s="153" t="s">
        <v>1530</v>
      </c>
      <c r="G48" s="172">
        <f>INDEX(Table1[[Especificação]:[Total Testes]],MATCH(PlanoV1.0!C48,Table1[CONCAT],0),MATCH(PlanoV1.0!B48,Table1[[#Headers],[Especificação]:[Total Testes]],0))</f>
        <v>8</v>
      </c>
      <c r="H48" s="191">
        <f t="shared" si="97"/>
        <v>1</v>
      </c>
      <c r="I48" s="193">
        <f t="shared" si="98"/>
        <v>0</v>
      </c>
      <c r="J48" s="170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  <c r="AC48" s="165">
        <v>0.9</v>
      </c>
      <c r="AD48" s="165">
        <v>0.1</v>
      </c>
      <c r="AE48" s="165"/>
      <c r="AF48" s="165"/>
      <c r="AG48" s="165"/>
      <c r="AH48" s="165"/>
      <c r="AI48" s="165"/>
      <c r="AJ48" s="165"/>
      <c r="AK48" s="165"/>
      <c r="AL48" s="165"/>
      <c r="AM48" s="165"/>
      <c r="AN48" s="165"/>
      <c r="AO48" s="165"/>
      <c r="AP48" s="165"/>
      <c r="AQ48" s="165"/>
      <c r="AR48" s="165"/>
      <c r="AS48" s="165"/>
      <c r="AT48" s="165"/>
      <c r="AU48" s="165"/>
      <c r="AV48" s="165"/>
      <c r="AW48" s="165"/>
      <c r="AX48" s="165"/>
      <c r="AY48" s="165"/>
      <c r="AZ48" s="165"/>
      <c r="BA48" s="165"/>
      <c r="BB48" s="170"/>
      <c r="BC48" s="165"/>
      <c r="BD48" s="165"/>
      <c r="BE48" s="165"/>
      <c r="BF48" s="165"/>
      <c r="BG48" s="165"/>
      <c r="BH48" s="165"/>
      <c r="BI48" s="165"/>
      <c r="BJ48" s="165"/>
      <c r="BK48" s="165"/>
      <c r="BL48" s="165"/>
      <c r="BM48" s="165"/>
      <c r="BN48" s="165"/>
      <c r="BO48" s="165"/>
      <c r="BP48" s="165"/>
      <c r="BQ48" s="165"/>
      <c r="BR48" s="165"/>
      <c r="BS48" s="165"/>
      <c r="BT48" s="165"/>
      <c r="BU48" s="165"/>
      <c r="BV48" s="165"/>
      <c r="BW48" s="165"/>
      <c r="BX48" s="165"/>
      <c r="BY48" s="165"/>
      <c r="BZ48" s="165"/>
      <c r="CA48" s="165"/>
      <c r="CB48" s="165"/>
      <c r="CC48" s="165"/>
      <c r="CD48" s="165"/>
      <c r="CE48" s="165"/>
      <c r="CF48" s="165"/>
      <c r="CG48" s="165"/>
      <c r="CH48" s="165"/>
      <c r="CI48" s="170"/>
      <c r="CJ48" s="165"/>
      <c r="CK48" s="165"/>
      <c r="CL48" s="165"/>
      <c r="CM48" s="165"/>
      <c r="CN48" s="170"/>
      <c r="CO48" s="165"/>
      <c r="CP48" s="165"/>
      <c r="CQ48" s="165"/>
    </row>
    <row r="49" spans="2:95" ht="13.8" outlineLevel="3" x14ac:dyDescent="0.25">
      <c r="B49" s="156" t="str">
        <f>Table1[[#Headers],[Especificação]]</f>
        <v>Especificação</v>
      </c>
      <c r="C49" s="184" t="str">
        <f t="shared" si="99"/>
        <v>INSTR_ACTIVITY_COD_SOC</v>
      </c>
      <c r="D49" s="153" t="s">
        <v>1542</v>
      </c>
      <c r="E49" s="153" t="s">
        <v>12</v>
      </c>
      <c r="G49" s="172">
        <f>INDEX(Table1[[Especificação]:[Total Testes]],MATCH(PlanoV1.0!C49,Table1[CONCAT],0),MATCH(PlanoV1.0!B49,Table1[[#Headers],[Especificação]:[Total Testes]],0))</f>
        <v>1</v>
      </c>
      <c r="H49" s="191">
        <f t="shared" si="97"/>
        <v>0.2</v>
      </c>
      <c r="I49" s="193">
        <f t="shared" si="98"/>
        <v>9.9999999999999978E-2</v>
      </c>
      <c r="J49" s="170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>
        <v>0.3</v>
      </c>
      <c r="AC49" s="165"/>
      <c r="AD49" s="165"/>
      <c r="AE49" s="165"/>
      <c r="AF49" s="165"/>
      <c r="AG49" s="165"/>
      <c r="AH49" s="165"/>
      <c r="AI49" s="165"/>
      <c r="AJ49" s="165"/>
      <c r="AK49" s="165"/>
      <c r="AL49" s="165"/>
      <c r="AM49" s="165"/>
      <c r="AN49" s="165"/>
      <c r="AO49" s="165"/>
      <c r="AP49" s="165"/>
      <c r="AQ49" s="165"/>
      <c r="AR49" s="165"/>
      <c r="AS49" s="165"/>
      <c r="AT49" s="165"/>
      <c r="AU49" s="165"/>
      <c r="AV49" s="165"/>
      <c r="AW49" s="165"/>
      <c r="AX49" s="165"/>
      <c r="AY49" s="165"/>
      <c r="AZ49" s="165"/>
      <c r="BA49" s="165"/>
      <c r="BB49" s="170"/>
      <c r="BC49" s="165"/>
      <c r="BD49" s="165"/>
      <c r="BE49" s="165"/>
      <c r="BF49" s="165"/>
      <c r="BG49" s="165"/>
      <c r="BH49" s="165"/>
      <c r="BI49" s="165"/>
      <c r="BJ49" s="165"/>
      <c r="BK49" s="165"/>
      <c r="BL49" s="165"/>
      <c r="BM49" s="165"/>
      <c r="BN49" s="165"/>
      <c r="BO49" s="165"/>
      <c r="BP49" s="165"/>
      <c r="BQ49" s="165"/>
      <c r="BR49" s="165"/>
      <c r="BS49" s="165"/>
      <c r="BT49" s="165"/>
      <c r="BU49" s="165"/>
      <c r="BV49" s="165"/>
      <c r="BW49" s="165"/>
      <c r="BX49" s="165"/>
      <c r="BY49" s="165"/>
      <c r="BZ49" s="165"/>
      <c r="CA49" s="165"/>
      <c r="CB49" s="165"/>
      <c r="CC49" s="165"/>
      <c r="CD49" s="165"/>
      <c r="CE49" s="165"/>
      <c r="CF49" s="165"/>
      <c r="CG49" s="165"/>
      <c r="CH49" s="165"/>
      <c r="CI49" s="170"/>
      <c r="CJ49" s="165"/>
      <c r="CK49" s="165"/>
      <c r="CL49" s="165"/>
      <c r="CM49" s="165"/>
      <c r="CN49" s="170"/>
      <c r="CO49" s="165"/>
      <c r="CP49" s="165"/>
      <c r="CQ49" s="165"/>
    </row>
    <row r="50" spans="2:95" ht="13.8" outlineLevel="3" x14ac:dyDescent="0.25">
      <c r="B50" s="156" t="str">
        <f>Table1[[#Headers],[Especificação]]</f>
        <v>Especificação</v>
      </c>
      <c r="C50" s="184" t="str">
        <f t="shared" si="99"/>
        <v>INSTR_ACTIVITY_DT_RFRNC</v>
      </c>
      <c r="D50" s="153" t="s">
        <v>1542</v>
      </c>
      <c r="E50" s="153" t="s">
        <v>38</v>
      </c>
      <c r="G50" s="172">
        <f>INDEX(Table1[[Especificação]:[Total Testes]],MATCH(PlanoV1.0!C50,Table1[CONCAT],0),MATCH(PlanoV1.0!B50,Table1[[#Headers],[Especificação]:[Total Testes]],0))</f>
        <v>1</v>
      </c>
      <c r="H50" s="191">
        <f t="shared" si="97"/>
        <v>0.2</v>
      </c>
      <c r="I50" s="193">
        <f t="shared" si="98"/>
        <v>0</v>
      </c>
      <c r="J50" s="170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>
        <v>0.2</v>
      </c>
      <c r="Z50" s="165"/>
      <c r="AA50" s="165"/>
      <c r="AB50" s="165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5"/>
      <c r="AO50" s="165"/>
      <c r="AP50" s="165"/>
      <c r="AQ50" s="165"/>
      <c r="AR50" s="165"/>
      <c r="AS50" s="165"/>
      <c r="AT50" s="165"/>
      <c r="AU50" s="165"/>
      <c r="AV50" s="165"/>
      <c r="AW50" s="165"/>
      <c r="AX50" s="165"/>
      <c r="AY50" s="165"/>
      <c r="AZ50" s="165"/>
      <c r="BA50" s="165"/>
      <c r="BB50" s="170"/>
      <c r="BC50" s="165"/>
      <c r="BD50" s="165"/>
      <c r="BE50" s="165"/>
      <c r="BF50" s="165"/>
      <c r="BG50" s="165"/>
      <c r="BH50" s="165"/>
      <c r="BI50" s="165"/>
      <c r="BJ50" s="165"/>
      <c r="BK50" s="165"/>
      <c r="BL50" s="165"/>
      <c r="BM50" s="165"/>
      <c r="BN50" s="165"/>
      <c r="BO50" s="165"/>
      <c r="BP50" s="165"/>
      <c r="BQ50" s="165"/>
      <c r="BR50" s="165"/>
      <c r="BS50" s="165"/>
      <c r="BT50" s="165"/>
      <c r="BU50" s="165"/>
      <c r="BV50" s="165"/>
      <c r="BW50" s="165"/>
      <c r="BX50" s="165"/>
      <c r="BY50" s="165"/>
      <c r="BZ50" s="165"/>
      <c r="CA50" s="165"/>
      <c r="CB50" s="165"/>
      <c r="CC50" s="165"/>
      <c r="CD50" s="165"/>
      <c r="CE50" s="165"/>
      <c r="CF50" s="165"/>
      <c r="CG50" s="165"/>
      <c r="CH50" s="165"/>
      <c r="CI50" s="170"/>
      <c r="CJ50" s="165"/>
      <c r="CK50" s="165"/>
      <c r="CL50" s="165"/>
      <c r="CM50" s="165"/>
      <c r="CN50" s="170"/>
      <c r="CO50" s="165"/>
      <c r="CP50" s="165"/>
      <c r="CQ50" s="165"/>
    </row>
    <row r="51" spans="2:95" ht="13.8" outlineLevel="3" x14ac:dyDescent="0.25">
      <c r="B51" s="156" t="str">
        <f>Table1[[#Headers],[Especificação]]</f>
        <v>Especificação</v>
      </c>
      <c r="C51" s="184" t="str">
        <f t="shared" si="99"/>
        <v>INSTR_ACTIVITY_INSTRMNT_ID</v>
      </c>
      <c r="D51" s="153" t="s">
        <v>1542</v>
      </c>
      <c r="E51" s="153" t="s">
        <v>405</v>
      </c>
      <c r="G51" s="172">
        <f>INDEX(Table1[[Especificação]:[Total Testes]],MATCH(PlanoV1.0!C51,Table1[CONCAT],0),MATCH(PlanoV1.0!B51,Table1[[#Headers],[Especificação]:[Total Testes]],0))</f>
        <v>1</v>
      </c>
      <c r="H51" s="191">
        <f t="shared" si="97"/>
        <v>0.2</v>
      </c>
      <c r="I51" s="193">
        <f t="shared" si="98"/>
        <v>9.9999999999999978E-2</v>
      </c>
      <c r="J51" s="170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>
        <v>0.3</v>
      </c>
      <c r="AE51" s="165"/>
      <c r="AF51" s="165"/>
      <c r="AG51" s="165"/>
      <c r="AH51" s="165"/>
      <c r="AI51" s="165"/>
      <c r="AJ51" s="165"/>
      <c r="AK51" s="165"/>
      <c r="AL51" s="165"/>
      <c r="AM51" s="165"/>
      <c r="AN51" s="165"/>
      <c r="AO51" s="165"/>
      <c r="AP51" s="165"/>
      <c r="AQ51" s="165"/>
      <c r="AR51" s="165"/>
      <c r="AS51" s="165"/>
      <c r="AT51" s="165"/>
      <c r="AU51" s="165"/>
      <c r="AV51" s="165"/>
      <c r="AW51" s="165"/>
      <c r="AX51" s="165"/>
      <c r="AY51" s="165"/>
      <c r="AZ51" s="165"/>
      <c r="BA51" s="165"/>
      <c r="BB51" s="170"/>
      <c r="BC51" s="165"/>
      <c r="BD51" s="165"/>
      <c r="BE51" s="165"/>
      <c r="BF51" s="165"/>
      <c r="BG51" s="165"/>
      <c r="BH51" s="165"/>
      <c r="BI51" s="165"/>
      <c r="BJ51" s="165"/>
      <c r="BK51" s="165"/>
      <c r="BL51" s="165"/>
      <c r="BM51" s="165"/>
      <c r="BN51" s="165"/>
      <c r="BO51" s="165"/>
      <c r="BP51" s="165"/>
      <c r="BQ51" s="165"/>
      <c r="BR51" s="165"/>
      <c r="BS51" s="165"/>
      <c r="BT51" s="165"/>
      <c r="BU51" s="165"/>
      <c r="BV51" s="165"/>
      <c r="BW51" s="165"/>
      <c r="BX51" s="165"/>
      <c r="BY51" s="165"/>
      <c r="BZ51" s="165"/>
      <c r="CA51" s="165"/>
      <c r="CB51" s="165"/>
      <c r="CC51" s="165"/>
      <c r="CD51" s="165"/>
      <c r="CE51" s="165"/>
      <c r="CF51" s="165"/>
      <c r="CG51" s="165"/>
      <c r="CH51" s="165"/>
      <c r="CI51" s="170"/>
      <c r="CJ51" s="165"/>
      <c r="CK51" s="165"/>
      <c r="CL51" s="165"/>
      <c r="CM51" s="165"/>
      <c r="CN51" s="170"/>
      <c r="CO51" s="165"/>
      <c r="CP51" s="165"/>
      <c r="CQ51" s="165"/>
    </row>
    <row r="52" spans="2:95" ht="14.85" customHeight="1" outlineLevel="3" x14ac:dyDescent="0.25">
      <c r="B52" s="156" t="str">
        <f>Table1[[#Headers],[Especificação]]</f>
        <v>Especificação</v>
      </c>
      <c r="C52" s="184" t="str">
        <f t="shared" si="95"/>
        <v>INSTR_ACTIVITY_PRCNTG_ACTVTY</v>
      </c>
      <c r="D52" s="153" t="s">
        <v>1542</v>
      </c>
      <c r="E52" s="153" t="s">
        <v>1548</v>
      </c>
      <c r="G52" s="172">
        <f>INDEX(Table1[[Especificação]:[Total Testes]],MATCH(PlanoV1.0!C52,Table1[CONCAT],0),MATCH(PlanoV1.0!B52,Table1[[#Headers],[Especificação]:[Total Testes]],0))</f>
        <v>4</v>
      </c>
      <c r="H52" s="191">
        <f t="shared" si="97"/>
        <v>0.5</v>
      </c>
      <c r="I52" s="193">
        <f t="shared" si="98"/>
        <v>0</v>
      </c>
      <c r="J52" s="170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>
        <v>0.4</v>
      </c>
      <c r="AC52" s="165">
        <v>0.1</v>
      </c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5"/>
      <c r="AP52" s="165"/>
      <c r="AQ52" s="165"/>
      <c r="AR52" s="165"/>
      <c r="AS52" s="165"/>
      <c r="AT52" s="165"/>
      <c r="AU52" s="165"/>
      <c r="AV52" s="165"/>
      <c r="AW52" s="165"/>
      <c r="AX52" s="165"/>
      <c r="AY52" s="165"/>
      <c r="AZ52" s="165"/>
      <c r="BA52" s="165"/>
      <c r="BB52" s="170"/>
      <c r="BC52" s="165"/>
      <c r="BD52" s="165"/>
      <c r="BE52" s="165"/>
      <c r="BF52" s="165"/>
      <c r="BG52" s="165"/>
      <c r="BH52" s="165"/>
      <c r="BI52" s="165"/>
      <c r="BJ52" s="165"/>
      <c r="BK52" s="165"/>
      <c r="BL52" s="165"/>
      <c r="BM52" s="165"/>
      <c r="BN52" s="165"/>
      <c r="BO52" s="165"/>
      <c r="BP52" s="165"/>
      <c r="BQ52" s="165"/>
      <c r="BR52" s="165"/>
      <c r="BS52" s="165"/>
      <c r="BT52" s="165"/>
      <c r="BU52" s="165"/>
      <c r="BV52" s="165"/>
      <c r="BW52" s="165"/>
      <c r="BX52" s="165"/>
      <c r="BY52" s="165"/>
      <c r="BZ52" s="165"/>
      <c r="CA52" s="165"/>
      <c r="CB52" s="165"/>
      <c r="CC52" s="165"/>
      <c r="CD52" s="165"/>
      <c r="CE52" s="165"/>
      <c r="CF52" s="165"/>
      <c r="CG52" s="165"/>
      <c r="CH52" s="165"/>
      <c r="CI52" s="170"/>
      <c r="CJ52" s="165"/>
      <c r="CK52" s="165"/>
      <c r="CL52" s="165"/>
      <c r="CM52" s="165"/>
      <c r="CN52" s="170"/>
      <c r="CO52" s="165"/>
      <c r="CP52" s="165"/>
      <c r="CQ52" s="165"/>
    </row>
    <row r="53" spans="2:95" ht="14.85" customHeight="1" outlineLevel="3" x14ac:dyDescent="0.25">
      <c r="B53" s="156" t="str">
        <f>Table1[[#Headers],[Especificação]]</f>
        <v>Especificação</v>
      </c>
      <c r="C53" s="184" t="str">
        <f t="shared" si="95"/>
        <v>INSTR_ACTIVITY_FLG_SBSTNTL_CNTRBTN</v>
      </c>
      <c r="D53" s="153" t="s">
        <v>1542</v>
      </c>
      <c r="E53" s="153" t="s">
        <v>1554</v>
      </c>
      <c r="G53" s="172">
        <f>INDEX(Table1[[Especificação]:[Total Testes]],MATCH(PlanoV1.0!C53,Table1[CONCAT],0),MATCH(PlanoV1.0!B53,Table1[[#Headers],[Especificação]:[Total Testes]],0))</f>
        <v>4</v>
      </c>
      <c r="H53" s="191">
        <f t="shared" si="97"/>
        <v>0.5</v>
      </c>
      <c r="I53" s="193">
        <f t="shared" si="98"/>
        <v>0</v>
      </c>
      <c r="J53" s="170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  <c r="AD53" s="165">
        <v>0.5</v>
      </c>
      <c r="AE53" s="165"/>
      <c r="AF53" s="165"/>
      <c r="AG53" s="165"/>
      <c r="AH53" s="165"/>
      <c r="AI53" s="165"/>
      <c r="AJ53" s="165"/>
      <c r="AK53" s="165"/>
      <c r="AL53" s="165"/>
      <c r="AM53" s="165"/>
      <c r="AN53" s="165"/>
      <c r="AO53" s="165"/>
      <c r="AP53" s="165"/>
      <c r="AQ53" s="165"/>
      <c r="AR53" s="165"/>
      <c r="AS53" s="165"/>
      <c r="AT53" s="165"/>
      <c r="AU53" s="165"/>
      <c r="AV53" s="165"/>
      <c r="AW53" s="165"/>
      <c r="AX53" s="165"/>
      <c r="AY53" s="165"/>
      <c r="AZ53" s="165"/>
      <c r="BA53" s="165"/>
      <c r="BB53" s="170"/>
      <c r="BC53" s="165"/>
      <c r="BD53" s="165"/>
      <c r="BE53" s="165"/>
      <c r="BF53" s="165"/>
      <c r="BG53" s="165"/>
      <c r="BH53" s="165"/>
      <c r="BI53" s="165"/>
      <c r="BJ53" s="165"/>
      <c r="BK53" s="165"/>
      <c r="BL53" s="165"/>
      <c r="BM53" s="165"/>
      <c r="BN53" s="165"/>
      <c r="BO53" s="165"/>
      <c r="BP53" s="165"/>
      <c r="BQ53" s="165"/>
      <c r="BR53" s="165"/>
      <c r="BS53" s="165"/>
      <c r="BT53" s="165"/>
      <c r="BU53" s="165"/>
      <c r="BV53" s="165"/>
      <c r="BW53" s="165"/>
      <c r="BX53" s="165"/>
      <c r="BY53" s="165"/>
      <c r="BZ53" s="165"/>
      <c r="CA53" s="165"/>
      <c r="CB53" s="165"/>
      <c r="CC53" s="165"/>
      <c r="CD53" s="165"/>
      <c r="CE53" s="165"/>
      <c r="CF53" s="165"/>
      <c r="CG53" s="165"/>
      <c r="CH53" s="165"/>
      <c r="CI53" s="170"/>
      <c r="CJ53" s="165"/>
      <c r="CK53" s="165"/>
      <c r="CL53" s="165"/>
      <c r="CM53" s="165"/>
      <c r="CN53" s="170"/>
      <c r="CO53" s="165"/>
      <c r="CP53" s="165"/>
      <c r="CQ53" s="165"/>
    </row>
    <row r="54" spans="2:95" ht="14.85" customHeight="1" outlineLevel="3" x14ac:dyDescent="0.25">
      <c r="B54" s="156" t="str">
        <f>Table1[[#Headers],[Especificação]]</f>
        <v>Especificação</v>
      </c>
      <c r="C54" s="184" t="str">
        <f t="shared" si="95"/>
        <v>INSTR_ACTIVITY_FLG_DNSH_CMPLNC</v>
      </c>
      <c r="D54" s="153" t="s">
        <v>1542</v>
      </c>
      <c r="E54" s="153" t="s">
        <v>1557</v>
      </c>
      <c r="G54" s="172">
        <f>INDEX(Table1[[Especificação]:[Total Testes]],MATCH(PlanoV1.0!C54,Table1[CONCAT],0),MATCH(PlanoV1.0!B54,Table1[[#Headers],[Especificação]:[Total Testes]],0))</f>
        <v>0</v>
      </c>
      <c r="H54" s="191">
        <f t="shared" si="97"/>
        <v>0</v>
      </c>
      <c r="I54" s="193">
        <f t="shared" si="98"/>
        <v>1.3</v>
      </c>
      <c r="J54" s="170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65"/>
      <c r="AD54" s="165">
        <v>0.1</v>
      </c>
      <c r="AE54" s="165">
        <v>1.2</v>
      </c>
      <c r="AF54" s="165"/>
      <c r="AG54" s="165"/>
      <c r="AH54" s="165"/>
      <c r="AI54" s="165"/>
      <c r="AJ54" s="165"/>
      <c r="AK54" s="165"/>
      <c r="AL54" s="165"/>
      <c r="AM54" s="165"/>
      <c r="AN54" s="165"/>
      <c r="AO54" s="165"/>
      <c r="AP54" s="165"/>
      <c r="AQ54" s="165"/>
      <c r="AR54" s="165"/>
      <c r="AS54" s="165"/>
      <c r="AT54" s="165"/>
      <c r="AU54" s="165"/>
      <c r="AV54" s="165"/>
      <c r="AW54" s="165"/>
      <c r="AX54" s="165"/>
      <c r="AY54" s="165"/>
      <c r="AZ54" s="165"/>
      <c r="BA54" s="165"/>
      <c r="BB54" s="170"/>
      <c r="BC54" s="165"/>
      <c r="BD54" s="165"/>
      <c r="BE54" s="165"/>
      <c r="BF54" s="165"/>
      <c r="BG54" s="165"/>
      <c r="BH54" s="165"/>
      <c r="BI54" s="165"/>
      <c r="BJ54" s="165"/>
      <c r="BK54" s="165"/>
      <c r="BL54" s="165"/>
      <c r="BM54" s="165"/>
      <c r="BN54" s="165"/>
      <c r="BO54" s="165"/>
      <c r="BP54" s="165"/>
      <c r="BQ54" s="165"/>
      <c r="BR54" s="165"/>
      <c r="BS54" s="165"/>
      <c r="BT54" s="165"/>
      <c r="BU54" s="165"/>
      <c r="BV54" s="165"/>
      <c r="BW54" s="165"/>
      <c r="BX54" s="165"/>
      <c r="BY54" s="165"/>
      <c r="BZ54" s="165"/>
      <c r="CA54" s="165"/>
      <c r="CB54" s="165"/>
      <c r="CC54" s="165"/>
      <c r="CD54" s="165"/>
      <c r="CE54" s="165"/>
      <c r="CF54" s="165"/>
      <c r="CG54" s="165"/>
      <c r="CH54" s="165"/>
      <c r="CI54" s="170"/>
      <c r="CJ54" s="165"/>
      <c r="CK54" s="165"/>
      <c r="CL54" s="165"/>
      <c r="CM54" s="165"/>
      <c r="CN54" s="170"/>
      <c r="CO54" s="165"/>
      <c r="CP54" s="165"/>
      <c r="CQ54" s="165"/>
    </row>
    <row r="55" spans="2:95" ht="14.85" customHeight="1" outlineLevel="3" x14ac:dyDescent="0.25">
      <c r="B55" s="156" t="str">
        <f>Table1[[#Headers],[Especificação]]</f>
        <v>Especificação</v>
      </c>
      <c r="C55" s="184" t="str">
        <f t="shared" si="95"/>
        <v>INSTR_ACTIVITY_DNSH_DTL</v>
      </c>
      <c r="D55" s="153" t="s">
        <v>1542</v>
      </c>
      <c r="E55" s="153" t="s">
        <v>1560</v>
      </c>
      <c r="G55" s="172">
        <f>INDEX(Table1[[Especificação]:[Total Testes]],MATCH(PlanoV1.0!C55,Table1[CONCAT],0),MATCH(PlanoV1.0!B55,Table1[[#Headers],[Especificação]:[Total Testes]],0))</f>
        <v>0</v>
      </c>
      <c r="H55" s="191">
        <f t="shared" si="97"/>
        <v>0</v>
      </c>
      <c r="I55" s="193">
        <f t="shared" si="98"/>
        <v>1</v>
      </c>
      <c r="J55" s="170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5"/>
      <c r="AD55" s="165">
        <v>1</v>
      </c>
      <c r="AE55" s="165"/>
      <c r="AF55" s="165"/>
      <c r="AG55" s="165"/>
      <c r="AH55" s="165"/>
      <c r="AI55" s="165"/>
      <c r="AJ55" s="165"/>
      <c r="AK55" s="165"/>
      <c r="AL55" s="165"/>
      <c r="AM55" s="165"/>
      <c r="AN55" s="165"/>
      <c r="AO55" s="165"/>
      <c r="AP55" s="165"/>
      <c r="AQ55" s="165"/>
      <c r="AR55" s="165"/>
      <c r="AS55" s="165"/>
      <c r="AT55" s="165"/>
      <c r="AU55" s="165"/>
      <c r="AV55" s="165"/>
      <c r="AW55" s="165"/>
      <c r="AX55" s="165"/>
      <c r="AY55" s="165"/>
      <c r="AZ55" s="165"/>
      <c r="BA55" s="165"/>
      <c r="BB55" s="170"/>
      <c r="BC55" s="165"/>
      <c r="BD55" s="165"/>
      <c r="BE55" s="165"/>
      <c r="BF55" s="165"/>
      <c r="BG55" s="165"/>
      <c r="BH55" s="165"/>
      <c r="BI55" s="165"/>
      <c r="BJ55" s="165"/>
      <c r="BK55" s="165"/>
      <c r="BL55" s="165"/>
      <c r="BM55" s="165"/>
      <c r="BN55" s="165"/>
      <c r="BO55" s="165"/>
      <c r="BP55" s="165"/>
      <c r="BQ55" s="165"/>
      <c r="BR55" s="165"/>
      <c r="BS55" s="165"/>
      <c r="BT55" s="165"/>
      <c r="BU55" s="165"/>
      <c r="BV55" s="165"/>
      <c r="BW55" s="165"/>
      <c r="BX55" s="165"/>
      <c r="BY55" s="165"/>
      <c r="BZ55" s="165"/>
      <c r="CA55" s="165"/>
      <c r="CB55" s="165"/>
      <c r="CC55" s="165"/>
      <c r="CD55" s="165"/>
      <c r="CE55" s="165"/>
      <c r="CF55" s="165"/>
      <c r="CG55" s="165"/>
      <c r="CH55" s="165"/>
      <c r="CI55" s="170"/>
      <c r="CJ55" s="165"/>
      <c r="CK55" s="165"/>
      <c r="CL55" s="165"/>
      <c r="CM55" s="165"/>
      <c r="CN55" s="170"/>
      <c r="CO55" s="165"/>
      <c r="CP55" s="165"/>
      <c r="CQ55" s="165"/>
    </row>
    <row r="56" spans="2:95" ht="14.85" customHeight="1" outlineLevel="3" x14ac:dyDescent="0.25">
      <c r="B56" s="156" t="str">
        <f>Table1[[#Headers],[Especificação]]</f>
        <v>Especificação</v>
      </c>
      <c r="C56" s="184" t="str">
        <f t="shared" ref="C56:C65" si="100">D56&amp;"_"&amp;E56</f>
        <v>INSTR_ACTIVITY_ENTTY_NM</v>
      </c>
      <c r="D56" s="153" t="s">
        <v>1542</v>
      </c>
      <c r="E56" s="153" t="s">
        <v>59</v>
      </c>
      <c r="G56" s="172">
        <v>2</v>
      </c>
      <c r="H56" s="191">
        <f t="shared" ref="H56:H65" si="101">ROUNDUP(G56/8,1)</f>
        <v>0.30000000000000004</v>
      </c>
      <c r="I56" s="193">
        <f t="shared" ref="I56:I65" si="102">SUM(J56:CQ56)-H56</f>
        <v>0</v>
      </c>
      <c r="J56" s="170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  <c r="AE56" s="165">
        <v>0.3</v>
      </c>
      <c r="AF56" s="165"/>
      <c r="AG56" s="165"/>
      <c r="AH56" s="165"/>
      <c r="AI56" s="165"/>
      <c r="AJ56" s="165"/>
      <c r="AK56" s="165"/>
      <c r="AL56" s="165"/>
      <c r="AM56" s="165"/>
      <c r="AN56" s="165"/>
      <c r="AO56" s="165"/>
      <c r="AP56" s="165"/>
      <c r="AQ56" s="165"/>
      <c r="AR56" s="165"/>
      <c r="AS56" s="165"/>
      <c r="AT56" s="165"/>
      <c r="AU56" s="165"/>
      <c r="AV56" s="165"/>
      <c r="AW56" s="165"/>
      <c r="AX56" s="165"/>
      <c r="AY56" s="165"/>
      <c r="AZ56" s="165"/>
      <c r="BA56" s="165"/>
      <c r="BB56" s="170"/>
      <c r="BC56" s="165"/>
      <c r="BD56" s="165"/>
      <c r="BE56" s="165"/>
      <c r="BF56" s="165"/>
      <c r="BG56" s="165"/>
      <c r="BH56" s="165"/>
      <c r="BI56" s="165"/>
      <c r="BJ56" s="165"/>
      <c r="BK56" s="165"/>
      <c r="BL56" s="165"/>
      <c r="BM56" s="165"/>
      <c r="BN56" s="165"/>
      <c r="BO56" s="165"/>
      <c r="BP56" s="165"/>
      <c r="BQ56" s="165"/>
      <c r="BR56" s="165"/>
      <c r="BS56" s="165"/>
      <c r="BT56" s="165"/>
      <c r="BU56" s="165"/>
      <c r="BV56" s="165"/>
      <c r="BW56" s="165"/>
      <c r="BX56" s="165"/>
      <c r="BY56" s="165"/>
      <c r="BZ56" s="165"/>
      <c r="CA56" s="165"/>
      <c r="CB56" s="165"/>
      <c r="CC56" s="165"/>
      <c r="CD56" s="165"/>
      <c r="CE56" s="165"/>
      <c r="CF56" s="165"/>
      <c r="CG56" s="165"/>
      <c r="CH56" s="165"/>
      <c r="CI56" s="170"/>
      <c r="CJ56" s="165"/>
      <c r="CK56" s="165"/>
      <c r="CL56" s="165"/>
      <c r="CM56" s="165"/>
      <c r="CN56" s="170"/>
      <c r="CO56" s="165"/>
      <c r="CP56" s="165"/>
      <c r="CQ56" s="165"/>
    </row>
    <row r="57" spans="2:95" ht="14.85" customHeight="1" outlineLevel="3" x14ac:dyDescent="0.25">
      <c r="B57" s="156" t="str">
        <f>Table1[[#Headers],[Especificação]]</f>
        <v>Especificação</v>
      </c>
      <c r="C57" s="184" t="str">
        <f t="shared" si="100"/>
        <v>INSTR_ACTIVITY_EC_GRP_NM</v>
      </c>
      <c r="D57" s="153" t="s">
        <v>1542</v>
      </c>
      <c r="E57" s="153" t="s">
        <v>284</v>
      </c>
      <c r="G57" s="172">
        <v>2</v>
      </c>
      <c r="H57" s="191">
        <f t="shared" si="101"/>
        <v>0.30000000000000004</v>
      </c>
      <c r="I57" s="193">
        <f t="shared" si="102"/>
        <v>0</v>
      </c>
      <c r="J57" s="170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65"/>
      <c r="AD57" s="165"/>
      <c r="AE57" s="165">
        <v>0.3</v>
      </c>
      <c r="AF57" s="165"/>
      <c r="AG57" s="165"/>
      <c r="AH57" s="165"/>
      <c r="AI57" s="165"/>
      <c r="AJ57" s="165"/>
      <c r="AK57" s="165"/>
      <c r="AL57" s="165"/>
      <c r="AM57" s="165"/>
      <c r="AN57" s="165"/>
      <c r="AO57" s="165"/>
      <c r="AP57" s="165"/>
      <c r="AQ57" s="165"/>
      <c r="AR57" s="165"/>
      <c r="AS57" s="165"/>
      <c r="AT57" s="165"/>
      <c r="AU57" s="165"/>
      <c r="AV57" s="165"/>
      <c r="AW57" s="165"/>
      <c r="AX57" s="165"/>
      <c r="AY57" s="165"/>
      <c r="AZ57" s="165"/>
      <c r="BA57" s="165"/>
      <c r="BB57" s="170"/>
      <c r="BC57" s="165"/>
      <c r="BD57" s="165"/>
      <c r="BE57" s="165"/>
      <c r="BF57" s="165"/>
      <c r="BG57" s="165"/>
      <c r="BH57" s="165"/>
      <c r="BI57" s="165"/>
      <c r="BJ57" s="165"/>
      <c r="BK57" s="165"/>
      <c r="BL57" s="165"/>
      <c r="BM57" s="165"/>
      <c r="BN57" s="165"/>
      <c r="BO57" s="165"/>
      <c r="BP57" s="165"/>
      <c r="BQ57" s="165"/>
      <c r="BR57" s="165"/>
      <c r="BS57" s="165"/>
      <c r="BT57" s="165"/>
      <c r="BU57" s="165"/>
      <c r="BV57" s="165"/>
      <c r="BW57" s="165"/>
      <c r="BX57" s="165"/>
      <c r="BY57" s="165"/>
      <c r="BZ57" s="165"/>
      <c r="CA57" s="165"/>
      <c r="CB57" s="165"/>
      <c r="CC57" s="165"/>
      <c r="CD57" s="165"/>
      <c r="CE57" s="165"/>
      <c r="CF57" s="165"/>
      <c r="CG57" s="165"/>
      <c r="CH57" s="165"/>
      <c r="CI57" s="170"/>
      <c r="CJ57" s="165"/>
      <c r="CK57" s="165"/>
      <c r="CL57" s="165"/>
      <c r="CM57" s="165"/>
      <c r="CN57" s="170"/>
      <c r="CO57" s="165"/>
      <c r="CP57" s="165"/>
      <c r="CQ57" s="165"/>
    </row>
    <row r="58" spans="2:95" ht="14.85" customHeight="1" outlineLevel="3" x14ac:dyDescent="0.25">
      <c r="B58" s="156" t="str">
        <f>Table1[[#Headers],[Especificação]]</f>
        <v>Especificação</v>
      </c>
      <c r="C58" s="184" t="str">
        <f t="shared" si="100"/>
        <v>INSTR_ACTIVITY_FRBRNC_STTS_INSTRMNT</v>
      </c>
      <c r="D58" s="153" t="s">
        <v>1542</v>
      </c>
      <c r="E58" s="153" t="s">
        <v>501</v>
      </c>
      <c r="G58" s="172">
        <v>1</v>
      </c>
      <c r="H58" s="191">
        <f t="shared" si="101"/>
        <v>0.2</v>
      </c>
      <c r="I58" s="193">
        <f t="shared" si="102"/>
        <v>0</v>
      </c>
      <c r="J58" s="170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>
        <v>0.2</v>
      </c>
      <c r="AF58" s="165"/>
      <c r="AG58" s="165"/>
      <c r="AH58" s="165"/>
      <c r="AI58" s="165"/>
      <c r="AJ58" s="165"/>
      <c r="AK58" s="165"/>
      <c r="AL58" s="165"/>
      <c r="AM58" s="165"/>
      <c r="AN58" s="165"/>
      <c r="AO58" s="165"/>
      <c r="AP58" s="165"/>
      <c r="AQ58" s="165"/>
      <c r="AR58" s="165"/>
      <c r="AS58" s="165"/>
      <c r="AT58" s="165"/>
      <c r="AU58" s="165"/>
      <c r="AV58" s="165"/>
      <c r="AW58" s="165"/>
      <c r="AX58" s="165"/>
      <c r="AY58" s="165"/>
      <c r="AZ58" s="165"/>
      <c r="BA58" s="165"/>
      <c r="BB58" s="170"/>
      <c r="BC58" s="165"/>
      <c r="BD58" s="165"/>
      <c r="BE58" s="165"/>
      <c r="BF58" s="165"/>
      <c r="BG58" s="165"/>
      <c r="BH58" s="165"/>
      <c r="BI58" s="165"/>
      <c r="BJ58" s="165"/>
      <c r="BK58" s="165"/>
      <c r="BL58" s="165"/>
      <c r="BM58" s="165"/>
      <c r="BN58" s="165"/>
      <c r="BO58" s="165"/>
      <c r="BP58" s="165"/>
      <c r="BQ58" s="165"/>
      <c r="BR58" s="165"/>
      <c r="BS58" s="165"/>
      <c r="BT58" s="165"/>
      <c r="BU58" s="165"/>
      <c r="BV58" s="165"/>
      <c r="BW58" s="165"/>
      <c r="BX58" s="165"/>
      <c r="BY58" s="165"/>
      <c r="BZ58" s="165"/>
      <c r="CA58" s="165"/>
      <c r="CB58" s="165"/>
      <c r="CC58" s="165"/>
      <c r="CD58" s="165"/>
      <c r="CE58" s="165"/>
      <c r="CF58" s="165"/>
      <c r="CG58" s="165"/>
      <c r="CH58" s="165"/>
      <c r="CI58" s="170"/>
      <c r="CJ58" s="165"/>
      <c r="CK58" s="165"/>
      <c r="CL58" s="165"/>
      <c r="CM58" s="165"/>
      <c r="CN58" s="170"/>
      <c r="CO58" s="165"/>
      <c r="CP58" s="165"/>
      <c r="CQ58" s="165"/>
    </row>
    <row r="59" spans="2:95" ht="14.85" customHeight="1" outlineLevel="3" x14ac:dyDescent="0.25">
      <c r="B59" s="156" t="str">
        <f>Table1[[#Headers],[Especificação]]</f>
        <v>Especificação</v>
      </c>
      <c r="C59" s="184" t="str">
        <f t="shared" si="100"/>
        <v>INSTR_ACTIVITY_IFRS9_BHVRL_MTRTY</v>
      </c>
      <c r="D59" s="153" t="s">
        <v>1542</v>
      </c>
      <c r="E59" s="153" t="s">
        <v>614</v>
      </c>
      <c r="G59" s="172">
        <v>1</v>
      </c>
      <c r="H59" s="191">
        <f t="shared" si="101"/>
        <v>0.2</v>
      </c>
      <c r="I59" s="193">
        <f t="shared" si="102"/>
        <v>0</v>
      </c>
      <c r="J59" s="170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>
        <v>0.2</v>
      </c>
      <c r="AF59" s="165"/>
      <c r="AG59" s="165"/>
      <c r="AH59" s="165"/>
      <c r="AI59" s="165"/>
      <c r="AJ59" s="165"/>
      <c r="AK59" s="165"/>
      <c r="AL59" s="165"/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65"/>
      <c r="AZ59" s="165"/>
      <c r="BA59" s="165"/>
      <c r="BB59" s="170"/>
      <c r="BC59" s="165"/>
      <c r="BD59" s="165"/>
      <c r="BE59" s="165"/>
      <c r="BF59" s="165"/>
      <c r="BG59" s="165"/>
      <c r="BH59" s="165"/>
      <c r="BI59" s="165"/>
      <c r="BJ59" s="165"/>
      <c r="BK59" s="165"/>
      <c r="BL59" s="165"/>
      <c r="BM59" s="165"/>
      <c r="BN59" s="165"/>
      <c r="BO59" s="165"/>
      <c r="BP59" s="165"/>
      <c r="BQ59" s="165"/>
      <c r="BR59" s="165"/>
      <c r="BS59" s="165"/>
      <c r="BT59" s="165"/>
      <c r="BU59" s="165"/>
      <c r="BV59" s="165"/>
      <c r="BW59" s="165"/>
      <c r="BX59" s="165"/>
      <c r="BY59" s="165"/>
      <c r="BZ59" s="165"/>
      <c r="CA59" s="165"/>
      <c r="CB59" s="165"/>
      <c r="CC59" s="165"/>
      <c r="CD59" s="165"/>
      <c r="CE59" s="165"/>
      <c r="CF59" s="165"/>
      <c r="CG59" s="165"/>
      <c r="CH59" s="165"/>
      <c r="CI59" s="170"/>
      <c r="CJ59" s="165"/>
      <c r="CK59" s="165"/>
      <c r="CL59" s="165"/>
      <c r="CM59" s="165"/>
      <c r="CN59" s="170"/>
      <c r="CO59" s="165"/>
      <c r="CP59" s="165"/>
      <c r="CQ59" s="165"/>
    </row>
    <row r="60" spans="2:95" ht="14.85" customHeight="1" outlineLevel="3" x14ac:dyDescent="0.25">
      <c r="B60" s="156" t="str">
        <f>Table1[[#Headers],[Especificação]]</f>
        <v>Especificação</v>
      </c>
      <c r="C60" s="184" t="str">
        <f t="shared" si="100"/>
        <v>INSTR_ACTIVITY_LTV</v>
      </c>
      <c r="D60" s="153" t="s">
        <v>1542</v>
      </c>
      <c r="E60" s="153" t="s">
        <v>724</v>
      </c>
      <c r="G60" s="172">
        <v>1</v>
      </c>
      <c r="H60" s="191">
        <f t="shared" si="101"/>
        <v>0.2</v>
      </c>
      <c r="I60" s="193">
        <f t="shared" si="102"/>
        <v>0</v>
      </c>
      <c r="J60" s="170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>
        <v>0.2</v>
      </c>
      <c r="AF60" s="165"/>
      <c r="AG60" s="165"/>
      <c r="AH60" s="165"/>
      <c r="AI60" s="165"/>
      <c r="AJ60" s="165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5"/>
      <c r="AX60" s="165"/>
      <c r="AY60" s="165"/>
      <c r="AZ60" s="165"/>
      <c r="BA60" s="165"/>
      <c r="BB60" s="170"/>
      <c r="BC60" s="165"/>
      <c r="BD60" s="165"/>
      <c r="BE60" s="165"/>
      <c r="BF60" s="165"/>
      <c r="BG60" s="165"/>
      <c r="BH60" s="165"/>
      <c r="BI60" s="165"/>
      <c r="BJ60" s="165"/>
      <c r="BK60" s="165"/>
      <c r="BL60" s="165"/>
      <c r="BM60" s="165"/>
      <c r="BN60" s="165"/>
      <c r="BO60" s="165"/>
      <c r="BP60" s="165"/>
      <c r="BQ60" s="165"/>
      <c r="BR60" s="165"/>
      <c r="BS60" s="165"/>
      <c r="BT60" s="165"/>
      <c r="BU60" s="165"/>
      <c r="BV60" s="165"/>
      <c r="BW60" s="165"/>
      <c r="BX60" s="165"/>
      <c r="BY60" s="165"/>
      <c r="BZ60" s="165"/>
      <c r="CA60" s="165"/>
      <c r="CB60" s="165"/>
      <c r="CC60" s="165"/>
      <c r="CD60" s="165"/>
      <c r="CE60" s="165"/>
      <c r="CF60" s="165"/>
      <c r="CG60" s="165"/>
      <c r="CH60" s="165"/>
      <c r="CI60" s="170"/>
      <c r="CJ60" s="165"/>
      <c r="CK60" s="165"/>
      <c r="CL60" s="165"/>
      <c r="CM60" s="165"/>
      <c r="CN60" s="170"/>
      <c r="CO60" s="165"/>
      <c r="CP60" s="165"/>
      <c r="CQ60" s="165"/>
    </row>
    <row r="61" spans="2:95" ht="14.85" customHeight="1" outlineLevel="3" x14ac:dyDescent="0.25">
      <c r="B61" s="156" t="str">
        <f>Table1[[#Headers],[Especificação]]</f>
        <v>Especificação</v>
      </c>
      <c r="C61" s="184" t="str">
        <f t="shared" si="100"/>
        <v>INSTR_ACTIVITY_LTV_INCPTN</v>
      </c>
      <c r="D61" s="153" t="s">
        <v>1542</v>
      </c>
      <c r="E61" s="153" t="s">
        <v>727</v>
      </c>
      <c r="G61" s="172">
        <v>1</v>
      </c>
      <c r="H61" s="191">
        <f t="shared" si="101"/>
        <v>0.2</v>
      </c>
      <c r="I61" s="193">
        <f t="shared" si="102"/>
        <v>0</v>
      </c>
      <c r="J61" s="170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>
        <v>0.2</v>
      </c>
      <c r="AF61" s="165"/>
      <c r="AG61" s="165"/>
      <c r="AH61" s="165"/>
      <c r="AI61" s="165"/>
      <c r="AJ61" s="165"/>
      <c r="AK61" s="165"/>
      <c r="AL61" s="165"/>
      <c r="AM61" s="165"/>
      <c r="AN61" s="165"/>
      <c r="AO61" s="165"/>
      <c r="AP61" s="165"/>
      <c r="AQ61" s="165"/>
      <c r="AR61" s="165"/>
      <c r="AS61" s="165"/>
      <c r="AT61" s="165"/>
      <c r="AU61" s="165"/>
      <c r="AV61" s="165"/>
      <c r="AW61" s="165"/>
      <c r="AX61" s="165"/>
      <c r="AY61" s="165"/>
      <c r="AZ61" s="165"/>
      <c r="BA61" s="165"/>
      <c r="BB61" s="170"/>
      <c r="BC61" s="165"/>
      <c r="BD61" s="165"/>
      <c r="BE61" s="165"/>
      <c r="BF61" s="165"/>
      <c r="BG61" s="165"/>
      <c r="BH61" s="165"/>
      <c r="BI61" s="165"/>
      <c r="BJ61" s="165"/>
      <c r="BK61" s="165"/>
      <c r="BL61" s="165"/>
      <c r="BM61" s="165"/>
      <c r="BN61" s="165"/>
      <c r="BO61" s="165"/>
      <c r="BP61" s="165"/>
      <c r="BQ61" s="165"/>
      <c r="BR61" s="165"/>
      <c r="BS61" s="165"/>
      <c r="BT61" s="165"/>
      <c r="BU61" s="165"/>
      <c r="BV61" s="165"/>
      <c r="BW61" s="165"/>
      <c r="BX61" s="165"/>
      <c r="BY61" s="165"/>
      <c r="BZ61" s="165"/>
      <c r="CA61" s="165"/>
      <c r="CB61" s="165"/>
      <c r="CC61" s="165"/>
      <c r="CD61" s="165"/>
      <c r="CE61" s="165"/>
      <c r="CF61" s="165"/>
      <c r="CG61" s="165"/>
      <c r="CH61" s="165"/>
      <c r="CI61" s="170"/>
      <c r="CJ61" s="165"/>
      <c r="CK61" s="165"/>
      <c r="CL61" s="165"/>
      <c r="CM61" s="165"/>
      <c r="CN61" s="170"/>
      <c r="CO61" s="165"/>
      <c r="CP61" s="165"/>
      <c r="CQ61" s="165"/>
    </row>
    <row r="62" spans="2:95" ht="14.85" customHeight="1" outlineLevel="3" x14ac:dyDescent="0.25">
      <c r="B62" s="156" t="str">
        <f>Table1[[#Headers],[Especificação]]</f>
        <v>Especificação</v>
      </c>
      <c r="C62" s="184" t="str">
        <f t="shared" si="100"/>
        <v>INSTR_ACTIVITY_ANNLSD_AGRD_RT</v>
      </c>
      <c r="D62" s="153" t="s">
        <v>1542</v>
      </c>
      <c r="E62" s="153" t="s">
        <v>757</v>
      </c>
      <c r="G62" s="172">
        <v>1</v>
      </c>
      <c r="H62" s="191">
        <f t="shared" si="101"/>
        <v>0.2</v>
      </c>
      <c r="I62" s="193">
        <f t="shared" si="102"/>
        <v>0</v>
      </c>
      <c r="J62" s="170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>
        <v>0.2</v>
      </c>
      <c r="AF62" s="165"/>
      <c r="AG62" s="165"/>
      <c r="AH62" s="165"/>
      <c r="AI62" s="165"/>
      <c r="AJ62" s="165"/>
      <c r="AK62" s="165"/>
      <c r="AL62" s="165"/>
      <c r="AM62" s="165"/>
      <c r="AN62" s="165"/>
      <c r="AO62" s="165"/>
      <c r="AP62" s="165"/>
      <c r="AQ62" s="165"/>
      <c r="AR62" s="165"/>
      <c r="AS62" s="165"/>
      <c r="AT62" s="165"/>
      <c r="AU62" s="165"/>
      <c r="AV62" s="165"/>
      <c r="AW62" s="165"/>
      <c r="AX62" s="165"/>
      <c r="AY62" s="165"/>
      <c r="AZ62" s="165"/>
      <c r="BA62" s="165"/>
      <c r="BB62" s="170"/>
      <c r="BC62" s="165"/>
      <c r="BD62" s="165"/>
      <c r="BE62" s="165"/>
      <c r="BF62" s="165"/>
      <c r="BG62" s="165"/>
      <c r="BH62" s="165"/>
      <c r="BI62" s="165"/>
      <c r="BJ62" s="165"/>
      <c r="BK62" s="165"/>
      <c r="BL62" s="165"/>
      <c r="BM62" s="165"/>
      <c r="BN62" s="165"/>
      <c r="BO62" s="165"/>
      <c r="BP62" s="165"/>
      <c r="BQ62" s="165"/>
      <c r="BR62" s="165"/>
      <c r="BS62" s="165"/>
      <c r="BT62" s="165"/>
      <c r="BU62" s="165"/>
      <c r="BV62" s="165"/>
      <c r="BW62" s="165"/>
      <c r="BX62" s="165"/>
      <c r="BY62" s="165"/>
      <c r="BZ62" s="165"/>
      <c r="CA62" s="165"/>
      <c r="CB62" s="165"/>
      <c r="CC62" s="165"/>
      <c r="CD62" s="165"/>
      <c r="CE62" s="165"/>
      <c r="CF62" s="165"/>
      <c r="CG62" s="165"/>
      <c r="CH62" s="165"/>
      <c r="CI62" s="170"/>
      <c r="CJ62" s="165"/>
      <c r="CK62" s="165"/>
      <c r="CL62" s="165"/>
      <c r="CM62" s="165"/>
      <c r="CN62" s="170"/>
      <c r="CO62" s="165"/>
      <c r="CP62" s="165"/>
      <c r="CQ62" s="165"/>
    </row>
    <row r="63" spans="2:95" ht="14.85" customHeight="1" outlineLevel="3" x14ac:dyDescent="0.25">
      <c r="B63" s="156" t="str">
        <f>Table1[[#Headers],[Especificação]]</f>
        <v>Especificação</v>
      </c>
      <c r="C63" s="184" t="str">
        <f t="shared" si="100"/>
        <v>INSTR_ACTIVITY_EIR_INCPTN</v>
      </c>
      <c r="D63" s="153" t="s">
        <v>1542</v>
      </c>
      <c r="E63" s="153" t="s">
        <v>763</v>
      </c>
      <c r="G63" s="172">
        <v>1</v>
      </c>
      <c r="H63" s="191">
        <f t="shared" si="101"/>
        <v>0.2</v>
      </c>
      <c r="I63" s="193">
        <f t="shared" si="102"/>
        <v>0</v>
      </c>
      <c r="J63" s="170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>
        <v>0.2</v>
      </c>
      <c r="AF63" s="165"/>
      <c r="AG63" s="165"/>
      <c r="AH63" s="165"/>
      <c r="AI63" s="165"/>
      <c r="AJ63" s="165"/>
      <c r="AK63" s="165"/>
      <c r="AL63" s="165"/>
      <c r="AM63" s="165"/>
      <c r="AN63" s="165"/>
      <c r="AO63" s="165"/>
      <c r="AP63" s="165"/>
      <c r="AQ63" s="165"/>
      <c r="AR63" s="165"/>
      <c r="AS63" s="165"/>
      <c r="AT63" s="165"/>
      <c r="AU63" s="165"/>
      <c r="AV63" s="165"/>
      <c r="AW63" s="165"/>
      <c r="AX63" s="165"/>
      <c r="AY63" s="165"/>
      <c r="AZ63" s="165"/>
      <c r="BA63" s="165"/>
      <c r="BB63" s="170"/>
      <c r="BC63" s="165"/>
      <c r="BD63" s="165"/>
      <c r="BE63" s="165"/>
      <c r="BF63" s="165"/>
      <c r="BG63" s="165"/>
      <c r="BH63" s="165"/>
      <c r="BI63" s="165"/>
      <c r="BJ63" s="165"/>
      <c r="BK63" s="165"/>
      <c r="BL63" s="165"/>
      <c r="BM63" s="165"/>
      <c r="BN63" s="165"/>
      <c r="BO63" s="165"/>
      <c r="BP63" s="165"/>
      <c r="BQ63" s="165"/>
      <c r="BR63" s="165"/>
      <c r="BS63" s="165"/>
      <c r="BT63" s="165"/>
      <c r="BU63" s="165"/>
      <c r="BV63" s="165"/>
      <c r="BW63" s="165"/>
      <c r="BX63" s="165"/>
      <c r="BY63" s="165"/>
      <c r="BZ63" s="165"/>
      <c r="CA63" s="165"/>
      <c r="CB63" s="165"/>
      <c r="CC63" s="165"/>
      <c r="CD63" s="165"/>
      <c r="CE63" s="165"/>
      <c r="CF63" s="165"/>
      <c r="CG63" s="165"/>
      <c r="CH63" s="165"/>
      <c r="CI63" s="170"/>
      <c r="CJ63" s="165"/>
      <c r="CK63" s="165"/>
      <c r="CL63" s="165"/>
      <c r="CM63" s="165"/>
      <c r="CN63" s="170"/>
      <c r="CO63" s="165"/>
      <c r="CP63" s="165"/>
      <c r="CQ63" s="165"/>
    </row>
    <row r="64" spans="2:95" ht="14.85" customHeight="1" outlineLevel="3" x14ac:dyDescent="0.25">
      <c r="B64" s="156" t="str">
        <f>Table1[[#Headers],[Especificação]]</f>
        <v>Especificação</v>
      </c>
      <c r="C64" s="184" t="str">
        <f t="shared" si="100"/>
        <v>INSTR_ACTIVITY_NW_BSNSS</v>
      </c>
      <c r="D64" s="153" t="s">
        <v>1542</v>
      </c>
      <c r="E64" s="153" t="s">
        <v>973</v>
      </c>
      <c r="G64" s="172">
        <v>8</v>
      </c>
      <c r="H64" s="191">
        <f t="shared" si="101"/>
        <v>1</v>
      </c>
      <c r="I64" s="193">
        <f t="shared" si="102"/>
        <v>0</v>
      </c>
      <c r="J64" s="170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  <c r="AD64" s="165"/>
      <c r="AE64" s="165"/>
      <c r="AF64" s="165">
        <v>1</v>
      </c>
      <c r="AG64" s="165"/>
      <c r="AH64" s="165"/>
      <c r="AI64" s="165"/>
      <c r="AJ64" s="165"/>
      <c r="AK64" s="165"/>
      <c r="AL64" s="165"/>
      <c r="AM64" s="165"/>
      <c r="AN64" s="165"/>
      <c r="AO64" s="165"/>
      <c r="AP64" s="165"/>
      <c r="AQ64" s="165"/>
      <c r="AR64" s="165"/>
      <c r="AS64" s="165"/>
      <c r="AT64" s="165"/>
      <c r="AU64" s="165"/>
      <c r="AV64" s="165"/>
      <c r="AW64" s="165"/>
      <c r="AX64" s="165"/>
      <c r="AY64" s="165"/>
      <c r="AZ64" s="165"/>
      <c r="BA64" s="165"/>
      <c r="BB64" s="170"/>
      <c r="BC64" s="165"/>
      <c r="BD64" s="165"/>
      <c r="BE64" s="165"/>
      <c r="BF64" s="165"/>
      <c r="BG64" s="165"/>
      <c r="BH64" s="165"/>
      <c r="BI64" s="165"/>
      <c r="BJ64" s="165"/>
      <c r="BK64" s="165"/>
      <c r="BL64" s="165"/>
      <c r="BM64" s="165"/>
      <c r="BN64" s="165"/>
      <c r="BO64" s="165"/>
      <c r="BP64" s="165"/>
      <c r="BQ64" s="165"/>
      <c r="BR64" s="165"/>
      <c r="BS64" s="165"/>
      <c r="BT64" s="165"/>
      <c r="BU64" s="165"/>
      <c r="BV64" s="165"/>
      <c r="BW64" s="165"/>
      <c r="BX64" s="165"/>
      <c r="BY64" s="165"/>
      <c r="BZ64" s="165"/>
      <c r="CA64" s="165"/>
      <c r="CB64" s="165"/>
      <c r="CC64" s="165"/>
      <c r="CD64" s="165"/>
      <c r="CE64" s="165"/>
      <c r="CF64" s="165"/>
      <c r="CG64" s="165"/>
      <c r="CH64" s="165"/>
      <c r="CI64" s="170"/>
      <c r="CJ64" s="165"/>
      <c r="CK64" s="165"/>
      <c r="CL64" s="165"/>
      <c r="CM64" s="165"/>
      <c r="CN64" s="170"/>
      <c r="CO64" s="165"/>
      <c r="CP64" s="165"/>
      <c r="CQ64" s="165"/>
    </row>
    <row r="65" spans="2:95" ht="14.85" customHeight="1" outlineLevel="3" x14ac:dyDescent="0.25">
      <c r="B65" s="156" t="str">
        <f>Table1[[#Headers],[Especificação]]</f>
        <v>Especificação</v>
      </c>
      <c r="C65" s="184" t="str">
        <f t="shared" si="100"/>
        <v>INSTR_ACTIVITY_YR_CNSTRCTN</v>
      </c>
      <c r="D65" s="153" t="s">
        <v>1542</v>
      </c>
      <c r="E65" s="153" t="s">
        <v>1290</v>
      </c>
      <c r="G65" s="172">
        <v>1</v>
      </c>
      <c r="H65" s="191">
        <f t="shared" si="101"/>
        <v>0.2</v>
      </c>
      <c r="I65" s="193">
        <f t="shared" si="102"/>
        <v>0</v>
      </c>
      <c r="J65" s="170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  <c r="AF65" s="165">
        <v>0.2</v>
      </c>
      <c r="AG65" s="165"/>
      <c r="AH65" s="165"/>
      <c r="AI65" s="165"/>
      <c r="AJ65" s="165"/>
      <c r="AK65" s="165"/>
      <c r="AL65" s="165"/>
      <c r="AM65" s="165"/>
      <c r="AN65" s="165"/>
      <c r="AO65" s="165"/>
      <c r="AP65" s="165"/>
      <c r="AQ65" s="165"/>
      <c r="AR65" s="165"/>
      <c r="AS65" s="165"/>
      <c r="AT65" s="165"/>
      <c r="AU65" s="165"/>
      <c r="AV65" s="165"/>
      <c r="AW65" s="165"/>
      <c r="AX65" s="165"/>
      <c r="AY65" s="165"/>
      <c r="AZ65" s="165"/>
      <c r="BA65" s="165"/>
      <c r="BB65" s="170"/>
      <c r="BC65" s="165"/>
      <c r="BD65" s="165"/>
      <c r="BE65" s="165"/>
      <c r="BF65" s="165"/>
      <c r="BG65" s="165"/>
      <c r="BH65" s="165"/>
      <c r="BI65" s="165"/>
      <c r="BJ65" s="165"/>
      <c r="BK65" s="165"/>
      <c r="BL65" s="165"/>
      <c r="BM65" s="165"/>
      <c r="BN65" s="165"/>
      <c r="BO65" s="165"/>
      <c r="BP65" s="165"/>
      <c r="BQ65" s="165"/>
      <c r="BR65" s="165"/>
      <c r="BS65" s="165"/>
      <c r="BT65" s="165"/>
      <c r="BU65" s="165"/>
      <c r="BV65" s="165"/>
      <c r="BW65" s="165"/>
      <c r="BX65" s="165"/>
      <c r="BY65" s="165"/>
      <c r="BZ65" s="165"/>
      <c r="CA65" s="165"/>
      <c r="CB65" s="165"/>
      <c r="CC65" s="165"/>
      <c r="CD65" s="165"/>
      <c r="CE65" s="165"/>
      <c r="CF65" s="165"/>
      <c r="CG65" s="165"/>
      <c r="CH65" s="165"/>
      <c r="CI65" s="170"/>
      <c r="CJ65" s="165"/>
      <c r="CK65" s="165"/>
      <c r="CL65" s="165"/>
      <c r="CM65" s="165"/>
      <c r="CN65" s="170"/>
      <c r="CO65" s="165"/>
      <c r="CP65" s="165"/>
      <c r="CQ65" s="165"/>
    </row>
    <row r="66" spans="2:95" ht="13.8" x14ac:dyDescent="0.25">
      <c r="B66" s="156"/>
      <c r="C66" s="211" t="s">
        <v>1721</v>
      </c>
      <c r="D66" s="178"/>
      <c r="E66" s="179"/>
      <c r="F66" s="205">
        <f>+COUNTA(E67:E86)</f>
        <v>20</v>
      </c>
      <c r="G66" s="205">
        <f>SUM(G67:G78)</f>
        <v>10</v>
      </c>
      <c r="H66" s="208">
        <f>ROUND(SUM(H67:H78),0)</f>
        <v>1</v>
      </c>
      <c r="I66" s="209"/>
      <c r="J66" s="170"/>
      <c r="K66" s="165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  <c r="AD66" s="165"/>
      <c r="AE66" s="165"/>
      <c r="AF66" s="194"/>
      <c r="AG66" s="194"/>
      <c r="AH66" s="194"/>
      <c r="AI66" s="194"/>
      <c r="AJ66" s="194"/>
      <c r="AK66" s="194"/>
      <c r="AL66" s="165"/>
      <c r="AM66" s="165"/>
      <c r="AN66" s="165"/>
      <c r="AO66" s="165"/>
      <c r="AP66" s="165"/>
      <c r="AQ66" s="165"/>
      <c r="AR66" s="165"/>
      <c r="AS66" s="165"/>
      <c r="AT66" s="165"/>
      <c r="AU66" s="165"/>
      <c r="AV66" s="165"/>
      <c r="AW66" s="165"/>
      <c r="AX66" s="165"/>
      <c r="AY66" s="165"/>
      <c r="AZ66" s="165"/>
      <c r="BA66" s="165"/>
      <c r="BB66" s="170"/>
      <c r="BC66" s="165"/>
      <c r="BD66" s="165"/>
      <c r="BE66" s="165"/>
      <c r="BF66" s="165"/>
      <c r="BG66" s="165"/>
      <c r="BH66" s="165"/>
      <c r="BI66" s="165"/>
      <c r="BJ66" s="165"/>
      <c r="BK66" s="165"/>
      <c r="BL66" s="165"/>
      <c r="BM66" s="165"/>
      <c r="BN66" s="165"/>
      <c r="BO66" s="165"/>
      <c r="BP66" s="165"/>
      <c r="BQ66" s="165"/>
      <c r="BR66" s="165"/>
      <c r="BS66" s="165"/>
      <c r="BT66" s="165"/>
      <c r="BU66" s="165"/>
      <c r="BV66" s="165"/>
      <c r="BW66" s="165"/>
      <c r="BX66" s="165"/>
      <c r="BY66" s="165"/>
      <c r="BZ66" s="165"/>
      <c r="CA66" s="165"/>
      <c r="CB66" s="165"/>
      <c r="CC66" s="165"/>
      <c r="CD66" s="165"/>
      <c r="CE66" s="165"/>
      <c r="CF66" s="165"/>
      <c r="CG66" s="165"/>
      <c r="CH66" s="165"/>
      <c r="CI66" s="170"/>
      <c r="CJ66" s="165"/>
      <c r="CK66" s="165"/>
      <c r="CL66" s="165"/>
      <c r="CM66" s="165"/>
      <c r="CN66" s="170"/>
      <c r="CO66" s="165"/>
      <c r="CP66" s="165"/>
      <c r="CQ66" s="165"/>
    </row>
    <row r="67" spans="2:95" ht="14.85" customHeight="1" outlineLevel="1" x14ac:dyDescent="0.25">
      <c r="B67" s="156" t="str">
        <f>Table1[[#Headers],[Especificação]]</f>
        <v>Especificação</v>
      </c>
      <c r="C67" s="154" t="str">
        <f t="shared" si="95"/>
        <v>ENTITY_GRP_ECNMC_ACTVTY</v>
      </c>
      <c r="D67" s="153" t="s">
        <v>10</v>
      </c>
      <c r="E67" s="153" t="s">
        <v>382</v>
      </c>
      <c r="G67" s="172">
        <f>INDEX(Table1[[Especificação]:[Total Testes]],MATCH(PlanoV1.0!C67,Table1[CONCAT],0),MATCH(PlanoV1.0!B67,Table1[[#Headers],[Especificação]:[Total Testes]],0))</f>
        <v>2</v>
      </c>
      <c r="H67" s="191">
        <f t="shared" si="97"/>
        <v>0.30000000000000004</v>
      </c>
      <c r="I67" s="193">
        <f t="shared" si="98"/>
        <v>0</v>
      </c>
      <c r="J67" s="170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  <c r="AD67" s="165"/>
      <c r="AE67" s="165"/>
      <c r="AF67" s="165">
        <v>0.3</v>
      </c>
      <c r="AG67" s="165"/>
      <c r="AH67" s="165"/>
      <c r="AI67" s="165"/>
      <c r="AJ67" s="165"/>
      <c r="AK67" s="165"/>
      <c r="AL67" s="165"/>
      <c r="AM67" s="165"/>
      <c r="AN67" s="165"/>
      <c r="AO67" s="165"/>
      <c r="AP67" s="165"/>
      <c r="AQ67" s="165"/>
      <c r="AR67" s="165"/>
      <c r="AS67" s="165"/>
      <c r="AT67" s="165"/>
      <c r="AU67" s="165"/>
      <c r="AV67" s="165"/>
      <c r="AW67" s="165"/>
      <c r="AX67" s="165"/>
      <c r="AY67" s="165"/>
      <c r="AZ67" s="165"/>
      <c r="BA67" s="165"/>
      <c r="BB67" s="170"/>
      <c r="BC67" s="165"/>
      <c r="BD67" s="165"/>
      <c r="BE67" s="165"/>
      <c r="BF67" s="165"/>
      <c r="BG67" s="165"/>
      <c r="BH67" s="165"/>
      <c r="BI67" s="165"/>
      <c r="BJ67" s="165"/>
      <c r="BK67" s="165"/>
      <c r="BL67" s="165"/>
      <c r="BM67" s="165"/>
      <c r="BN67" s="165"/>
      <c r="BO67" s="165"/>
      <c r="BP67" s="165"/>
      <c r="BQ67" s="165"/>
      <c r="BR67" s="165"/>
      <c r="BS67" s="165"/>
      <c r="BT67" s="165"/>
      <c r="BU67" s="165"/>
      <c r="BV67" s="165"/>
      <c r="BW67" s="165"/>
      <c r="BX67" s="165"/>
      <c r="BY67" s="165"/>
      <c r="BZ67" s="165"/>
      <c r="CA67" s="165"/>
      <c r="CB67" s="165"/>
      <c r="CC67" s="165"/>
      <c r="CD67" s="165"/>
      <c r="CE67" s="165"/>
      <c r="CF67" s="165"/>
      <c r="CG67" s="165"/>
      <c r="CH67" s="165"/>
      <c r="CI67" s="170"/>
      <c r="CJ67" s="165"/>
      <c r="CK67" s="165"/>
      <c r="CL67" s="165"/>
      <c r="CM67" s="165"/>
      <c r="CN67" s="170"/>
      <c r="CO67" s="165"/>
      <c r="CP67" s="165"/>
      <c r="CQ67" s="165"/>
    </row>
    <row r="68" spans="2:95" ht="14.85" customHeight="1" outlineLevel="1" x14ac:dyDescent="0.25">
      <c r="B68" s="156" t="str">
        <f>Table1[[#Headers],[Especificação]]</f>
        <v>Especificação</v>
      </c>
      <c r="C68" s="154" t="str">
        <f t="shared" ref="C68:C78" si="103">D68&amp;"_"&amp;E68</f>
        <v>PROTECTION_TYP_EMSSNS_LBL</v>
      </c>
      <c r="D68" s="153" t="s">
        <v>1114</v>
      </c>
      <c r="E68" s="153" t="s">
        <v>1235</v>
      </c>
      <c r="G68" s="172">
        <f>INDEX(Table1[[Especificação]:[Total Testes]],MATCH(PlanoV1.0!C68,Table1[CONCAT],0),MATCH(PlanoV1.0!B68,Table1[[#Headers],[Especificação]:[Total Testes]],0))</f>
        <v>0</v>
      </c>
      <c r="H68" s="191">
        <f t="shared" si="97"/>
        <v>0</v>
      </c>
      <c r="I68" s="193">
        <f t="shared" si="98"/>
        <v>0.5</v>
      </c>
      <c r="J68" s="170"/>
      <c r="K68" s="165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  <c r="AF68" s="165">
        <v>0.5</v>
      </c>
      <c r="AG68" s="165"/>
      <c r="AH68" s="165"/>
      <c r="AI68" s="165"/>
      <c r="AJ68" s="165"/>
      <c r="AK68" s="165"/>
      <c r="AL68" s="165"/>
      <c r="AM68" s="165"/>
      <c r="AN68" s="165"/>
      <c r="AO68" s="165"/>
      <c r="AP68" s="165"/>
      <c r="AQ68" s="165"/>
      <c r="AR68" s="165"/>
      <c r="AS68" s="165"/>
      <c r="AT68" s="165"/>
      <c r="AU68" s="165"/>
      <c r="AV68" s="165"/>
      <c r="AW68" s="165"/>
      <c r="AX68" s="165"/>
      <c r="AY68" s="165"/>
      <c r="AZ68" s="165"/>
      <c r="BA68" s="165"/>
      <c r="BB68" s="170"/>
      <c r="BC68" s="165"/>
      <c r="BD68" s="165"/>
      <c r="BE68" s="165"/>
      <c r="BF68" s="165"/>
      <c r="BG68" s="165"/>
      <c r="BH68" s="165"/>
      <c r="BI68" s="165"/>
      <c r="BJ68" s="165"/>
      <c r="BK68" s="165"/>
      <c r="BL68" s="165"/>
      <c r="BM68" s="165"/>
      <c r="BN68" s="165"/>
      <c r="BO68" s="165"/>
      <c r="BP68" s="165"/>
      <c r="BQ68" s="165"/>
      <c r="BR68" s="165"/>
      <c r="BS68" s="165"/>
      <c r="BT68" s="165"/>
      <c r="BU68" s="165"/>
      <c r="BV68" s="165"/>
      <c r="BW68" s="165"/>
      <c r="BX68" s="165"/>
      <c r="BY68" s="165"/>
      <c r="BZ68" s="165"/>
      <c r="CA68" s="165"/>
      <c r="CB68" s="165"/>
      <c r="CC68" s="165"/>
      <c r="CD68" s="165"/>
      <c r="CE68" s="165"/>
      <c r="CF68" s="165"/>
      <c r="CG68" s="165"/>
      <c r="CH68" s="165"/>
      <c r="CI68" s="170"/>
      <c r="CJ68" s="165"/>
      <c r="CK68" s="165"/>
      <c r="CL68" s="165"/>
      <c r="CM68" s="165"/>
      <c r="CN68" s="170"/>
      <c r="CO68" s="165"/>
      <c r="CP68" s="165"/>
      <c r="CQ68" s="165"/>
    </row>
    <row r="69" spans="2:95" ht="14.85" customHeight="1" outlineLevel="1" x14ac:dyDescent="0.25">
      <c r="B69" s="156" t="str">
        <f>Table1[[#Headers],[Especificação]]</f>
        <v>Especificação</v>
      </c>
      <c r="C69" s="154" t="str">
        <f t="shared" si="103"/>
        <v>PROTECTION_EPC_EMSSNS_LBL</v>
      </c>
      <c r="D69" s="153" t="s">
        <v>1114</v>
      </c>
      <c r="E69" s="153" t="s">
        <v>1238</v>
      </c>
      <c r="G69" s="172">
        <f>INDEX(Table1[[Especificação]:[Total Testes]],MATCH(PlanoV1.0!C69,Table1[CONCAT],0),MATCH(PlanoV1.0!B69,Table1[[#Headers],[Especificação]:[Total Testes]],0))</f>
        <v>2</v>
      </c>
      <c r="H69" s="191">
        <f t="shared" si="97"/>
        <v>0.30000000000000004</v>
      </c>
      <c r="I69" s="193">
        <f t="shared" si="98"/>
        <v>0</v>
      </c>
      <c r="J69" s="170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165">
        <v>0.3</v>
      </c>
      <c r="AH69" s="165"/>
      <c r="AI69" s="165"/>
      <c r="AJ69" s="165"/>
      <c r="AK69" s="165"/>
      <c r="AL69" s="165"/>
      <c r="AM69" s="165"/>
      <c r="AN69" s="165"/>
      <c r="AO69" s="165"/>
      <c r="AP69" s="165"/>
      <c r="AQ69" s="165"/>
      <c r="AR69" s="165"/>
      <c r="AS69" s="165"/>
      <c r="AT69" s="165"/>
      <c r="AU69" s="165"/>
      <c r="AV69" s="165"/>
      <c r="AW69" s="165"/>
      <c r="AX69" s="165"/>
      <c r="AY69" s="165"/>
      <c r="AZ69" s="165"/>
      <c r="BA69" s="165"/>
      <c r="BB69" s="170"/>
      <c r="BC69" s="165"/>
      <c r="BD69" s="165"/>
      <c r="BE69" s="165"/>
      <c r="BF69" s="165"/>
      <c r="BG69" s="165"/>
      <c r="BH69" s="165"/>
      <c r="BI69" s="165"/>
      <c r="BJ69" s="165"/>
      <c r="BK69" s="165"/>
      <c r="BL69" s="165"/>
      <c r="BM69" s="165"/>
      <c r="BN69" s="165"/>
      <c r="BO69" s="165"/>
      <c r="BP69" s="165"/>
      <c r="BQ69" s="165"/>
      <c r="BR69" s="165"/>
      <c r="BS69" s="165"/>
      <c r="BT69" s="165"/>
      <c r="BU69" s="165"/>
      <c r="BV69" s="165"/>
      <c r="BW69" s="165"/>
      <c r="BX69" s="165"/>
      <c r="BY69" s="165"/>
      <c r="BZ69" s="165"/>
      <c r="CA69" s="165"/>
      <c r="CB69" s="165"/>
      <c r="CC69" s="165"/>
      <c r="CD69" s="165"/>
      <c r="CE69" s="165"/>
      <c r="CF69" s="165"/>
      <c r="CG69" s="165"/>
      <c r="CH69" s="165"/>
      <c r="CI69" s="170"/>
      <c r="CJ69" s="165"/>
      <c r="CK69" s="165"/>
      <c r="CL69" s="165"/>
      <c r="CM69" s="165"/>
      <c r="CN69" s="170"/>
      <c r="CO69" s="165"/>
      <c r="CP69" s="165"/>
      <c r="CQ69" s="165"/>
    </row>
    <row r="70" spans="2:95" ht="14.85" customHeight="1" outlineLevel="1" x14ac:dyDescent="0.25">
      <c r="B70" s="156" t="str">
        <f>Table1[[#Headers],[Especificação]]</f>
        <v>Especificação</v>
      </c>
      <c r="C70" s="154" t="str">
        <f t="shared" si="103"/>
        <v>PROTECTION_VHCL_EMSSNS_LBL</v>
      </c>
      <c r="D70" s="153" t="s">
        <v>1114</v>
      </c>
      <c r="E70" s="153" t="s">
        <v>1241</v>
      </c>
      <c r="G70" s="172">
        <f>INDEX(Table1[[Especificação]:[Total Testes]],MATCH(PlanoV1.0!C70,Table1[CONCAT],0),MATCH(PlanoV1.0!B70,Table1[[#Headers],[Especificação]:[Total Testes]],0))</f>
        <v>0</v>
      </c>
      <c r="H70" s="191">
        <f t="shared" si="97"/>
        <v>0</v>
      </c>
      <c r="I70" s="193">
        <f t="shared" si="98"/>
        <v>1</v>
      </c>
      <c r="J70" s="170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>
        <v>1</v>
      </c>
      <c r="AG70" s="165"/>
      <c r="AH70" s="165"/>
      <c r="AI70" s="165"/>
      <c r="AJ70" s="165"/>
      <c r="AK70" s="165"/>
      <c r="AL70" s="165"/>
      <c r="AM70" s="165"/>
      <c r="AN70" s="165"/>
      <c r="AO70" s="165"/>
      <c r="AP70" s="165"/>
      <c r="AQ70" s="165"/>
      <c r="AR70" s="165"/>
      <c r="AS70" s="165"/>
      <c r="AT70" s="165"/>
      <c r="AU70" s="165"/>
      <c r="AV70" s="165"/>
      <c r="AW70" s="165"/>
      <c r="AX70" s="165"/>
      <c r="AY70" s="165"/>
      <c r="AZ70" s="165"/>
      <c r="BA70" s="165"/>
      <c r="BB70" s="170"/>
      <c r="BC70" s="165"/>
      <c r="BD70" s="165"/>
      <c r="BE70" s="165"/>
      <c r="BF70" s="165"/>
      <c r="BG70" s="165"/>
      <c r="BH70" s="165"/>
      <c r="BI70" s="165"/>
      <c r="BJ70" s="165"/>
      <c r="BK70" s="165"/>
      <c r="BL70" s="165"/>
      <c r="BM70" s="165"/>
      <c r="BN70" s="165"/>
      <c r="BO70" s="165"/>
      <c r="BP70" s="165"/>
      <c r="BQ70" s="165"/>
      <c r="BR70" s="165"/>
      <c r="BS70" s="165"/>
      <c r="BT70" s="165"/>
      <c r="BU70" s="165"/>
      <c r="BV70" s="165"/>
      <c r="BW70" s="165"/>
      <c r="BX70" s="165"/>
      <c r="BY70" s="165"/>
      <c r="BZ70" s="165"/>
      <c r="CA70" s="165"/>
      <c r="CB70" s="165"/>
      <c r="CC70" s="165"/>
      <c r="CD70" s="165"/>
      <c r="CE70" s="165"/>
      <c r="CF70" s="165"/>
      <c r="CG70" s="165"/>
      <c r="CH70" s="165"/>
      <c r="CI70" s="170"/>
      <c r="CJ70" s="165"/>
      <c r="CK70" s="165"/>
      <c r="CL70" s="165"/>
      <c r="CM70" s="165"/>
      <c r="CN70" s="170"/>
      <c r="CO70" s="165"/>
      <c r="CP70" s="165"/>
      <c r="CQ70" s="165"/>
    </row>
    <row r="71" spans="2:95" ht="14.85" customHeight="1" outlineLevel="1" x14ac:dyDescent="0.25">
      <c r="B71" s="156" t="str">
        <f>Table1[[#Headers],[Especificação]]</f>
        <v>Especificação</v>
      </c>
      <c r="C71" s="154" t="str">
        <f t="shared" si="103"/>
        <v>PROTECTION_TYP_EMSSNS_SCR</v>
      </c>
      <c r="D71" s="153" t="s">
        <v>1114</v>
      </c>
      <c r="E71" s="153" t="s">
        <v>1244</v>
      </c>
      <c r="G71" s="172">
        <f>INDEX(Table1[[Especificação]:[Total Testes]],MATCH(PlanoV1.0!C71,Table1[CONCAT],0),MATCH(PlanoV1.0!B71,Table1[[#Headers],[Especificação]:[Total Testes]],0))</f>
        <v>2</v>
      </c>
      <c r="H71" s="191">
        <f t="shared" si="97"/>
        <v>0.30000000000000004</v>
      </c>
      <c r="I71" s="193">
        <f t="shared" si="98"/>
        <v>0</v>
      </c>
      <c r="J71" s="170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>
        <v>0.3</v>
      </c>
      <c r="AH71" s="165"/>
      <c r="AI71" s="165"/>
      <c r="AJ71" s="165"/>
      <c r="AK71" s="165"/>
      <c r="AL71" s="165"/>
      <c r="AM71" s="165"/>
      <c r="AN71" s="165"/>
      <c r="AO71" s="165"/>
      <c r="AP71" s="165"/>
      <c r="AQ71" s="165"/>
      <c r="AR71" s="165"/>
      <c r="AS71" s="165"/>
      <c r="AT71" s="165"/>
      <c r="AU71" s="165"/>
      <c r="AV71" s="165"/>
      <c r="AW71" s="165"/>
      <c r="AX71" s="165"/>
      <c r="AY71" s="165"/>
      <c r="AZ71" s="165"/>
      <c r="BA71" s="165"/>
      <c r="BB71" s="170"/>
      <c r="BC71" s="165"/>
      <c r="BD71" s="165"/>
      <c r="BE71" s="165"/>
      <c r="BF71" s="165"/>
      <c r="BG71" s="165"/>
      <c r="BH71" s="165"/>
      <c r="BI71" s="165"/>
      <c r="BJ71" s="165"/>
      <c r="BK71" s="165"/>
      <c r="BL71" s="165"/>
      <c r="BM71" s="165"/>
      <c r="BN71" s="165"/>
      <c r="BO71" s="165"/>
      <c r="BP71" s="165"/>
      <c r="BQ71" s="165"/>
      <c r="BR71" s="165"/>
      <c r="BS71" s="165"/>
      <c r="BT71" s="165"/>
      <c r="BU71" s="165"/>
      <c r="BV71" s="165"/>
      <c r="BW71" s="165"/>
      <c r="BX71" s="165"/>
      <c r="BY71" s="165"/>
      <c r="BZ71" s="165"/>
      <c r="CA71" s="165"/>
      <c r="CB71" s="165"/>
      <c r="CC71" s="165"/>
      <c r="CD71" s="165"/>
      <c r="CE71" s="165"/>
      <c r="CF71" s="165"/>
      <c r="CG71" s="165"/>
      <c r="CH71" s="165"/>
      <c r="CI71" s="170"/>
      <c r="CJ71" s="165"/>
      <c r="CK71" s="165"/>
      <c r="CL71" s="165"/>
      <c r="CM71" s="165"/>
      <c r="CN71" s="170"/>
      <c r="CO71" s="165"/>
      <c r="CP71" s="165"/>
      <c r="CQ71" s="165"/>
    </row>
    <row r="72" spans="2:95" ht="14.85" customHeight="1" outlineLevel="1" x14ac:dyDescent="0.25">
      <c r="B72" s="156" t="str">
        <f>Table1[[#Headers],[Especificação]]</f>
        <v>Especificação</v>
      </c>
      <c r="C72" s="154" t="str">
        <f t="shared" si="103"/>
        <v>PROTECTION_EPC_EMSSNS_SCR</v>
      </c>
      <c r="D72" s="153" t="s">
        <v>1114</v>
      </c>
      <c r="E72" s="153" t="s">
        <v>1247</v>
      </c>
      <c r="G72" s="172">
        <f>INDEX(Table1[[Especificação]:[Total Testes]],MATCH(PlanoV1.0!C72,Table1[CONCAT],0),MATCH(PlanoV1.0!B72,Table1[[#Headers],[Especificação]:[Total Testes]],0))</f>
        <v>4</v>
      </c>
      <c r="H72" s="191">
        <f t="shared" si="97"/>
        <v>0.5</v>
      </c>
      <c r="I72" s="193">
        <f t="shared" si="98"/>
        <v>0</v>
      </c>
      <c r="J72" s="170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5"/>
      <c r="AE72" s="165"/>
      <c r="AF72" s="165"/>
      <c r="AG72" s="165">
        <v>0.5</v>
      </c>
      <c r="AH72" s="165"/>
      <c r="AI72" s="165"/>
      <c r="AJ72" s="165"/>
      <c r="AK72" s="165"/>
      <c r="AL72" s="165"/>
      <c r="AM72" s="165"/>
      <c r="AN72" s="165"/>
      <c r="AO72" s="165"/>
      <c r="AP72" s="165"/>
      <c r="AQ72" s="165"/>
      <c r="AR72" s="165"/>
      <c r="AS72" s="165"/>
      <c r="AT72" s="165"/>
      <c r="AU72" s="165"/>
      <c r="AV72" s="165"/>
      <c r="AW72" s="165"/>
      <c r="AX72" s="165"/>
      <c r="AY72" s="165"/>
      <c r="AZ72" s="165"/>
      <c r="BA72" s="165"/>
      <c r="BB72" s="170"/>
      <c r="BC72" s="165"/>
      <c r="BD72" s="165"/>
      <c r="BE72" s="165"/>
      <c r="BF72" s="165"/>
      <c r="BG72" s="165"/>
      <c r="BH72" s="165"/>
      <c r="BI72" s="165"/>
      <c r="BJ72" s="165"/>
      <c r="BK72" s="165"/>
      <c r="BL72" s="165"/>
      <c r="BM72" s="165"/>
      <c r="BN72" s="165"/>
      <c r="BO72" s="165"/>
      <c r="BP72" s="165"/>
      <c r="BQ72" s="165"/>
      <c r="BR72" s="165"/>
      <c r="BS72" s="165"/>
      <c r="BT72" s="165"/>
      <c r="BU72" s="165"/>
      <c r="BV72" s="165"/>
      <c r="BW72" s="165"/>
      <c r="BX72" s="165"/>
      <c r="BY72" s="165"/>
      <c r="BZ72" s="165"/>
      <c r="CA72" s="165"/>
      <c r="CB72" s="165"/>
      <c r="CC72" s="165"/>
      <c r="CD72" s="165"/>
      <c r="CE72" s="165"/>
      <c r="CF72" s="165"/>
      <c r="CG72" s="165"/>
      <c r="CH72" s="165"/>
      <c r="CI72" s="170"/>
      <c r="CJ72" s="165"/>
      <c r="CK72" s="165"/>
      <c r="CL72" s="165"/>
      <c r="CM72" s="165"/>
      <c r="CN72" s="170"/>
      <c r="CO72" s="165"/>
      <c r="CP72" s="165"/>
      <c r="CQ72" s="165"/>
    </row>
    <row r="73" spans="2:95" ht="14.85" customHeight="1" outlineLevel="1" x14ac:dyDescent="0.25">
      <c r="B73" s="156" t="str">
        <f>Table1[[#Headers],[Especificação]]</f>
        <v>Especificação</v>
      </c>
      <c r="C73" s="154" t="str">
        <f t="shared" si="103"/>
        <v>PROTECTION_VHCL_EMSSNS_SCR</v>
      </c>
      <c r="D73" s="153" t="s">
        <v>1114</v>
      </c>
      <c r="E73" s="153" t="s">
        <v>1250</v>
      </c>
      <c r="G73" s="172">
        <f>INDEX(Table1[[Especificação]:[Total Testes]],MATCH(PlanoV1.0!C73,Table1[CONCAT],0),MATCH(PlanoV1.0!B73,Table1[[#Headers],[Especificação]:[Total Testes]],0))</f>
        <v>0</v>
      </c>
      <c r="H73" s="191">
        <f t="shared" si="97"/>
        <v>0</v>
      </c>
      <c r="I73" s="193">
        <f t="shared" si="98"/>
        <v>1.3</v>
      </c>
      <c r="J73" s="170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5"/>
      <c r="AE73" s="165"/>
      <c r="AF73" s="165"/>
      <c r="AG73" s="165">
        <v>0.9</v>
      </c>
      <c r="AH73" s="165">
        <v>0.4</v>
      </c>
      <c r="AI73" s="165"/>
      <c r="AJ73" s="165"/>
      <c r="AK73" s="165"/>
      <c r="AL73" s="165"/>
      <c r="AM73" s="165"/>
      <c r="AN73" s="165"/>
      <c r="AO73" s="165"/>
      <c r="AP73" s="165"/>
      <c r="AQ73" s="165"/>
      <c r="AR73" s="165"/>
      <c r="AS73" s="165"/>
      <c r="AT73" s="165"/>
      <c r="AU73" s="165"/>
      <c r="AV73" s="165"/>
      <c r="AW73" s="165"/>
      <c r="AX73" s="165"/>
      <c r="AY73" s="165"/>
      <c r="AZ73" s="165"/>
      <c r="BA73" s="165"/>
      <c r="BB73" s="170"/>
      <c r="BC73" s="165"/>
      <c r="BD73" s="165"/>
      <c r="BE73" s="165"/>
      <c r="BF73" s="165"/>
      <c r="BG73" s="165"/>
      <c r="BH73" s="165"/>
      <c r="BI73" s="165"/>
      <c r="BJ73" s="165"/>
      <c r="BK73" s="165"/>
      <c r="BL73" s="165"/>
      <c r="BM73" s="165"/>
      <c r="BN73" s="165"/>
      <c r="BO73" s="165"/>
      <c r="BP73" s="165"/>
      <c r="BQ73" s="165"/>
      <c r="BR73" s="165"/>
      <c r="BS73" s="165"/>
      <c r="BT73" s="165"/>
      <c r="BU73" s="165"/>
      <c r="BV73" s="165"/>
      <c r="BW73" s="165"/>
      <c r="BX73" s="165"/>
      <c r="BY73" s="165"/>
      <c r="BZ73" s="165"/>
      <c r="CA73" s="165"/>
      <c r="CB73" s="165"/>
      <c r="CC73" s="165"/>
      <c r="CD73" s="165"/>
      <c r="CE73" s="165"/>
      <c r="CF73" s="165"/>
      <c r="CG73" s="165"/>
      <c r="CH73" s="165"/>
      <c r="CI73" s="170"/>
      <c r="CJ73" s="165"/>
      <c r="CK73" s="165"/>
      <c r="CL73" s="165"/>
      <c r="CM73" s="165"/>
      <c r="CN73" s="170"/>
      <c r="CO73" s="165"/>
      <c r="CP73" s="165"/>
      <c r="CQ73" s="165"/>
    </row>
    <row r="74" spans="2:95" ht="14.85" customHeight="1" outlineLevel="1" x14ac:dyDescent="0.25">
      <c r="B74" s="156" t="str">
        <f>Table1[[#Headers],[Especificação]]</f>
        <v>Especificação</v>
      </c>
      <c r="C74" s="154" t="str">
        <f t="shared" si="103"/>
        <v>PROTECTION_INSRNC_ID</v>
      </c>
      <c r="D74" s="153" t="s">
        <v>1114</v>
      </c>
      <c r="E74" s="153" t="s">
        <v>1275</v>
      </c>
      <c r="G74" s="172">
        <f>INDEX(Table1[[Especificação]:[Total Testes]],MATCH(PlanoV1.0!C74,Table1[CONCAT],0),MATCH(PlanoV1.0!B74,Table1[[#Headers],[Especificação]:[Total Testes]],0))</f>
        <v>0</v>
      </c>
      <c r="H74" s="191">
        <f t="shared" si="97"/>
        <v>0</v>
      </c>
      <c r="I74" s="193">
        <f t="shared" si="98"/>
        <v>1.3</v>
      </c>
      <c r="J74" s="170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  <c r="AD74" s="165"/>
      <c r="AE74" s="165"/>
      <c r="AF74" s="165"/>
      <c r="AG74" s="165"/>
      <c r="AH74" s="165">
        <v>1.3</v>
      </c>
      <c r="AI74" s="165"/>
      <c r="AJ74" s="165"/>
      <c r="AK74" s="165"/>
      <c r="AL74" s="165"/>
      <c r="AM74" s="165"/>
      <c r="AN74" s="165"/>
      <c r="AO74" s="165"/>
      <c r="AP74" s="165"/>
      <c r="AQ74" s="165"/>
      <c r="AR74" s="165"/>
      <c r="AS74" s="165"/>
      <c r="AT74" s="165"/>
      <c r="AU74" s="165"/>
      <c r="AV74" s="165"/>
      <c r="AW74" s="165"/>
      <c r="AX74" s="165"/>
      <c r="AY74" s="165"/>
      <c r="AZ74" s="165"/>
      <c r="BA74" s="165"/>
      <c r="BB74" s="170"/>
      <c r="BC74" s="165"/>
      <c r="BD74" s="165"/>
      <c r="BE74" s="165"/>
      <c r="BF74" s="165"/>
      <c r="BG74" s="165"/>
      <c r="BH74" s="165"/>
      <c r="BI74" s="165"/>
      <c r="BJ74" s="165"/>
      <c r="BK74" s="165"/>
      <c r="BL74" s="165"/>
      <c r="BM74" s="165"/>
      <c r="BN74" s="165"/>
      <c r="BO74" s="165"/>
      <c r="BP74" s="165"/>
      <c r="BQ74" s="165"/>
      <c r="BR74" s="165"/>
      <c r="BS74" s="165"/>
      <c r="BT74" s="165"/>
      <c r="BU74" s="165"/>
      <c r="BV74" s="165"/>
      <c r="BW74" s="165"/>
      <c r="BX74" s="165"/>
      <c r="BY74" s="165"/>
      <c r="BZ74" s="165"/>
      <c r="CA74" s="165"/>
      <c r="CB74" s="165"/>
      <c r="CC74" s="165"/>
      <c r="CD74" s="165"/>
      <c r="CE74" s="165"/>
      <c r="CF74" s="165"/>
      <c r="CG74" s="165"/>
      <c r="CH74" s="165"/>
      <c r="CI74" s="170"/>
      <c r="CJ74" s="165"/>
      <c r="CK74" s="165"/>
      <c r="CL74" s="165"/>
      <c r="CM74" s="165"/>
      <c r="CN74" s="170"/>
      <c r="CO74" s="165"/>
      <c r="CP74" s="165"/>
      <c r="CQ74" s="165"/>
    </row>
    <row r="75" spans="2:95" ht="14.85" customHeight="1" outlineLevel="1" x14ac:dyDescent="0.25">
      <c r="B75" s="156" t="str">
        <f>Table1[[#Headers],[Especificação]]</f>
        <v>Especificação</v>
      </c>
      <c r="C75" s="154" t="str">
        <f t="shared" si="103"/>
        <v>PROTECTION_TYP_HZRDS_INSRD</v>
      </c>
      <c r="D75" s="153" t="s">
        <v>1114</v>
      </c>
      <c r="E75" s="153" t="s">
        <v>1278</v>
      </c>
      <c r="G75" s="172">
        <f>INDEX(Table1[[Especificação]:[Total Testes]],MATCH(PlanoV1.0!C75,Table1[CONCAT],0),MATCH(PlanoV1.0!B75,Table1[[#Headers],[Especificação]:[Total Testes]],0))</f>
        <v>0</v>
      </c>
      <c r="H75" s="191">
        <f t="shared" si="97"/>
        <v>0</v>
      </c>
      <c r="I75" s="193">
        <f t="shared" si="98"/>
        <v>0.5</v>
      </c>
      <c r="J75" s="170"/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  <c r="AA75" s="165"/>
      <c r="AB75" s="165"/>
      <c r="AC75" s="165"/>
      <c r="AD75" s="165"/>
      <c r="AE75" s="165"/>
      <c r="AF75" s="165"/>
      <c r="AG75" s="165"/>
      <c r="AH75" s="165">
        <v>0.3</v>
      </c>
      <c r="AI75" s="165">
        <v>0.2</v>
      </c>
      <c r="AJ75" s="165"/>
      <c r="AK75" s="165"/>
      <c r="AL75" s="165"/>
      <c r="AM75" s="165"/>
      <c r="AN75" s="165"/>
      <c r="AO75" s="165"/>
      <c r="AP75" s="165"/>
      <c r="AQ75" s="165"/>
      <c r="AR75" s="165"/>
      <c r="AS75" s="165"/>
      <c r="AT75" s="165"/>
      <c r="AU75" s="165"/>
      <c r="AV75" s="165"/>
      <c r="AW75" s="165"/>
      <c r="AX75" s="165"/>
      <c r="AY75" s="165"/>
      <c r="AZ75" s="165"/>
      <c r="BA75" s="165"/>
      <c r="BB75" s="170"/>
      <c r="BC75" s="165"/>
      <c r="BD75" s="165"/>
      <c r="BE75" s="165"/>
      <c r="BF75" s="165"/>
      <c r="BG75" s="165"/>
      <c r="BH75" s="165"/>
      <c r="BI75" s="165"/>
      <c r="BJ75" s="165"/>
      <c r="BK75" s="165"/>
      <c r="BL75" s="165"/>
      <c r="BM75" s="165"/>
      <c r="BN75" s="165"/>
      <c r="BO75" s="165"/>
      <c r="BP75" s="165"/>
      <c r="BQ75" s="165"/>
      <c r="BR75" s="165"/>
      <c r="BS75" s="165"/>
      <c r="BT75" s="165"/>
      <c r="BU75" s="165"/>
      <c r="BV75" s="165"/>
      <c r="BW75" s="165"/>
      <c r="BX75" s="165"/>
      <c r="BY75" s="165"/>
      <c r="BZ75" s="165"/>
      <c r="CA75" s="165"/>
      <c r="CB75" s="165"/>
      <c r="CC75" s="165"/>
      <c r="CD75" s="165"/>
      <c r="CE75" s="165"/>
      <c r="CF75" s="165"/>
      <c r="CG75" s="165"/>
      <c r="CH75" s="165"/>
      <c r="CI75" s="170"/>
      <c r="CJ75" s="165"/>
      <c r="CK75" s="165"/>
      <c r="CL75" s="165"/>
      <c r="CM75" s="165"/>
      <c r="CN75" s="170"/>
      <c r="CO75" s="165"/>
      <c r="CP75" s="165"/>
      <c r="CQ75" s="165"/>
    </row>
    <row r="76" spans="2:95" ht="14.85" customHeight="1" outlineLevel="1" x14ac:dyDescent="0.25">
      <c r="B76" s="156" t="str">
        <f>Table1[[#Headers],[Especificação]]</f>
        <v>Especificação</v>
      </c>
      <c r="C76" s="154" t="str">
        <f t="shared" si="103"/>
        <v>PROTECTION_AMNT_CVRD_INSRNC</v>
      </c>
      <c r="D76" s="153" t="s">
        <v>1114</v>
      </c>
      <c r="E76" s="153" t="s">
        <v>1281</v>
      </c>
      <c r="G76" s="172">
        <f>INDEX(Table1[[Especificação]:[Total Testes]],MATCH(PlanoV1.0!C76,Table1[CONCAT],0),MATCH(PlanoV1.0!B76,Table1[[#Headers],[Especificação]:[Total Testes]],0))</f>
        <v>0</v>
      </c>
      <c r="H76" s="191">
        <f t="shared" si="97"/>
        <v>0</v>
      </c>
      <c r="I76" s="193">
        <f t="shared" si="98"/>
        <v>1.3</v>
      </c>
      <c r="J76" s="170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>
        <v>1.3</v>
      </c>
      <c r="AJ76" s="165"/>
      <c r="AK76" s="165"/>
      <c r="AL76" s="165"/>
      <c r="AM76" s="165"/>
      <c r="AN76" s="165"/>
      <c r="AO76" s="165"/>
      <c r="AP76" s="165"/>
      <c r="AQ76" s="165"/>
      <c r="AR76" s="165"/>
      <c r="AS76" s="165"/>
      <c r="AT76" s="165"/>
      <c r="AU76" s="165"/>
      <c r="AV76" s="165"/>
      <c r="AW76" s="165"/>
      <c r="AX76" s="165"/>
      <c r="AY76" s="165"/>
      <c r="AZ76" s="165"/>
      <c r="BA76" s="165"/>
      <c r="BB76" s="170"/>
      <c r="BC76" s="165"/>
      <c r="BD76" s="165"/>
      <c r="BE76" s="165"/>
      <c r="BF76" s="165"/>
      <c r="BG76" s="165"/>
      <c r="BH76" s="165"/>
      <c r="BI76" s="165"/>
      <c r="BJ76" s="165"/>
      <c r="BK76" s="165"/>
      <c r="BL76" s="165"/>
      <c r="BM76" s="165"/>
      <c r="BN76" s="165"/>
      <c r="BO76" s="165"/>
      <c r="BP76" s="165"/>
      <c r="BQ76" s="165"/>
      <c r="BR76" s="165"/>
      <c r="BS76" s="165"/>
      <c r="BT76" s="165"/>
      <c r="BU76" s="165"/>
      <c r="BV76" s="165"/>
      <c r="BW76" s="165"/>
      <c r="BX76" s="165"/>
      <c r="BY76" s="165"/>
      <c r="BZ76" s="165"/>
      <c r="CA76" s="165"/>
      <c r="CB76" s="165"/>
      <c r="CC76" s="165"/>
      <c r="CD76" s="165"/>
      <c r="CE76" s="165"/>
      <c r="CF76" s="165"/>
      <c r="CG76" s="165"/>
      <c r="CH76" s="165"/>
      <c r="CI76" s="170"/>
      <c r="CJ76" s="165"/>
      <c r="CK76" s="165"/>
      <c r="CL76" s="165"/>
      <c r="CM76" s="165"/>
      <c r="CN76" s="170"/>
      <c r="CO76" s="165"/>
      <c r="CP76" s="165"/>
      <c r="CQ76" s="165"/>
    </row>
    <row r="77" spans="2:95" ht="14.85" customHeight="1" outlineLevel="1" x14ac:dyDescent="0.25">
      <c r="B77" s="156" t="str">
        <f>Table1[[#Headers],[Especificação]]</f>
        <v>Especificação</v>
      </c>
      <c r="C77" s="154" t="str">
        <f t="shared" si="103"/>
        <v>PROTECTION_DT_MTRTY_INSRNC</v>
      </c>
      <c r="D77" s="153" t="s">
        <v>1114</v>
      </c>
      <c r="E77" s="153" t="s">
        <v>1284</v>
      </c>
      <c r="G77" s="172">
        <f>INDEX(Table1[[Especificação]:[Total Testes]],MATCH(PlanoV1.0!C77,Table1[CONCAT],0),MATCH(PlanoV1.0!B77,Table1[[#Headers],[Especificação]:[Total Testes]],0))</f>
        <v>0</v>
      </c>
      <c r="H77" s="191">
        <f t="shared" si="97"/>
        <v>0</v>
      </c>
      <c r="I77" s="193">
        <f t="shared" si="98"/>
        <v>1.3</v>
      </c>
      <c r="J77" s="170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  <c r="AA77" s="165"/>
      <c r="AB77" s="165"/>
      <c r="AC77" s="165"/>
      <c r="AD77" s="165"/>
      <c r="AE77" s="165"/>
      <c r="AF77" s="165"/>
      <c r="AG77" s="165"/>
      <c r="AH77" s="165"/>
      <c r="AI77" s="165">
        <v>0.5</v>
      </c>
      <c r="AJ77" s="165">
        <v>0.8</v>
      </c>
      <c r="AK77" s="165"/>
      <c r="AL77" s="165"/>
      <c r="AM77" s="165"/>
      <c r="AN77" s="165"/>
      <c r="AO77" s="165"/>
      <c r="AP77" s="165"/>
      <c r="AQ77" s="165"/>
      <c r="AR77" s="165"/>
      <c r="AS77" s="165"/>
      <c r="AT77" s="165"/>
      <c r="AU77" s="165"/>
      <c r="AV77" s="165"/>
      <c r="AW77" s="165"/>
      <c r="AX77" s="165"/>
      <c r="AY77" s="165"/>
      <c r="AZ77" s="165"/>
      <c r="BA77" s="165"/>
      <c r="BB77" s="170"/>
      <c r="BC77" s="165"/>
      <c r="BD77" s="165"/>
      <c r="BE77" s="165"/>
      <c r="BF77" s="165"/>
      <c r="BG77" s="165"/>
      <c r="BH77" s="165"/>
      <c r="BI77" s="165"/>
      <c r="BJ77" s="165"/>
      <c r="BK77" s="165"/>
      <c r="BL77" s="165"/>
      <c r="BM77" s="165"/>
      <c r="BN77" s="165"/>
      <c r="BO77" s="165"/>
      <c r="BP77" s="165"/>
      <c r="BQ77" s="165"/>
      <c r="BR77" s="165"/>
      <c r="BS77" s="165"/>
      <c r="BT77" s="165"/>
      <c r="BU77" s="165"/>
      <c r="BV77" s="165"/>
      <c r="BW77" s="165"/>
      <c r="BX77" s="165"/>
      <c r="BY77" s="165"/>
      <c r="BZ77" s="165"/>
      <c r="CA77" s="165"/>
      <c r="CB77" s="165"/>
      <c r="CC77" s="165"/>
      <c r="CD77" s="165"/>
      <c r="CE77" s="165"/>
      <c r="CF77" s="165"/>
      <c r="CG77" s="165"/>
      <c r="CH77" s="165"/>
      <c r="CI77" s="170"/>
      <c r="CJ77" s="165"/>
      <c r="CK77" s="165"/>
      <c r="CL77" s="165"/>
      <c r="CM77" s="165"/>
      <c r="CN77" s="170"/>
      <c r="CO77" s="165"/>
      <c r="CP77" s="165"/>
      <c r="CQ77" s="165"/>
    </row>
    <row r="78" spans="2:95" ht="14.85" customHeight="1" outlineLevel="1" x14ac:dyDescent="0.25">
      <c r="B78" s="156" t="str">
        <f>Table1[[#Headers],[Especificação]]</f>
        <v>Especificação</v>
      </c>
      <c r="C78" s="154" t="str">
        <f t="shared" si="103"/>
        <v>PROTECTION_FLG_FRST_HM</v>
      </c>
      <c r="D78" s="153" t="s">
        <v>1114</v>
      </c>
      <c r="E78" s="153" t="s">
        <v>1287</v>
      </c>
      <c r="G78" s="172">
        <f>INDEX(Table1[[Especificação]:[Total Testes]],MATCH(PlanoV1.0!C78,Table1[CONCAT],0),MATCH(PlanoV1.0!B78,Table1[[#Headers],[Especificação]:[Total Testes]],0))</f>
        <v>0</v>
      </c>
      <c r="H78" s="191">
        <f t="shared" si="97"/>
        <v>0</v>
      </c>
      <c r="I78" s="193">
        <f t="shared" si="98"/>
        <v>0.5</v>
      </c>
      <c r="J78" s="170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  <c r="AA78" s="165"/>
      <c r="AB78" s="165"/>
      <c r="AC78" s="165"/>
      <c r="AD78" s="165"/>
      <c r="AE78" s="165"/>
      <c r="AF78" s="165"/>
      <c r="AG78" s="165"/>
      <c r="AH78" s="165"/>
      <c r="AI78" s="165"/>
      <c r="AJ78" s="165">
        <v>0.5</v>
      </c>
      <c r="AK78" s="165"/>
      <c r="AL78" s="165"/>
      <c r="AM78" s="165"/>
      <c r="AN78" s="165"/>
      <c r="AO78" s="165"/>
      <c r="AP78" s="165"/>
      <c r="AQ78" s="165"/>
      <c r="AR78" s="165"/>
      <c r="AS78" s="165"/>
      <c r="AT78" s="165"/>
      <c r="AU78" s="165"/>
      <c r="AV78" s="165"/>
      <c r="AW78" s="165"/>
      <c r="AX78" s="165"/>
      <c r="AY78" s="165"/>
      <c r="AZ78" s="165"/>
      <c r="BA78" s="165"/>
      <c r="BB78" s="170"/>
      <c r="BC78" s="165"/>
      <c r="BD78" s="165"/>
      <c r="BE78" s="165"/>
      <c r="BF78" s="165"/>
      <c r="BG78" s="165"/>
      <c r="BH78" s="165"/>
      <c r="BI78" s="165"/>
      <c r="BJ78" s="165"/>
      <c r="BK78" s="165"/>
      <c r="BL78" s="165"/>
      <c r="BM78" s="165"/>
      <c r="BN78" s="165"/>
      <c r="BO78" s="165"/>
      <c r="BP78" s="165"/>
      <c r="BQ78" s="165"/>
      <c r="BR78" s="165"/>
      <c r="BS78" s="165"/>
      <c r="BT78" s="165"/>
      <c r="BU78" s="165"/>
      <c r="BV78" s="165"/>
      <c r="BW78" s="165"/>
      <c r="BX78" s="165"/>
      <c r="BY78" s="165"/>
      <c r="BZ78" s="165"/>
      <c r="CA78" s="165"/>
      <c r="CB78" s="165"/>
      <c r="CC78" s="165"/>
      <c r="CD78" s="165"/>
      <c r="CE78" s="165"/>
      <c r="CF78" s="165"/>
      <c r="CG78" s="165"/>
      <c r="CH78" s="165"/>
      <c r="CI78" s="170"/>
      <c r="CJ78" s="165"/>
      <c r="CK78" s="165"/>
      <c r="CL78" s="165"/>
      <c r="CM78" s="165"/>
      <c r="CN78" s="170"/>
      <c r="CO78" s="165"/>
      <c r="CP78" s="165"/>
      <c r="CQ78" s="165"/>
    </row>
    <row r="79" spans="2:95" ht="14.85" customHeight="1" outlineLevel="1" x14ac:dyDescent="0.25">
      <c r="B79" s="156" t="str">
        <f>Table1[[#Headers],[Especificação]]</f>
        <v>Especificação</v>
      </c>
      <c r="C79" s="154" t="str">
        <f t="shared" ref="C79:C86" si="104">D79&amp;"_"&amp;E79</f>
        <v>PROTECTION_INTRNL_SGMNT</v>
      </c>
      <c r="D79" s="153" t="s">
        <v>1114</v>
      </c>
      <c r="E79" s="153" t="s">
        <v>50</v>
      </c>
      <c r="G79" s="172">
        <v>2</v>
      </c>
      <c r="H79" s="191">
        <f t="shared" ref="H79:H83" si="105">ROUNDUP(G79/8,1)</f>
        <v>0.30000000000000004</v>
      </c>
      <c r="I79" s="193">
        <f t="shared" ref="I79:I83" si="106">SUM(J79:CQ79)-H79</f>
        <v>0</v>
      </c>
      <c r="J79" s="170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  <c r="AA79" s="165"/>
      <c r="AB79" s="165"/>
      <c r="AC79" s="165"/>
      <c r="AD79" s="165"/>
      <c r="AE79" s="165"/>
      <c r="AF79" s="165"/>
      <c r="AG79" s="165"/>
      <c r="AH79" s="165"/>
      <c r="AI79" s="165"/>
      <c r="AJ79" s="165">
        <v>0.3</v>
      </c>
      <c r="AK79" s="165"/>
      <c r="AL79" s="165"/>
      <c r="AM79" s="165"/>
      <c r="AN79" s="165"/>
      <c r="AO79" s="165"/>
      <c r="AP79" s="165"/>
      <c r="AQ79" s="165"/>
      <c r="AR79" s="165"/>
      <c r="AS79" s="165"/>
      <c r="AT79" s="165"/>
      <c r="AU79" s="165"/>
      <c r="AV79" s="165"/>
      <c r="AW79" s="165"/>
      <c r="AX79" s="165"/>
      <c r="AY79" s="165"/>
      <c r="AZ79" s="165"/>
      <c r="BA79" s="165"/>
      <c r="BB79" s="170"/>
      <c r="BC79" s="165"/>
      <c r="BD79" s="165"/>
      <c r="BE79" s="165"/>
      <c r="BF79" s="165"/>
      <c r="BG79" s="165"/>
      <c r="BH79" s="165"/>
      <c r="BI79" s="165"/>
      <c r="BJ79" s="165"/>
      <c r="BK79" s="165"/>
      <c r="BL79" s="165"/>
      <c r="BM79" s="165"/>
      <c r="BN79" s="165"/>
      <c r="BO79" s="165"/>
      <c r="BP79" s="165"/>
      <c r="BQ79" s="165"/>
      <c r="BR79" s="165"/>
      <c r="BS79" s="165"/>
      <c r="BT79" s="165"/>
      <c r="BU79" s="165"/>
      <c r="BV79" s="165"/>
      <c r="BW79" s="165"/>
      <c r="BX79" s="165"/>
      <c r="BY79" s="165"/>
      <c r="BZ79" s="165"/>
      <c r="CA79" s="165"/>
      <c r="CB79" s="165"/>
      <c r="CC79" s="165"/>
      <c r="CD79" s="165"/>
      <c r="CE79" s="165"/>
      <c r="CF79" s="165"/>
      <c r="CG79" s="165"/>
      <c r="CH79" s="165"/>
      <c r="CI79" s="170"/>
      <c r="CJ79" s="165"/>
      <c r="CK79" s="165"/>
      <c r="CL79" s="165"/>
      <c r="CM79" s="165"/>
      <c r="CN79" s="170"/>
      <c r="CO79" s="165"/>
      <c r="CP79" s="165"/>
      <c r="CQ79" s="165"/>
    </row>
    <row r="80" spans="2:95" ht="14.85" customHeight="1" outlineLevel="1" x14ac:dyDescent="0.25">
      <c r="B80" s="156" t="str">
        <f>Table1[[#Headers],[Especificação]]</f>
        <v>Especificação</v>
      </c>
      <c r="C80" s="154" t="str">
        <f t="shared" si="104"/>
        <v>PROTECTION_EAD</v>
      </c>
      <c r="D80" s="153" t="s">
        <v>1114</v>
      </c>
      <c r="E80" s="153" t="s">
        <v>617</v>
      </c>
      <c r="G80" s="172">
        <v>2</v>
      </c>
      <c r="H80" s="191">
        <f t="shared" si="105"/>
        <v>0.30000000000000004</v>
      </c>
      <c r="I80" s="193">
        <f t="shared" si="106"/>
        <v>0</v>
      </c>
      <c r="J80" s="170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  <c r="AD80" s="165"/>
      <c r="AE80" s="165"/>
      <c r="AF80" s="165"/>
      <c r="AG80" s="165"/>
      <c r="AH80" s="165"/>
      <c r="AI80" s="165"/>
      <c r="AJ80" s="165">
        <v>0.3</v>
      </c>
      <c r="AK80" s="165"/>
      <c r="AL80" s="165"/>
      <c r="AM80" s="165"/>
      <c r="AN80" s="165"/>
      <c r="AO80" s="165"/>
      <c r="AP80" s="165"/>
      <c r="AQ80" s="165"/>
      <c r="AR80" s="165"/>
      <c r="AS80" s="165"/>
      <c r="AT80" s="165"/>
      <c r="AU80" s="165"/>
      <c r="AV80" s="165"/>
      <c r="AW80" s="165"/>
      <c r="AX80" s="165"/>
      <c r="AY80" s="165"/>
      <c r="AZ80" s="165"/>
      <c r="BA80" s="165"/>
      <c r="BB80" s="170"/>
      <c r="BC80" s="165"/>
      <c r="BD80" s="165"/>
      <c r="BE80" s="165"/>
      <c r="BF80" s="165"/>
      <c r="BG80" s="165"/>
      <c r="BH80" s="165"/>
      <c r="BI80" s="165"/>
      <c r="BJ80" s="165"/>
      <c r="BK80" s="165"/>
      <c r="BL80" s="165"/>
      <c r="BM80" s="165"/>
      <c r="BN80" s="165"/>
      <c r="BO80" s="165"/>
      <c r="BP80" s="165"/>
      <c r="BQ80" s="165"/>
      <c r="BR80" s="165"/>
      <c r="BS80" s="165"/>
      <c r="BT80" s="165"/>
      <c r="BU80" s="165"/>
      <c r="BV80" s="165"/>
      <c r="BW80" s="165"/>
      <c r="BX80" s="165"/>
      <c r="BY80" s="165"/>
      <c r="BZ80" s="165"/>
      <c r="CA80" s="165"/>
      <c r="CB80" s="165"/>
      <c r="CC80" s="165"/>
      <c r="CD80" s="165"/>
      <c r="CE80" s="165"/>
      <c r="CF80" s="165"/>
      <c r="CG80" s="165"/>
      <c r="CH80" s="165"/>
      <c r="CI80" s="170"/>
      <c r="CJ80" s="165"/>
      <c r="CK80" s="165"/>
      <c r="CL80" s="165"/>
      <c r="CM80" s="165"/>
      <c r="CN80" s="170"/>
      <c r="CO80" s="165"/>
      <c r="CP80" s="165"/>
      <c r="CQ80" s="165"/>
    </row>
    <row r="81" spans="2:95" ht="14.85" customHeight="1" outlineLevel="1" x14ac:dyDescent="0.25">
      <c r="B81" s="156" t="str">
        <f>Table1[[#Headers],[Especificação]]</f>
        <v>Especificação</v>
      </c>
      <c r="C81" s="154" t="str">
        <f t="shared" si="104"/>
        <v>PROTECTION_OFF_BLNC_SHT_AMNT_INSTRMNT</v>
      </c>
      <c r="D81" s="153" t="s">
        <v>1114</v>
      </c>
      <c r="E81" s="153" t="s">
        <v>629</v>
      </c>
      <c r="G81" s="172">
        <v>2</v>
      </c>
      <c r="H81" s="191">
        <f t="shared" si="105"/>
        <v>0.30000000000000004</v>
      </c>
      <c r="I81" s="193">
        <f t="shared" si="106"/>
        <v>0</v>
      </c>
      <c r="J81" s="170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  <c r="AD81" s="165"/>
      <c r="AE81" s="165"/>
      <c r="AF81" s="165"/>
      <c r="AG81" s="165"/>
      <c r="AH81" s="165"/>
      <c r="AI81" s="165"/>
      <c r="AJ81" s="165">
        <v>0.1</v>
      </c>
      <c r="AK81" s="165">
        <v>0.2</v>
      </c>
      <c r="AL81" s="165"/>
      <c r="AM81" s="165"/>
      <c r="AN81" s="165"/>
      <c r="AO81" s="165"/>
      <c r="AP81" s="165"/>
      <c r="AQ81" s="165"/>
      <c r="AR81" s="165"/>
      <c r="AS81" s="165"/>
      <c r="AT81" s="165"/>
      <c r="AU81" s="165"/>
      <c r="AV81" s="165"/>
      <c r="AW81" s="165"/>
      <c r="AX81" s="165"/>
      <c r="AY81" s="165"/>
      <c r="AZ81" s="165"/>
      <c r="BA81" s="165"/>
      <c r="BB81" s="170"/>
      <c r="BC81" s="165"/>
      <c r="BD81" s="165"/>
      <c r="BE81" s="165"/>
      <c r="BF81" s="165"/>
      <c r="BG81" s="165"/>
      <c r="BH81" s="165"/>
      <c r="BI81" s="165"/>
      <c r="BJ81" s="165"/>
      <c r="BK81" s="165"/>
      <c r="BL81" s="165"/>
      <c r="BM81" s="165"/>
      <c r="BN81" s="165"/>
      <c r="BO81" s="165"/>
      <c r="BP81" s="165"/>
      <c r="BQ81" s="165"/>
      <c r="BR81" s="165"/>
      <c r="BS81" s="165"/>
      <c r="BT81" s="165"/>
      <c r="BU81" s="165"/>
      <c r="BV81" s="165"/>
      <c r="BW81" s="165"/>
      <c r="BX81" s="165"/>
      <c r="BY81" s="165"/>
      <c r="BZ81" s="165"/>
      <c r="CA81" s="165"/>
      <c r="CB81" s="165"/>
      <c r="CC81" s="165"/>
      <c r="CD81" s="165"/>
      <c r="CE81" s="165"/>
      <c r="CF81" s="165"/>
      <c r="CG81" s="165"/>
      <c r="CH81" s="165"/>
      <c r="CI81" s="170"/>
      <c r="CJ81" s="165"/>
      <c r="CK81" s="165"/>
      <c r="CL81" s="165"/>
      <c r="CM81" s="165"/>
      <c r="CN81" s="170"/>
      <c r="CO81" s="165"/>
      <c r="CP81" s="165"/>
      <c r="CQ81" s="165"/>
    </row>
    <row r="82" spans="2:95" ht="14.85" customHeight="1" outlineLevel="1" x14ac:dyDescent="0.25">
      <c r="B82" s="156" t="str">
        <f>Table1[[#Headers],[Especificação]]</f>
        <v>Especificação</v>
      </c>
      <c r="C82" s="154" t="str">
        <f t="shared" si="104"/>
        <v>PROTECTION_INTRNL_SGMNT_CAT_MSTA</v>
      </c>
      <c r="D82" s="153" t="s">
        <v>1114</v>
      </c>
      <c r="E82" s="153" t="s">
        <v>943</v>
      </c>
      <c r="G82" s="172">
        <v>2</v>
      </c>
      <c r="H82" s="191">
        <f t="shared" si="105"/>
        <v>0.30000000000000004</v>
      </c>
      <c r="I82" s="193">
        <f t="shared" si="106"/>
        <v>0</v>
      </c>
      <c r="J82" s="170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  <c r="AA82" s="165"/>
      <c r="AB82" s="165"/>
      <c r="AC82" s="165"/>
      <c r="AD82" s="165"/>
      <c r="AE82" s="165"/>
      <c r="AF82" s="165"/>
      <c r="AG82" s="165"/>
      <c r="AH82" s="165"/>
      <c r="AI82" s="165"/>
      <c r="AJ82" s="165"/>
      <c r="AK82" s="165">
        <v>0.3</v>
      </c>
      <c r="AL82" s="165"/>
      <c r="AM82" s="165"/>
      <c r="AN82" s="165"/>
      <c r="AO82" s="165"/>
      <c r="AP82" s="165"/>
      <c r="AQ82" s="165"/>
      <c r="AR82" s="165"/>
      <c r="AS82" s="165"/>
      <c r="AT82" s="165"/>
      <c r="AU82" s="165"/>
      <c r="AV82" s="165"/>
      <c r="AW82" s="165"/>
      <c r="AX82" s="165"/>
      <c r="AY82" s="165"/>
      <c r="AZ82" s="165"/>
      <c r="BA82" s="165"/>
      <c r="BB82" s="170"/>
      <c r="BC82" s="165"/>
      <c r="BD82" s="165"/>
      <c r="BE82" s="165"/>
      <c r="BF82" s="165"/>
      <c r="BG82" s="165"/>
      <c r="BH82" s="165"/>
      <c r="BI82" s="165"/>
      <c r="BJ82" s="165"/>
      <c r="BK82" s="165"/>
      <c r="BL82" s="165"/>
      <c r="BM82" s="165"/>
      <c r="BN82" s="165"/>
      <c r="BO82" s="165"/>
      <c r="BP82" s="165"/>
      <c r="BQ82" s="165"/>
      <c r="BR82" s="165"/>
      <c r="BS82" s="165"/>
      <c r="BT82" s="165"/>
      <c r="BU82" s="165"/>
      <c r="BV82" s="165"/>
      <c r="BW82" s="165"/>
      <c r="BX82" s="165"/>
      <c r="BY82" s="165"/>
      <c r="BZ82" s="165"/>
      <c r="CA82" s="165"/>
      <c r="CB82" s="165"/>
      <c r="CC82" s="165"/>
      <c r="CD82" s="165"/>
      <c r="CE82" s="165"/>
      <c r="CF82" s="165"/>
      <c r="CG82" s="165"/>
      <c r="CH82" s="165"/>
      <c r="CI82" s="170"/>
      <c r="CJ82" s="165"/>
      <c r="CK82" s="165"/>
      <c r="CL82" s="165"/>
      <c r="CM82" s="165"/>
      <c r="CN82" s="170"/>
      <c r="CO82" s="165"/>
      <c r="CP82" s="165"/>
      <c r="CQ82" s="165"/>
    </row>
    <row r="83" spans="2:95" ht="14.85" customHeight="1" outlineLevel="1" x14ac:dyDescent="0.25">
      <c r="B83" s="156" t="str">
        <f>Table1[[#Headers],[Especificação]]</f>
        <v>Especificação</v>
      </c>
      <c r="C83" s="154" t="str">
        <f t="shared" si="104"/>
        <v>PROTECTION_INTRNL_SGMNT_CATGSUB</v>
      </c>
      <c r="D83" s="153" t="s">
        <v>1114</v>
      </c>
      <c r="E83" s="153" t="s">
        <v>946</v>
      </c>
      <c r="G83" s="214">
        <v>2</v>
      </c>
      <c r="H83" s="191">
        <f t="shared" si="105"/>
        <v>0.30000000000000004</v>
      </c>
      <c r="I83" s="193">
        <f t="shared" si="106"/>
        <v>0</v>
      </c>
      <c r="J83" s="170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  <c r="AK83" s="165">
        <v>0.3</v>
      </c>
      <c r="AL83" s="165"/>
      <c r="AM83" s="165"/>
      <c r="AN83" s="165"/>
      <c r="AO83" s="165"/>
      <c r="AP83" s="165"/>
      <c r="AQ83" s="165"/>
      <c r="AR83" s="165"/>
      <c r="AS83" s="165"/>
      <c r="AT83" s="165"/>
      <c r="AU83" s="165"/>
      <c r="AV83" s="165"/>
      <c r="AW83" s="165"/>
      <c r="AX83" s="165"/>
      <c r="AY83" s="165"/>
      <c r="AZ83" s="165"/>
      <c r="BA83" s="165"/>
      <c r="BB83" s="170"/>
      <c r="BC83" s="165"/>
      <c r="BD83" s="165"/>
      <c r="BE83" s="165"/>
      <c r="BF83" s="165"/>
      <c r="BG83" s="165"/>
      <c r="BH83" s="165"/>
      <c r="BI83" s="165"/>
      <c r="BJ83" s="165"/>
      <c r="BK83" s="165"/>
      <c r="BL83" s="165"/>
      <c r="BM83" s="165"/>
      <c r="BN83" s="165"/>
      <c r="BO83" s="165"/>
      <c r="BP83" s="165"/>
      <c r="BQ83" s="165"/>
      <c r="BR83" s="165"/>
      <c r="BS83" s="165"/>
      <c r="BT83" s="165"/>
      <c r="BU83" s="165"/>
      <c r="BV83" s="165"/>
      <c r="BW83" s="165"/>
      <c r="BX83" s="165"/>
      <c r="BY83" s="165"/>
      <c r="BZ83" s="165"/>
      <c r="CA83" s="165"/>
      <c r="CB83" s="165"/>
      <c r="CC83" s="165"/>
      <c r="CD83" s="165"/>
      <c r="CE83" s="165"/>
      <c r="CF83" s="165"/>
      <c r="CG83" s="165"/>
      <c r="CH83" s="165"/>
      <c r="CI83" s="170"/>
      <c r="CJ83" s="165"/>
      <c r="CK83" s="165"/>
      <c r="CL83" s="165"/>
      <c r="CM83" s="165"/>
      <c r="CN83" s="170"/>
      <c r="CO83" s="165"/>
      <c r="CP83" s="165"/>
      <c r="CQ83" s="165"/>
    </row>
    <row r="84" spans="2:95" ht="14.85" customHeight="1" outlineLevel="1" x14ac:dyDescent="0.25">
      <c r="B84" s="156" t="str">
        <f>Table1[[#Headers],[Especificação]]</f>
        <v>Especificação</v>
      </c>
      <c r="C84" s="154" t="str">
        <f t="shared" si="104"/>
        <v>PROTECTION_RL_ESTT_ADDRSS</v>
      </c>
      <c r="D84" s="153" t="s">
        <v>1114</v>
      </c>
      <c r="E84" s="153" t="s">
        <v>1127</v>
      </c>
      <c r="G84" s="214">
        <f>INDEX(Table1[[Especificação]:[Total Testes]],MATCH(PlanoV1.0!C84,Table1[CONCAT],0),MATCH(PlanoV1.0!B84,Table1[[#Headers],[Especificação]:[Total Testes]],0))</f>
        <v>2</v>
      </c>
      <c r="H84" s="191">
        <f t="shared" ref="H84:H86" si="107">ROUNDUP(G84/8,1)</f>
        <v>0.30000000000000004</v>
      </c>
      <c r="I84" s="193">
        <f t="shared" ref="I84:I86" si="108">SUM(J84:CQ84)-H84</f>
        <v>0</v>
      </c>
      <c r="J84" s="170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  <c r="AA84" s="165"/>
      <c r="AB84" s="165"/>
      <c r="AC84" s="165"/>
      <c r="AD84" s="165"/>
      <c r="AE84" s="165"/>
      <c r="AF84" s="165"/>
      <c r="AG84" s="165"/>
      <c r="AH84" s="165"/>
      <c r="AI84" s="165"/>
      <c r="AJ84" s="165"/>
      <c r="AK84" s="165">
        <v>0.3</v>
      </c>
      <c r="AL84" s="165"/>
      <c r="AM84" s="165"/>
      <c r="AN84" s="165"/>
      <c r="AO84" s="165"/>
      <c r="AP84" s="165"/>
      <c r="AQ84" s="165"/>
      <c r="AR84" s="165"/>
      <c r="AS84" s="165"/>
      <c r="AT84" s="165"/>
      <c r="AU84" s="165"/>
      <c r="AV84" s="165"/>
      <c r="AW84" s="165"/>
      <c r="AX84" s="165"/>
      <c r="AY84" s="165"/>
      <c r="AZ84" s="165"/>
      <c r="BA84" s="165"/>
      <c r="BB84" s="170"/>
      <c r="BC84" s="165"/>
      <c r="BD84" s="165"/>
      <c r="BE84" s="165"/>
      <c r="BF84" s="165"/>
      <c r="BG84" s="165"/>
      <c r="BH84" s="165"/>
      <c r="BI84" s="165"/>
      <c r="BJ84" s="165"/>
      <c r="BK84" s="165"/>
      <c r="BL84" s="165"/>
      <c r="BM84" s="165"/>
      <c r="BN84" s="165"/>
      <c r="BO84" s="165"/>
      <c r="BP84" s="165"/>
      <c r="BQ84" s="165"/>
      <c r="BR84" s="165"/>
      <c r="BS84" s="165"/>
      <c r="BT84" s="165"/>
      <c r="BU84" s="165"/>
      <c r="BV84" s="165"/>
      <c r="BW84" s="165"/>
      <c r="BX84" s="165"/>
      <c r="BY84" s="165"/>
      <c r="BZ84" s="165"/>
      <c r="CA84" s="165"/>
      <c r="CB84" s="165"/>
      <c r="CC84" s="165"/>
      <c r="CD84" s="165"/>
      <c r="CE84" s="165"/>
      <c r="CF84" s="165"/>
      <c r="CG84" s="165"/>
      <c r="CH84" s="165"/>
      <c r="CI84" s="170"/>
      <c r="CJ84" s="165"/>
      <c r="CK84" s="165"/>
      <c r="CL84" s="165"/>
      <c r="CM84" s="165"/>
      <c r="CN84" s="170"/>
      <c r="CO84" s="165"/>
      <c r="CP84" s="165"/>
      <c r="CQ84" s="165"/>
    </row>
    <row r="85" spans="2:95" ht="14.85" customHeight="1" outlineLevel="1" x14ac:dyDescent="0.25">
      <c r="B85" s="156" t="str">
        <f>Table1[[#Headers],[Especificação]]</f>
        <v>Especificação</v>
      </c>
      <c r="C85" s="154" t="str">
        <f t="shared" si="104"/>
        <v>PROTECTION_RL_ESTT_CLLTRL_LCTN_INT</v>
      </c>
      <c r="D85" s="153" t="s">
        <v>1114</v>
      </c>
      <c r="E85" s="153" t="s">
        <v>1133</v>
      </c>
      <c r="G85" s="214">
        <f>INDEX(Table1[[Especificação]:[Total Testes]],MATCH(PlanoV1.0!C85,Table1[CONCAT],0),MATCH(PlanoV1.0!B85,Table1[[#Headers],[Especificação]:[Total Testes]],0))</f>
        <v>2</v>
      </c>
      <c r="H85" s="191">
        <f t="shared" si="107"/>
        <v>0.30000000000000004</v>
      </c>
      <c r="I85" s="193">
        <f t="shared" si="108"/>
        <v>0</v>
      </c>
      <c r="J85" s="170"/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  <c r="AA85" s="165"/>
      <c r="AB85" s="165"/>
      <c r="AC85" s="165"/>
      <c r="AD85" s="165"/>
      <c r="AE85" s="165"/>
      <c r="AF85" s="165"/>
      <c r="AG85" s="165"/>
      <c r="AH85" s="165"/>
      <c r="AI85" s="165"/>
      <c r="AJ85" s="165"/>
      <c r="AK85" s="165">
        <v>0.3</v>
      </c>
      <c r="AL85" s="165"/>
      <c r="AM85" s="165"/>
      <c r="AN85" s="165"/>
      <c r="AO85" s="165"/>
      <c r="AP85" s="165"/>
      <c r="AQ85" s="165"/>
      <c r="AR85" s="165"/>
      <c r="AS85" s="165"/>
      <c r="AT85" s="165"/>
      <c r="AU85" s="165"/>
      <c r="AV85" s="165"/>
      <c r="AW85" s="165"/>
      <c r="AX85" s="165"/>
      <c r="AY85" s="165"/>
      <c r="AZ85" s="165"/>
      <c r="BA85" s="165"/>
      <c r="BB85" s="170"/>
      <c r="BC85" s="165"/>
      <c r="BD85" s="165"/>
      <c r="BE85" s="165"/>
      <c r="BF85" s="165"/>
      <c r="BG85" s="165"/>
      <c r="BH85" s="165"/>
      <c r="BI85" s="165"/>
      <c r="BJ85" s="165"/>
      <c r="BK85" s="165"/>
      <c r="BL85" s="165"/>
      <c r="BM85" s="165"/>
      <c r="BN85" s="165"/>
      <c r="BO85" s="165"/>
      <c r="BP85" s="165"/>
      <c r="BQ85" s="165"/>
      <c r="BR85" s="165"/>
      <c r="BS85" s="165"/>
      <c r="BT85" s="165"/>
      <c r="BU85" s="165"/>
      <c r="BV85" s="165"/>
      <c r="BW85" s="165"/>
      <c r="BX85" s="165"/>
      <c r="BY85" s="165"/>
      <c r="BZ85" s="165"/>
      <c r="CA85" s="165"/>
      <c r="CB85" s="165"/>
      <c r="CC85" s="165"/>
      <c r="CD85" s="165"/>
      <c r="CE85" s="165"/>
      <c r="CF85" s="165"/>
      <c r="CG85" s="165"/>
      <c r="CH85" s="165"/>
      <c r="CI85" s="170"/>
      <c r="CJ85" s="165"/>
      <c r="CK85" s="165"/>
      <c r="CL85" s="165"/>
      <c r="CM85" s="165"/>
      <c r="CN85" s="170"/>
      <c r="CO85" s="165"/>
      <c r="CP85" s="165"/>
      <c r="CQ85" s="165"/>
    </row>
    <row r="86" spans="2:95" ht="14.85" customHeight="1" outlineLevel="1" x14ac:dyDescent="0.25">
      <c r="B86" s="156" t="str">
        <f>Table1[[#Headers],[Especificação]]</f>
        <v>Especificação</v>
      </c>
      <c r="C86" s="154" t="str">
        <f t="shared" si="104"/>
        <v>PROTECTION_RL_ESTT_CTY</v>
      </c>
      <c r="D86" s="153" t="s">
        <v>1114</v>
      </c>
      <c r="E86" s="153" t="s">
        <v>1136</v>
      </c>
      <c r="G86" s="214">
        <f>INDEX(Table1[[Especificação]:[Total Testes]],MATCH(PlanoV1.0!C86,Table1[CONCAT],0),MATCH(PlanoV1.0!B86,Table1[[#Headers],[Especificação]:[Total Testes]],0))</f>
        <v>2</v>
      </c>
      <c r="H86" s="191">
        <f t="shared" si="107"/>
        <v>0.30000000000000004</v>
      </c>
      <c r="I86" s="193">
        <f t="shared" si="108"/>
        <v>0</v>
      </c>
      <c r="J86" s="170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  <c r="AA86" s="165"/>
      <c r="AB86" s="165"/>
      <c r="AC86" s="165"/>
      <c r="AD86" s="165"/>
      <c r="AE86" s="165"/>
      <c r="AF86" s="165"/>
      <c r="AG86" s="165"/>
      <c r="AH86" s="165"/>
      <c r="AI86" s="165"/>
      <c r="AJ86" s="165"/>
      <c r="AK86" s="165">
        <v>0.3</v>
      </c>
      <c r="AL86" s="165"/>
      <c r="AM86" s="165"/>
      <c r="AN86" s="165"/>
      <c r="AO86" s="165"/>
      <c r="AP86" s="165"/>
      <c r="AQ86" s="165"/>
      <c r="AR86" s="165"/>
      <c r="AS86" s="165"/>
      <c r="AT86" s="165"/>
      <c r="AU86" s="165"/>
      <c r="AV86" s="165"/>
      <c r="AW86" s="165"/>
      <c r="AX86" s="165"/>
      <c r="AY86" s="165"/>
      <c r="AZ86" s="165"/>
      <c r="BA86" s="165"/>
      <c r="BB86" s="170"/>
      <c r="BC86" s="165"/>
      <c r="BD86" s="165"/>
      <c r="BE86" s="165"/>
      <c r="BF86" s="165"/>
      <c r="BG86" s="165"/>
      <c r="BH86" s="165"/>
      <c r="BI86" s="165"/>
      <c r="BJ86" s="165"/>
      <c r="BK86" s="165"/>
      <c r="BL86" s="165"/>
      <c r="BM86" s="165"/>
      <c r="BN86" s="165"/>
      <c r="BO86" s="165"/>
      <c r="BP86" s="165"/>
      <c r="BQ86" s="165"/>
      <c r="BR86" s="165"/>
      <c r="BS86" s="165"/>
      <c r="BT86" s="165"/>
      <c r="BU86" s="165"/>
      <c r="BV86" s="165"/>
      <c r="BW86" s="165"/>
      <c r="BX86" s="165"/>
      <c r="BY86" s="165"/>
      <c r="BZ86" s="165"/>
      <c r="CA86" s="165"/>
      <c r="CB86" s="165"/>
      <c r="CC86" s="165"/>
      <c r="CD86" s="165"/>
      <c r="CE86" s="165"/>
      <c r="CF86" s="165"/>
      <c r="CG86" s="165"/>
      <c r="CH86" s="165"/>
      <c r="CI86" s="170"/>
      <c r="CJ86" s="165"/>
      <c r="CK86" s="165"/>
      <c r="CL86" s="165"/>
      <c r="CM86" s="165"/>
      <c r="CN86" s="170"/>
      <c r="CO86" s="165"/>
      <c r="CP86" s="165"/>
      <c r="CQ86" s="165"/>
    </row>
    <row r="87" spans="2:95" ht="13.8" x14ac:dyDescent="0.25">
      <c r="B87" s="156"/>
      <c r="C87" s="211" t="s">
        <v>1722</v>
      </c>
      <c r="D87" s="178"/>
      <c r="E87" s="179"/>
      <c r="F87" s="205">
        <f>COUNTA(E88:E155)</f>
        <v>68</v>
      </c>
      <c r="G87" s="205">
        <f>SUM(G88:G137)</f>
        <v>69.5</v>
      </c>
      <c r="H87" s="208">
        <f>ROUND(SUM(H88:H137),0)</f>
        <v>11</v>
      </c>
      <c r="I87" s="210"/>
      <c r="J87" s="170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  <c r="AD87" s="165"/>
      <c r="AE87" s="165"/>
      <c r="AF87" s="165"/>
      <c r="AG87" s="165"/>
      <c r="AH87" s="165"/>
      <c r="AI87" s="165"/>
      <c r="AJ87" s="165"/>
      <c r="AK87" s="194"/>
      <c r="AL87" s="194"/>
      <c r="AM87" s="194"/>
      <c r="AN87" s="194"/>
      <c r="AO87" s="194"/>
      <c r="AP87" s="194"/>
      <c r="AQ87" s="194"/>
      <c r="AR87" s="194"/>
      <c r="AS87" s="194"/>
      <c r="AT87" s="194"/>
      <c r="AU87" s="194"/>
      <c r="AV87" s="194"/>
      <c r="AW87" s="194"/>
      <c r="AX87" s="194"/>
      <c r="AY87" s="194"/>
      <c r="AZ87" s="165"/>
      <c r="BA87" s="165"/>
      <c r="BB87" s="170"/>
      <c r="BC87" s="165"/>
      <c r="BD87" s="165"/>
      <c r="BE87" s="165"/>
      <c r="BF87" s="165"/>
      <c r="BG87" s="165"/>
      <c r="BH87" s="165"/>
      <c r="BI87" s="165"/>
      <c r="BJ87" s="165"/>
      <c r="BK87" s="165"/>
      <c r="BL87" s="165"/>
      <c r="BM87" s="165"/>
      <c r="BN87" s="165"/>
      <c r="BO87" s="165"/>
      <c r="BP87" s="165"/>
      <c r="BQ87" s="165"/>
      <c r="BR87" s="165"/>
      <c r="BS87" s="165"/>
      <c r="BT87" s="165"/>
      <c r="BU87" s="165"/>
      <c r="BV87" s="165"/>
      <c r="BW87" s="165"/>
      <c r="BX87" s="165"/>
      <c r="BY87" s="165"/>
      <c r="BZ87" s="165"/>
      <c r="CA87" s="165"/>
      <c r="CB87" s="165"/>
      <c r="CC87" s="165"/>
      <c r="CD87" s="165"/>
      <c r="CE87" s="165"/>
      <c r="CF87" s="165"/>
      <c r="CG87" s="165"/>
      <c r="CH87" s="165"/>
      <c r="CI87" s="170"/>
      <c r="CJ87" s="165"/>
      <c r="CK87" s="165"/>
      <c r="CL87" s="165"/>
      <c r="CM87" s="165"/>
      <c r="CN87" s="170"/>
      <c r="CO87" s="165"/>
      <c r="CP87" s="165"/>
      <c r="CQ87" s="165"/>
    </row>
    <row r="88" spans="2:95" ht="13.8" x14ac:dyDescent="0.25">
      <c r="B88" s="156" t="str">
        <f>Table1[[#Headers],[Simulação]]</f>
        <v>Simulação</v>
      </c>
      <c r="C88" s="154" t="str">
        <f t="shared" ref="C88:C137" si="109">D88&amp;"_"&amp;E88</f>
        <v>ENTITY_TXNMY_ELGBL_CAPEX_W</v>
      </c>
      <c r="D88" s="153" t="s">
        <v>10</v>
      </c>
      <c r="E88" s="153" t="s">
        <v>1402</v>
      </c>
      <c r="G88" s="172">
        <f>INDEX(Table1[[Especificação]:[Total Testes]],MATCH(PlanoV1.0!C88,Table1[CONCAT],0),MATCH(PlanoV1.0!B88,Table1[[#Headers],[Especificação]:[Total Testes]],0))</f>
        <v>6</v>
      </c>
      <c r="H88" s="191">
        <f t="shared" si="97"/>
        <v>0.79999999999999993</v>
      </c>
      <c r="I88" s="193">
        <f t="shared" si="98"/>
        <v>0</v>
      </c>
      <c r="J88" s="170"/>
      <c r="K88" s="165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165"/>
      <c r="AF88" s="165"/>
      <c r="AG88" s="165"/>
      <c r="AH88" s="165"/>
      <c r="AI88" s="165"/>
      <c r="AJ88" s="165"/>
      <c r="AK88" s="165">
        <v>0.3</v>
      </c>
      <c r="AL88" s="165">
        <v>0.5</v>
      </c>
      <c r="AM88" s="165"/>
      <c r="AN88" s="165"/>
      <c r="AO88" s="165"/>
      <c r="AP88" s="165"/>
      <c r="AQ88" s="165"/>
      <c r="AR88" s="165"/>
      <c r="AS88" s="165"/>
      <c r="AT88" s="165"/>
      <c r="AU88" s="165"/>
      <c r="AV88" s="165"/>
      <c r="AW88" s="165"/>
      <c r="AX88" s="165"/>
      <c r="AY88" s="165"/>
      <c r="AZ88" s="165"/>
      <c r="BA88" s="165"/>
      <c r="BB88" s="170"/>
      <c r="BC88" s="165"/>
      <c r="BD88" s="165"/>
      <c r="BE88" s="165"/>
      <c r="BF88" s="165"/>
      <c r="BG88" s="165"/>
      <c r="BH88" s="165"/>
      <c r="BI88" s="165"/>
      <c r="BJ88" s="165"/>
      <c r="BK88" s="165"/>
      <c r="BL88" s="165"/>
      <c r="BM88" s="165"/>
      <c r="BN88" s="165"/>
      <c r="BO88" s="165"/>
      <c r="BP88" s="165"/>
      <c r="BQ88" s="165"/>
      <c r="BR88" s="165"/>
      <c r="BS88" s="165"/>
      <c r="BT88" s="165"/>
      <c r="BU88" s="165"/>
      <c r="BV88" s="165"/>
      <c r="BW88" s="165"/>
      <c r="BX88" s="165"/>
      <c r="BY88" s="165"/>
      <c r="BZ88" s="165"/>
      <c r="CA88" s="165"/>
      <c r="CB88" s="165"/>
      <c r="CC88" s="165"/>
      <c r="CD88" s="165"/>
      <c r="CE88" s="165"/>
      <c r="CF88" s="165"/>
      <c r="CG88" s="165"/>
      <c r="CH88" s="165"/>
      <c r="CI88" s="170"/>
      <c r="CJ88" s="165"/>
      <c r="CK88" s="165"/>
      <c r="CL88" s="165"/>
      <c r="CM88" s="165"/>
      <c r="CN88" s="170"/>
      <c r="CO88" s="165"/>
      <c r="CP88" s="165"/>
      <c r="CQ88" s="165"/>
    </row>
    <row r="89" spans="2:95" ht="13.8" x14ac:dyDescent="0.25">
      <c r="B89" s="156" t="str">
        <f>Table1[[#Headers],[Simulação]]</f>
        <v>Simulação</v>
      </c>
      <c r="C89" s="154" t="str">
        <f t="shared" si="109"/>
        <v>ENTITY_TXNMY_ELGBL_TRNVR_W</v>
      </c>
      <c r="D89" s="153" t="s">
        <v>10</v>
      </c>
      <c r="E89" s="153" t="s">
        <v>1405</v>
      </c>
      <c r="G89" s="172">
        <f>INDEX(Table1[[Especificação]:[Total Testes]],MATCH(PlanoV1.0!C89,Table1[CONCAT],0),MATCH(PlanoV1.0!B89,Table1[[#Headers],[Especificação]:[Total Testes]],0))</f>
        <v>6</v>
      </c>
      <c r="H89" s="191">
        <f t="shared" si="97"/>
        <v>0.79999999999999993</v>
      </c>
      <c r="I89" s="193">
        <f t="shared" si="98"/>
        <v>-0.39999999999999991</v>
      </c>
      <c r="J89" s="170"/>
      <c r="K89" s="165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  <c r="AD89" s="165"/>
      <c r="AE89" s="165"/>
      <c r="AF89" s="165"/>
      <c r="AG89" s="165"/>
      <c r="AH89" s="165"/>
      <c r="AI89" s="165"/>
      <c r="AJ89" s="165"/>
      <c r="AK89" s="165"/>
      <c r="AL89" s="165">
        <v>0.4</v>
      </c>
      <c r="AM89" s="165"/>
      <c r="AN89" s="165"/>
      <c r="AO89" s="165"/>
      <c r="AP89" s="165"/>
      <c r="AQ89" s="165"/>
      <c r="AR89" s="165"/>
      <c r="AS89" s="165"/>
      <c r="AT89" s="165"/>
      <c r="AU89" s="165"/>
      <c r="AV89" s="165"/>
      <c r="AW89" s="165"/>
      <c r="AX89" s="165"/>
      <c r="AY89" s="165"/>
      <c r="AZ89" s="165"/>
      <c r="BA89" s="165"/>
      <c r="BB89" s="170"/>
      <c r="BC89" s="165"/>
      <c r="BD89" s="165"/>
      <c r="BE89" s="165"/>
      <c r="BF89" s="165"/>
      <c r="BG89" s="165"/>
      <c r="BH89" s="165"/>
      <c r="BI89" s="165"/>
      <c r="BJ89" s="165"/>
      <c r="BK89" s="165"/>
      <c r="BL89" s="165"/>
      <c r="BM89" s="165"/>
      <c r="BN89" s="165"/>
      <c r="BO89" s="165"/>
      <c r="BP89" s="165"/>
      <c r="BQ89" s="165"/>
      <c r="BR89" s="165"/>
      <c r="BS89" s="165"/>
      <c r="BT89" s="165"/>
      <c r="BU89" s="165"/>
      <c r="BV89" s="165"/>
      <c r="BW89" s="165"/>
      <c r="BX89" s="165"/>
      <c r="BY89" s="165"/>
      <c r="BZ89" s="165"/>
      <c r="CA89" s="165"/>
      <c r="CB89" s="165"/>
      <c r="CC89" s="165"/>
      <c r="CD89" s="165"/>
      <c r="CE89" s="165"/>
      <c r="CF89" s="165"/>
      <c r="CG89" s="165"/>
      <c r="CH89" s="165"/>
      <c r="CI89" s="170"/>
      <c r="CJ89" s="165"/>
      <c r="CK89" s="165"/>
      <c r="CL89" s="165"/>
      <c r="CM89" s="165"/>
      <c r="CN89" s="170"/>
      <c r="CO89" s="165"/>
      <c r="CP89" s="165"/>
      <c r="CQ89" s="165"/>
    </row>
    <row r="90" spans="2:95" ht="13.8" x14ac:dyDescent="0.25">
      <c r="B90" s="156" t="str">
        <f>Table1[[#Headers],[Simulação]]</f>
        <v>Simulação</v>
      </c>
      <c r="C90" s="154" t="str">
        <f t="shared" si="109"/>
        <v>ENTITY_TXNMY_ELGBL_CAPEX_P</v>
      </c>
      <c r="D90" s="153" t="s">
        <v>10</v>
      </c>
      <c r="E90" s="153" t="s">
        <v>1408</v>
      </c>
      <c r="G90" s="172">
        <f>INDEX(Table1[[Especificação]:[Total Testes]],MATCH(PlanoV1.0!C90,Table1[CONCAT],0),MATCH(PlanoV1.0!B90,Table1[[#Headers],[Especificação]:[Total Testes]],0))</f>
        <v>1</v>
      </c>
      <c r="H90" s="191">
        <f t="shared" si="97"/>
        <v>0.2</v>
      </c>
      <c r="I90" s="193">
        <f t="shared" si="98"/>
        <v>0</v>
      </c>
      <c r="J90" s="170"/>
      <c r="K90" s="165"/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  <c r="AD90" s="165"/>
      <c r="AE90" s="165"/>
      <c r="AF90" s="165"/>
      <c r="AG90" s="165"/>
      <c r="AH90" s="165"/>
      <c r="AI90" s="165"/>
      <c r="AJ90" s="165"/>
      <c r="AK90" s="165"/>
      <c r="AL90" s="203">
        <v>0.2</v>
      </c>
      <c r="AM90" s="165"/>
      <c r="AN90" s="165"/>
      <c r="AO90" s="165"/>
      <c r="AP90" s="165"/>
      <c r="AQ90" s="165"/>
      <c r="AR90" s="165"/>
      <c r="AS90" s="165"/>
      <c r="AT90" s="165"/>
      <c r="AU90" s="165"/>
      <c r="AV90" s="165"/>
      <c r="AW90" s="165"/>
      <c r="AX90" s="165"/>
      <c r="AY90" s="165"/>
      <c r="AZ90" s="165"/>
      <c r="BA90" s="165"/>
      <c r="BB90" s="170"/>
      <c r="BC90" s="165"/>
      <c r="BD90" s="165"/>
      <c r="BE90" s="165"/>
      <c r="BF90" s="165"/>
      <c r="BG90" s="165"/>
      <c r="BH90" s="165"/>
      <c r="BI90" s="165"/>
      <c r="BJ90" s="165"/>
      <c r="BK90" s="165"/>
      <c r="BL90" s="165"/>
      <c r="BM90" s="165"/>
      <c r="BN90" s="165"/>
      <c r="BO90" s="165"/>
      <c r="BP90" s="165"/>
      <c r="BQ90" s="165"/>
      <c r="BR90" s="165"/>
      <c r="BS90" s="165"/>
      <c r="BT90" s="165"/>
      <c r="BU90" s="165"/>
      <c r="BV90" s="165"/>
      <c r="BW90" s="165"/>
      <c r="BX90" s="165"/>
      <c r="BY90" s="165"/>
      <c r="BZ90" s="165"/>
      <c r="CA90" s="165"/>
      <c r="CB90" s="165"/>
      <c r="CC90" s="165"/>
      <c r="CD90" s="165"/>
      <c r="CE90" s="165"/>
      <c r="CF90" s="165"/>
      <c r="CG90" s="165"/>
      <c r="CH90" s="165"/>
      <c r="CI90" s="170"/>
      <c r="CJ90" s="165"/>
      <c r="CK90" s="165"/>
      <c r="CL90" s="165"/>
      <c r="CM90" s="165"/>
      <c r="CN90" s="170"/>
      <c r="CO90" s="165"/>
      <c r="CP90" s="165"/>
      <c r="CQ90" s="165"/>
    </row>
    <row r="91" spans="2:95" ht="13.8" x14ac:dyDescent="0.25">
      <c r="B91" s="156" t="str">
        <f>Table1[[#Headers],[Simulação]]</f>
        <v>Simulação</v>
      </c>
      <c r="C91" s="154" t="str">
        <f t="shared" si="109"/>
        <v>ENTITY_TXNMY_ELGBL_TRNVR_P</v>
      </c>
      <c r="D91" s="153" t="s">
        <v>10</v>
      </c>
      <c r="E91" s="153" t="s">
        <v>1411</v>
      </c>
      <c r="G91" s="172">
        <f>INDEX(Table1[[Especificação]:[Total Testes]],MATCH(PlanoV1.0!C91,Table1[CONCAT],0),MATCH(PlanoV1.0!B91,Table1[[#Headers],[Especificação]:[Total Testes]],0))</f>
        <v>1</v>
      </c>
      <c r="H91" s="191">
        <f t="shared" si="97"/>
        <v>0.2</v>
      </c>
      <c r="I91" s="193">
        <f t="shared" si="98"/>
        <v>0</v>
      </c>
      <c r="J91" s="170"/>
      <c r="K91" s="165"/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  <c r="AA91" s="165"/>
      <c r="AB91" s="165"/>
      <c r="AC91" s="165"/>
      <c r="AD91" s="165"/>
      <c r="AE91" s="165"/>
      <c r="AF91" s="165"/>
      <c r="AG91" s="165"/>
      <c r="AH91" s="165"/>
      <c r="AI91" s="165"/>
      <c r="AJ91" s="165"/>
      <c r="AK91" s="165"/>
      <c r="AL91" s="165">
        <v>0.2</v>
      </c>
      <c r="AM91" s="165"/>
      <c r="AN91" s="165"/>
      <c r="AO91" s="165"/>
      <c r="AP91" s="165"/>
      <c r="AQ91" s="165"/>
      <c r="AR91" s="165"/>
      <c r="AS91" s="165"/>
      <c r="AT91" s="165"/>
      <c r="AU91" s="165"/>
      <c r="AV91" s="165"/>
      <c r="AW91" s="165"/>
      <c r="AX91" s="165"/>
      <c r="AY91" s="165"/>
      <c r="AZ91" s="165"/>
      <c r="BA91" s="165"/>
      <c r="BB91" s="170"/>
      <c r="BC91" s="165"/>
      <c r="BD91" s="165"/>
      <c r="BE91" s="165"/>
      <c r="BF91" s="165"/>
      <c r="BG91" s="165"/>
      <c r="BH91" s="165"/>
      <c r="BI91" s="165"/>
      <c r="BJ91" s="165"/>
      <c r="BK91" s="165"/>
      <c r="BL91" s="165"/>
      <c r="BM91" s="165"/>
      <c r="BN91" s="165"/>
      <c r="BO91" s="165"/>
      <c r="BP91" s="165"/>
      <c r="BQ91" s="165"/>
      <c r="BR91" s="165"/>
      <c r="BS91" s="165"/>
      <c r="BT91" s="165"/>
      <c r="BU91" s="165"/>
      <c r="BV91" s="165"/>
      <c r="BW91" s="165"/>
      <c r="BX91" s="165"/>
      <c r="BY91" s="165"/>
      <c r="BZ91" s="165"/>
      <c r="CA91" s="165"/>
      <c r="CB91" s="165"/>
      <c r="CC91" s="165"/>
      <c r="CD91" s="165"/>
      <c r="CE91" s="165"/>
      <c r="CF91" s="165"/>
      <c r="CG91" s="165"/>
      <c r="CH91" s="165"/>
      <c r="CI91" s="170"/>
      <c r="CJ91" s="165"/>
      <c r="CK91" s="165"/>
      <c r="CL91" s="165"/>
      <c r="CM91" s="165"/>
      <c r="CN91" s="170"/>
      <c r="CO91" s="165"/>
      <c r="CP91" s="165"/>
      <c r="CQ91" s="165"/>
    </row>
    <row r="92" spans="2:95" ht="13.8" x14ac:dyDescent="0.25">
      <c r="B92" s="156" t="str">
        <f>Table1[[#Headers],[Simulação]]</f>
        <v>Simulação</v>
      </c>
      <c r="C92" s="154" t="str">
        <f t="shared" si="109"/>
        <v>ENTITY_TXNMY_ELGBL_CAPEX_B</v>
      </c>
      <c r="D92" s="153" t="s">
        <v>10</v>
      </c>
      <c r="E92" s="153" t="s">
        <v>1414</v>
      </c>
      <c r="G92" s="172">
        <f>INDEX(Table1[[Especificação]:[Total Testes]],MATCH(PlanoV1.0!C92,Table1[CONCAT],0),MATCH(PlanoV1.0!B92,Table1[[#Headers],[Especificação]:[Total Testes]],0))</f>
        <v>1</v>
      </c>
      <c r="H92" s="191">
        <f t="shared" si="97"/>
        <v>0.2</v>
      </c>
      <c r="I92" s="193">
        <f t="shared" si="98"/>
        <v>0</v>
      </c>
      <c r="J92" s="170"/>
      <c r="K92" s="165"/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  <c r="AA92" s="165"/>
      <c r="AB92" s="165"/>
      <c r="AC92" s="165"/>
      <c r="AD92" s="165"/>
      <c r="AE92" s="165"/>
      <c r="AF92" s="165"/>
      <c r="AG92" s="165"/>
      <c r="AH92" s="165"/>
      <c r="AI92" s="165"/>
      <c r="AJ92" s="165"/>
      <c r="AK92" s="165"/>
      <c r="AL92" s="165">
        <v>0.2</v>
      </c>
      <c r="AM92" s="165"/>
      <c r="AN92" s="165"/>
      <c r="AO92" s="165"/>
      <c r="AP92" s="165"/>
      <c r="AQ92" s="165"/>
      <c r="AR92" s="165"/>
      <c r="AS92" s="165"/>
      <c r="AT92" s="165"/>
      <c r="AU92" s="165"/>
      <c r="AV92" s="165"/>
      <c r="AW92" s="165"/>
      <c r="AX92" s="165"/>
      <c r="AY92" s="165"/>
      <c r="AZ92" s="165"/>
      <c r="BA92" s="165"/>
      <c r="BB92" s="170"/>
      <c r="BC92" s="165"/>
      <c r="BD92" s="165"/>
      <c r="BE92" s="165"/>
      <c r="BF92" s="165"/>
      <c r="BG92" s="165"/>
      <c r="BH92" s="165"/>
      <c r="BI92" s="165"/>
      <c r="BJ92" s="165"/>
      <c r="BK92" s="165"/>
      <c r="BL92" s="165"/>
      <c r="BM92" s="165"/>
      <c r="BN92" s="165"/>
      <c r="BO92" s="165"/>
      <c r="BP92" s="165"/>
      <c r="BQ92" s="165"/>
      <c r="BR92" s="165"/>
      <c r="BS92" s="165"/>
      <c r="BT92" s="165"/>
      <c r="BU92" s="165"/>
      <c r="BV92" s="165"/>
      <c r="BW92" s="165"/>
      <c r="BX92" s="165"/>
      <c r="BY92" s="165"/>
      <c r="BZ92" s="165"/>
      <c r="CA92" s="165"/>
      <c r="CB92" s="165"/>
      <c r="CC92" s="165"/>
      <c r="CD92" s="165"/>
      <c r="CE92" s="165"/>
      <c r="CF92" s="165"/>
      <c r="CG92" s="165"/>
      <c r="CH92" s="165"/>
      <c r="CI92" s="170"/>
      <c r="CJ92" s="165"/>
      <c r="CK92" s="165"/>
      <c r="CL92" s="165"/>
      <c r="CM92" s="165"/>
      <c r="CN92" s="170"/>
      <c r="CO92" s="165"/>
      <c r="CP92" s="165"/>
      <c r="CQ92" s="165"/>
    </row>
    <row r="93" spans="2:95" ht="13.8" x14ac:dyDescent="0.25">
      <c r="B93" s="156" t="str">
        <f>Table1[[#Headers],[Simulação]]</f>
        <v>Simulação</v>
      </c>
      <c r="C93" s="154" t="str">
        <f t="shared" si="109"/>
        <v>ENTITY_TXNMY_ELGBL_TRNVR_B</v>
      </c>
      <c r="D93" s="153" t="s">
        <v>10</v>
      </c>
      <c r="E93" s="153" t="s">
        <v>1417</v>
      </c>
      <c r="G93" s="172">
        <f>INDEX(Table1[[Especificação]:[Total Testes]],MATCH(PlanoV1.0!C93,Table1[CONCAT],0),MATCH(PlanoV1.0!B93,Table1[[#Headers],[Especificação]:[Total Testes]],0))</f>
        <v>1</v>
      </c>
      <c r="H93" s="191">
        <f t="shared" si="97"/>
        <v>0.2</v>
      </c>
      <c r="I93" s="193">
        <f t="shared" si="98"/>
        <v>0</v>
      </c>
      <c r="J93" s="170"/>
      <c r="K93" s="165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  <c r="AA93" s="165"/>
      <c r="AB93" s="165"/>
      <c r="AC93" s="165"/>
      <c r="AD93" s="165"/>
      <c r="AE93" s="165"/>
      <c r="AF93" s="165"/>
      <c r="AG93" s="165"/>
      <c r="AH93" s="165"/>
      <c r="AI93" s="165"/>
      <c r="AJ93" s="165"/>
      <c r="AK93" s="165"/>
      <c r="AL93" s="165">
        <v>0.2</v>
      </c>
      <c r="AM93" s="165"/>
      <c r="AN93" s="165"/>
      <c r="AO93" s="165"/>
      <c r="AP93" s="165"/>
      <c r="AQ93" s="165"/>
      <c r="AR93" s="165"/>
      <c r="AS93" s="165"/>
      <c r="AT93" s="165"/>
      <c r="AU93" s="165"/>
      <c r="AV93" s="165"/>
      <c r="AW93" s="165"/>
      <c r="AX93" s="165"/>
      <c r="AY93" s="165"/>
      <c r="AZ93" s="165"/>
      <c r="BA93" s="165"/>
      <c r="BB93" s="170"/>
      <c r="BC93" s="165"/>
      <c r="BD93" s="165"/>
      <c r="BE93" s="165"/>
      <c r="BF93" s="165"/>
      <c r="BG93" s="165"/>
      <c r="BH93" s="165"/>
      <c r="BI93" s="165"/>
      <c r="BJ93" s="165"/>
      <c r="BK93" s="165"/>
      <c r="BL93" s="165"/>
      <c r="BM93" s="165"/>
      <c r="BN93" s="165"/>
      <c r="BO93" s="165"/>
      <c r="BP93" s="165"/>
      <c r="BQ93" s="165"/>
      <c r="BR93" s="165"/>
      <c r="BS93" s="165"/>
      <c r="BT93" s="165"/>
      <c r="BU93" s="165"/>
      <c r="BV93" s="165"/>
      <c r="BW93" s="165"/>
      <c r="BX93" s="165"/>
      <c r="BY93" s="165"/>
      <c r="BZ93" s="165"/>
      <c r="CA93" s="165"/>
      <c r="CB93" s="165"/>
      <c r="CC93" s="165"/>
      <c r="CD93" s="165"/>
      <c r="CE93" s="165"/>
      <c r="CF93" s="165"/>
      <c r="CG93" s="165"/>
      <c r="CH93" s="165"/>
      <c r="CI93" s="170"/>
      <c r="CJ93" s="165"/>
      <c r="CK93" s="165"/>
      <c r="CL93" s="165"/>
      <c r="CM93" s="165"/>
      <c r="CN93" s="170"/>
      <c r="CO93" s="165"/>
      <c r="CP93" s="165"/>
      <c r="CQ93" s="165"/>
    </row>
    <row r="94" spans="2:95" ht="13.8" x14ac:dyDescent="0.25">
      <c r="B94" s="156" t="str">
        <f>Table1[[#Headers],[Simulação]]</f>
        <v>Simulação</v>
      </c>
      <c r="C94" s="154" t="str">
        <f t="shared" si="109"/>
        <v>ENTITY_TXNMY_ELGBL_CAPEX_CE</v>
      </c>
      <c r="D94" s="153" t="s">
        <v>10</v>
      </c>
      <c r="E94" s="153" t="s">
        <v>1420</v>
      </c>
      <c r="G94" s="172">
        <f>INDEX(Table1[[Especificação]:[Total Testes]],MATCH(PlanoV1.0!C94,Table1[CONCAT],0),MATCH(PlanoV1.0!B94,Table1[[#Headers],[Especificação]:[Total Testes]],0))</f>
        <v>1</v>
      </c>
      <c r="H94" s="191">
        <f t="shared" si="97"/>
        <v>0.2</v>
      </c>
      <c r="I94" s="193">
        <f t="shared" si="98"/>
        <v>0</v>
      </c>
      <c r="J94" s="170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  <c r="AD94" s="165"/>
      <c r="AE94" s="165"/>
      <c r="AF94" s="165"/>
      <c r="AG94" s="165"/>
      <c r="AH94" s="165"/>
      <c r="AI94" s="165"/>
      <c r="AJ94" s="165"/>
      <c r="AK94" s="165"/>
      <c r="AL94" s="165">
        <v>0.2</v>
      </c>
      <c r="AM94" s="165"/>
      <c r="AN94" s="165"/>
      <c r="AO94" s="165"/>
      <c r="AP94" s="165"/>
      <c r="AQ94" s="165"/>
      <c r="AR94" s="165"/>
      <c r="AS94" s="165"/>
      <c r="AT94" s="165"/>
      <c r="AU94" s="165"/>
      <c r="AV94" s="165"/>
      <c r="AW94" s="165"/>
      <c r="AX94" s="165"/>
      <c r="AY94" s="165"/>
      <c r="AZ94" s="165"/>
      <c r="BA94" s="165"/>
      <c r="BB94" s="170"/>
      <c r="BC94" s="165"/>
      <c r="BD94" s="165"/>
      <c r="BE94" s="165"/>
      <c r="BF94" s="165"/>
      <c r="BG94" s="165"/>
      <c r="BH94" s="165"/>
      <c r="BI94" s="165"/>
      <c r="BJ94" s="165"/>
      <c r="BK94" s="165"/>
      <c r="BL94" s="165"/>
      <c r="BM94" s="165"/>
      <c r="BN94" s="165"/>
      <c r="BO94" s="165"/>
      <c r="BP94" s="165"/>
      <c r="BQ94" s="165"/>
      <c r="BR94" s="165"/>
      <c r="BS94" s="165"/>
      <c r="BT94" s="165"/>
      <c r="BU94" s="165"/>
      <c r="BV94" s="165"/>
      <c r="BW94" s="165"/>
      <c r="BX94" s="165"/>
      <c r="BY94" s="165"/>
      <c r="BZ94" s="165"/>
      <c r="CA94" s="165"/>
      <c r="CB94" s="165"/>
      <c r="CC94" s="165"/>
      <c r="CD94" s="165"/>
      <c r="CE94" s="165"/>
      <c r="CF94" s="165"/>
      <c r="CG94" s="165"/>
      <c r="CH94" s="165"/>
      <c r="CI94" s="170"/>
      <c r="CJ94" s="165"/>
      <c r="CK94" s="165"/>
      <c r="CL94" s="165"/>
      <c r="CM94" s="165"/>
      <c r="CN94" s="170"/>
      <c r="CO94" s="165"/>
      <c r="CP94" s="165"/>
      <c r="CQ94" s="165"/>
    </row>
    <row r="95" spans="2:95" ht="14.85" customHeight="1" x14ac:dyDescent="0.25">
      <c r="B95" s="156" t="str">
        <f>Table1[[#Headers],[Simulação]]</f>
        <v>Simulação</v>
      </c>
      <c r="C95" s="154" t="str">
        <f t="shared" si="109"/>
        <v>ENTITY_TXNMY_ELGBL_TRNVR_CE</v>
      </c>
      <c r="D95" s="153" t="s">
        <v>10</v>
      </c>
      <c r="E95" s="155" t="s">
        <v>1423</v>
      </c>
      <c r="G95" s="172">
        <f>INDEX(Table1[[Especificação]:[Total Testes]],MATCH(PlanoV1.0!C95,Table1[CONCAT],0),MATCH(PlanoV1.0!B95,Table1[[#Headers],[Especificação]:[Total Testes]],0))</f>
        <v>1</v>
      </c>
      <c r="H95" s="191">
        <f t="shared" si="97"/>
        <v>0.2</v>
      </c>
      <c r="I95" s="193">
        <f t="shared" si="98"/>
        <v>0</v>
      </c>
      <c r="J95" s="170"/>
      <c r="K95" s="165"/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  <c r="AA95" s="165"/>
      <c r="AB95" s="165"/>
      <c r="AC95" s="165"/>
      <c r="AD95" s="165"/>
      <c r="AE95" s="165"/>
      <c r="AF95" s="165"/>
      <c r="AG95" s="165"/>
      <c r="AH95" s="165"/>
      <c r="AI95" s="165"/>
      <c r="AJ95" s="165"/>
      <c r="AK95" s="165"/>
      <c r="AL95" s="165">
        <v>0.1</v>
      </c>
      <c r="AM95" s="165">
        <v>0.1</v>
      </c>
      <c r="AN95" s="165"/>
      <c r="AO95" s="165"/>
      <c r="AP95" s="165"/>
      <c r="AQ95" s="165"/>
      <c r="AR95" s="165"/>
      <c r="AS95" s="165"/>
      <c r="AT95" s="165"/>
      <c r="AU95" s="165"/>
      <c r="AV95" s="165"/>
      <c r="AW95" s="165"/>
      <c r="AX95" s="165"/>
      <c r="AY95" s="165"/>
      <c r="AZ95" s="165"/>
      <c r="BA95" s="165"/>
      <c r="BB95" s="170"/>
      <c r="BC95" s="165"/>
      <c r="BD95" s="165"/>
      <c r="BE95" s="165"/>
      <c r="BF95" s="165"/>
      <c r="BG95" s="165"/>
      <c r="BH95" s="165"/>
      <c r="BI95" s="165"/>
      <c r="BJ95" s="165"/>
      <c r="BK95" s="165"/>
      <c r="BL95" s="165"/>
      <c r="BM95" s="165"/>
      <c r="BN95" s="165"/>
      <c r="BO95" s="165"/>
      <c r="BP95" s="165"/>
      <c r="BQ95" s="165"/>
      <c r="BR95" s="165"/>
      <c r="BS95" s="165"/>
      <c r="BT95" s="165"/>
      <c r="BU95" s="165"/>
      <c r="BV95" s="165"/>
      <c r="BW95" s="165"/>
      <c r="BX95" s="165"/>
      <c r="BY95" s="165"/>
      <c r="BZ95" s="165"/>
      <c r="CA95" s="165"/>
      <c r="CB95" s="165"/>
      <c r="CC95" s="165"/>
      <c r="CD95" s="165"/>
      <c r="CE95" s="165"/>
      <c r="CF95" s="165"/>
      <c r="CG95" s="165"/>
      <c r="CH95" s="165"/>
      <c r="CI95" s="170"/>
      <c r="CJ95" s="165"/>
      <c r="CK95" s="165"/>
      <c r="CL95" s="165"/>
      <c r="CM95" s="165"/>
      <c r="CN95" s="170"/>
      <c r="CO95" s="165"/>
      <c r="CP95" s="165"/>
      <c r="CQ95" s="165"/>
    </row>
    <row r="96" spans="2:95" ht="13.8" x14ac:dyDescent="0.25">
      <c r="B96" s="156" t="str">
        <f>Table1[[#Headers],[Simulação]]</f>
        <v>Simulação</v>
      </c>
      <c r="C96" s="154" t="str">
        <f t="shared" si="109"/>
        <v>ENTITY_PURE_CAPEX_P</v>
      </c>
      <c r="D96" s="153" t="s">
        <v>10</v>
      </c>
      <c r="E96" s="153" t="s">
        <v>1426</v>
      </c>
      <c r="G96" s="172">
        <f>INDEX(Table1[[Especificação]:[Total Testes]],MATCH(PlanoV1.0!C96,Table1[CONCAT],0),MATCH(PlanoV1.0!B96,Table1[[#Headers],[Especificação]:[Total Testes]],0))</f>
        <v>1</v>
      </c>
      <c r="H96" s="191">
        <f t="shared" si="97"/>
        <v>0.2</v>
      </c>
      <c r="I96" s="193">
        <f t="shared" si="98"/>
        <v>0</v>
      </c>
      <c r="J96" s="170"/>
      <c r="K96" s="165"/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  <c r="AE96" s="165"/>
      <c r="AF96" s="165"/>
      <c r="AG96" s="165"/>
      <c r="AH96" s="165"/>
      <c r="AI96" s="165"/>
      <c r="AJ96" s="165"/>
      <c r="AK96" s="165"/>
      <c r="AL96" s="165"/>
      <c r="AM96" s="165">
        <v>0.2</v>
      </c>
      <c r="AN96" s="165"/>
      <c r="AO96" s="165"/>
      <c r="AP96" s="165"/>
      <c r="AQ96" s="165"/>
      <c r="AR96" s="165"/>
      <c r="AS96" s="165"/>
      <c r="AT96" s="165"/>
      <c r="AU96" s="165"/>
      <c r="AV96" s="165"/>
      <c r="AW96" s="165"/>
      <c r="AX96" s="165"/>
      <c r="AY96" s="165"/>
      <c r="AZ96" s="165"/>
      <c r="BA96" s="165"/>
      <c r="BB96" s="170"/>
      <c r="BC96" s="165"/>
      <c r="BD96" s="165"/>
      <c r="BE96" s="165"/>
      <c r="BF96" s="165"/>
      <c r="BG96" s="165"/>
      <c r="BH96" s="165"/>
      <c r="BI96" s="165"/>
      <c r="BJ96" s="165"/>
      <c r="BK96" s="165"/>
      <c r="BL96" s="165"/>
      <c r="BM96" s="165"/>
      <c r="BN96" s="165"/>
      <c r="BO96" s="165"/>
      <c r="BP96" s="165"/>
      <c r="BQ96" s="165"/>
      <c r="BR96" s="165"/>
      <c r="BS96" s="165"/>
      <c r="BT96" s="165"/>
      <c r="BU96" s="165"/>
      <c r="BV96" s="165"/>
      <c r="BW96" s="165"/>
      <c r="BX96" s="165"/>
      <c r="BY96" s="165"/>
      <c r="BZ96" s="165"/>
      <c r="CA96" s="165"/>
      <c r="CB96" s="165"/>
      <c r="CC96" s="165"/>
      <c r="CD96" s="165"/>
      <c r="CE96" s="165"/>
      <c r="CF96" s="165"/>
      <c r="CG96" s="165"/>
      <c r="CH96" s="165"/>
      <c r="CI96" s="170"/>
      <c r="CJ96" s="165"/>
      <c r="CK96" s="165"/>
      <c r="CL96" s="165"/>
      <c r="CM96" s="165"/>
      <c r="CN96" s="170"/>
      <c r="CO96" s="165"/>
      <c r="CP96" s="165"/>
      <c r="CQ96" s="165"/>
    </row>
    <row r="97" spans="2:95" ht="14.85" customHeight="1" x14ac:dyDescent="0.25">
      <c r="B97" s="156" t="str">
        <f>Table1[[#Headers],[Simulação]]</f>
        <v>Simulação</v>
      </c>
      <c r="C97" s="154" t="str">
        <f t="shared" si="109"/>
        <v>ENTITY_PURE_TRNVR_P</v>
      </c>
      <c r="D97" s="153" t="s">
        <v>10</v>
      </c>
      <c r="E97" s="153" t="s">
        <v>1429</v>
      </c>
      <c r="G97" s="172">
        <f>INDEX(Table1[[Especificação]:[Total Testes]],MATCH(PlanoV1.0!C97,Table1[CONCAT],0),MATCH(PlanoV1.0!B97,Table1[[#Headers],[Especificação]:[Total Testes]],0))</f>
        <v>1</v>
      </c>
      <c r="H97" s="191">
        <f t="shared" si="97"/>
        <v>0.2</v>
      </c>
      <c r="I97" s="193">
        <f t="shared" si="98"/>
        <v>0</v>
      </c>
      <c r="J97" s="170"/>
      <c r="K97" s="165"/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  <c r="AA97" s="165"/>
      <c r="AB97" s="165"/>
      <c r="AC97" s="165"/>
      <c r="AD97" s="165"/>
      <c r="AE97" s="165"/>
      <c r="AF97" s="165"/>
      <c r="AG97" s="165"/>
      <c r="AH97" s="165"/>
      <c r="AI97" s="165"/>
      <c r="AJ97" s="165"/>
      <c r="AK97" s="165"/>
      <c r="AL97" s="165"/>
      <c r="AM97" s="165">
        <v>0.2</v>
      </c>
      <c r="AN97" s="165"/>
      <c r="AO97" s="165"/>
      <c r="AP97" s="165"/>
      <c r="AQ97" s="165"/>
      <c r="AR97" s="165"/>
      <c r="AS97" s="165"/>
      <c r="AT97" s="165"/>
      <c r="AU97" s="165"/>
      <c r="AV97" s="165"/>
      <c r="AW97" s="165"/>
      <c r="AX97" s="165"/>
      <c r="AY97" s="165"/>
      <c r="AZ97" s="165"/>
      <c r="BA97" s="165"/>
      <c r="BB97" s="170"/>
      <c r="BC97" s="165"/>
      <c r="BD97" s="165"/>
      <c r="BE97" s="165"/>
      <c r="BF97" s="165"/>
      <c r="BG97" s="165"/>
      <c r="BH97" s="165"/>
      <c r="BI97" s="165"/>
      <c r="BJ97" s="165"/>
      <c r="BK97" s="165"/>
      <c r="BL97" s="165"/>
      <c r="BM97" s="165"/>
      <c r="BN97" s="165"/>
      <c r="BO97" s="165"/>
      <c r="BP97" s="165"/>
      <c r="BQ97" s="165"/>
      <c r="BR97" s="165"/>
      <c r="BS97" s="165"/>
      <c r="BT97" s="165"/>
      <c r="BU97" s="165"/>
      <c r="BV97" s="165"/>
      <c r="BW97" s="165"/>
      <c r="BX97" s="165"/>
      <c r="BY97" s="165"/>
      <c r="BZ97" s="165"/>
      <c r="CA97" s="165"/>
      <c r="CB97" s="165"/>
      <c r="CC97" s="165"/>
      <c r="CD97" s="165"/>
      <c r="CE97" s="165"/>
      <c r="CF97" s="165"/>
      <c r="CG97" s="165"/>
      <c r="CH97" s="165"/>
      <c r="CI97" s="170"/>
      <c r="CJ97" s="165"/>
      <c r="CK97" s="165"/>
      <c r="CL97" s="165"/>
      <c r="CM97" s="165"/>
      <c r="CN97" s="170"/>
      <c r="CO97" s="165"/>
      <c r="CP97" s="165"/>
      <c r="CQ97" s="165"/>
    </row>
    <row r="98" spans="2:95" ht="14.85" customHeight="1" x14ac:dyDescent="0.25">
      <c r="B98" s="156" t="str">
        <f>Table1[[#Headers],[Simulação]]</f>
        <v>Simulação</v>
      </c>
      <c r="C98" s="154" t="str">
        <f t="shared" ref="C98:C136" si="110">D98&amp;"_"&amp;E98</f>
        <v>ENTITY_PURE_CAPEX_B</v>
      </c>
      <c r="D98" s="153" t="s">
        <v>10</v>
      </c>
      <c r="E98" s="153" t="s">
        <v>1432</v>
      </c>
      <c r="G98" s="172">
        <f>INDEX(Table1[[Especificação]:[Total Testes]],MATCH(PlanoV1.0!C98,Table1[CONCAT],0),MATCH(PlanoV1.0!B98,Table1[[#Headers],[Especificação]:[Total Testes]],0))</f>
        <v>1</v>
      </c>
      <c r="H98" s="191">
        <f t="shared" si="97"/>
        <v>0.2</v>
      </c>
      <c r="I98" s="193">
        <f t="shared" si="98"/>
        <v>0</v>
      </c>
      <c r="J98" s="170"/>
      <c r="K98" s="165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  <c r="AD98" s="165"/>
      <c r="AE98" s="165"/>
      <c r="AF98" s="165"/>
      <c r="AG98" s="165"/>
      <c r="AH98" s="165"/>
      <c r="AI98" s="165"/>
      <c r="AJ98" s="165"/>
      <c r="AK98" s="165"/>
      <c r="AL98" s="165"/>
      <c r="AM98" s="165">
        <v>0.2</v>
      </c>
      <c r="AN98" s="165"/>
      <c r="AO98" s="165"/>
      <c r="AP98" s="165"/>
      <c r="AQ98" s="165"/>
      <c r="AR98" s="165"/>
      <c r="AS98" s="165"/>
      <c r="AT98" s="165"/>
      <c r="AU98" s="165"/>
      <c r="AV98" s="165"/>
      <c r="AW98" s="165"/>
      <c r="AX98" s="165"/>
      <c r="AY98" s="165"/>
      <c r="AZ98" s="165"/>
      <c r="BA98" s="165"/>
      <c r="BB98" s="170"/>
      <c r="BC98" s="165"/>
      <c r="BD98" s="165"/>
      <c r="BE98" s="165"/>
      <c r="BF98" s="165"/>
      <c r="BG98" s="165"/>
      <c r="BH98" s="165"/>
      <c r="BI98" s="165"/>
      <c r="BJ98" s="165"/>
      <c r="BK98" s="165"/>
      <c r="BL98" s="165"/>
      <c r="BM98" s="165"/>
      <c r="BN98" s="165"/>
      <c r="BO98" s="165"/>
      <c r="BP98" s="165"/>
      <c r="BQ98" s="165"/>
      <c r="BR98" s="165"/>
      <c r="BS98" s="165"/>
      <c r="BT98" s="165"/>
      <c r="BU98" s="165"/>
      <c r="BV98" s="165"/>
      <c r="BW98" s="165"/>
      <c r="BX98" s="165"/>
      <c r="BY98" s="165"/>
      <c r="BZ98" s="165"/>
      <c r="CA98" s="165"/>
      <c r="CB98" s="165"/>
      <c r="CC98" s="165"/>
      <c r="CD98" s="165"/>
      <c r="CE98" s="165"/>
      <c r="CF98" s="165"/>
      <c r="CG98" s="165"/>
      <c r="CH98" s="165"/>
      <c r="CI98" s="170"/>
      <c r="CJ98" s="165"/>
      <c r="CK98" s="165"/>
      <c r="CL98" s="165"/>
      <c r="CM98" s="165"/>
      <c r="CN98" s="170"/>
      <c r="CO98" s="165"/>
      <c r="CP98" s="165"/>
      <c r="CQ98" s="165"/>
    </row>
    <row r="99" spans="2:95" ht="14.85" customHeight="1" x14ac:dyDescent="0.25">
      <c r="B99" s="156" t="str">
        <f>Table1[[#Headers],[Simulação]]</f>
        <v>Simulação</v>
      </c>
      <c r="C99" s="154" t="str">
        <f t="shared" si="110"/>
        <v>ENTITY_PURE_TRNVR_B</v>
      </c>
      <c r="D99" s="153" t="s">
        <v>10</v>
      </c>
      <c r="E99" s="153" t="s">
        <v>1435</v>
      </c>
      <c r="G99" s="172">
        <f>INDEX(Table1[[Especificação]:[Total Testes]],MATCH(PlanoV1.0!C99,Table1[CONCAT],0),MATCH(PlanoV1.0!B99,Table1[[#Headers],[Especificação]:[Total Testes]],0))</f>
        <v>1</v>
      </c>
      <c r="H99" s="191">
        <f t="shared" si="97"/>
        <v>0.2</v>
      </c>
      <c r="I99" s="193">
        <f t="shared" si="98"/>
        <v>0</v>
      </c>
      <c r="J99" s="170"/>
      <c r="K99" s="165"/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  <c r="AA99" s="165"/>
      <c r="AB99" s="165"/>
      <c r="AC99" s="165"/>
      <c r="AD99" s="165"/>
      <c r="AE99" s="165"/>
      <c r="AF99" s="165"/>
      <c r="AG99" s="165"/>
      <c r="AH99" s="165"/>
      <c r="AI99" s="165"/>
      <c r="AJ99" s="165"/>
      <c r="AK99" s="165"/>
      <c r="AL99" s="165"/>
      <c r="AM99" s="165">
        <v>0.2</v>
      </c>
      <c r="AN99" s="165"/>
      <c r="AO99" s="165"/>
      <c r="AP99" s="165"/>
      <c r="AQ99" s="165"/>
      <c r="AR99" s="165"/>
      <c r="AS99" s="165"/>
      <c r="AT99" s="165"/>
      <c r="AU99" s="165"/>
      <c r="AV99" s="165"/>
      <c r="AW99" s="165"/>
      <c r="AX99" s="165"/>
      <c r="AY99" s="165"/>
      <c r="AZ99" s="165"/>
      <c r="BA99" s="165"/>
      <c r="BB99" s="170"/>
      <c r="BC99" s="165"/>
      <c r="BD99" s="165"/>
      <c r="BE99" s="165"/>
      <c r="BF99" s="165"/>
      <c r="BG99" s="165"/>
      <c r="BH99" s="165"/>
      <c r="BI99" s="165"/>
      <c r="BJ99" s="165"/>
      <c r="BK99" s="165"/>
      <c r="BL99" s="165"/>
      <c r="BM99" s="165"/>
      <c r="BN99" s="165"/>
      <c r="BO99" s="165"/>
      <c r="BP99" s="165"/>
      <c r="BQ99" s="165"/>
      <c r="BR99" s="165"/>
      <c r="BS99" s="165"/>
      <c r="BT99" s="165"/>
      <c r="BU99" s="165"/>
      <c r="BV99" s="165"/>
      <c r="BW99" s="165"/>
      <c r="BX99" s="165"/>
      <c r="BY99" s="165"/>
      <c r="BZ99" s="165"/>
      <c r="CA99" s="165"/>
      <c r="CB99" s="165"/>
      <c r="CC99" s="165"/>
      <c r="CD99" s="165"/>
      <c r="CE99" s="165"/>
      <c r="CF99" s="165"/>
      <c r="CG99" s="165"/>
      <c r="CH99" s="165"/>
      <c r="CI99" s="170"/>
      <c r="CJ99" s="165"/>
      <c r="CK99" s="165"/>
      <c r="CL99" s="165"/>
      <c r="CM99" s="165"/>
      <c r="CN99" s="170"/>
      <c r="CO99" s="165"/>
      <c r="CP99" s="165"/>
      <c r="CQ99" s="165"/>
    </row>
    <row r="100" spans="2:95" ht="14.85" customHeight="1" x14ac:dyDescent="0.25">
      <c r="B100" s="156" t="str">
        <f>Table1[[#Headers],[Simulação]]</f>
        <v>Simulação</v>
      </c>
      <c r="C100" s="154" t="str">
        <f t="shared" si="110"/>
        <v>ENTITY_PURE_CAPEX_W</v>
      </c>
      <c r="D100" s="153" t="s">
        <v>10</v>
      </c>
      <c r="E100" s="153" t="s">
        <v>1438</v>
      </c>
      <c r="G100" s="172">
        <f>INDEX(Table1[[Especificação]:[Total Testes]],MATCH(PlanoV1.0!C100,Table1[CONCAT],0),MATCH(PlanoV1.0!B100,Table1[[#Headers],[Especificação]:[Total Testes]],0))</f>
        <v>1</v>
      </c>
      <c r="H100" s="191">
        <f t="shared" si="97"/>
        <v>0.2</v>
      </c>
      <c r="I100" s="193">
        <f t="shared" si="98"/>
        <v>0</v>
      </c>
      <c r="J100" s="170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  <c r="AC100" s="165"/>
      <c r="AD100" s="165"/>
      <c r="AE100" s="165"/>
      <c r="AF100" s="165"/>
      <c r="AG100" s="165"/>
      <c r="AH100" s="165"/>
      <c r="AI100" s="165"/>
      <c r="AJ100" s="165"/>
      <c r="AK100" s="165"/>
      <c r="AL100" s="165"/>
      <c r="AM100" s="165">
        <v>0.2</v>
      </c>
      <c r="AN100" s="165"/>
      <c r="AO100" s="165"/>
      <c r="AP100" s="165"/>
      <c r="AQ100" s="165"/>
      <c r="AR100" s="165"/>
      <c r="AS100" s="165"/>
      <c r="AT100" s="165"/>
      <c r="AU100" s="165"/>
      <c r="AV100" s="165"/>
      <c r="AW100" s="165"/>
      <c r="AX100" s="165"/>
      <c r="AY100" s="165"/>
      <c r="AZ100" s="165"/>
      <c r="BA100" s="165"/>
      <c r="BB100" s="170"/>
      <c r="BC100" s="165"/>
      <c r="BD100" s="165"/>
      <c r="BE100" s="165"/>
      <c r="BF100" s="165"/>
      <c r="BG100" s="165"/>
      <c r="BH100" s="165"/>
      <c r="BI100" s="165"/>
      <c r="BJ100" s="165"/>
      <c r="BK100" s="165"/>
      <c r="BL100" s="165"/>
      <c r="BM100" s="165"/>
      <c r="BN100" s="165"/>
      <c r="BO100" s="165"/>
      <c r="BP100" s="165"/>
      <c r="BQ100" s="165"/>
      <c r="BR100" s="165"/>
      <c r="BS100" s="165"/>
      <c r="BT100" s="165"/>
      <c r="BU100" s="165"/>
      <c r="BV100" s="165"/>
      <c r="BW100" s="165"/>
      <c r="BX100" s="165"/>
      <c r="BY100" s="165"/>
      <c r="BZ100" s="165"/>
      <c r="CA100" s="165"/>
      <c r="CB100" s="165"/>
      <c r="CC100" s="165"/>
      <c r="CD100" s="165"/>
      <c r="CE100" s="165"/>
      <c r="CF100" s="165"/>
      <c r="CG100" s="165"/>
      <c r="CH100" s="165"/>
      <c r="CI100" s="170"/>
      <c r="CJ100" s="165"/>
      <c r="CK100" s="165"/>
      <c r="CL100" s="165"/>
      <c r="CM100" s="165"/>
      <c r="CN100" s="170"/>
      <c r="CO100" s="165"/>
      <c r="CP100" s="165"/>
      <c r="CQ100" s="165"/>
    </row>
    <row r="101" spans="2:95" ht="14.85" customHeight="1" x14ac:dyDescent="0.25">
      <c r="B101" s="156" t="str">
        <f>Table1[[#Headers],[Simulação]]</f>
        <v>Simulação</v>
      </c>
      <c r="C101" s="154" t="str">
        <f t="shared" si="110"/>
        <v>ENTITY_PURE_TRNVR_W</v>
      </c>
      <c r="D101" s="153" t="s">
        <v>10</v>
      </c>
      <c r="E101" s="153" t="s">
        <v>1441</v>
      </c>
      <c r="G101" s="172">
        <f>INDEX(Table1[[Especificação]:[Total Testes]],MATCH(PlanoV1.0!C101,Table1[CONCAT],0),MATCH(PlanoV1.0!B101,Table1[[#Headers],[Especificação]:[Total Testes]],0))</f>
        <v>1</v>
      </c>
      <c r="H101" s="191">
        <f t="shared" ref="H101:H182" si="111">ROUNDUP(G101/8,1)</f>
        <v>0.2</v>
      </c>
      <c r="I101" s="193">
        <f t="shared" ref="I101:I182" si="112">SUM(J101:CQ101)-H101</f>
        <v>0</v>
      </c>
      <c r="J101" s="170"/>
      <c r="K101" s="165"/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  <c r="AA101" s="165"/>
      <c r="AB101" s="165"/>
      <c r="AC101" s="165"/>
      <c r="AD101" s="165"/>
      <c r="AE101" s="165"/>
      <c r="AF101" s="165"/>
      <c r="AG101" s="165"/>
      <c r="AH101" s="165"/>
      <c r="AI101" s="165"/>
      <c r="AJ101" s="165"/>
      <c r="AK101" s="165"/>
      <c r="AL101" s="165"/>
      <c r="AM101" s="165">
        <v>0.2</v>
      </c>
      <c r="AN101" s="165"/>
      <c r="AO101" s="165"/>
      <c r="AP101" s="165"/>
      <c r="AQ101" s="165"/>
      <c r="AR101" s="165"/>
      <c r="AS101" s="165"/>
      <c r="AT101" s="165"/>
      <c r="AU101" s="165"/>
      <c r="AV101" s="165"/>
      <c r="AW101" s="165"/>
      <c r="AX101" s="165"/>
      <c r="AY101" s="165"/>
      <c r="AZ101" s="165"/>
      <c r="BA101" s="165"/>
      <c r="BB101" s="170"/>
      <c r="BC101" s="165"/>
      <c r="BD101" s="165"/>
      <c r="BE101" s="165"/>
      <c r="BF101" s="165"/>
      <c r="BG101" s="165"/>
      <c r="BH101" s="165"/>
      <c r="BI101" s="165"/>
      <c r="BJ101" s="165"/>
      <c r="BK101" s="165"/>
      <c r="BL101" s="165"/>
      <c r="BM101" s="165"/>
      <c r="BN101" s="165"/>
      <c r="BO101" s="165"/>
      <c r="BP101" s="165"/>
      <c r="BQ101" s="165"/>
      <c r="BR101" s="165"/>
      <c r="BS101" s="165"/>
      <c r="BT101" s="165"/>
      <c r="BU101" s="165"/>
      <c r="BV101" s="165"/>
      <c r="BW101" s="165"/>
      <c r="BX101" s="165"/>
      <c r="BY101" s="165"/>
      <c r="BZ101" s="165"/>
      <c r="CA101" s="165"/>
      <c r="CB101" s="165"/>
      <c r="CC101" s="165"/>
      <c r="CD101" s="165"/>
      <c r="CE101" s="165"/>
      <c r="CF101" s="165"/>
      <c r="CG101" s="165"/>
      <c r="CH101" s="165"/>
      <c r="CI101" s="170"/>
      <c r="CJ101" s="165"/>
      <c r="CK101" s="165"/>
      <c r="CL101" s="165"/>
      <c r="CM101" s="165"/>
      <c r="CN101" s="170"/>
      <c r="CO101" s="165"/>
      <c r="CP101" s="165"/>
      <c r="CQ101" s="165"/>
    </row>
    <row r="102" spans="2:95" ht="14.85" customHeight="1" x14ac:dyDescent="0.25">
      <c r="B102" s="156" t="str">
        <f>Table1[[#Headers],[Simulação]]</f>
        <v>Simulação</v>
      </c>
      <c r="C102" s="154" t="str">
        <f t="shared" si="110"/>
        <v>ENTITY_PURE_CAPEX_CE</v>
      </c>
      <c r="D102" s="153" t="s">
        <v>10</v>
      </c>
      <c r="E102" s="153" t="s">
        <v>1444</v>
      </c>
      <c r="G102" s="172">
        <f>INDEX(Table1[[Especificação]:[Total Testes]],MATCH(PlanoV1.0!C102,Table1[CONCAT],0),MATCH(PlanoV1.0!B102,Table1[[#Headers],[Especificação]:[Total Testes]],0))</f>
        <v>1</v>
      </c>
      <c r="H102" s="191">
        <f t="shared" si="111"/>
        <v>0.2</v>
      </c>
      <c r="I102" s="193">
        <f t="shared" si="112"/>
        <v>0</v>
      </c>
      <c r="J102" s="170"/>
      <c r="K102" s="165"/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  <c r="AC102" s="165"/>
      <c r="AD102" s="165"/>
      <c r="AE102" s="165"/>
      <c r="AF102" s="165"/>
      <c r="AG102" s="165"/>
      <c r="AH102" s="165"/>
      <c r="AI102" s="165"/>
      <c r="AJ102" s="165"/>
      <c r="AK102" s="165"/>
      <c r="AL102" s="165"/>
      <c r="AM102" s="165">
        <v>0.2</v>
      </c>
      <c r="AN102" s="165"/>
      <c r="AO102" s="165"/>
      <c r="AP102" s="165"/>
      <c r="AQ102" s="165"/>
      <c r="AR102" s="165"/>
      <c r="AS102" s="165"/>
      <c r="AT102" s="165"/>
      <c r="AU102" s="165"/>
      <c r="AV102" s="165"/>
      <c r="AW102" s="165"/>
      <c r="AX102" s="165"/>
      <c r="AY102" s="165"/>
      <c r="AZ102" s="165"/>
      <c r="BA102" s="165"/>
      <c r="BB102" s="170"/>
      <c r="BC102" s="165"/>
      <c r="BD102" s="165"/>
      <c r="BE102" s="165"/>
      <c r="BF102" s="165"/>
      <c r="BG102" s="165"/>
      <c r="BH102" s="165"/>
      <c r="BI102" s="165"/>
      <c r="BJ102" s="165"/>
      <c r="BK102" s="165"/>
      <c r="BL102" s="165"/>
      <c r="BM102" s="165"/>
      <c r="BN102" s="165"/>
      <c r="BO102" s="165"/>
      <c r="BP102" s="165"/>
      <c r="BQ102" s="165"/>
      <c r="BR102" s="165"/>
      <c r="BS102" s="165"/>
      <c r="BT102" s="165"/>
      <c r="BU102" s="165"/>
      <c r="BV102" s="165"/>
      <c r="BW102" s="165"/>
      <c r="BX102" s="165"/>
      <c r="BY102" s="165"/>
      <c r="BZ102" s="165"/>
      <c r="CA102" s="165"/>
      <c r="CB102" s="165"/>
      <c r="CC102" s="165"/>
      <c r="CD102" s="165"/>
      <c r="CE102" s="165"/>
      <c r="CF102" s="165"/>
      <c r="CG102" s="165"/>
      <c r="CH102" s="165"/>
      <c r="CI102" s="170"/>
      <c r="CJ102" s="165"/>
      <c r="CK102" s="165"/>
      <c r="CL102" s="165"/>
      <c r="CM102" s="165"/>
      <c r="CN102" s="170"/>
      <c r="CO102" s="165"/>
      <c r="CP102" s="165"/>
      <c r="CQ102" s="165"/>
    </row>
    <row r="103" spans="2:95" ht="14.85" customHeight="1" x14ac:dyDescent="0.25">
      <c r="B103" s="156" t="str">
        <f>Table1[[#Headers],[Simulação]]</f>
        <v>Simulação</v>
      </c>
      <c r="C103" s="154" t="str">
        <f t="shared" si="110"/>
        <v>ENTITY_PURE_TRNVR_CE</v>
      </c>
      <c r="D103" s="153" t="s">
        <v>10</v>
      </c>
      <c r="E103" s="153" t="s">
        <v>1447</v>
      </c>
      <c r="G103" s="172">
        <f>INDEX(Table1[[Especificação]:[Total Testes]],MATCH(PlanoV1.0!C103,Table1[CONCAT],0),MATCH(PlanoV1.0!B103,Table1[[#Headers],[Especificação]:[Total Testes]],0))</f>
        <v>1</v>
      </c>
      <c r="H103" s="191">
        <f t="shared" si="111"/>
        <v>0.2</v>
      </c>
      <c r="I103" s="193">
        <f t="shared" si="112"/>
        <v>0</v>
      </c>
      <c r="J103" s="170"/>
      <c r="K103" s="165"/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  <c r="AA103" s="165"/>
      <c r="AB103" s="165"/>
      <c r="AC103" s="165"/>
      <c r="AD103" s="165"/>
      <c r="AE103" s="165"/>
      <c r="AF103" s="165"/>
      <c r="AG103" s="165"/>
      <c r="AH103" s="165"/>
      <c r="AI103" s="165"/>
      <c r="AJ103" s="165"/>
      <c r="AK103" s="165"/>
      <c r="AL103" s="165"/>
      <c r="AM103" s="165">
        <v>0.2</v>
      </c>
      <c r="AN103" s="165"/>
      <c r="AO103" s="165"/>
      <c r="AP103" s="165"/>
      <c r="AQ103" s="165"/>
      <c r="AR103" s="165"/>
      <c r="AS103" s="165"/>
      <c r="AT103" s="165"/>
      <c r="AU103" s="165"/>
      <c r="AV103" s="165"/>
      <c r="AW103" s="165"/>
      <c r="AX103" s="165"/>
      <c r="AY103" s="165"/>
      <c r="AZ103" s="165"/>
      <c r="BA103" s="165"/>
      <c r="BB103" s="170"/>
      <c r="BC103" s="165"/>
      <c r="BD103" s="165"/>
      <c r="BE103" s="165"/>
      <c r="BF103" s="165"/>
      <c r="BG103" s="165"/>
      <c r="BH103" s="165"/>
      <c r="BI103" s="165"/>
      <c r="BJ103" s="165"/>
      <c r="BK103" s="165"/>
      <c r="BL103" s="165"/>
      <c r="BM103" s="165"/>
      <c r="BN103" s="165"/>
      <c r="BO103" s="165"/>
      <c r="BP103" s="165"/>
      <c r="BQ103" s="165"/>
      <c r="BR103" s="165"/>
      <c r="BS103" s="165"/>
      <c r="BT103" s="165"/>
      <c r="BU103" s="165"/>
      <c r="BV103" s="165"/>
      <c r="BW103" s="165"/>
      <c r="BX103" s="165"/>
      <c r="BY103" s="165"/>
      <c r="BZ103" s="165"/>
      <c r="CA103" s="165"/>
      <c r="CB103" s="165"/>
      <c r="CC103" s="165"/>
      <c r="CD103" s="165"/>
      <c r="CE103" s="165"/>
      <c r="CF103" s="165"/>
      <c r="CG103" s="165"/>
      <c r="CH103" s="165"/>
      <c r="CI103" s="170"/>
      <c r="CJ103" s="165"/>
      <c r="CK103" s="165"/>
      <c r="CL103" s="165"/>
      <c r="CM103" s="165"/>
      <c r="CN103" s="170"/>
      <c r="CO103" s="165"/>
      <c r="CP103" s="165"/>
      <c r="CQ103" s="165"/>
    </row>
    <row r="104" spans="2:95" ht="14.85" customHeight="1" x14ac:dyDescent="0.25">
      <c r="B104" s="156" t="str">
        <f>Table1[[#Headers],[Simulação]]</f>
        <v>Simulação</v>
      </c>
      <c r="C104" s="154" t="str">
        <f t="shared" si="110"/>
        <v>ENTITY_ENBLNG_CAPEX_W</v>
      </c>
      <c r="D104" s="153" t="s">
        <v>10</v>
      </c>
      <c r="E104" s="153" t="s">
        <v>1450</v>
      </c>
      <c r="G104" s="172">
        <f>INDEX(Table1[[Especificação]:[Total Testes]],MATCH(PlanoV1.0!C104,Table1[CONCAT],0),MATCH(PlanoV1.0!B104,Table1[[#Headers],[Especificação]:[Total Testes]],0))</f>
        <v>1</v>
      </c>
      <c r="H104" s="191">
        <f t="shared" si="111"/>
        <v>0.2</v>
      </c>
      <c r="I104" s="193">
        <f t="shared" si="112"/>
        <v>0</v>
      </c>
      <c r="J104" s="170"/>
      <c r="K104" s="165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  <c r="AC104" s="165"/>
      <c r="AD104" s="165"/>
      <c r="AE104" s="165"/>
      <c r="AF104" s="165"/>
      <c r="AG104" s="165"/>
      <c r="AH104" s="165"/>
      <c r="AI104" s="165"/>
      <c r="AJ104" s="165"/>
      <c r="AK104" s="165"/>
      <c r="AL104" s="165"/>
      <c r="AM104" s="165">
        <v>0.2</v>
      </c>
      <c r="AN104" s="165"/>
      <c r="AO104" s="165"/>
      <c r="AP104" s="165"/>
      <c r="AQ104" s="165"/>
      <c r="AR104" s="165"/>
      <c r="AS104" s="165"/>
      <c r="AT104" s="165"/>
      <c r="AU104" s="165"/>
      <c r="AV104" s="165"/>
      <c r="AW104" s="165"/>
      <c r="AX104" s="165"/>
      <c r="AY104" s="165"/>
      <c r="AZ104" s="165"/>
      <c r="BA104" s="165"/>
      <c r="BB104" s="170"/>
      <c r="BC104" s="165"/>
      <c r="BD104" s="165"/>
      <c r="BE104" s="165"/>
      <c r="BF104" s="165"/>
      <c r="BG104" s="165"/>
      <c r="BH104" s="165"/>
      <c r="BI104" s="165"/>
      <c r="BJ104" s="165"/>
      <c r="BK104" s="165"/>
      <c r="BL104" s="165"/>
      <c r="BM104" s="165"/>
      <c r="BN104" s="165"/>
      <c r="BO104" s="165"/>
      <c r="BP104" s="165"/>
      <c r="BQ104" s="165"/>
      <c r="BR104" s="165"/>
      <c r="BS104" s="165"/>
      <c r="BT104" s="165"/>
      <c r="BU104" s="165"/>
      <c r="BV104" s="165"/>
      <c r="BW104" s="165"/>
      <c r="BX104" s="165"/>
      <c r="BY104" s="165"/>
      <c r="BZ104" s="165"/>
      <c r="CA104" s="165"/>
      <c r="CB104" s="165"/>
      <c r="CC104" s="165"/>
      <c r="CD104" s="165"/>
      <c r="CE104" s="165"/>
      <c r="CF104" s="165"/>
      <c r="CG104" s="165"/>
      <c r="CH104" s="165"/>
      <c r="CI104" s="170"/>
      <c r="CJ104" s="165"/>
      <c r="CK104" s="165"/>
      <c r="CL104" s="165"/>
      <c r="CM104" s="165"/>
      <c r="CN104" s="170"/>
      <c r="CO104" s="165"/>
      <c r="CP104" s="165"/>
      <c r="CQ104" s="165"/>
    </row>
    <row r="105" spans="2:95" ht="14.85" customHeight="1" x14ac:dyDescent="0.25">
      <c r="B105" s="156" t="str">
        <f>Table1[[#Headers],[Simulação]]</f>
        <v>Simulação</v>
      </c>
      <c r="C105" s="154" t="str">
        <f t="shared" si="110"/>
        <v>ENTITY_ENBLNG_TRNVR_W</v>
      </c>
      <c r="D105" s="153" t="s">
        <v>10</v>
      </c>
      <c r="E105" s="153" t="s">
        <v>1453</v>
      </c>
      <c r="G105" s="172">
        <f>INDEX(Table1[[Especificação]:[Total Testes]],MATCH(PlanoV1.0!C105,Table1[CONCAT],0),MATCH(PlanoV1.0!B105,Table1[[#Headers],[Especificação]:[Total Testes]],0))</f>
        <v>1</v>
      </c>
      <c r="H105" s="191">
        <f t="shared" si="111"/>
        <v>0.2</v>
      </c>
      <c r="I105" s="193">
        <f t="shared" si="112"/>
        <v>0</v>
      </c>
      <c r="J105" s="170"/>
      <c r="K105" s="165"/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  <c r="AA105" s="165"/>
      <c r="AB105" s="165"/>
      <c r="AC105" s="165"/>
      <c r="AD105" s="165"/>
      <c r="AE105" s="165"/>
      <c r="AF105" s="165"/>
      <c r="AG105" s="165"/>
      <c r="AH105" s="165"/>
      <c r="AI105" s="165"/>
      <c r="AJ105" s="165"/>
      <c r="AK105" s="165"/>
      <c r="AL105" s="165"/>
      <c r="AM105" s="165">
        <v>0.1</v>
      </c>
      <c r="AN105" s="165">
        <v>0.1</v>
      </c>
      <c r="AO105" s="165"/>
      <c r="AP105" s="165"/>
      <c r="AQ105" s="165"/>
      <c r="AR105" s="165"/>
      <c r="AS105" s="165"/>
      <c r="AT105" s="165"/>
      <c r="AU105" s="165"/>
      <c r="AV105" s="165"/>
      <c r="AW105" s="165"/>
      <c r="AX105" s="165"/>
      <c r="AY105" s="165"/>
      <c r="AZ105" s="165"/>
      <c r="BA105" s="165"/>
      <c r="BB105" s="170"/>
      <c r="BC105" s="165"/>
      <c r="BD105" s="165"/>
      <c r="BE105" s="165"/>
      <c r="BF105" s="165"/>
      <c r="BG105" s="165"/>
      <c r="BH105" s="165"/>
      <c r="BI105" s="165"/>
      <c r="BJ105" s="165"/>
      <c r="BK105" s="165"/>
      <c r="BL105" s="165"/>
      <c r="BM105" s="165"/>
      <c r="BN105" s="165"/>
      <c r="BO105" s="165"/>
      <c r="BP105" s="165"/>
      <c r="BQ105" s="165"/>
      <c r="BR105" s="165"/>
      <c r="BS105" s="165"/>
      <c r="BT105" s="165"/>
      <c r="BU105" s="165"/>
      <c r="BV105" s="165"/>
      <c r="BW105" s="165"/>
      <c r="BX105" s="165"/>
      <c r="BY105" s="165"/>
      <c r="BZ105" s="165"/>
      <c r="CA105" s="165"/>
      <c r="CB105" s="165"/>
      <c r="CC105" s="165"/>
      <c r="CD105" s="165"/>
      <c r="CE105" s="165"/>
      <c r="CF105" s="165"/>
      <c r="CG105" s="165"/>
      <c r="CH105" s="165"/>
      <c r="CI105" s="170"/>
      <c r="CJ105" s="165"/>
      <c r="CK105" s="165"/>
      <c r="CL105" s="165"/>
      <c r="CM105" s="165"/>
      <c r="CN105" s="170"/>
      <c r="CO105" s="165"/>
      <c r="CP105" s="165"/>
      <c r="CQ105" s="165"/>
    </row>
    <row r="106" spans="2:95" ht="14.85" customHeight="1" x14ac:dyDescent="0.25">
      <c r="B106" s="156" t="str">
        <f>Table1[[#Headers],[Simulação]]</f>
        <v>Simulação</v>
      </c>
      <c r="C106" s="154" t="str">
        <f t="shared" si="110"/>
        <v>ENTITY_ENBLNG_CAPEX_CE</v>
      </c>
      <c r="D106" s="153" t="s">
        <v>10</v>
      </c>
      <c r="E106" s="153" t="s">
        <v>1456</v>
      </c>
      <c r="G106" s="172">
        <f>INDEX(Table1[[Especificação]:[Total Testes]],MATCH(PlanoV1.0!C106,Table1[CONCAT],0),MATCH(PlanoV1.0!B106,Table1[[#Headers],[Especificação]:[Total Testes]],0))</f>
        <v>1</v>
      </c>
      <c r="H106" s="191">
        <f t="shared" si="111"/>
        <v>0.2</v>
      </c>
      <c r="I106" s="193">
        <f t="shared" si="112"/>
        <v>0</v>
      </c>
      <c r="J106" s="170"/>
      <c r="K106" s="165"/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5"/>
      <c r="AJ106" s="165"/>
      <c r="AK106" s="165"/>
      <c r="AL106" s="165"/>
      <c r="AM106" s="165"/>
      <c r="AN106" s="165">
        <v>0.2</v>
      </c>
      <c r="AO106" s="165"/>
      <c r="AP106" s="165"/>
      <c r="AQ106" s="165"/>
      <c r="AR106" s="165"/>
      <c r="AS106" s="165"/>
      <c r="AT106" s="165"/>
      <c r="AU106" s="165"/>
      <c r="AV106" s="165"/>
      <c r="AW106" s="165"/>
      <c r="AX106" s="165"/>
      <c r="AY106" s="165"/>
      <c r="AZ106" s="165"/>
      <c r="BA106" s="165"/>
      <c r="BB106" s="170"/>
      <c r="BC106" s="165"/>
      <c r="BD106" s="165"/>
      <c r="BE106" s="165"/>
      <c r="BF106" s="165"/>
      <c r="BG106" s="165"/>
      <c r="BH106" s="165"/>
      <c r="BI106" s="165"/>
      <c r="BJ106" s="165"/>
      <c r="BK106" s="165"/>
      <c r="BL106" s="165"/>
      <c r="BM106" s="165"/>
      <c r="BN106" s="165"/>
      <c r="BO106" s="165"/>
      <c r="BP106" s="165"/>
      <c r="BQ106" s="165"/>
      <c r="BR106" s="165"/>
      <c r="BS106" s="165"/>
      <c r="BT106" s="165"/>
      <c r="BU106" s="165"/>
      <c r="BV106" s="165"/>
      <c r="BW106" s="165"/>
      <c r="BX106" s="165"/>
      <c r="BY106" s="165"/>
      <c r="BZ106" s="165"/>
      <c r="CA106" s="165"/>
      <c r="CB106" s="165"/>
      <c r="CC106" s="165"/>
      <c r="CD106" s="165"/>
      <c r="CE106" s="165"/>
      <c r="CF106" s="165"/>
      <c r="CG106" s="165"/>
      <c r="CH106" s="165"/>
      <c r="CI106" s="170"/>
      <c r="CJ106" s="165"/>
      <c r="CK106" s="165"/>
      <c r="CL106" s="165"/>
      <c r="CM106" s="165"/>
      <c r="CN106" s="170"/>
      <c r="CO106" s="165"/>
      <c r="CP106" s="165"/>
      <c r="CQ106" s="165"/>
    </row>
    <row r="107" spans="2:95" ht="14.85" customHeight="1" x14ac:dyDescent="0.25">
      <c r="B107" s="156" t="str">
        <f>Table1[[#Headers],[Simulação]]</f>
        <v>Simulação</v>
      </c>
      <c r="C107" s="154" t="str">
        <f t="shared" si="110"/>
        <v>ENTITY_ENBLNG_TRNVR_CE</v>
      </c>
      <c r="D107" s="153" t="s">
        <v>10</v>
      </c>
      <c r="E107" s="153" t="s">
        <v>1459</v>
      </c>
      <c r="G107" s="172">
        <f>INDEX(Table1[[Especificação]:[Total Testes]],MATCH(PlanoV1.0!C107,Table1[CONCAT],0),MATCH(PlanoV1.0!B107,Table1[[#Headers],[Especificação]:[Total Testes]],0))</f>
        <v>1</v>
      </c>
      <c r="H107" s="191">
        <f t="shared" si="111"/>
        <v>0.2</v>
      </c>
      <c r="I107" s="193">
        <f t="shared" si="112"/>
        <v>0</v>
      </c>
      <c r="J107" s="170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5"/>
      <c r="AJ107" s="165"/>
      <c r="AK107" s="165"/>
      <c r="AL107" s="165"/>
      <c r="AM107" s="165"/>
      <c r="AN107" s="165">
        <v>0.2</v>
      </c>
      <c r="AO107" s="165"/>
      <c r="AP107" s="165"/>
      <c r="AQ107" s="165"/>
      <c r="AR107" s="165"/>
      <c r="AS107" s="165"/>
      <c r="AT107" s="165"/>
      <c r="AU107" s="165"/>
      <c r="AV107" s="165"/>
      <c r="AW107" s="165"/>
      <c r="AX107" s="165"/>
      <c r="AY107" s="165"/>
      <c r="AZ107" s="165"/>
      <c r="BA107" s="165"/>
      <c r="BB107" s="170"/>
      <c r="BC107" s="165"/>
      <c r="BD107" s="165"/>
      <c r="BE107" s="165"/>
      <c r="BF107" s="165"/>
      <c r="BG107" s="165"/>
      <c r="BH107" s="165"/>
      <c r="BI107" s="165"/>
      <c r="BJ107" s="165"/>
      <c r="BK107" s="165"/>
      <c r="BL107" s="165"/>
      <c r="BM107" s="165"/>
      <c r="BN107" s="165"/>
      <c r="BO107" s="165"/>
      <c r="BP107" s="165"/>
      <c r="BQ107" s="165"/>
      <c r="BR107" s="165"/>
      <c r="BS107" s="165"/>
      <c r="BT107" s="165"/>
      <c r="BU107" s="165"/>
      <c r="BV107" s="165"/>
      <c r="BW107" s="165"/>
      <c r="BX107" s="165"/>
      <c r="BY107" s="165"/>
      <c r="BZ107" s="165"/>
      <c r="CA107" s="165"/>
      <c r="CB107" s="165"/>
      <c r="CC107" s="165"/>
      <c r="CD107" s="165"/>
      <c r="CE107" s="165"/>
      <c r="CF107" s="165"/>
      <c r="CG107" s="165"/>
      <c r="CH107" s="165"/>
      <c r="CI107" s="170"/>
      <c r="CJ107" s="165"/>
      <c r="CK107" s="165"/>
      <c r="CL107" s="165"/>
      <c r="CM107" s="165"/>
      <c r="CN107" s="170"/>
      <c r="CO107" s="165"/>
      <c r="CP107" s="165"/>
      <c r="CQ107" s="165"/>
    </row>
    <row r="108" spans="2:95" ht="14.85" customHeight="1" x14ac:dyDescent="0.25">
      <c r="B108" s="156" t="str">
        <f>Table1[[#Headers],[Simulação]]</f>
        <v>Simulação</v>
      </c>
      <c r="C108" s="154" t="str">
        <f t="shared" si="110"/>
        <v>INSTRUMENT_TYP_OFF_BLNC_PRDCT</v>
      </c>
      <c r="D108" s="153" t="s">
        <v>414</v>
      </c>
      <c r="E108" s="153" t="s">
        <v>1351</v>
      </c>
      <c r="G108" s="172">
        <f>INDEX(Table1[[Especificação]:[Total Testes]],MATCH(PlanoV1.0!C108,Table1[CONCAT],0),MATCH(PlanoV1.0!B108,Table1[[#Headers],[Especificação]:[Total Testes]],0))</f>
        <v>0</v>
      </c>
      <c r="H108" s="191">
        <f t="shared" si="111"/>
        <v>0</v>
      </c>
      <c r="I108" s="193">
        <f t="shared" si="112"/>
        <v>0.2</v>
      </c>
      <c r="J108" s="170"/>
      <c r="K108" s="165"/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  <c r="AE108" s="165"/>
      <c r="AF108" s="165"/>
      <c r="AG108" s="165"/>
      <c r="AH108" s="165"/>
      <c r="AI108" s="165"/>
      <c r="AJ108" s="165"/>
      <c r="AK108" s="165"/>
      <c r="AL108" s="165"/>
      <c r="AM108" s="165"/>
      <c r="AN108" s="165">
        <v>0.2</v>
      </c>
      <c r="AO108" s="165"/>
      <c r="AP108" s="165"/>
      <c r="AQ108" s="165"/>
      <c r="AR108" s="165"/>
      <c r="AS108" s="165"/>
      <c r="AT108" s="165"/>
      <c r="AU108" s="165"/>
      <c r="AV108" s="165"/>
      <c r="AW108" s="165"/>
      <c r="AX108" s="165"/>
      <c r="AY108" s="165"/>
      <c r="AZ108" s="165"/>
      <c r="BA108" s="165"/>
      <c r="BB108" s="170"/>
      <c r="BC108" s="165"/>
      <c r="BD108" s="165"/>
      <c r="BE108" s="165"/>
      <c r="BF108" s="165"/>
      <c r="BG108" s="165"/>
      <c r="BH108" s="165"/>
      <c r="BI108" s="165"/>
      <c r="BJ108" s="165"/>
      <c r="BK108" s="165"/>
      <c r="BL108" s="165"/>
      <c r="BM108" s="165"/>
      <c r="BN108" s="165"/>
      <c r="BO108" s="165"/>
      <c r="BP108" s="165"/>
      <c r="BQ108" s="165"/>
      <c r="BR108" s="165"/>
      <c r="BS108" s="165"/>
      <c r="BT108" s="165"/>
      <c r="BU108" s="165"/>
      <c r="BV108" s="165"/>
      <c r="BW108" s="165"/>
      <c r="BX108" s="165"/>
      <c r="BY108" s="165"/>
      <c r="BZ108" s="165"/>
      <c r="CA108" s="165"/>
      <c r="CB108" s="165"/>
      <c r="CC108" s="165"/>
      <c r="CD108" s="165"/>
      <c r="CE108" s="165"/>
      <c r="CF108" s="165"/>
      <c r="CG108" s="165"/>
      <c r="CH108" s="165"/>
      <c r="CI108" s="170"/>
      <c r="CJ108" s="165"/>
      <c r="CK108" s="165"/>
      <c r="CL108" s="165"/>
      <c r="CM108" s="165"/>
      <c r="CN108" s="170"/>
      <c r="CO108" s="165"/>
      <c r="CP108" s="165"/>
      <c r="CQ108" s="165"/>
    </row>
    <row r="109" spans="2:95" ht="14.85" customHeight="1" x14ac:dyDescent="0.25">
      <c r="B109" s="156" t="str">
        <f>Table1[[#Headers],[Simulação]]</f>
        <v>Simulação</v>
      </c>
      <c r="C109" s="154" t="str">
        <f t="shared" si="110"/>
        <v>INSTRUMENT_FLG_MNMM_SFGRDS</v>
      </c>
      <c r="D109" s="153" t="s">
        <v>414</v>
      </c>
      <c r="E109" s="153" t="s">
        <v>1480</v>
      </c>
      <c r="G109" s="172">
        <f>INDEX(Table1[[Especificação]:[Total Testes]],MATCH(PlanoV1.0!C109,Table1[CONCAT],0),MATCH(PlanoV1.0!B109,Table1[[#Headers],[Especificação]:[Total Testes]],0))</f>
        <v>0</v>
      </c>
      <c r="H109" s="191">
        <f t="shared" si="111"/>
        <v>0</v>
      </c>
      <c r="I109" s="193">
        <f t="shared" si="112"/>
        <v>1</v>
      </c>
      <c r="J109" s="170"/>
      <c r="K109" s="165"/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  <c r="AA109" s="165"/>
      <c r="AB109" s="165"/>
      <c r="AC109" s="165"/>
      <c r="AD109" s="165"/>
      <c r="AE109" s="165"/>
      <c r="AF109" s="165"/>
      <c r="AG109" s="165"/>
      <c r="AH109" s="165"/>
      <c r="AI109" s="165"/>
      <c r="AJ109" s="165"/>
      <c r="AK109" s="165"/>
      <c r="AL109" s="165"/>
      <c r="AM109" s="165"/>
      <c r="AN109" s="165">
        <v>1</v>
      </c>
      <c r="AO109" s="165"/>
      <c r="AP109" s="165"/>
      <c r="AQ109" s="165"/>
      <c r="AR109" s="165"/>
      <c r="AS109" s="165"/>
      <c r="AT109" s="165"/>
      <c r="AU109" s="165"/>
      <c r="AV109" s="165"/>
      <c r="AW109" s="165"/>
      <c r="AX109" s="165"/>
      <c r="AY109" s="165"/>
      <c r="AZ109" s="165"/>
      <c r="BA109" s="165"/>
      <c r="BB109" s="170"/>
      <c r="BC109" s="165"/>
      <c r="BD109" s="165"/>
      <c r="BE109" s="165"/>
      <c r="BF109" s="165"/>
      <c r="BG109" s="165"/>
      <c r="BH109" s="165"/>
      <c r="BI109" s="165"/>
      <c r="BJ109" s="165"/>
      <c r="BK109" s="165"/>
      <c r="BL109" s="165"/>
      <c r="BM109" s="165"/>
      <c r="BN109" s="165"/>
      <c r="BO109" s="165"/>
      <c r="BP109" s="165"/>
      <c r="BQ109" s="165"/>
      <c r="BR109" s="165"/>
      <c r="BS109" s="165"/>
      <c r="BT109" s="165"/>
      <c r="BU109" s="165"/>
      <c r="BV109" s="165"/>
      <c r="BW109" s="165"/>
      <c r="BX109" s="165"/>
      <c r="BY109" s="165"/>
      <c r="BZ109" s="165"/>
      <c r="CA109" s="165"/>
      <c r="CB109" s="165"/>
      <c r="CC109" s="165"/>
      <c r="CD109" s="165"/>
      <c r="CE109" s="165"/>
      <c r="CF109" s="165"/>
      <c r="CG109" s="165"/>
      <c r="CH109" s="165"/>
      <c r="CI109" s="170"/>
      <c r="CJ109" s="165"/>
      <c r="CK109" s="165"/>
      <c r="CL109" s="165"/>
      <c r="CM109" s="165"/>
      <c r="CN109" s="170"/>
      <c r="CO109" s="165"/>
      <c r="CP109" s="165"/>
      <c r="CQ109" s="165"/>
    </row>
    <row r="110" spans="2:95" ht="14.85" customHeight="1" x14ac:dyDescent="0.25">
      <c r="B110" s="156" t="str">
        <f>Table1[[#Headers],[Simulação]]</f>
        <v>Simulação</v>
      </c>
      <c r="C110" s="154" t="str">
        <f t="shared" si="110"/>
        <v>INSTR_PROTECTION_TYP_RLTN</v>
      </c>
      <c r="D110" s="153" t="s">
        <v>1101</v>
      </c>
      <c r="E110" s="153" t="s">
        <v>1384</v>
      </c>
      <c r="G110" s="172">
        <f>INDEX(Table1[[Especificação]:[Total Testes]],MATCH(PlanoV1.0!C110,Table1[CONCAT],0),MATCH(PlanoV1.0!B110,Table1[[#Headers],[Especificação]:[Total Testes]],0))</f>
        <v>3</v>
      </c>
      <c r="H110" s="191">
        <f t="shared" si="111"/>
        <v>0.4</v>
      </c>
      <c r="I110" s="193">
        <f t="shared" si="112"/>
        <v>0</v>
      </c>
      <c r="J110" s="170"/>
      <c r="K110" s="165"/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165"/>
      <c r="AD110" s="165"/>
      <c r="AE110" s="165"/>
      <c r="AF110" s="165"/>
      <c r="AG110" s="165"/>
      <c r="AH110" s="165"/>
      <c r="AI110" s="165"/>
      <c r="AJ110" s="165"/>
      <c r="AK110" s="165"/>
      <c r="AL110" s="165"/>
      <c r="AM110" s="165"/>
      <c r="AN110" s="165">
        <v>0.3</v>
      </c>
      <c r="AO110" s="165">
        <v>0.1</v>
      </c>
      <c r="AP110" s="165"/>
      <c r="AQ110" s="165"/>
      <c r="AR110" s="165"/>
      <c r="AS110" s="165"/>
      <c r="AT110" s="165"/>
      <c r="AU110" s="165"/>
      <c r="AV110" s="165"/>
      <c r="AW110" s="165"/>
      <c r="AX110" s="165"/>
      <c r="AY110" s="165"/>
      <c r="AZ110" s="165"/>
      <c r="BA110" s="165"/>
      <c r="BB110" s="170"/>
      <c r="BC110" s="165"/>
      <c r="BD110" s="165"/>
      <c r="BE110" s="165"/>
      <c r="BF110" s="165"/>
      <c r="BG110" s="165"/>
      <c r="BH110" s="165"/>
      <c r="BI110" s="165"/>
      <c r="BJ110" s="165"/>
      <c r="BK110" s="165"/>
      <c r="BL110" s="165"/>
      <c r="BM110" s="165"/>
      <c r="BN110" s="165"/>
      <c r="BO110" s="165"/>
      <c r="BP110" s="165"/>
      <c r="BQ110" s="165"/>
      <c r="BR110" s="165"/>
      <c r="BS110" s="165"/>
      <c r="BT110" s="165"/>
      <c r="BU110" s="165"/>
      <c r="BV110" s="165"/>
      <c r="BW110" s="165"/>
      <c r="BX110" s="165"/>
      <c r="BY110" s="165"/>
      <c r="BZ110" s="165"/>
      <c r="CA110" s="165"/>
      <c r="CB110" s="165"/>
      <c r="CC110" s="165"/>
      <c r="CD110" s="165"/>
      <c r="CE110" s="165"/>
      <c r="CF110" s="165"/>
      <c r="CG110" s="165"/>
      <c r="CH110" s="165"/>
      <c r="CI110" s="170"/>
      <c r="CJ110" s="165"/>
      <c r="CK110" s="165"/>
      <c r="CL110" s="165"/>
      <c r="CM110" s="165"/>
      <c r="CN110" s="170"/>
      <c r="CO110" s="165"/>
      <c r="CP110" s="165"/>
      <c r="CQ110" s="165"/>
    </row>
    <row r="111" spans="2:95" ht="14.85" customHeight="1" x14ac:dyDescent="0.25">
      <c r="B111" s="156" t="str">
        <f>Table1[[#Headers],[Simulação]]</f>
        <v>Simulação</v>
      </c>
      <c r="C111" s="154" t="str">
        <f t="shared" si="110"/>
        <v>PROTECTION_BLDNG_AR</v>
      </c>
      <c r="D111" s="153" t="s">
        <v>1114</v>
      </c>
      <c r="E111" s="153" t="s">
        <v>1387</v>
      </c>
      <c r="G111" s="172">
        <f>INDEX(Table1[[Especificação]:[Total Testes]],MATCH(PlanoV1.0!C111,Table1[CONCAT],0),MATCH(PlanoV1.0!B111,Table1[[#Headers],[Especificação]:[Total Testes]],0))</f>
        <v>0</v>
      </c>
      <c r="H111" s="191">
        <f t="shared" si="111"/>
        <v>0</v>
      </c>
      <c r="I111" s="193">
        <f t="shared" si="112"/>
        <v>0.2</v>
      </c>
      <c r="J111" s="170"/>
      <c r="K111" s="165"/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  <c r="AC111" s="165"/>
      <c r="AD111" s="165"/>
      <c r="AE111" s="165"/>
      <c r="AF111" s="165"/>
      <c r="AG111" s="165"/>
      <c r="AH111" s="165"/>
      <c r="AI111" s="165"/>
      <c r="AJ111" s="165"/>
      <c r="AK111" s="165"/>
      <c r="AL111" s="165"/>
      <c r="AM111" s="165"/>
      <c r="AN111" s="165"/>
      <c r="AO111" s="165">
        <v>0.2</v>
      </c>
      <c r="AP111" s="165"/>
      <c r="AQ111" s="165"/>
      <c r="AR111" s="165"/>
      <c r="AS111" s="165"/>
      <c r="AT111" s="165"/>
      <c r="AU111" s="165"/>
      <c r="AV111" s="165"/>
      <c r="AW111" s="165"/>
      <c r="AX111" s="165"/>
      <c r="AY111" s="165"/>
      <c r="AZ111" s="165"/>
      <c r="BA111" s="165"/>
      <c r="BB111" s="170"/>
      <c r="BC111" s="165"/>
      <c r="BD111" s="165"/>
      <c r="BE111" s="165"/>
      <c r="BF111" s="165"/>
      <c r="BG111" s="165"/>
      <c r="BH111" s="165"/>
      <c r="BI111" s="165"/>
      <c r="BJ111" s="165"/>
      <c r="BK111" s="165"/>
      <c r="BL111" s="165"/>
      <c r="BM111" s="165"/>
      <c r="BN111" s="165"/>
      <c r="BO111" s="165"/>
      <c r="BP111" s="165"/>
      <c r="BQ111" s="165"/>
      <c r="BR111" s="165"/>
      <c r="BS111" s="165"/>
      <c r="BT111" s="165"/>
      <c r="BU111" s="165"/>
      <c r="BV111" s="165"/>
      <c r="BW111" s="165"/>
      <c r="BX111" s="165"/>
      <c r="BY111" s="165"/>
      <c r="BZ111" s="165"/>
      <c r="CA111" s="165"/>
      <c r="CB111" s="165"/>
      <c r="CC111" s="165"/>
      <c r="CD111" s="165"/>
      <c r="CE111" s="165"/>
      <c r="CF111" s="165"/>
      <c r="CG111" s="165"/>
      <c r="CH111" s="165"/>
      <c r="CI111" s="170"/>
      <c r="CJ111" s="165"/>
      <c r="CK111" s="165"/>
      <c r="CL111" s="165"/>
      <c r="CM111" s="165"/>
      <c r="CN111" s="170"/>
      <c r="CO111" s="165"/>
      <c r="CP111" s="165"/>
      <c r="CQ111" s="165"/>
    </row>
    <row r="112" spans="2:95" ht="14.85" customHeight="1" x14ac:dyDescent="0.25">
      <c r="B112" s="156" t="str">
        <f>Table1[[#Headers],[Simulação]]</f>
        <v>Simulação</v>
      </c>
      <c r="C112" s="154" t="str">
        <f t="shared" si="110"/>
        <v>PROTECTION_RL_ESTT_CRTFCTN</v>
      </c>
      <c r="D112" s="153" t="s">
        <v>1114</v>
      </c>
      <c r="E112" s="153" t="s">
        <v>1512</v>
      </c>
      <c r="G112" s="172">
        <f>INDEX(Table1[[Especificação]:[Total Testes]],MATCH(PlanoV1.0!C112,Table1[CONCAT],0),MATCH(PlanoV1.0!B112,Table1[[#Headers],[Especificação]:[Total Testes]],0))</f>
        <v>0</v>
      </c>
      <c r="H112" s="191">
        <f t="shared" si="111"/>
        <v>0</v>
      </c>
      <c r="I112" s="193">
        <f t="shared" si="112"/>
        <v>0.8</v>
      </c>
      <c r="J112" s="170"/>
      <c r="K112" s="165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  <c r="AA112" s="165"/>
      <c r="AB112" s="165"/>
      <c r="AC112" s="165"/>
      <c r="AD112" s="165"/>
      <c r="AE112" s="165"/>
      <c r="AF112" s="165"/>
      <c r="AG112" s="165"/>
      <c r="AH112" s="165"/>
      <c r="AI112" s="165"/>
      <c r="AJ112" s="165"/>
      <c r="AK112" s="165"/>
      <c r="AL112" s="165"/>
      <c r="AM112" s="165"/>
      <c r="AN112" s="165"/>
      <c r="AO112" s="165">
        <v>0.8</v>
      </c>
      <c r="AP112" s="165"/>
      <c r="AQ112" s="165"/>
      <c r="AR112" s="165"/>
      <c r="AS112" s="165"/>
      <c r="AT112" s="165"/>
      <c r="AU112" s="165"/>
      <c r="AV112" s="165"/>
      <c r="AW112" s="165"/>
      <c r="AX112" s="165"/>
      <c r="AY112" s="165"/>
      <c r="AZ112" s="165"/>
      <c r="BA112" s="165"/>
      <c r="BB112" s="170"/>
      <c r="BC112" s="165"/>
      <c r="BD112" s="165"/>
      <c r="BE112" s="165"/>
      <c r="BF112" s="165"/>
      <c r="BG112" s="165"/>
      <c r="BH112" s="165"/>
      <c r="BI112" s="165"/>
      <c r="BJ112" s="165"/>
      <c r="BK112" s="165"/>
      <c r="BL112" s="165"/>
      <c r="BM112" s="165"/>
      <c r="BN112" s="165"/>
      <c r="BO112" s="165"/>
      <c r="BP112" s="165"/>
      <c r="BQ112" s="165"/>
      <c r="BR112" s="165"/>
      <c r="BS112" s="165"/>
      <c r="BT112" s="165"/>
      <c r="BU112" s="165"/>
      <c r="BV112" s="165"/>
      <c r="BW112" s="165"/>
      <c r="BX112" s="165"/>
      <c r="BY112" s="165"/>
      <c r="BZ112" s="165"/>
      <c r="CA112" s="165"/>
      <c r="CB112" s="165"/>
      <c r="CC112" s="165"/>
      <c r="CD112" s="165"/>
      <c r="CE112" s="165"/>
      <c r="CF112" s="165"/>
      <c r="CG112" s="165"/>
      <c r="CH112" s="165"/>
      <c r="CI112" s="170"/>
      <c r="CJ112" s="165"/>
      <c r="CK112" s="165"/>
      <c r="CL112" s="165"/>
      <c r="CM112" s="165"/>
      <c r="CN112" s="170"/>
      <c r="CO112" s="165"/>
      <c r="CP112" s="165"/>
      <c r="CQ112" s="165"/>
    </row>
    <row r="113" spans="2:95" ht="14.85" customHeight="1" x14ac:dyDescent="0.25">
      <c r="B113" s="156" t="str">
        <f>Table1[[#Headers],[Simulação]]</f>
        <v>Simulação</v>
      </c>
      <c r="C113" s="154" t="str">
        <f t="shared" si="110"/>
        <v>PROTECTION_TYP_VHCL</v>
      </c>
      <c r="D113" s="153" t="s">
        <v>1114</v>
      </c>
      <c r="E113" s="153" t="s">
        <v>1515</v>
      </c>
      <c r="G113" s="172">
        <f>INDEX(Table1[[Especificação]:[Total Testes]],MATCH(PlanoV1.0!C113,Table1[CONCAT],0),MATCH(PlanoV1.0!B113,Table1[[#Headers],[Especificação]:[Total Testes]],0))</f>
        <v>0</v>
      </c>
      <c r="H113" s="191">
        <f t="shared" si="111"/>
        <v>0</v>
      </c>
      <c r="I113" s="193">
        <f t="shared" si="112"/>
        <v>0.8</v>
      </c>
      <c r="J113" s="170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  <c r="AM113" s="165"/>
      <c r="AN113" s="165"/>
      <c r="AO113" s="165">
        <v>0.8</v>
      </c>
      <c r="AP113" s="165"/>
      <c r="AQ113" s="165"/>
      <c r="AR113" s="165"/>
      <c r="AS113" s="165"/>
      <c r="AT113" s="165"/>
      <c r="AU113" s="165"/>
      <c r="AV113" s="165"/>
      <c r="AW113" s="165"/>
      <c r="AX113" s="165"/>
      <c r="AY113" s="165"/>
      <c r="AZ113" s="165"/>
      <c r="BA113" s="165"/>
      <c r="BB113" s="170"/>
      <c r="BC113" s="165"/>
      <c r="BD113" s="165"/>
      <c r="BE113" s="165"/>
      <c r="BF113" s="165"/>
      <c r="BG113" s="165"/>
      <c r="BH113" s="165"/>
      <c r="BI113" s="165"/>
      <c r="BJ113" s="165"/>
      <c r="BK113" s="165"/>
      <c r="BL113" s="165"/>
      <c r="BM113" s="165"/>
      <c r="BN113" s="165"/>
      <c r="BO113" s="165"/>
      <c r="BP113" s="165"/>
      <c r="BQ113" s="165"/>
      <c r="BR113" s="165"/>
      <c r="BS113" s="165"/>
      <c r="BT113" s="165"/>
      <c r="BU113" s="165"/>
      <c r="BV113" s="165"/>
      <c r="BW113" s="165"/>
      <c r="BX113" s="165"/>
      <c r="BY113" s="165"/>
      <c r="BZ113" s="165"/>
      <c r="CA113" s="165"/>
      <c r="CB113" s="165"/>
      <c r="CC113" s="165"/>
      <c r="CD113" s="165"/>
      <c r="CE113" s="165"/>
      <c r="CF113" s="165"/>
      <c r="CG113" s="165"/>
      <c r="CH113" s="165"/>
      <c r="CI113" s="170"/>
      <c r="CJ113" s="165"/>
      <c r="CK113" s="165"/>
      <c r="CL113" s="165"/>
      <c r="CM113" s="165"/>
      <c r="CN113" s="170"/>
      <c r="CO113" s="165"/>
      <c r="CP113" s="165"/>
      <c r="CQ113" s="165"/>
    </row>
    <row r="114" spans="2:95" ht="14.85" customHeight="1" x14ac:dyDescent="0.25">
      <c r="B114" s="156" t="str">
        <f>Table1[[#Headers],[Simulação]]</f>
        <v>Simulação</v>
      </c>
      <c r="C114" s="154" t="str">
        <f t="shared" si="110"/>
        <v>PROTECTION_DT_RGSTRTN</v>
      </c>
      <c r="D114" s="153" t="s">
        <v>1114</v>
      </c>
      <c r="E114" s="153" t="s">
        <v>1518</v>
      </c>
      <c r="G114" s="172">
        <f>INDEX(Table1[[Especificação]:[Total Testes]],MATCH(PlanoV1.0!C114,Table1[CONCAT],0),MATCH(PlanoV1.0!B114,Table1[[#Headers],[Especificação]:[Total Testes]],0))</f>
        <v>0</v>
      </c>
      <c r="H114" s="191">
        <f t="shared" si="111"/>
        <v>0</v>
      </c>
      <c r="I114" s="193">
        <f t="shared" si="112"/>
        <v>0.79999999999999993</v>
      </c>
      <c r="J114" s="170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  <c r="AA114" s="165"/>
      <c r="AB114" s="165"/>
      <c r="AC114" s="165"/>
      <c r="AD114" s="165"/>
      <c r="AE114" s="165"/>
      <c r="AF114" s="165"/>
      <c r="AG114" s="165"/>
      <c r="AH114" s="165"/>
      <c r="AI114" s="165"/>
      <c r="AJ114" s="165"/>
      <c r="AK114" s="165"/>
      <c r="AL114" s="165"/>
      <c r="AM114" s="165"/>
      <c r="AN114" s="165"/>
      <c r="AO114" s="165">
        <v>0.1</v>
      </c>
      <c r="AP114" s="165">
        <v>0.7</v>
      </c>
      <c r="AQ114" s="165"/>
      <c r="AR114" s="165"/>
      <c r="AS114" s="165"/>
      <c r="AT114" s="165"/>
      <c r="AU114" s="165"/>
      <c r="AV114" s="165"/>
      <c r="AW114" s="165"/>
      <c r="AX114" s="165"/>
      <c r="AY114" s="165"/>
      <c r="AZ114" s="165"/>
      <c r="BA114" s="165"/>
      <c r="BB114" s="170"/>
      <c r="BC114" s="165"/>
      <c r="BD114" s="165"/>
      <c r="BE114" s="165"/>
      <c r="BF114" s="165"/>
      <c r="BG114" s="165"/>
      <c r="BH114" s="165"/>
      <c r="BI114" s="165"/>
      <c r="BJ114" s="165"/>
      <c r="BK114" s="165"/>
      <c r="BL114" s="165"/>
      <c r="BM114" s="165"/>
      <c r="BN114" s="165"/>
      <c r="BO114" s="165"/>
      <c r="BP114" s="165"/>
      <c r="BQ114" s="165"/>
      <c r="BR114" s="165"/>
      <c r="BS114" s="165"/>
      <c r="BT114" s="165"/>
      <c r="BU114" s="165"/>
      <c r="BV114" s="165"/>
      <c r="BW114" s="165"/>
      <c r="BX114" s="165"/>
      <c r="BY114" s="165"/>
      <c r="BZ114" s="165"/>
      <c r="CA114" s="165"/>
      <c r="CB114" s="165"/>
      <c r="CC114" s="165"/>
      <c r="CD114" s="165"/>
      <c r="CE114" s="165"/>
      <c r="CF114" s="165"/>
      <c r="CG114" s="165"/>
      <c r="CH114" s="165"/>
      <c r="CI114" s="170"/>
      <c r="CJ114" s="165"/>
      <c r="CK114" s="165"/>
      <c r="CL114" s="165"/>
      <c r="CM114" s="165"/>
      <c r="CN114" s="170"/>
      <c r="CO114" s="165"/>
      <c r="CP114" s="165"/>
      <c r="CQ114" s="165"/>
    </row>
    <row r="115" spans="2:95" ht="14.85" customHeight="1" x14ac:dyDescent="0.25">
      <c r="B115" s="156" t="str">
        <f>Table1[[#Headers],[Simulação]]</f>
        <v>Simulação</v>
      </c>
      <c r="C115" s="154" t="str">
        <f t="shared" si="110"/>
        <v>PROTECTION_PRMRY_ENRGY_DMND_NN_RNWBL</v>
      </c>
      <c r="D115" s="153" t="s">
        <v>1114</v>
      </c>
      <c r="E115" s="153" t="s">
        <v>1521</v>
      </c>
      <c r="G115" s="172">
        <f>INDEX(Table1[[Especificação]:[Total Testes]],MATCH(PlanoV1.0!C115,Table1[CONCAT],0),MATCH(PlanoV1.0!B115,Table1[[#Headers],[Especificação]:[Total Testes]],0))</f>
        <v>8</v>
      </c>
      <c r="H115" s="191">
        <f t="shared" si="111"/>
        <v>1</v>
      </c>
      <c r="I115" s="193">
        <f t="shared" si="112"/>
        <v>0</v>
      </c>
      <c r="J115" s="170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  <c r="AA115" s="165"/>
      <c r="AB115" s="165"/>
      <c r="AC115" s="165"/>
      <c r="AD115" s="165"/>
      <c r="AE115" s="165"/>
      <c r="AF115" s="165"/>
      <c r="AG115" s="165"/>
      <c r="AH115" s="165"/>
      <c r="AI115" s="165"/>
      <c r="AJ115" s="165"/>
      <c r="AK115" s="165"/>
      <c r="AL115" s="165"/>
      <c r="AM115" s="165"/>
      <c r="AN115" s="165"/>
      <c r="AO115" s="165"/>
      <c r="AP115" s="165">
        <v>1</v>
      </c>
      <c r="AQ115" s="165"/>
      <c r="AR115" s="165"/>
      <c r="AS115" s="165"/>
      <c r="AT115" s="165"/>
      <c r="AU115" s="165"/>
      <c r="AV115" s="165"/>
      <c r="AW115" s="165"/>
      <c r="AX115" s="165"/>
      <c r="AY115" s="165"/>
      <c r="AZ115" s="165"/>
      <c r="BA115" s="165"/>
      <c r="BB115" s="170"/>
      <c r="BC115" s="165"/>
      <c r="BD115" s="165"/>
      <c r="BE115" s="165"/>
      <c r="BF115" s="165"/>
      <c r="BG115" s="165"/>
      <c r="BH115" s="165"/>
      <c r="BI115" s="165"/>
      <c r="BJ115" s="165"/>
      <c r="BK115" s="165"/>
      <c r="BL115" s="165"/>
      <c r="BM115" s="165"/>
      <c r="BN115" s="165"/>
      <c r="BO115" s="165"/>
      <c r="BP115" s="165"/>
      <c r="BQ115" s="165"/>
      <c r="BR115" s="165"/>
      <c r="BS115" s="165"/>
      <c r="BT115" s="165"/>
      <c r="BU115" s="165"/>
      <c r="BV115" s="165"/>
      <c r="BW115" s="165"/>
      <c r="BX115" s="165"/>
      <c r="BY115" s="165"/>
      <c r="BZ115" s="165"/>
      <c r="CA115" s="165"/>
      <c r="CB115" s="165"/>
      <c r="CC115" s="165"/>
      <c r="CD115" s="165"/>
      <c r="CE115" s="165"/>
      <c r="CF115" s="165"/>
      <c r="CG115" s="165"/>
      <c r="CH115" s="165"/>
      <c r="CI115" s="170"/>
      <c r="CJ115" s="165"/>
      <c r="CK115" s="165"/>
      <c r="CL115" s="165"/>
      <c r="CM115" s="165"/>
      <c r="CN115" s="170"/>
      <c r="CO115" s="165"/>
      <c r="CP115" s="165"/>
      <c r="CQ115" s="165"/>
    </row>
    <row r="116" spans="2:95" ht="14.85" customHeight="1" x14ac:dyDescent="0.25">
      <c r="B116" s="156" t="str">
        <f>Table1[[#Headers],[Simulação]]</f>
        <v>Simulação</v>
      </c>
      <c r="C116" s="154" t="str">
        <f t="shared" si="110"/>
        <v>PROTECTION_PRMRY_ENRGY_DMND_TTL</v>
      </c>
      <c r="D116" s="153" t="s">
        <v>1114</v>
      </c>
      <c r="E116" s="153" t="s">
        <v>1524</v>
      </c>
      <c r="G116" s="172">
        <f>INDEX(Table1[[Especificação]:[Total Testes]],MATCH(PlanoV1.0!C116,Table1[CONCAT],0),MATCH(PlanoV1.0!B116,Table1[[#Headers],[Especificação]:[Total Testes]],0))</f>
        <v>6</v>
      </c>
      <c r="H116" s="191">
        <f t="shared" si="111"/>
        <v>0.79999999999999993</v>
      </c>
      <c r="I116" s="193">
        <f t="shared" si="112"/>
        <v>0</v>
      </c>
      <c r="J116" s="170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  <c r="AC116" s="165"/>
      <c r="AD116" s="165"/>
      <c r="AE116" s="165"/>
      <c r="AF116" s="165"/>
      <c r="AG116" s="165"/>
      <c r="AH116" s="165"/>
      <c r="AI116" s="165"/>
      <c r="AJ116" s="165"/>
      <c r="AK116" s="165"/>
      <c r="AL116" s="165"/>
      <c r="AM116" s="165"/>
      <c r="AN116" s="165"/>
      <c r="AO116" s="165"/>
      <c r="AP116" s="165">
        <v>0.3</v>
      </c>
      <c r="AQ116" s="165">
        <v>0.5</v>
      </c>
      <c r="AR116" s="165"/>
      <c r="AS116" s="165"/>
      <c r="AT116" s="165"/>
      <c r="AU116" s="165"/>
      <c r="AV116" s="165"/>
      <c r="AW116" s="165"/>
      <c r="AX116" s="165"/>
      <c r="AY116" s="165"/>
      <c r="AZ116" s="165"/>
      <c r="BA116" s="165"/>
      <c r="BB116" s="170"/>
      <c r="BC116" s="165"/>
      <c r="BD116" s="165"/>
      <c r="BE116" s="165"/>
      <c r="BF116" s="165"/>
      <c r="BG116" s="165"/>
      <c r="BH116" s="165"/>
      <c r="BI116" s="165"/>
      <c r="BJ116" s="165"/>
      <c r="BK116" s="165"/>
      <c r="BL116" s="165"/>
      <c r="BM116" s="165"/>
      <c r="BN116" s="165"/>
      <c r="BO116" s="165"/>
      <c r="BP116" s="165"/>
      <c r="BQ116" s="165"/>
      <c r="BR116" s="165"/>
      <c r="BS116" s="165"/>
      <c r="BT116" s="165"/>
      <c r="BU116" s="165"/>
      <c r="BV116" s="165"/>
      <c r="BW116" s="165"/>
      <c r="BX116" s="165"/>
      <c r="BY116" s="165"/>
      <c r="BZ116" s="165"/>
      <c r="CA116" s="165"/>
      <c r="CB116" s="165"/>
      <c r="CC116" s="165"/>
      <c r="CD116" s="165"/>
      <c r="CE116" s="165"/>
      <c r="CF116" s="165"/>
      <c r="CG116" s="165"/>
      <c r="CH116" s="165"/>
      <c r="CI116" s="170"/>
      <c r="CJ116" s="165"/>
      <c r="CK116" s="165"/>
      <c r="CL116" s="165"/>
      <c r="CM116" s="165"/>
      <c r="CN116" s="170"/>
      <c r="CO116" s="165"/>
      <c r="CP116" s="165"/>
      <c r="CQ116" s="165"/>
    </row>
    <row r="117" spans="2:95" ht="14.85" customHeight="1" x14ac:dyDescent="0.25">
      <c r="B117" s="156" t="str">
        <f>Table1[[#Headers],[Simulação]]</f>
        <v>Simulação</v>
      </c>
      <c r="C117" s="154" t="str">
        <f t="shared" si="110"/>
        <v>PROTECTION_PRMRY_ENRGY_DMND_RFRNC_VL</v>
      </c>
      <c r="D117" s="153" t="s">
        <v>1114</v>
      </c>
      <c r="E117" s="153" t="s">
        <v>1527</v>
      </c>
      <c r="G117" s="172">
        <f>INDEX(Table1[[Especificação]:[Total Testes]],MATCH(PlanoV1.0!C117,Table1[CONCAT],0),MATCH(PlanoV1.0!B117,Table1[[#Headers],[Especificação]:[Total Testes]],0))</f>
        <v>6</v>
      </c>
      <c r="H117" s="191">
        <f t="shared" si="111"/>
        <v>0.79999999999999993</v>
      </c>
      <c r="I117" s="193">
        <f t="shared" si="112"/>
        <v>0</v>
      </c>
      <c r="J117" s="170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  <c r="AA117" s="165"/>
      <c r="AB117" s="165"/>
      <c r="AC117" s="165"/>
      <c r="AD117" s="165"/>
      <c r="AE117" s="165"/>
      <c r="AF117" s="165"/>
      <c r="AG117" s="165"/>
      <c r="AH117" s="165"/>
      <c r="AI117" s="165"/>
      <c r="AJ117" s="165"/>
      <c r="AK117" s="165"/>
      <c r="AL117" s="165"/>
      <c r="AM117" s="165"/>
      <c r="AN117" s="165"/>
      <c r="AO117" s="165"/>
      <c r="AP117" s="165"/>
      <c r="AQ117" s="165">
        <v>0.8</v>
      </c>
      <c r="AR117" s="165"/>
      <c r="AS117" s="165"/>
      <c r="AT117" s="165"/>
      <c r="AU117" s="165"/>
      <c r="AV117" s="165"/>
      <c r="AW117" s="165"/>
      <c r="AX117" s="165"/>
      <c r="AY117" s="165"/>
      <c r="AZ117" s="165"/>
      <c r="BA117" s="165"/>
      <c r="BB117" s="170"/>
      <c r="BC117" s="165"/>
      <c r="BD117" s="165"/>
      <c r="BE117" s="165"/>
      <c r="BF117" s="165"/>
      <c r="BG117" s="165"/>
      <c r="BH117" s="165"/>
      <c r="BI117" s="165"/>
      <c r="BJ117" s="165"/>
      <c r="BK117" s="165"/>
      <c r="BL117" s="165"/>
      <c r="BM117" s="165"/>
      <c r="BN117" s="165"/>
      <c r="BO117" s="165"/>
      <c r="BP117" s="165"/>
      <c r="BQ117" s="165"/>
      <c r="BR117" s="165"/>
      <c r="BS117" s="165"/>
      <c r="BT117" s="165"/>
      <c r="BU117" s="165"/>
      <c r="BV117" s="165"/>
      <c r="BW117" s="165"/>
      <c r="BX117" s="165"/>
      <c r="BY117" s="165"/>
      <c r="BZ117" s="165"/>
      <c r="CA117" s="165"/>
      <c r="CB117" s="165"/>
      <c r="CC117" s="165"/>
      <c r="CD117" s="165"/>
      <c r="CE117" s="165"/>
      <c r="CF117" s="165"/>
      <c r="CG117" s="165"/>
      <c r="CH117" s="165"/>
      <c r="CI117" s="170"/>
      <c r="CJ117" s="165"/>
      <c r="CK117" s="165"/>
      <c r="CL117" s="165"/>
      <c r="CM117" s="165"/>
      <c r="CN117" s="170"/>
      <c r="CO117" s="165"/>
      <c r="CP117" s="165"/>
      <c r="CQ117" s="165"/>
    </row>
    <row r="118" spans="2:95" ht="14.85" customHeight="1" x14ac:dyDescent="0.25">
      <c r="B118" s="156" t="str">
        <f>Table1[[#Headers],[Simulação]]</f>
        <v>Simulação</v>
      </c>
      <c r="C118" s="154" t="str">
        <f t="shared" si="110"/>
        <v>PROTECTION_RL_ESTT_CLMT_ZN</v>
      </c>
      <c r="D118" s="153" t="s">
        <v>1114</v>
      </c>
      <c r="E118" s="153" t="s">
        <v>1530</v>
      </c>
      <c r="G118" s="172">
        <f>INDEX(Table1[[Especificação]:[Total Testes]],MATCH(PlanoV1.0!C118,Table1[CONCAT],0),MATCH(PlanoV1.0!B118,Table1[[#Headers],[Especificação]:[Total Testes]],0))</f>
        <v>6</v>
      </c>
      <c r="H118" s="191">
        <f t="shared" si="111"/>
        <v>0.79999999999999993</v>
      </c>
      <c r="I118" s="193">
        <f t="shared" si="112"/>
        <v>0</v>
      </c>
      <c r="J118" s="170"/>
      <c r="K118" s="165"/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  <c r="AA118" s="165"/>
      <c r="AB118" s="165"/>
      <c r="AC118" s="165"/>
      <c r="AD118" s="165"/>
      <c r="AE118" s="165"/>
      <c r="AF118" s="165"/>
      <c r="AG118" s="165"/>
      <c r="AH118" s="165"/>
      <c r="AI118" s="165"/>
      <c r="AJ118" s="165"/>
      <c r="AK118" s="165"/>
      <c r="AL118" s="165"/>
      <c r="AM118" s="165"/>
      <c r="AN118" s="165"/>
      <c r="AO118" s="165"/>
      <c r="AP118" s="165"/>
      <c r="AQ118" s="165">
        <v>0.7</v>
      </c>
      <c r="AR118" s="165">
        <v>0.1</v>
      </c>
      <c r="AS118" s="165"/>
      <c r="AT118" s="165"/>
      <c r="AU118" s="165"/>
      <c r="AV118" s="165"/>
      <c r="AW118" s="165"/>
      <c r="AX118" s="165"/>
      <c r="AY118" s="165"/>
      <c r="AZ118" s="165"/>
      <c r="BA118" s="165"/>
      <c r="BB118" s="170"/>
      <c r="BC118" s="165"/>
      <c r="BD118" s="165"/>
      <c r="BE118" s="165"/>
      <c r="BF118" s="165"/>
      <c r="BG118" s="165"/>
      <c r="BH118" s="165"/>
      <c r="BI118" s="165"/>
      <c r="BJ118" s="165"/>
      <c r="BK118" s="165"/>
      <c r="BL118" s="165"/>
      <c r="BM118" s="165"/>
      <c r="BN118" s="165"/>
      <c r="BO118" s="165"/>
      <c r="BP118" s="165"/>
      <c r="BQ118" s="165"/>
      <c r="BR118" s="165"/>
      <c r="BS118" s="165"/>
      <c r="BT118" s="165"/>
      <c r="BU118" s="165"/>
      <c r="BV118" s="165"/>
      <c r="BW118" s="165"/>
      <c r="BX118" s="165"/>
      <c r="BY118" s="165"/>
      <c r="BZ118" s="165"/>
      <c r="CA118" s="165"/>
      <c r="CB118" s="165"/>
      <c r="CC118" s="165"/>
      <c r="CD118" s="165"/>
      <c r="CE118" s="165"/>
      <c r="CF118" s="165"/>
      <c r="CG118" s="165"/>
      <c r="CH118" s="165"/>
      <c r="CI118" s="170"/>
      <c r="CJ118" s="165"/>
      <c r="CK118" s="165"/>
      <c r="CL118" s="165"/>
      <c r="CM118" s="165"/>
      <c r="CN118" s="170"/>
      <c r="CO118" s="165"/>
      <c r="CP118" s="165"/>
      <c r="CQ118" s="165"/>
    </row>
    <row r="119" spans="2:95" ht="14.85" customHeight="1" x14ac:dyDescent="0.25">
      <c r="B119" s="156" t="str">
        <f>Table1[[#Headers],[Simulação]]</f>
        <v>Simulação</v>
      </c>
      <c r="C119" s="154" t="str">
        <f t="shared" si="110"/>
        <v>INSTR_ACTIVITY_COD_SOC</v>
      </c>
      <c r="D119" s="153" t="s">
        <v>1542</v>
      </c>
      <c r="E119" s="153" t="s">
        <v>12</v>
      </c>
      <c r="G119" s="172">
        <f>INDEX(Table1[[Especificação]:[Total Testes]],MATCH(PlanoV1.0!C119,Table1[CONCAT],0),MATCH(PlanoV1.0!B119,Table1[[#Headers],[Especificação]:[Total Testes]],0))</f>
        <v>1</v>
      </c>
      <c r="H119" s="191">
        <f t="shared" si="111"/>
        <v>0.2</v>
      </c>
      <c r="I119" s="193">
        <f t="shared" si="112"/>
        <v>0</v>
      </c>
      <c r="J119" s="170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  <c r="AA119" s="165"/>
      <c r="AB119" s="165"/>
      <c r="AC119" s="165"/>
      <c r="AD119" s="165"/>
      <c r="AE119" s="165"/>
      <c r="AF119" s="165"/>
      <c r="AG119" s="165"/>
      <c r="AH119" s="165"/>
      <c r="AI119" s="165"/>
      <c r="AJ119" s="165"/>
      <c r="AK119" s="165"/>
      <c r="AL119" s="165"/>
      <c r="AM119" s="165"/>
      <c r="AN119" s="165"/>
      <c r="AO119" s="165"/>
      <c r="AP119" s="165"/>
      <c r="AQ119" s="165"/>
      <c r="AR119" s="165">
        <v>0.2</v>
      </c>
      <c r="AS119" s="165"/>
      <c r="AT119" s="165"/>
      <c r="AU119" s="165"/>
      <c r="AV119" s="165"/>
      <c r="AW119" s="165"/>
      <c r="AX119" s="165"/>
      <c r="AY119" s="165"/>
      <c r="AZ119" s="165"/>
      <c r="BA119" s="165"/>
      <c r="BB119" s="170"/>
      <c r="BC119" s="165"/>
      <c r="BD119" s="165"/>
      <c r="BE119" s="165"/>
      <c r="BF119" s="165"/>
      <c r="BG119" s="165"/>
      <c r="BH119" s="165"/>
      <c r="BI119" s="165"/>
      <c r="BJ119" s="165"/>
      <c r="BK119" s="165"/>
      <c r="BL119" s="165"/>
      <c r="BM119" s="165"/>
      <c r="BN119" s="165"/>
      <c r="BO119" s="165"/>
      <c r="BP119" s="165"/>
      <c r="BQ119" s="165"/>
      <c r="BR119" s="165"/>
      <c r="BS119" s="165"/>
      <c r="BT119" s="165"/>
      <c r="BU119" s="165"/>
      <c r="BV119" s="165"/>
      <c r="BW119" s="165"/>
      <c r="BX119" s="165"/>
      <c r="BY119" s="165"/>
      <c r="BZ119" s="165"/>
      <c r="CA119" s="165"/>
      <c r="CB119" s="165"/>
      <c r="CC119" s="165"/>
      <c r="CD119" s="165"/>
      <c r="CE119" s="165"/>
      <c r="CF119" s="165"/>
      <c r="CG119" s="165"/>
      <c r="CH119" s="165"/>
      <c r="CI119" s="170"/>
      <c r="CJ119" s="165"/>
      <c r="CK119" s="165"/>
      <c r="CL119" s="165"/>
      <c r="CM119" s="165"/>
      <c r="CN119" s="170"/>
      <c r="CO119" s="165"/>
      <c r="CP119" s="165"/>
      <c r="CQ119" s="165"/>
    </row>
    <row r="120" spans="2:95" ht="14.85" customHeight="1" x14ac:dyDescent="0.25">
      <c r="B120" s="156" t="str">
        <f>Table1[[#Headers],[Simulação]]</f>
        <v>Simulação</v>
      </c>
      <c r="C120" s="154" t="str">
        <f t="shared" si="110"/>
        <v>INSTR_ACTIVITY_DT_RFRNC</v>
      </c>
      <c r="D120" s="153" t="s">
        <v>1542</v>
      </c>
      <c r="E120" s="153" t="s">
        <v>38</v>
      </c>
      <c r="G120" s="172">
        <f>INDEX(Table1[[Especificação]:[Total Testes]],MATCH(PlanoV1.0!C120,Table1[CONCAT],0),MATCH(PlanoV1.0!B120,Table1[[#Headers],[Especificação]:[Total Testes]],0))</f>
        <v>1</v>
      </c>
      <c r="H120" s="191">
        <f t="shared" si="111"/>
        <v>0.2</v>
      </c>
      <c r="I120" s="193">
        <f t="shared" si="112"/>
        <v>0</v>
      </c>
      <c r="J120" s="170"/>
      <c r="K120" s="165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  <c r="AA120" s="165"/>
      <c r="AB120" s="165"/>
      <c r="AC120" s="165"/>
      <c r="AD120" s="165"/>
      <c r="AE120" s="165"/>
      <c r="AF120" s="165"/>
      <c r="AG120" s="165"/>
      <c r="AH120" s="165"/>
      <c r="AI120" s="165"/>
      <c r="AJ120" s="165"/>
      <c r="AK120" s="165"/>
      <c r="AL120" s="165"/>
      <c r="AM120" s="165"/>
      <c r="AN120" s="165"/>
      <c r="AO120" s="165"/>
      <c r="AP120" s="165"/>
      <c r="AQ120" s="165"/>
      <c r="AR120" s="165">
        <v>0.2</v>
      </c>
      <c r="AS120" s="165"/>
      <c r="AT120" s="165"/>
      <c r="AU120" s="165"/>
      <c r="AV120" s="165"/>
      <c r="AW120" s="165"/>
      <c r="AX120" s="165"/>
      <c r="AY120" s="165"/>
      <c r="AZ120" s="165"/>
      <c r="BA120" s="165"/>
      <c r="BB120" s="170"/>
      <c r="BC120" s="165"/>
      <c r="BD120" s="165"/>
      <c r="BE120" s="165"/>
      <c r="BF120" s="165"/>
      <c r="BG120" s="165"/>
      <c r="BH120" s="165"/>
      <c r="BI120" s="165"/>
      <c r="BJ120" s="165"/>
      <c r="BK120" s="165"/>
      <c r="BL120" s="165"/>
      <c r="BM120" s="165"/>
      <c r="BN120" s="165"/>
      <c r="BO120" s="165"/>
      <c r="BP120" s="165"/>
      <c r="BQ120" s="165"/>
      <c r="BR120" s="165"/>
      <c r="BS120" s="165"/>
      <c r="BT120" s="165"/>
      <c r="BU120" s="165"/>
      <c r="BV120" s="165"/>
      <c r="BW120" s="165"/>
      <c r="BX120" s="165"/>
      <c r="BY120" s="165"/>
      <c r="BZ120" s="165"/>
      <c r="CA120" s="165"/>
      <c r="CB120" s="165"/>
      <c r="CC120" s="165"/>
      <c r="CD120" s="165"/>
      <c r="CE120" s="165"/>
      <c r="CF120" s="165"/>
      <c r="CG120" s="165"/>
      <c r="CH120" s="165"/>
      <c r="CI120" s="170"/>
      <c r="CJ120" s="165"/>
      <c r="CK120" s="165"/>
      <c r="CL120" s="165"/>
      <c r="CM120" s="165"/>
      <c r="CN120" s="170"/>
      <c r="CO120" s="165"/>
      <c r="CP120" s="165"/>
      <c r="CQ120" s="165"/>
    </row>
    <row r="121" spans="2:95" ht="14.85" customHeight="1" x14ac:dyDescent="0.25">
      <c r="B121" s="156" t="str">
        <f>Table1[[#Headers],[Simulação]]</f>
        <v>Simulação</v>
      </c>
      <c r="C121" s="154" t="str">
        <f t="shared" si="110"/>
        <v>INSTR_ACTIVITY_INSTRMNT_ID</v>
      </c>
      <c r="D121" s="153" t="s">
        <v>1542</v>
      </c>
      <c r="E121" s="153" t="s">
        <v>405</v>
      </c>
      <c r="G121" s="172">
        <f>INDEX(Table1[[Especificação]:[Total Testes]],MATCH(PlanoV1.0!C121,Table1[CONCAT],0),MATCH(PlanoV1.0!B121,Table1[[#Headers],[Especificação]:[Total Testes]],0))</f>
        <v>1</v>
      </c>
      <c r="H121" s="191">
        <f t="shared" si="111"/>
        <v>0.2</v>
      </c>
      <c r="I121" s="193">
        <f t="shared" si="112"/>
        <v>0</v>
      </c>
      <c r="J121" s="170"/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  <c r="AA121" s="165"/>
      <c r="AB121" s="165"/>
      <c r="AC121" s="165"/>
      <c r="AD121" s="165"/>
      <c r="AE121" s="165"/>
      <c r="AF121" s="165"/>
      <c r="AG121" s="165"/>
      <c r="AH121" s="165"/>
      <c r="AI121" s="165"/>
      <c r="AJ121" s="165"/>
      <c r="AK121" s="165"/>
      <c r="AL121" s="165"/>
      <c r="AM121" s="165"/>
      <c r="AN121" s="165"/>
      <c r="AO121" s="165"/>
      <c r="AP121" s="165"/>
      <c r="AQ121" s="165"/>
      <c r="AR121" s="165">
        <v>0.2</v>
      </c>
      <c r="AS121" s="165"/>
      <c r="AT121" s="165"/>
      <c r="AU121" s="165"/>
      <c r="AV121" s="165"/>
      <c r="AW121" s="165"/>
      <c r="AX121" s="165"/>
      <c r="AY121" s="165"/>
      <c r="AZ121" s="165"/>
      <c r="BA121" s="165"/>
      <c r="BB121" s="170"/>
      <c r="BC121" s="165"/>
      <c r="BD121" s="165"/>
      <c r="BE121" s="165"/>
      <c r="BF121" s="165"/>
      <c r="BG121" s="165"/>
      <c r="BH121" s="165"/>
      <c r="BI121" s="165"/>
      <c r="BJ121" s="165"/>
      <c r="BK121" s="165"/>
      <c r="BL121" s="165"/>
      <c r="BM121" s="165"/>
      <c r="BN121" s="165"/>
      <c r="BO121" s="165"/>
      <c r="BP121" s="165"/>
      <c r="BQ121" s="165"/>
      <c r="BR121" s="165"/>
      <c r="BS121" s="165"/>
      <c r="BT121" s="165"/>
      <c r="BU121" s="165"/>
      <c r="BV121" s="165"/>
      <c r="BW121" s="165"/>
      <c r="BX121" s="165"/>
      <c r="BY121" s="165"/>
      <c r="BZ121" s="165"/>
      <c r="CA121" s="165"/>
      <c r="CB121" s="165"/>
      <c r="CC121" s="165"/>
      <c r="CD121" s="165"/>
      <c r="CE121" s="165"/>
      <c r="CF121" s="165"/>
      <c r="CG121" s="165"/>
      <c r="CH121" s="165"/>
      <c r="CI121" s="170"/>
      <c r="CJ121" s="165"/>
      <c r="CK121" s="165"/>
      <c r="CL121" s="165"/>
      <c r="CM121" s="165"/>
      <c r="CN121" s="170"/>
      <c r="CO121" s="165"/>
      <c r="CP121" s="165"/>
      <c r="CQ121" s="165"/>
    </row>
    <row r="122" spans="2:95" ht="14.85" customHeight="1" x14ac:dyDescent="0.25">
      <c r="B122" s="156" t="str">
        <f>Table1[[#Headers],[Simulação]]</f>
        <v>Simulação</v>
      </c>
      <c r="C122" s="154" t="str">
        <f t="shared" si="110"/>
        <v>INSTR_ACTIVITY_PRCNTG_ACTVTY</v>
      </c>
      <c r="D122" s="153" t="s">
        <v>1542</v>
      </c>
      <c r="E122" s="153" t="s">
        <v>1548</v>
      </c>
      <c r="G122" s="172">
        <f>INDEX(Table1[[Especificação]:[Total Testes]],MATCH(PlanoV1.0!C122,Table1[CONCAT],0),MATCH(PlanoV1.0!B122,Table1[[#Headers],[Especificação]:[Total Testes]],0))</f>
        <v>3</v>
      </c>
      <c r="H122" s="191">
        <f t="shared" si="111"/>
        <v>0.4</v>
      </c>
      <c r="I122" s="193">
        <f t="shared" si="112"/>
        <v>0</v>
      </c>
      <c r="J122" s="170"/>
      <c r="K122" s="165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  <c r="AA122" s="165"/>
      <c r="AB122" s="165"/>
      <c r="AC122" s="165"/>
      <c r="AD122" s="165"/>
      <c r="AE122" s="165"/>
      <c r="AF122" s="165"/>
      <c r="AG122" s="165"/>
      <c r="AH122" s="165"/>
      <c r="AI122" s="165"/>
      <c r="AJ122" s="165"/>
      <c r="AK122" s="165"/>
      <c r="AL122" s="165"/>
      <c r="AM122" s="165"/>
      <c r="AN122" s="165"/>
      <c r="AO122" s="165"/>
      <c r="AP122" s="165"/>
      <c r="AQ122" s="165"/>
      <c r="AR122" s="165">
        <v>0.4</v>
      </c>
      <c r="AS122" s="165"/>
      <c r="AT122" s="165"/>
      <c r="AU122" s="165"/>
      <c r="AV122" s="165"/>
      <c r="AW122" s="165"/>
      <c r="AX122" s="165"/>
      <c r="AY122" s="165"/>
      <c r="AZ122" s="165"/>
      <c r="BA122" s="165"/>
      <c r="BB122" s="170"/>
      <c r="BC122" s="165"/>
      <c r="BD122" s="165"/>
      <c r="BE122" s="165"/>
      <c r="BF122" s="165"/>
      <c r="BG122" s="165"/>
      <c r="BH122" s="165"/>
      <c r="BI122" s="165"/>
      <c r="BJ122" s="165"/>
      <c r="BK122" s="165"/>
      <c r="BL122" s="165"/>
      <c r="BM122" s="165"/>
      <c r="BN122" s="165"/>
      <c r="BO122" s="165"/>
      <c r="BP122" s="165"/>
      <c r="BQ122" s="165"/>
      <c r="BR122" s="165"/>
      <c r="BS122" s="165"/>
      <c r="BT122" s="165"/>
      <c r="BU122" s="165"/>
      <c r="BV122" s="165"/>
      <c r="BW122" s="165"/>
      <c r="BX122" s="165"/>
      <c r="BY122" s="165"/>
      <c r="BZ122" s="165"/>
      <c r="CA122" s="165"/>
      <c r="CB122" s="165"/>
      <c r="CC122" s="165"/>
      <c r="CD122" s="165"/>
      <c r="CE122" s="165"/>
      <c r="CF122" s="165"/>
      <c r="CG122" s="165"/>
      <c r="CH122" s="165"/>
      <c r="CI122" s="170"/>
      <c r="CJ122" s="165"/>
      <c r="CK122" s="165"/>
      <c r="CL122" s="165"/>
      <c r="CM122" s="165"/>
      <c r="CN122" s="170"/>
      <c r="CO122" s="165"/>
      <c r="CP122" s="165"/>
      <c r="CQ122" s="165"/>
    </row>
    <row r="123" spans="2:95" ht="14.85" customHeight="1" x14ac:dyDescent="0.25">
      <c r="B123" s="156" t="str">
        <f>Table1[[#Headers],[Simulação]]</f>
        <v>Simulação</v>
      </c>
      <c r="C123" s="154" t="str">
        <f t="shared" si="110"/>
        <v>INSTR_ACTIVITY_FLG_SBSTNTL_CNTRBTN</v>
      </c>
      <c r="D123" s="153" t="s">
        <v>1542</v>
      </c>
      <c r="E123" s="153" t="s">
        <v>1554</v>
      </c>
      <c r="G123" s="172">
        <f>INDEX(Table1[[Especificação]:[Total Testes]],MATCH(PlanoV1.0!C123,Table1[CONCAT],0),MATCH(PlanoV1.0!B123,Table1[[#Headers],[Especificação]:[Total Testes]],0))</f>
        <v>3</v>
      </c>
      <c r="H123" s="191">
        <f t="shared" si="111"/>
        <v>0.4</v>
      </c>
      <c r="I123" s="193">
        <f t="shared" si="112"/>
        <v>0</v>
      </c>
      <c r="J123" s="170"/>
      <c r="K123" s="165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  <c r="AA123" s="165"/>
      <c r="AB123" s="165"/>
      <c r="AC123" s="165"/>
      <c r="AD123" s="165"/>
      <c r="AE123" s="165"/>
      <c r="AF123" s="165"/>
      <c r="AG123" s="165"/>
      <c r="AH123" s="165"/>
      <c r="AI123" s="165"/>
      <c r="AJ123" s="165"/>
      <c r="AK123" s="165"/>
      <c r="AL123" s="165"/>
      <c r="AM123" s="165"/>
      <c r="AN123" s="165"/>
      <c r="AO123" s="165"/>
      <c r="AP123" s="165"/>
      <c r="AQ123" s="165"/>
      <c r="AR123" s="165">
        <v>0.4</v>
      </c>
      <c r="AS123" s="165"/>
      <c r="AT123" s="165"/>
      <c r="AU123" s="165"/>
      <c r="AV123" s="165"/>
      <c r="AW123" s="165"/>
      <c r="AX123" s="165"/>
      <c r="AY123" s="165"/>
      <c r="AZ123" s="165"/>
      <c r="BA123" s="165"/>
      <c r="BB123" s="170"/>
      <c r="BC123" s="165"/>
      <c r="BD123" s="165"/>
      <c r="BE123" s="165"/>
      <c r="BF123" s="165"/>
      <c r="BG123" s="165"/>
      <c r="BH123" s="165"/>
      <c r="BI123" s="165"/>
      <c r="BJ123" s="165"/>
      <c r="BK123" s="165"/>
      <c r="BL123" s="165"/>
      <c r="BM123" s="165"/>
      <c r="BN123" s="165"/>
      <c r="BO123" s="165"/>
      <c r="BP123" s="165"/>
      <c r="BQ123" s="165"/>
      <c r="BR123" s="165"/>
      <c r="BS123" s="165"/>
      <c r="BT123" s="165"/>
      <c r="BU123" s="165"/>
      <c r="BV123" s="165"/>
      <c r="BW123" s="165"/>
      <c r="BX123" s="165"/>
      <c r="BY123" s="165"/>
      <c r="BZ123" s="165"/>
      <c r="CA123" s="165"/>
      <c r="CB123" s="165"/>
      <c r="CC123" s="165"/>
      <c r="CD123" s="165"/>
      <c r="CE123" s="165"/>
      <c r="CF123" s="165"/>
      <c r="CG123" s="165"/>
      <c r="CH123" s="165"/>
      <c r="CI123" s="170"/>
      <c r="CJ123" s="165"/>
      <c r="CK123" s="165"/>
      <c r="CL123" s="165"/>
      <c r="CM123" s="165"/>
      <c r="CN123" s="170"/>
      <c r="CO123" s="165"/>
      <c r="CP123" s="165"/>
      <c r="CQ123" s="165"/>
    </row>
    <row r="124" spans="2:95" ht="14.85" customHeight="1" x14ac:dyDescent="0.25">
      <c r="B124" s="156" t="str">
        <f>Table1[[#Headers],[Simulação]]</f>
        <v>Simulação</v>
      </c>
      <c r="C124" s="154" t="str">
        <f t="shared" si="110"/>
        <v>INSTR_ACTIVITY_FLG_DNSH_CMPLNC</v>
      </c>
      <c r="D124" s="153" t="s">
        <v>1542</v>
      </c>
      <c r="E124" s="153" t="s">
        <v>1557</v>
      </c>
      <c r="G124" s="172">
        <f>INDEX(Table1[[Especificação]:[Total Testes]],MATCH(PlanoV1.0!C124,Table1[CONCAT],0),MATCH(PlanoV1.0!B124,Table1[[#Headers],[Especificação]:[Total Testes]],0))</f>
        <v>0</v>
      </c>
      <c r="H124" s="191">
        <f t="shared" si="111"/>
        <v>0</v>
      </c>
      <c r="I124" s="193">
        <f t="shared" si="112"/>
        <v>1</v>
      </c>
      <c r="J124" s="170"/>
      <c r="K124" s="165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  <c r="AA124" s="165"/>
      <c r="AB124" s="165"/>
      <c r="AC124" s="165"/>
      <c r="AD124" s="165"/>
      <c r="AE124" s="165"/>
      <c r="AF124" s="165"/>
      <c r="AG124" s="165"/>
      <c r="AH124" s="165"/>
      <c r="AI124" s="165"/>
      <c r="AJ124" s="165"/>
      <c r="AK124" s="165"/>
      <c r="AL124" s="165"/>
      <c r="AM124" s="165"/>
      <c r="AN124" s="165"/>
      <c r="AO124" s="165"/>
      <c r="AP124" s="165"/>
      <c r="AQ124" s="165"/>
      <c r="AR124" s="165">
        <v>0.5</v>
      </c>
      <c r="AS124" s="165">
        <v>0.5</v>
      </c>
      <c r="AT124" s="165"/>
      <c r="AU124" s="165"/>
      <c r="AV124" s="165"/>
      <c r="AW124" s="165"/>
      <c r="AX124" s="165"/>
      <c r="AY124" s="165"/>
      <c r="AZ124" s="165"/>
      <c r="BA124" s="165"/>
      <c r="BB124" s="170"/>
      <c r="BC124" s="165"/>
      <c r="BD124" s="165"/>
      <c r="BE124" s="165"/>
      <c r="BF124" s="165"/>
      <c r="BG124" s="165"/>
      <c r="BH124" s="165"/>
      <c r="BI124" s="165"/>
      <c r="BJ124" s="165"/>
      <c r="BK124" s="165"/>
      <c r="BL124" s="165"/>
      <c r="BM124" s="165"/>
      <c r="BN124" s="165"/>
      <c r="BO124" s="165"/>
      <c r="BP124" s="165"/>
      <c r="BQ124" s="165"/>
      <c r="BR124" s="165"/>
      <c r="BS124" s="165"/>
      <c r="BT124" s="165"/>
      <c r="BU124" s="165"/>
      <c r="BV124" s="165"/>
      <c r="BW124" s="165"/>
      <c r="BX124" s="165"/>
      <c r="BY124" s="165"/>
      <c r="BZ124" s="165"/>
      <c r="CA124" s="165"/>
      <c r="CB124" s="165"/>
      <c r="CC124" s="165"/>
      <c r="CD124" s="165"/>
      <c r="CE124" s="165"/>
      <c r="CF124" s="165"/>
      <c r="CG124" s="165"/>
      <c r="CH124" s="165"/>
      <c r="CI124" s="170"/>
      <c r="CJ124" s="165"/>
      <c r="CK124" s="165"/>
      <c r="CL124" s="165"/>
      <c r="CM124" s="165"/>
      <c r="CN124" s="170"/>
      <c r="CO124" s="165"/>
      <c r="CP124" s="165"/>
      <c r="CQ124" s="165"/>
    </row>
    <row r="125" spans="2:95" ht="14.85" customHeight="1" x14ac:dyDescent="0.25">
      <c r="B125" s="156" t="str">
        <f>Table1[[#Headers],[Simulação]]</f>
        <v>Simulação</v>
      </c>
      <c r="C125" s="154" t="str">
        <f t="shared" si="110"/>
        <v>INSTR_ACTIVITY_DNSH_DTL</v>
      </c>
      <c r="D125" s="153" t="s">
        <v>1542</v>
      </c>
      <c r="E125" s="153" t="s">
        <v>1560</v>
      </c>
      <c r="G125" s="172">
        <f>INDEX(Table1[[Especificação]:[Total Testes]],MATCH(PlanoV1.0!C125,Table1[CONCAT],0),MATCH(PlanoV1.0!B125,Table1[[#Headers],[Especificação]:[Total Testes]],0))</f>
        <v>0</v>
      </c>
      <c r="H125" s="191">
        <f t="shared" si="111"/>
        <v>0</v>
      </c>
      <c r="I125" s="193">
        <f t="shared" si="112"/>
        <v>0.8</v>
      </c>
      <c r="J125" s="170"/>
      <c r="K125" s="165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  <c r="AE125" s="165"/>
      <c r="AF125" s="165"/>
      <c r="AG125" s="165"/>
      <c r="AH125" s="165"/>
      <c r="AI125" s="165"/>
      <c r="AJ125" s="165"/>
      <c r="AK125" s="165"/>
      <c r="AL125" s="165"/>
      <c r="AM125" s="165"/>
      <c r="AN125" s="165"/>
      <c r="AO125" s="165"/>
      <c r="AP125" s="165"/>
      <c r="AQ125" s="165"/>
      <c r="AR125" s="165"/>
      <c r="AS125" s="165">
        <v>0.8</v>
      </c>
      <c r="AT125" s="165"/>
      <c r="AU125" s="165"/>
      <c r="AV125" s="165"/>
      <c r="AW125" s="165"/>
      <c r="AX125" s="165"/>
      <c r="AY125" s="165"/>
      <c r="AZ125" s="165"/>
      <c r="BA125" s="165"/>
      <c r="BB125" s="170"/>
      <c r="BC125" s="165"/>
      <c r="BD125" s="165"/>
      <c r="BE125" s="165"/>
      <c r="BF125" s="165"/>
      <c r="BG125" s="165"/>
      <c r="BH125" s="165"/>
      <c r="BI125" s="165"/>
      <c r="BJ125" s="165"/>
      <c r="BK125" s="165"/>
      <c r="BL125" s="165"/>
      <c r="BM125" s="165"/>
      <c r="BN125" s="165"/>
      <c r="BO125" s="165"/>
      <c r="BP125" s="165"/>
      <c r="BQ125" s="165"/>
      <c r="BR125" s="165"/>
      <c r="BS125" s="165"/>
      <c r="BT125" s="165"/>
      <c r="BU125" s="165"/>
      <c r="BV125" s="165"/>
      <c r="BW125" s="165"/>
      <c r="BX125" s="165"/>
      <c r="BY125" s="165"/>
      <c r="BZ125" s="165"/>
      <c r="CA125" s="165"/>
      <c r="CB125" s="165"/>
      <c r="CC125" s="165"/>
      <c r="CD125" s="165"/>
      <c r="CE125" s="165"/>
      <c r="CF125" s="165"/>
      <c r="CG125" s="165"/>
      <c r="CH125" s="165"/>
      <c r="CI125" s="170"/>
      <c r="CJ125" s="165"/>
      <c r="CK125" s="165"/>
      <c r="CL125" s="165"/>
      <c r="CM125" s="165"/>
      <c r="CN125" s="170"/>
      <c r="CO125" s="165"/>
      <c r="CP125" s="165"/>
      <c r="CQ125" s="165"/>
    </row>
    <row r="126" spans="2:95" ht="14.85" customHeight="1" x14ac:dyDescent="0.25">
      <c r="B126" s="156" t="str">
        <f>Table1[[#Headers],[Simulação]]</f>
        <v>Simulação</v>
      </c>
      <c r="C126" s="154" t="str">
        <f t="shared" si="110"/>
        <v>ENTITY_GRP_ECNMC_ACTVTY</v>
      </c>
      <c r="D126" s="153" t="s">
        <v>10</v>
      </c>
      <c r="E126" s="153" t="s">
        <v>382</v>
      </c>
      <c r="G126" s="172">
        <f>INDEX(Table1[[Especificação]:[Total Testes]],MATCH(PlanoV1.0!C126,Table1[CONCAT],0),MATCH(PlanoV1.0!B126,Table1[[#Headers],[Especificação]:[Total Testes]],0))</f>
        <v>1.5</v>
      </c>
      <c r="H126" s="191">
        <f t="shared" si="111"/>
        <v>0.2</v>
      </c>
      <c r="I126" s="193">
        <f t="shared" si="112"/>
        <v>0</v>
      </c>
      <c r="J126" s="170"/>
      <c r="K126" s="165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  <c r="AA126" s="165"/>
      <c r="AB126" s="165"/>
      <c r="AC126" s="165"/>
      <c r="AD126" s="165"/>
      <c r="AE126" s="165"/>
      <c r="AF126" s="165"/>
      <c r="AG126" s="165"/>
      <c r="AH126" s="165"/>
      <c r="AI126" s="165"/>
      <c r="AJ126" s="165"/>
      <c r="AK126" s="165"/>
      <c r="AL126" s="165"/>
      <c r="AM126" s="165"/>
      <c r="AN126" s="165"/>
      <c r="AO126" s="165"/>
      <c r="AP126" s="165"/>
      <c r="AQ126" s="165"/>
      <c r="AR126" s="165"/>
      <c r="AS126" s="165">
        <v>0.2</v>
      </c>
      <c r="AT126" s="165"/>
      <c r="AU126" s="165"/>
      <c r="AV126" s="165"/>
      <c r="AW126" s="165"/>
      <c r="AX126" s="165"/>
      <c r="AY126" s="165"/>
      <c r="AZ126" s="165"/>
      <c r="BA126" s="165"/>
      <c r="BB126" s="170"/>
      <c r="BC126" s="165"/>
      <c r="BD126" s="165"/>
      <c r="BE126" s="165"/>
      <c r="BF126" s="165"/>
      <c r="BG126" s="165"/>
      <c r="BH126" s="165"/>
      <c r="BI126" s="165"/>
      <c r="BJ126" s="165"/>
      <c r="BK126" s="165"/>
      <c r="BL126" s="165"/>
      <c r="BM126" s="165"/>
      <c r="BN126" s="165"/>
      <c r="BO126" s="165"/>
      <c r="BP126" s="165"/>
      <c r="BQ126" s="165"/>
      <c r="BR126" s="165"/>
      <c r="BS126" s="165"/>
      <c r="BT126" s="165"/>
      <c r="BU126" s="165"/>
      <c r="BV126" s="165"/>
      <c r="BW126" s="165"/>
      <c r="BX126" s="165"/>
      <c r="BY126" s="165"/>
      <c r="BZ126" s="165"/>
      <c r="CA126" s="165"/>
      <c r="CB126" s="165"/>
      <c r="CC126" s="165"/>
      <c r="CD126" s="165"/>
      <c r="CE126" s="165"/>
      <c r="CF126" s="165"/>
      <c r="CG126" s="165"/>
      <c r="CH126" s="165"/>
      <c r="CI126" s="170"/>
      <c r="CJ126" s="165"/>
      <c r="CK126" s="165"/>
      <c r="CL126" s="165"/>
      <c r="CM126" s="165"/>
      <c r="CN126" s="170"/>
      <c r="CO126" s="165"/>
      <c r="CP126" s="165"/>
      <c r="CQ126" s="165"/>
    </row>
    <row r="127" spans="2:95" ht="14.85" customHeight="1" x14ac:dyDescent="0.25">
      <c r="B127" s="156" t="str">
        <f>Table1[[#Headers],[Simulação]]</f>
        <v>Simulação</v>
      </c>
      <c r="C127" s="154" t="str">
        <f t="shared" si="110"/>
        <v>PROTECTION_TYP_EMSSNS_LBL</v>
      </c>
      <c r="D127" s="153" t="s">
        <v>1114</v>
      </c>
      <c r="E127" s="153" t="s">
        <v>1235</v>
      </c>
      <c r="G127" s="172">
        <f>INDEX(Table1[[Especificação]:[Total Testes]],MATCH(PlanoV1.0!C127,Table1[CONCAT],0),MATCH(PlanoV1.0!B127,Table1[[#Headers],[Especificação]:[Total Testes]],0))</f>
        <v>0</v>
      </c>
      <c r="H127" s="191">
        <f t="shared" si="111"/>
        <v>0</v>
      </c>
      <c r="I127" s="193">
        <f t="shared" si="112"/>
        <v>0.4</v>
      </c>
      <c r="J127" s="170"/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  <c r="AA127" s="165"/>
      <c r="AB127" s="165"/>
      <c r="AC127" s="165"/>
      <c r="AD127" s="165"/>
      <c r="AE127" s="165"/>
      <c r="AF127" s="165"/>
      <c r="AG127" s="165"/>
      <c r="AH127" s="165"/>
      <c r="AI127" s="165"/>
      <c r="AJ127" s="165"/>
      <c r="AK127" s="165"/>
      <c r="AL127" s="165"/>
      <c r="AM127" s="165"/>
      <c r="AN127" s="165"/>
      <c r="AO127" s="165"/>
      <c r="AP127" s="165"/>
      <c r="AQ127" s="165"/>
      <c r="AR127" s="165"/>
      <c r="AS127" s="165">
        <v>0.4</v>
      </c>
      <c r="AT127" s="165"/>
      <c r="AU127" s="165"/>
      <c r="AV127" s="165"/>
      <c r="AW127" s="165"/>
      <c r="AX127" s="165"/>
      <c r="AY127" s="165"/>
      <c r="AZ127" s="165"/>
      <c r="BA127" s="165"/>
      <c r="BB127" s="170"/>
      <c r="BC127" s="165"/>
      <c r="BD127" s="165"/>
      <c r="BE127" s="165"/>
      <c r="BF127" s="165"/>
      <c r="BG127" s="165"/>
      <c r="BH127" s="165"/>
      <c r="BI127" s="165"/>
      <c r="BJ127" s="165"/>
      <c r="BK127" s="165"/>
      <c r="BL127" s="165"/>
      <c r="BM127" s="165"/>
      <c r="BN127" s="165"/>
      <c r="BO127" s="165"/>
      <c r="BP127" s="165"/>
      <c r="BQ127" s="165"/>
      <c r="BR127" s="165"/>
      <c r="BS127" s="165"/>
      <c r="BT127" s="165"/>
      <c r="BU127" s="165"/>
      <c r="BV127" s="165"/>
      <c r="BW127" s="165"/>
      <c r="BX127" s="165"/>
      <c r="BY127" s="165"/>
      <c r="BZ127" s="165"/>
      <c r="CA127" s="165"/>
      <c r="CB127" s="165"/>
      <c r="CC127" s="165"/>
      <c r="CD127" s="165"/>
      <c r="CE127" s="165"/>
      <c r="CF127" s="165"/>
      <c r="CG127" s="165"/>
      <c r="CH127" s="165"/>
      <c r="CI127" s="170"/>
      <c r="CJ127" s="165"/>
      <c r="CK127" s="165"/>
      <c r="CL127" s="165"/>
      <c r="CM127" s="165"/>
      <c r="CN127" s="170"/>
      <c r="CO127" s="165"/>
      <c r="CP127" s="165"/>
      <c r="CQ127" s="165"/>
    </row>
    <row r="128" spans="2:95" ht="14.85" customHeight="1" x14ac:dyDescent="0.25">
      <c r="B128" s="156" t="str">
        <f>Table1[[#Headers],[Simulação]]</f>
        <v>Simulação</v>
      </c>
      <c r="C128" s="154" t="str">
        <f t="shared" si="110"/>
        <v>PROTECTION_EPC_EMSSNS_LBL</v>
      </c>
      <c r="D128" s="153" t="s">
        <v>1114</v>
      </c>
      <c r="E128" s="153" t="s">
        <v>1238</v>
      </c>
      <c r="G128" s="172">
        <f>INDEX(Table1[[Especificação]:[Total Testes]],MATCH(PlanoV1.0!C128,Table1[CONCAT],0),MATCH(PlanoV1.0!B128,Table1[[#Headers],[Especificação]:[Total Testes]],0))</f>
        <v>0</v>
      </c>
      <c r="H128" s="191">
        <f t="shared" si="111"/>
        <v>0</v>
      </c>
      <c r="I128" s="193">
        <f t="shared" si="112"/>
        <v>0.2</v>
      </c>
      <c r="J128" s="170"/>
      <c r="K128" s="165"/>
      <c r="L128" s="165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  <c r="AA128" s="165"/>
      <c r="AB128" s="165"/>
      <c r="AC128" s="165"/>
      <c r="AD128" s="165"/>
      <c r="AE128" s="165"/>
      <c r="AF128" s="165"/>
      <c r="AG128" s="165"/>
      <c r="AH128" s="165"/>
      <c r="AI128" s="165"/>
      <c r="AJ128" s="165"/>
      <c r="AK128" s="165"/>
      <c r="AL128" s="165"/>
      <c r="AM128" s="165"/>
      <c r="AN128" s="165"/>
      <c r="AO128" s="165"/>
      <c r="AP128" s="165"/>
      <c r="AQ128" s="165"/>
      <c r="AR128" s="165"/>
      <c r="AS128" s="165">
        <v>0.1</v>
      </c>
      <c r="AT128" s="165">
        <v>0.1</v>
      </c>
      <c r="AU128" s="165"/>
      <c r="AV128" s="165"/>
      <c r="AW128" s="165"/>
      <c r="AX128" s="165"/>
      <c r="AY128" s="165"/>
      <c r="AZ128" s="165"/>
      <c r="BA128" s="165"/>
      <c r="BB128" s="170"/>
      <c r="BC128" s="165"/>
      <c r="BD128" s="165"/>
      <c r="BE128" s="165"/>
      <c r="BF128" s="165"/>
      <c r="BG128" s="165"/>
      <c r="BH128" s="165"/>
      <c r="BI128" s="165"/>
      <c r="BJ128" s="165"/>
      <c r="BK128" s="165"/>
      <c r="BL128" s="165"/>
      <c r="BM128" s="165"/>
      <c r="BN128" s="165"/>
      <c r="BO128" s="165"/>
      <c r="BP128" s="165"/>
      <c r="BQ128" s="165"/>
      <c r="BR128" s="165"/>
      <c r="BS128" s="165"/>
      <c r="BT128" s="165"/>
      <c r="BU128" s="165"/>
      <c r="BV128" s="165"/>
      <c r="BW128" s="165"/>
      <c r="BX128" s="165"/>
      <c r="BY128" s="165"/>
      <c r="BZ128" s="165"/>
      <c r="CA128" s="165"/>
      <c r="CB128" s="165"/>
      <c r="CC128" s="165"/>
      <c r="CD128" s="165"/>
      <c r="CE128" s="165"/>
      <c r="CF128" s="165"/>
      <c r="CG128" s="165"/>
      <c r="CH128" s="165"/>
      <c r="CI128" s="170"/>
      <c r="CJ128" s="165"/>
      <c r="CK128" s="165"/>
      <c r="CL128" s="165"/>
      <c r="CM128" s="165"/>
      <c r="CN128" s="170"/>
      <c r="CO128" s="165"/>
      <c r="CP128" s="165"/>
      <c r="CQ128" s="165"/>
    </row>
    <row r="129" spans="2:95" ht="14.85" customHeight="1" x14ac:dyDescent="0.25">
      <c r="B129" s="156" t="str">
        <f>Table1[[#Headers],[Simulação]]</f>
        <v>Simulação</v>
      </c>
      <c r="C129" s="154" t="str">
        <f t="shared" si="110"/>
        <v>PROTECTION_VHCL_EMSSNS_LBL</v>
      </c>
      <c r="D129" s="153" t="s">
        <v>1114</v>
      </c>
      <c r="E129" s="153" t="s">
        <v>1241</v>
      </c>
      <c r="G129" s="172">
        <f>INDEX(Table1[[Especificação]:[Total Testes]],MATCH(PlanoV1.0!C129,Table1[CONCAT],0),MATCH(PlanoV1.0!B129,Table1[[#Headers],[Especificação]:[Total Testes]],0))</f>
        <v>0</v>
      </c>
      <c r="H129" s="191">
        <f t="shared" si="111"/>
        <v>0</v>
      </c>
      <c r="I129" s="193">
        <f t="shared" si="112"/>
        <v>0.8</v>
      </c>
      <c r="J129" s="170"/>
      <c r="K129" s="165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  <c r="AA129" s="165"/>
      <c r="AB129" s="165"/>
      <c r="AC129" s="165"/>
      <c r="AD129" s="165"/>
      <c r="AE129" s="165"/>
      <c r="AF129" s="165"/>
      <c r="AG129" s="165"/>
      <c r="AH129" s="165"/>
      <c r="AI129" s="165"/>
      <c r="AJ129" s="165"/>
      <c r="AK129" s="165"/>
      <c r="AL129" s="165"/>
      <c r="AM129" s="165"/>
      <c r="AN129" s="165"/>
      <c r="AO129" s="165"/>
      <c r="AP129" s="165"/>
      <c r="AQ129" s="165"/>
      <c r="AR129" s="165"/>
      <c r="AS129" s="165"/>
      <c r="AT129" s="165">
        <v>0.8</v>
      </c>
      <c r="AU129" s="165"/>
      <c r="AV129" s="165"/>
      <c r="AW129" s="165"/>
      <c r="AX129" s="165"/>
      <c r="AY129" s="165"/>
      <c r="AZ129" s="165"/>
      <c r="BA129" s="165"/>
      <c r="BB129" s="170"/>
      <c r="BC129" s="165"/>
      <c r="BD129" s="165"/>
      <c r="BE129" s="165"/>
      <c r="BF129" s="165"/>
      <c r="BG129" s="165"/>
      <c r="BH129" s="165"/>
      <c r="BI129" s="165"/>
      <c r="BJ129" s="165"/>
      <c r="BK129" s="165"/>
      <c r="BL129" s="165"/>
      <c r="BM129" s="165"/>
      <c r="BN129" s="165"/>
      <c r="BO129" s="165"/>
      <c r="BP129" s="165"/>
      <c r="BQ129" s="165"/>
      <c r="BR129" s="165"/>
      <c r="BS129" s="165"/>
      <c r="BT129" s="165"/>
      <c r="BU129" s="165"/>
      <c r="BV129" s="165"/>
      <c r="BW129" s="165"/>
      <c r="BX129" s="165"/>
      <c r="BY129" s="165"/>
      <c r="BZ129" s="165"/>
      <c r="CA129" s="165"/>
      <c r="CB129" s="165"/>
      <c r="CC129" s="165"/>
      <c r="CD129" s="165"/>
      <c r="CE129" s="165"/>
      <c r="CF129" s="165"/>
      <c r="CG129" s="165"/>
      <c r="CH129" s="165"/>
      <c r="CI129" s="170"/>
      <c r="CJ129" s="165"/>
      <c r="CK129" s="165"/>
      <c r="CL129" s="165"/>
      <c r="CM129" s="165"/>
      <c r="CN129" s="170"/>
      <c r="CO129" s="165"/>
      <c r="CP129" s="165"/>
      <c r="CQ129" s="165"/>
    </row>
    <row r="130" spans="2:95" ht="14.85" customHeight="1" x14ac:dyDescent="0.25">
      <c r="B130" s="156" t="str">
        <f>Table1[[#Headers],[Simulação]]</f>
        <v>Simulação</v>
      </c>
      <c r="C130" s="154" t="str">
        <f t="shared" si="110"/>
        <v>PROTECTION_TYP_EMSSNS_SCR</v>
      </c>
      <c r="D130" s="153" t="s">
        <v>1114</v>
      </c>
      <c r="E130" s="153" t="s">
        <v>1244</v>
      </c>
      <c r="G130" s="172">
        <f>INDEX(Table1[[Especificação]:[Total Testes]],MATCH(PlanoV1.0!C130,Table1[CONCAT],0),MATCH(PlanoV1.0!B130,Table1[[#Headers],[Especificação]:[Total Testes]],0))</f>
        <v>0</v>
      </c>
      <c r="H130" s="191">
        <f t="shared" si="111"/>
        <v>0</v>
      </c>
      <c r="I130" s="193">
        <f t="shared" si="112"/>
        <v>0.2</v>
      </c>
      <c r="J130" s="170"/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  <c r="AA130" s="165"/>
      <c r="AB130" s="165"/>
      <c r="AC130" s="165"/>
      <c r="AD130" s="165"/>
      <c r="AE130" s="165"/>
      <c r="AF130" s="165"/>
      <c r="AG130" s="165"/>
      <c r="AH130" s="165"/>
      <c r="AI130" s="165"/>
      <c r="AJ130" s="165"/>
      <c r="AK130" s="165"/>
      <c r="AL130" s="165"/>
      <c r="AM130" s="165"/>
      <c r="AN130" s="165"/>
      <c r="AO130" s="165"/>
      <c r="AP130" s="165"/>
      <c r="AQ130" s="165"/>
      <c r="AR130" s="165"/>
      <c r="AS130" s="165"/>
      <c r="AT130" s="165">
        <v>0.2</v>
      </c>
      <c r="AU130" s="165"/>
      <c r="AV130" s="165"/>
      <c r="AW130" s="165"/>
      <c r="AX130" s="165"/>
      <c r="AY130" s="165"/>
      <c r="AZ130" s="165"/>
      <c r="BA130" s="165"/>
      <c r="BB130" s="170"/>
      <c r="BC130" s="165"/>
      <c r="BD130" s="165"/>
      <c r="BE130" s="165"/>
      <c r="BF130" s="165"/>
      <c r="BG130" s="165"/>
      <c r="BH130" s="165"/>
      <c r="BI130" s="165"/>
      <c r="BJ130" s="165"/>
      <c r="BK130" s="165"/>
      <c r="BL130" s="165"/>
      <c r="BM130" s="165"/>
      <c r="BN130" s="165"/>
      <c r="BO130" s="165"/>
      <c r="BP130" s="165"/>
      <c r="BQ130" s="165"/>
      <c r="BR130" s="165"/>
      <c r="BS130" s="165"/>
      <c r="BT130" s="165"/>
      <c r="BU130" s="165"/>
      <c r="BV130" s="165"/>
      <c r="BW130" s="165"/>
      <c r="BX130" s="165"/>
      <c r="BY130" s="165"/>
      <c r="BZ130" s="165"/>
      <c r="CA130" s="165"/>
      <c r="CB130" s="165"/>
      <c r="CC130" s="165"/>
      <c r="CD130" s="165"/>
      <c r="CE130" s="165"/>
      <c r="CF130" s="165"/>
      <c r="CG130" s="165"/>
      <c r="CH130" s="165"/>
      <c r="CI130" s="170"/>
      <c r="CJ130" s="165"/>
      <c r="CK130" s="165"/>
      <c r="CL130" s="165"/>
      <c r="CM130" s="165"/>
      <c r="CN130" s="170"/>
      <c r="CO130" s="165"/>
      <c r="CP130" s="165"/>
      <c r="CQ130" s="165"/>
    </row>
    <row r="131" spans="2:95" ht="14.85" customHeight="1" x14ac:dyDescent="0.25">
      <c r="B131" s="156" t="str">
        <f>Table1[[#Headers],[Simulação]]</f>
        <v>Simulação</v>
      </c>
      <c r="C131" s="154" t="str">
        <f t="shared" si="110"/>
        <v>PROTECTION_EPC_EMSSNS_SCR</v>
      </c>
      <c r="D131" s="153" t="s">
        <v>1114</v>
      </c>
      <c r="E131" s="153" t="s">
        <v>1247</v>
      </c>
      <c r="G131" s="172">
        <f>INDEX(Table1[[Especificação]:[Total Testes]],MATCH(PlanoV1.0!C131,Table1[CONCAT],0),MATCH(PlanoV1.0!B131,Table1[[#Headers],[Especificação]:[Total Testes]],0))</f>
        <v>0</v>
      </c>
      <c r="H131" s="191">
        <f t="shared" si="111"/>
        <v>0</v>
      </c>
      <c r="I131" s="193">
        <f t="shared" si="112"/>
        <v>0.4</v>
      </c>
      <c r="J131" s="170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  <c r="AA131" s="165"/>
      <c r="AB131" s="165"/>
      <c r="AC131" s="165"/>
      <c r="AD131" s="165"/>
      <c r="AE131" s="165"/>
      <c r="AF131" s="165"/>
      <c r="AG131" s="165"/>
      <c r="AH131" s="165"/>
      <c r="AI131" s="165"/>
      <c r="AJ131" s="165"/>
      <c r="AK131" s="165"/>
      <c r="AL131" s="165"/>
      <c r="AM131" s="165"/>
      <c r="AN131" s="165"/>
      <c r="AO131" s="165"/>
      <c r="AP131" s="165"/>
      <c r="AQ131" s="165"/>
      <c r="AR131" s="165"/>
      <c r="AS131" s="165"/>
      <c r="AT131" s="165">
        <v>0.4</v>
      </c>
      <c r="AU131" s="165"/>
      <c r="AV131" s="165"/>
      <c r="AW131" s="165"/>
      <c r="AX131" s="165"/>
      <c r="AY131" s="165"/>
      <c r="AZ131" s="165"/>
      <c r="BA131" s="165"/>
      <c r="BB131" s="170"/>
      <c r="BC131" s="165"/>
      <c r="BD131" s="165"/>
      <c r="BE131" s="165"/>
      <c r="BF131" s="165"/>
      <c r="BG131" s="165"/>
      <c r="BH131" s="165"/>
      <c r="BI131" s="165"/>
      <c r="BJ131" s="165"/>
      <c r="BK131" s="165"/>
      <c r="BL131" s="165"/>
      <c r="BM131" s="165"/>
      <c r="BN131" s="165"/>
      <c r="BO131" s="165"/>
      <c r="BP131" s="165"/>
      <c r="BQ131" s="165"/>
      <c r="BR131" s="165"/>
      <c r="BS131" s="165"/>
      <c r="BT131" s="165"/>
      <c r="BU131" s="165"/>
      <c r="BV131" s="165"/>
      <c r="BW131" s="165"/>
      <c r="BX131" s="165"/>
      <c r="BY131" s="165"/>
      <c r="BZ131" s="165"/>
      <c r="CA131" s="165"/>
      <c r="CB131" s="165"/>
      <c r="CC131" s="165"/>
      <c r="CD131" s="165"/>
      <c r="CE131" s="165"/>
      <c r="CF131" s="165"/>
      <c r="CG131" s="165"/>
      <c r="CH131" s="165"/>
      <c r="CI131" s="170"/>
      <c r="CJ131" s="165"/>
      <c r="CK131" s="165"/>
      <c r="CL131" s="165"/>
      <c r="CM131" s="165"/>
      <c r="CN131" s="170"/>
      <c r="CO131" s="165"/>
      <c r="CP131" s="165"/>
      <c r="CQ131" s="165"/>
    </row>
    <row r="132" spans="2:95" ht="14.85" customHeight="1" x14ac:dyDescent="0.25">
      <c r="B132" s="156" t="str">
        <f>Table1[[#Headers],[Simulação]]</f>
        <v>Simulação</v>
      </c>
      <c r="C132" s="154" t="str">
        <f t="shared" si="110"/>
        <v>PROTECTION_VHCL_EMSSNS_SCR</v>
      </c>
      <c r="D132" s="153" t="s">
        <v>1114</v>
      </c>
      <c r="E132" s="153" t="s">
        <v>1250</v>
      </c>
      <c r="G132" s="172">
        <f>INDEX(Table1[[Especificação]:[Total Testes]],MATCH(PlanoV1.0!C132,Table1[CONCAT],0),MATCH(PlanoV1.0!B132,Table1[[#Headers],[Especificação]:[Total Testes]],0))</f>
        <v>0</v>
      </c>
      <c r="H132" s="191">
        <f t="shared" si="111"/>
        <v>0</v>
      </c>
      <c r="I132" s="193">
        <f t="shared" si="112"/>
        <v>1</v>
      </c>
      <c r="J132" s="170"/>
      <c r="K132" s="165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  <c r="AA132" s="165"/>
      <c r="AB132" s="165"/>
      <c r="AC132" s="165"/>
      <c r="AD132" s="165"/>
      <c r="AE132" s="165"/>
      <c r="AF132" s="165"/>
      <c r="AG132" s="165"/>
      <c r="AH132" s="165"/>
      <c r="AI132" s="165"/>
      <c r="AJ132" s="165"/>
      <c r="AK132" s="165"/>
      <c r="AL132" s="165"/>
      <c r="AM132" s="165"/>
      <c r="AN132" s="165"/>
      <c r="AO132" s="165"/>
      <c r="AP132" s="165"/>
      <c r="AQ132" s="165"/>
      <c r="AR132" s="165"/>
      <c r="AS132" s="165"/>
      <c r="AT132" s="165">
        <v>0.5</v>
      </c>
      <c r="AU132" s="165">
        <v>0.5</v>
      </c>
      <c r="AV132" s="165"/>
      <c r="AW132" s="165"/>
      <c r="AX132" s="165"/>
      <c r="AY132" s="165"/>
      <c r="AZ132" s="165"/>
      <c r="BA132" s="165"/>
      <c r="BB132" s="170"/>
      <c r="BC132" s="165"/>
      <c r="BD132" s="165"/>
      <c r="BE132" s="165"/>
      <c r="BF132" s="165"/>
      <c r="BG132" s="165"/>
      <c r="BH132" s="165"/>
      <c r="BI132" s="165"/>
      <c r="BJ132" s="165"/>
      <c r="BK132" s="165"/>
      <c r="BL132" s="165"/>
      <c r="BM132" s="165"/>
      <c r="BN132" s="165"/>
      <c r="BO132" s="165"/>
      <c r="BP132" s="165"/>
      <c r="BQ132" s="165"/>
      <c r="BR132" s="165"/>
      <c r="BS132" s="165"/>
      <c r="BT132" s="165"/>
      <c r="BU132" s="165"/>
      <c r="BV132" s="165"/>
      <c r="BW132" s="165"/>
      <c r="BX132" s="165"/>
      <c r="BY132" s="165"/>
      <c r="BZ132" s="165"/>
      <c r="CA132" s="165"/>
      <c r="CB132" s="165"/>
      <c r="CC132" s="165"/>
      <c r="CD132" s="165"/>
      <c r="CE132" s="165"/>
      <c r="CF132" s="165"/>
      <c r="CG132" s="165"/>
      <c r="CH132" s="165"/>
      <c r="CI132" s="170"/>
      <c r="CJ132" s="165"/>
      <c r="CK132" s="165"/>
      <c r="CL132" s="165"/>
      <c r="CM132" s="165"/>
      <c r="CN132" s="170"/>
      <c r="CO132" s="165"/>
      <c r="CP132" s="165"/>
      <c r="CQ132" s="165"/>
    </row>
    <row r="133" spans="2:95" ht="14.85" customHeight="1" x14ac:dyDescent="0.25">
      <c r="B133" s="156" t="str">
        <f>Table1[[#Headers],[Simulação]]</f>
        <v>Simulação</v>
      </c>
      <c r="C133" s="154" t="str">
        <f t="shared" si="110"/>
        <v>PROTECTION_INSRNC_ID</v>
      </c>
      <c r="D133" s="153" t="s">
        <v>1114</v>
      </c>
      <c r="E133" s="153" t="s">
        <v>1275</v>
      </c>
      <c r="G133" s="172">
        <f>INDEX(Table1[[Especificação]:[Total Testes]],MATCH(PlanoV1.0!C133,Table1[CONCAT],0),MATCH(PlanoV1.0!B133,Table1[[#Headers],[Especificação]:[Total Testes]],0))</f>
        <v>0</v>
      </c>
      <c r="H133" s="191">
        <f t="shared" si="111"/>
        <v>0</v>
      </c>
      <c r="I133" s="193">
        <f t="shared" si="112"/>
        <v>1</v>
      </c>
      <c r="J133" s="170"/>
      <c r="K133" s="165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  <c r="AA133" s="165"/>
      <c r="AB133" s="165"/>
      <c r="AC133" s="165"/>
      <c r="AD133" s="165"/>
      <c r="AE133" s="165"/>
      <c r="AF133" s="165"/>
      <c r="AG133" s="165"/>
      <c r="AH133" s="165"/>
      <c r="AI133" s="165"/>
      <c r="AJ133" s="165"/>
      <c r="AK133" s="165"/>
      <c r="AL133" s="165"/>
      <c r="AM133" s="165"/>
      <c r="AN133" s="165"/>
      <c r="AO133" s="165"/>
      <c r="AP133" s="165"/>
      <c r="AQ133" s="165"/>
      <c r="AR133" s="165"/>
      <c r="AS133" s="165"/>
      <c r="AT133" s="165"/>
      <c r="AU133" s="165">
        <v>1</v>
      </c>
      <c r="AV133" s="165"/>
      <c r="AW133" s="165"/>
      <c r="AX133" s="165"/>
      <c r="AY133" s="165"/>
      <c r="AZ133" s="165"/>
      <c r="BA133" s="165"/>
      <c r="BB133" s="170"/>
      <c r="BC133" s="165"/>
      <c r="BD133" s="165"/>
      <c r="BE133" s="165"/>
      <c r="BF133" s="165"/>
      <c r="BG133" s="165"/>
      <c r="BH133" s="165"/>
      <c r="BI133" s="165"/>
      <c r="BJ133" s="165"/>
      <c r="BK133" s="165"/>
      <c r="BL133" s="165"/>
      <c r="BM133" s="165"/>
      <c r="BN133" s="165"/>
      <c r="BO133" s="165"/>
      <c r="BP133" s="165"/>
      <c r="BQ133" s="165"/>
      <c r="BR133" s="165"/>
      <c r="BS133" s="165"/>
      <c r="BT133" s="165"/>
      <c r="BU133" s="165"/>
      <c r="BV133" s="165"/>
      <c r="BW133" s="165"/>
      <c r="BX133" s="165"/>
      <c r="BY133" s="165"/>
      <c r="BZ133" s="165"/>
      <c r="CA133" s="165"/>
      <c r="CB133" s="165"/>
      <c r="CC133" s="165"/>
      <c r="CD133" s="165"/>
      <c r="CE133" s="165"/>
      <c r="CF133" s="165"/>
      <c r="CG133" s="165"/>
      <c r="CH133" s="165"/>
      <c r="CI133" s="170"/>
      <c r="CJ133" s="165"/>
      <c r="CK133" s="165"/>
      <c r="CL133" s="165"/>
      <c r="CM133" s="165"/>
      <c r="CN133" s="170"/>
      <c r="CO133" s="165"/>
      <c r="CP133" s="165"/>
      <c r="CQ133" s="165"/>
    </row>
    <row r="134" spans="2:95" ht="14.85" customHeight="1" x14ac:dyDescent="0.25">
      <c r="B134" s="156" t="str">
        <f>Table1[[#Headers],[Simulação]]</f>
        <v>Simulação</v>
      </c>
      <c r="C134" s="154" t="str">
        <f t="shared" si="110"/>
        <v>PROTECTION_TYP_HZRDS_INSRD</v>
      </c>
      <c r="D134" s="153" t="s">
        <v>1114</v>
      </c>
      <c r="E134" s="153" t="s">
        <v>1278</v>
      </c>
      <c r="G134" s="172">
        <f>INDEX(Table1[[Especificação]:[Total Testes]],MATCH(PlanoV1.0!C134,Table1[CONCAT],0),MATCH(PlanoV1.0!B134,Table1[[#Headers],[Especificação]:[Total Testes]],0))</f>
        <v>0</v>
      </c>
      <c r="H134" s="191">
        <f t="shared" si="111"/>
        <v>0</v>
      </c>
      <c r="I134" s="193">
        <f t="shared" si="112"/>
        <v>0.4</v>
      </c>
      <c r="J134" s="170"/>
      <c r="K134" s="165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  <c r="AA134" s="165"/>
      <c r="AB134" s="165"/>
      <c r="AC134" s="165"/>
      <c r="AD134" s="165"/>
      <c r="AE134" s="165"/>
      <c r="AF134" s="165"/>
      <c r="AG134" s="165"/>
      <c r="AH134" s="165"/>
      <c r="AI134" s="165"/>
      <c r="AJ134" s="165"/>
      <c r="AK134" s="165"/>
      <c r="AL134" s="165"/>
      <c r="AM134" s="165"/>
      <c r="AN134" s="165"/>
      <c r="AO134" s="165"/>
      <c r="AP134" s="165"/>
      <c r="AQ134" s="165"/>
      <c r="AR134" s="165"/>
      <c r="AS134" s="165"/>
      <c r="AT134" s="165"/>
      <c r="AU134" s="165">
        <v>0.4</v>
      </c>
      <c r="AV134" s="165"/>
      <c r="AW134" s="165"/>
      <c r="AX134" s="165"/>
      <c r="AY134" s="165"/>
      <c r="AZ134" s="165"/>
      <c r="BA134" s="165"/>
      <c r="BB134" s="170"/>
      <c r="BC134" s="165"/>
      <c r="BD134" s="165"/>
      <c r="BE134" s="165"/>
      <c r="BF134" s="165"/>
      <c r="BG134" s="165"/>
      <c r="BH134" s="165"/>
      <c r="BI134" s="165"/>
      <c r="BJ134" s="165"/>
      <c r="BK134" s="165"/>
      <c r="BL134" s="165"/>
      <c r="BM134" s="165"/>
      <c r="BN134" s="165"/>
      <c r="BO134" s="165"/>
      <c r="BP134" s="165"/>
      <c r="BQ134" s="165"/>
      <c r="BR134" s="165"/>
      <c r="BS134" s="165"/>
      <c r="BT134" s="165"/>
      <c r="BU134" s="165"/>
      <c r="BV134" s="165"/>
      <c r="BW134" s="165"/>
      <c r="BX134" s="165"/>
      <c r="BY134" s="165"/>
      <c r="BZ134" s="165"/>
      <c r="CA134" s="165"/>
      <c r="CB134" s="165"/>
      <c r="CC134" s="165"/>
      <c r="CD134" s="165"/>
      <c r="CE134" s="165"/>
      <c r="CF134" s="165"/>
      <c r="CG134" s="165"/>
      <c r="CH134" s="165"/>
      <c r="CI134" s="170"/>
      <c r="CJ134" s="165"/>
      <c r="CK134" s="165"/>
      <c r="CL134" s="165"/>
      <c r="CM134" s="165"/>
      <c r="CN134" s="170"/>
      <c r="CO134" s="165"/>
      <c r="CP134" s="165"/>
      <c r="CQ134" s="165"/>
    </row>
    <row r="135" spans="2:95" ht="14.85" customHeight="1" x14ac:dyDescent="0.25">
      <c r="B135" s="156" t="str">
        <f>Table1[[#Headers],[Simulação]]</f>
        <v>Simulação</v>
      </c>
      <c r="C135" s="154" t="str">
        <f t="shared" si="110"/>
        <v>PROTECTION_AMNT_CVRD_INSRNC</v>
      </c>
      <c r="D135" s="153" t="s">
        <v>1114</v>
      </c>
      <c r="E135" s="153" t="s">
        <v>1281</v>
      </c>
      <c r="G135" s="172">
        <f>INDEX(Table1[[Especificação]:[Total Testes]],MATCH(PlanoV1.0!C135,Table1[CONCAT],0),MATCH(PlanoV1.0!B135,Table1[[#Headers],[Especificação]:[Total Testes]],0))</f>
        <v>0</v>
      </c>
      <c r="H135" s="191">
        <f t="shared" si="111"/>
        <v>0</v>
      </c>
      <c r="I135" s="193">
        <f t="shared" si="112"/>
        <v>1</v>
      </c>
      <c r="J135" s="170"/>
      <c r="K135" s="165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  <c r="AA135" s="165"/>
      <c r="AB135" s="165"/>
      <c r="AC135" s="165"/>
      <c r="AD135" s="165"/>
      <c r="AE135" s="165"/>
      <c r="AF135" s="165"/>
      <c r="AG135" s="165"/>
      <c r="AH135" s="165"/>
      <c r="AI135" s="165"/>
      <c r="AJ135" s="165"/>
      <c r="AK135" s="165"/>
      <c r="AL135" s="165"/>
      <c r="AM135" s="165"/>
      <c r="AN135" s="165"/>
      <c r="AO135" s="165"/>
      <c r="AP135" s="165"/>
      <c r="AQ135" s="165"/>
      <c r="AR135" s="165"/>
      <c r="AS135" s="165"/>
      <c r="AT135" s="165"/>
      <c r="AU135" s="165">
        <v>0.1</v>
      </c>
      <c r="AV135" s="165">
        <v>0.9</v>
      </c>
      <c r="AW135" s="165"/>
      <c r="AX135" s="165"/>
      <c r="AY135" s="165"/>
      <c r="AZ135" s="165"/>
      <c r="BA135" s="165"/>
      <c r="BB135" s="170"/>
      <c r="BC135" s="165"/>
      <c r="BD135" s="165"/>
      <c r="BE135" s="165"/>
      <c r="BF135" s="165"/>
      <c r="BG135" s="165"/>
      <c r="BH135" s="165"/>
      <c r="BI135" s="165"/>
      <c r="BJ135" s="165"/>
      <c r="BK135" s="165"/>
      <c r="BL135" s="165"/>
      <c r="BM135" s="165"/>
      <c r="BN135" s="165"/>
      <c r="BO135" s="165"/>
      <c r="BP135" s="165"/>
      <c r="BQ135" s="165"/>
      <c r="BR135" s="165"/>
      <c r="BS135" s="165"/>
      <c r="BT135" s="165"/>
      <c r="BU135" s="165"/>
      <c r="BV135" s="165"/>
      <c r="BW135" s="165"/>
      <c r="BX135" s="165"/>
      <c r="BY135" s="165"/>
      <c r="BZ135" s="165"/>
      <c r="CA135" s="165"/>
      <c r="CB135" s="165"/>
      <c r="CC135" s="165"/>
      <c r="CD135" s="165"/>
      <c r="CE135" s="165"/>
      <c r="CF135" s="165"/>
      <c r="CG135" s="165"/>
      <c r="CH135" s="165"/>
      <c r="CI135" s="170"/>
      <c r="CJ135" s="165"/>
      <c r="CK135" s="165"/>
      <c r="CL135" s="165"/>
      <c r="CM135" s="165"/>
      <c r="CN135" s="170"/>
      <c r="CO135" s="165"/>
      <c r="CP135" s="165"/>
      <c r="CQ135" s="165"/>
    </row>
    <row r="136" spans="2:95" ht="14.85" customHeight="1" x14ac:dyDescent="0.25">
      <c r="B136" s="156" t="str">
        <f>Table1[[#Headers],[Simulação]]</f>
        <v>Simulação</v>
      </c>
      <c r="C136" s="154" t="str">
        <f t="shared" si="110"/>
        <v>PROTECTION_DT_MTRTY_INSRNC</v>
      </c>
      <c r="D136" s="153" t="s">
        <v>1114</v>
      </c>
      <c r="E136" s="153" t="s">
        <v>1284</v>
      </c>
      <c r="G136" s="172">
        <f>INDEX(Table1[[Especificação]:[Total Testes]],MATCH(PlanoV1.0!C136,Table1[CONCAT],0),MATCH(PlanoV1.0!B136,Table1[[#Headers],[Especificação]:[Total Testes]],0))</f>
        <v>0</v>
      </c>
      <c r="H136" s="191">
        <f t="shared" si="111"/>
        <v>0</v>
      </c>
      <c r="I136" s="193">
        <f t="shared" si="112"/>
        <v>1</v>
      </c>
      <c r="J136" s="170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  <c r="AC136" s="165"/>
      <c r="AD136" s="165"/>
      <c r="AE136" s="165"/>
      <c r="AF136" s="165"/>
      <c r="AG136" s="165"/>
      <c r="AH136" s="165"/>
      <c r="AI136" s="165"/>
      <c r="AJ136" s="165"/>
      <c r="AK136" s="165"/>
      <c r="AL136" s="165"/>
      <c r="AM136" s="165"/>
      <c r="AN136" s="165"/>
      <c r="AO136" s="165"/>
      <c r="AP136" s="165"/>
      <c r="AQ136" s="165"/>
      <c r="AR136" s="165"/>
      <c r="AS136" s="165"/>
      <c r="AT136" s="165"/>
      <c r="AU136" s="165"/>
      <c r="AV136" s="165">
        <v>1</v>
      </c>
      <c r="AW136" s="165"/>
      <c r="AX136" s="165"/>
      <c r="AY136" s="165"/>
      <c r="AZ136" s="165"/>
      <c r="BA136" s="165"/>
      <c r="BB136" s="170"/>
      <c r="BC136" s="165"/>
      <c r="BD136" s="165"/>
      <c r="BE136" s="165"/>
      <c r="BF136" s="165"/>
      <c r="BG136" s="165"/>
      <c r="BH136" s="165"/>
      <c r="BI136" s="165"/>
      <c r="BJ136" s="165"/>
      <c r="BK136" s="165"/>
      <c r="BL136" s="165"/>
      <c r="BM136" s="165"/>
      <c r="BN136" s="165"/>
      <c r="BO136" s="165"/>
      <c r="BP136" s="165"/>
      <c r="BQ136" s="165"/>
      <c r="BR136" s="165"/>
      <c r="BS136" s="165"/>
      <c r="BT136" s="165"/>
      <c r="BU136" s="165"/>
      <c r="BV136" s="165"/>
      <c r="BW136" s="165"/>
      <c r="BX136" s="165"/>
      <c r="BY136" s="165"/>
      <c r="BZ136" s="165"/>
      <c r="CA136" s="165"/>
      <c r="CB136" s="165"/>
      <c r="CC136" s="165"/>
      <c r="CD136" s="165"/>
      <c r="CE136" s="165"/>
      <c r="CF136" s="165"/>
      <c r="CG136" s="165"/>
      <c r="CH136" s="165"/>
      <c r="CI136" s="170"/>
      <c r="CJ136" s="165"/>
      <c r="CK136" s="165"/>
      <c r="CL136" s="165"/>
      <c r="CM136" s="165"/>
      <c r="CN136" s="170"/>
      <c r="CO136" s="165"/>
      <c r="CP136" s="165"/>
      <c r="CQ136" s="165"/>
    </row>
    <row r="137" spans="2:95" ht="14.85" customHeight="1" x14ac:dyDescent="0.25">
      <c r="B137" s="156" t="str">
        <f>Table1[[#Headers],[Simulação]]</f>
        <v>Simulação</v>
      </c>
      <c r="C137" s="154" t="str">
        <f t="shared" si="109"/>
        <v>PROTECTION_FLG_FRST_HM</v>
      </c>
      <c r="D137" s="153" t="s">
        <v>1114</v>
      </c>
      <c r="E137" s="155" t="s">
        <v>1287</v>
      </c>
      <c r="G137" s="172">
        <f>INDEX(Table1[[Especificação]:[Total Testes]],MATCH(PlanoV1.0!C137,Table1[CONCAT],0),MATCH(PlanoV1.0!B137,Table1[[#Headers],[Especificação]:[Total Testes]],0))</f>
        <v>0</v>
      </c>
      <c r="H137" s="191">
        <f t="shared" si="111"/>
        <v>0</v>
      </c>
      <c r="I137" s="193">
        <f t="shared" si="112"/>
        <v>0.4</v>
      </c>
      <c r="J137" s="170"/>
      <c r="K137" s="165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  <c r="AA137" s="165"/>
      <c r="AB137" s="165"/>
      <c r="AC137" s="165"/>
      <c r="AD137" s="165"/>
      <c r="AE137" s="165"/>
      <c r="AF137" s="165"/>
      <c r="AG137" s="165"/>
      <c r="AH137" s="165"/>
      <c r="AI137" s="165"/>
      <c r="AJ137" s="165"/>
      <c r="AK137" s="165"/>
      <c r="AL137" s="165"/>
      <c r="AM137" s="165"/>
      <c r="AN137" s="165"/>
      <c r="AO137" s="165"/>
      <c r="AP137" s="165"/>
      <c r="AQ137" s="165"/>
      <c r="AR137" s="165"/>
      <c r="AS137" s="165"/>
      <c r="AT137" s="165"/>
      <c r="AU137" s="165"/>
      <c r="AV137" s="165">
        <v>0.1</v>
      </c>
      <c r="AW137" s="165">
        <v>0.3</v>
      </c>
      <c r="AX137" s="165"/>
      <c r="AY137" s="165"/>
      <c r="AZ137" s="165"/>
      <c r="BA137" s="165"/>
      <c r="BB137" s="170"/>
      <c r="BC137" s="165"/>
      <c r="BD137" s="165"/>
      <c r="BE137" s="165"/>
      <c r="BF137" s="165"/>
      <c r="BG137" s="165"/>
      <c r="BH137" s="165"/>
      <c r="BI137" s="165"/>
      <c r="BJ137" s="165"/>
      <c r="BK137" s="165"/>
      <c r="BL137" s="165"/>
      <c r="BM137" s="165"/>
      <c r="BN137" s="165"/>
      <c r="BO137" s="165"/>
      <c r="BP137" s="165"/>
      <c r="BQ137" s="165"/>
      <c r="BR137" s="165"/>
      <c r="BS137" s="165"/>
      <c r="BT137" s="165"/>
      <c r="BU137" s="165"/>
      <c r="BV137" s="165"/>
      <c r="BW137" s="165"/>
      <c r="BX137" s="165"/>
      <c r="BY137" s="165"/>
      <c r="BZ137" s="165"/>
      <c r="CA137" s="165"/>
      <c r="CB137" s="165"/>
      <c r="CC137" s="165"/>
      <c r="CD137" s="165"/>
      <c r="CE137" s="165"/>
      <c r="CF137" s="165"/>
      <c r="CG137" s="165"/>
      <c r="CH137" s="165"/>
      <c r="CI137" s="170"/>
      <c r="CJ137" s="165"/>
      <c r="CK137" s="165"/>
      <c r="CL137" s="165"/>
      <c r="CM137" s="165"/>
      <c r="CN137" s="170"/>
      <c r="CO137" s="165"/>
      <c r="CP137" s="165"/>
      <c r="CQ137" s="165"/>
    </row>
    <row r="138" spans="2:95" ht="14.85" customHeight="1" x14ac:dyDescent="0.25">
      <c r="B138" s="156" t="str">
        <f>Table1[[#Headers],[Simulação]]</f>
        <v>Simulação</v>
      </c>
      <c r="C138" s="154" t="str">
        <f t="shared" ref="C138:C155" si="113">D138&amp;"_"&amp;E138</f>
        <v>PROTECTION_ENTTY_NM</v>
      </c>
      <c r="D138" s="153" t="s">
        <v>1114</v>
      </c>
      <c r="E138" s="153" t="s">
        <v>59</v>
      </c>
      <c r="G138" s="172">
        <v>1.5</v>
      </c>
      <c r="H138" s="191">
        <f t="shared" ref="H138:H155" si="114">ROUNDUP(G138/8,1)</f>
        <v>0.2</v>
      </c>
      <c r="I138" s="193">
        <f t="shared" ref="I138:I155" si="115">SUM(J138:CQ138)-H138</f>
        <v>0</v>
      </c>
      <c r="J138" s="170"/>
      <c r="K138" s="165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  <c r="AA138" s="165"/>
      <c r="AB138" s="165"/>
      <c r="AC138" s="165"/>
      <c r="AD138" s="165"/>
      <c r="AE138" s="165"/>
      <c r="AF138" s="165"/>
      <c r="AG138" s="165"/>
      <c r="AH138" s="165"/>
      <c r="AI138" s="165"/>
      <c r="AJ138" s="165"/>
      <c r="AK138" s="165"/>
      <c r="AL138" s="165"/>
      <c r="AM138" s="165"/>
      <c r="AN138" s="165"/>
      <c r="AO138" s="165"/>
      <c r="AP138" s="165"/>
      <c r="AQ138" s="165"/>
      <c r="AR138" s="165"/>
      <c r="AS138" s="165"/>
      <c r="AT138" s="165"/>
      <c r="AU138" s="165"/>
      <c r="AV138" s="165"/>
      <c r="AW138" s="165">
        <v>0.2</v>
      </c>
      <c r="AX138" s="165"/>
      <c r="AY138" s="165"/>
      <c r="AZ138" s="165"/>
      <c r="BA138" s="165"/>
      <c r="BB138" s="170"/>
      <c r="BC138" s="165"/>
      <c r="BD138" s="165"/>
      <c r="BE138" s="165"/>
      <c r="BF138" s="165"/>
      <c r="BG138" s="165"/>
      <c r="BH138" s="165"/>
      <c r="BI138" s="165"/>
      <c r="BJ138" s="165"/>
      <c r="BK138" s="165"/>
      <c r="BL138" s="165"/>
      <c r="BM138" s="165"/>
      <c r="BN138" s="165"/>
      <c r="BO138" s="165"/>
      <c r="BP138" s="165"/>
      <c r="BQ138" s="165"/>
      <c r="BR138" s="165"/>
      <c r="BS138" s="165"/>
      <c r="BT138" s="165"/>
      <c r="BU138" s="165"/>
      <c r="BV138" s="165"/>
      <c r="BW138" s="165"/>
      <c r="BX138" s="165"/>
      <c r="BY138" s="165"/>
      <c r="BZ138" s="165"/>
      <c r="CA138" s="165"/>
      <c r="CB138" s="165"/>
      <c r="CC138" s="165"/>
      <c r="CD138" s="165"/>
      <c r="CE138" s="165"/>
      <c r="CF138" s="165"/>
      <c r="CG138" s="165"/>
      <c r="CH138" s="165"/>
      <c r="CI138" s="170"/>
      <c r="CJ138" s="165"/>
      <c r="CK138" s="165"/>
      <c r="CL138" s="165"/>
      <c r="CM138" s="165"/>
      <c r="CN138" s="170"/>
      <c r="CO138" s="165"/>
      <c r="CP138" s="165"/>
      <c r="CQ138" s="165"/>
    </row>
    <row r="139" spans="2:95" ht="14.85" customHeight="1" x14ac:dyDescent="0.25">
      <c r="B139" s="156" t="str">
        <f>Table1[[#Headers],[Simulação]]</f>
        <v>Simulação</v>
      </c>
      <c r="C139" s="154" t="str">
        <f t="shared" si="113"/>
        <v>PROTECTION_EC_GRP_NM</v>
      </c>
      <c r="D139" s="153" t="s">
        <v>1114</v>
      </c>
      <c r="E139" s="153" t="s">
        <v>284</v>
      </c>
      <c r="G139" s="172">
        <v>1.5</v>
      </c>
      <c r="H139" s="191">
        <f t="shared" si="114"/>
        <v>0.2</v>
      </c>
      <c r="I139" s="193">
        <f t="shared" si="115"/>
        <v>0</v>
      </c>
      <c r="J139" s="170"/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  <c r="AA139" s="165"/>
      <c r="AB139" s="165"/>
      <c r="AC139" s="165"/>
      <c r="AD139" s="165"/>
      <c r="AE139" s="165"/>
      <c r="AF139" s="165"/>
      <c r="AG139" s="165"/>
      <c r="AH139" s="165"/>
      <c r="AI139" s="165"/>
      <c r="AJ139" s="165"/>
      <c r="AK139" s="165"/>
      <c r="AL139" s="165"/>
      <c r="AM139" s="165"/>
      <c r="AN139" s="165"/>
      <c r="AO139" s="165"/>
      <c r="AP139" s="165"/>
      <c r="AQ139" s="165"/>
      <c r="AR139" s="165"/>
      <c r="AS139" s="165"/>
      <c r="AT139" s="165"/>
      <c r="AU139" s="165"/>
      <c r="AV139" s="165"/>
      <c r="AW139" s="165">
        <v>0.2</v>
      </c>
      <c r="AX139" s="165"/>
      <c r="AY139" s="165"/>
      <c r="AZ139" s="165"/>
      <c r="BA139" s="165"/>
      <c r="BB139" s="170"/>
      <c r="BC139" s="165"/>
      <c r="BD139" s="165"/>
      <c r="BE139" s="165"/>
      <c r="BF139" s="165"/>
      <c r="BG139" s="165"/>
      <c r="BH139" s="165"/>
      <c r="BI139" s="165"/>
      <c r="BJ139" s="165"/>
      <c r="BK139" s="165"/>
      <c r="BL139" s="165"/>
      <c r="BM139" s="165"/>
      <c r="BN139" s="165"/>
      <c r="BO139" s="165"/>
      <c r="BP139" s="165"/>
      <c r="BQ139" s="165"/>
      <c r="BR139" s="165"/>
      <c r="BS139" s="165"/>
      <c r="BT139" s="165"/>
      <c r="BU139" s="165"/>
      <c r="BV139" s="165"/>
      <c r="BW139" s="165"/>
      <c r="BX139" s="165"/>
      <c r="BY139" s="165"/>
      <c r="BZ139" s="165"/>
      <c r="CA139" s="165"/>
      <c r="CB139" s="165"/>
      <c r="CC139" s="165"/>
      <c r="CD139" s="165"/>
      <c r="CE139" s="165"/>
      <c r="CF139" s="165"/>
      <c r="CG139" s="165"/>
      <c r="CH139" s="165"/>
      <c r="CI139" s="170"/>
      <c r="CJ139" s="165"/>
      <c r="CK139" s="165"/>
      <c r="CL139" s="165"/>
      <c r="CM139" s="165"/>
      <c r="CN139" s="170"/>
      <c r="CO139" s="165"/>
      <c r="CP139" s="165"/>
      <c r="CQ139" s="165"/>
    </row>
    <row r="140" spans="2:95" ht="14.85" customHeight="1" x14ac:dyDescent="0.25">
      <c r="B140" s="156" t="str">
        <f>Table1[[#Headers],[Simulação]]</f>
        <v>Simulação</v>
      </c>
      <c r="C140" s="154" t="str">
        <f t="shared" si="113"/>
        <v>PROTECTION_FRBRNC_STTS_INSTRMNT</v>
      </c>
      <c r="D140" s="153" t="s">
        <v>1114</v>
      </c>
      <c r="E140" s="153" t="s">
        <v>501</v>
      </c>
      <c r="G140" s="172">
        <v>1</v>
      </c>
      <c r="H140" s="191">
        <f t="shared" si="114"/>
        <v>0.2</v>
      </c>
      <c r="I140" s="193">
        <f t="shared" si="115"/>
        <v>0</v>
      </c>
      <c r="J140" s="170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  <c r="AA140" s="165"/>
      <c r="AB140" s="165"/>
      <c r="AC140" s="165"/>
      <c r="AD140" s="165"/>
      <c r="AE140" s="165"/>
      <c r="AF140" s="165"/>
      <c r="AG140" s="165"/>
      <c r="AH140" s="165"/>
      <c r="AI140" s="165"/>
      <c r="AJ140" s="165"/>
      <c r="AK140" s="165"/>
      <c r="AL140" s="165"/>
      <c r="AM140" s="165"/>
      <c r="AN140" s="165"/>
      <c r="AO140" s="165"/>
      <c r="AP140" s="165"/>
      <c r="AQ140" s="165"/>
      <c r="AR140" s="165"/>
      <c r="AS140" s="165"/>
      <c r="AT140" s="165"/>
      <c r="AU140" s="165"/>
      <c r="AV140" s="165"/>
      <c r="AW140" s="165">
        <v>0.2</v>
      </c>
      <c r="AX140" s="165"/>
      <c r="AY140" s="165"/>
      <c r="AZ140" s="165"/>
      <c r="BA140" s="165"/>
      <c r="BB140" s="170"/>
      <c r="BC140" s="165"/>
      <c r="BD140" s="165"/>
      <c r="BE140" s="165"/>
      <c r="BF140" s="165"/>
      <c r="BG140" s="165"/>
      <c r="BH140" s="165"/>
      <c r="BI140" s="165"/>
      <c r="BJ140" s="165"/>
      <c r="BK140" s="165"/>
      <c r="BL140" s="165"/>
      <c r="BM140" s="165"/>
      <c r="BN140" s="165"/>
      <c r="BO140" s="165"/>
      <c r="BP140" s="165"/>
      <c r="BQ140" s="165"/>
      <c r="BR140" s="165"/>
      <c r="BS140" s="165"/>
      <c r="BT140" s="165"/>
      <c r="BU140" s="165"/>
      <c r="BV140" s="165"/>
      <c r="BW140" s="165"/>
      <c r="BX140" s="165"/>
      <c r="BY140" s="165"/>
      <c r="BZ140" s="165"/>
      <c r="CA140" s="165"/>
      <c r="CB140" s="165"/>
      <c r="CC140" s="165"/>
      <c r="CD140" s="165"/>
      <c r="CE140" s="165"/>
      <c r="CF140" s="165"/>
      <c r="CG140" s="165"/>
      <c r="CH140" s="165"/>
      <c r="CI140" s="170"/>
      <c r="CJ140" s="165"/>
      <c r="CK140" s="165"/>
      <c r="CL140" s="165"/>
      <c r="CM140" s="165"/>
      <c r="CN140" s="170"/>
      <c r="CO140" s="165"/>
      <c r="CP140" s="165"/>
      <c r="CQ140" s="165"/>
    </row>
    <row r="141" spans="2:95" ht="14.85" customHeight="1" x14ac:dyDescent="0.25">
      <c r="B141" s="156" t="str">
        <f>Table1[[#Headers],[Simulação]]</f>
        <v>Simulação</v>
      </c>
      <c r="C141" s="154" t="str">
        <f t="shared" si="113"/>
        <v>PROTECTION_IFRS9_BHVRL_MTRTY</v>
      </c>
      <c r="D141" s="153" t="s">
        <v>1114</v>
      </c>
      <c r="E141" s="153" t="s">
        <v>614</v>
      </c>
      <c r="G141" s="172">
        <v>1</v>
      </c>
      <c r="H141" s="191">
        <f t="shared" si="114"/>
        <v>0.2</v>
      </c>
      <c r="I141" s="193">
        <f t="shared" si="115"/>
        <v>0</v>
      </c>
      <c r="J141" s="170"/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  <c r="AA141" s="165"/>
      <c r="AB141" s="165"/>
      <c r="AC141" s="165"/>
      <c r="AD141" s="165"/>
      <c r="AE141" s="165"/>
      <c r="AF141" s="165"/>
      <c r="AG141" s="165"/>
      <c r="AH141" s="165"/>
      <c r="AI141" s="165"/>
      <c r="AJ141" s="165"/>
      <c r="AK141" s="165"/>
      <c r="AL141" s="165"/>
      <c r="AM141" s="165"/>
      <c r="AN141" s="165"/>
      <c r="AO141" s="165"/>
      <c r="AP141" s="165"/>
      <c r="AQ141" s="165"/>
      <c r="AR141" s="165"/>
      <c r="AS141" s="165"/>
      <c r="AT141" s="165"/>
      <c r="AU141" s="165"/>
      <c r="AV141" s="165"/>
      <c r="AW141" s="165">
        <v>0.2</v>
      </c>
      <c r="AX141" s="165"/>
      <c r="AY141" s="165"/>
      <c r="AZ141" s="165"/>
      <c r="BA141" s="165"/>
      <c r="BB141" s="170"/>
      <c r="BC141" s="165"/>
      <c r="BD141" s="165"/>
      <c r="BE141" s="165"/>
      <c r="BF141" s="165"/>
      <c r="BG141" s="165"/>
      <c r="BH141" s="165"/>
      <c r="BI141" s="165"/>
      <c r="BJ141" s="165"/>
      <c r="BK141" s="165"/>
      <c r="BL141" s="165"/>
      <c r="BM141" s="165"/>
      <c r="BN141" s="165"/>
      <c r="BO141" s="165"/>
      <c r="BP141" s="165"/>
      <c r="BQ141" s="165"/>
      <c r="BR141" s="165"/>
      <c r="BS141" s="165"/>
      <c r="BT141" s="165"/>
      <c r="BU141" s="165"/>
      <c r="BV141" s="165"/>
      <c r="BW141" s="165"/>
      <c r="BX141" s="165"/>
      <c r="BY141" s="165"/>
      <c r="BZ141" s="165"/>
      <c r="CA141" s="165"/>
      <c r="CB141" s="165"/>
      <c r="CC141" s="165"/>
      <c r="CD141" s="165"/>
      <c r="CE141" s="165"/>
      <c r="CF141" s="165"/>
      <c r="CG141" s="165"/>
      <c r="CH141" s="165"/>
      <c r="CI141" s="170"/>
      <c r="CJ141" s="165"/>
      <c r="CK141" s="165"/>
      <c r="CL141" s="165"/>
      <c r="CM141" s="165"/>
      <c r="CN141" s="170"/>
      <c r="CO141" s="165"/>
      <c r="CP141" s="165"/>
      <c r="CQ141" s="165"/>
    </row>
    <row r="142" spans="2:95" ht="14.85" customHeight="1" x14ac:dyDescent="0.25">
      <c r="B142" s="156" t="str">
        <f>Table1[[#Headers],[Simulação]]</f>
        <v>Simulação</v>
      </c>
      <c r="C142" s="154" t="str">
        <f t="shared" si="113"/>
        <v>PROTECTION_LTV</v>
      </c>
      <c r="D142" s="153" t="s">
        <v>1114</v>
      </c>
      <c r="E142" s="153" t="s">
        <v>724</v>
      </c>
      <c r="G142" s="172">
        <v>1</v>
      </c>
      <c r="H142" s="191">
        <f t="shared" si="114"/>
        <v>0.2</v>
      </c>
      <c r="I142" s="193">
        <f t="shared" si="115"/>
        <v>0</v>
      </c>
      <c r="J142" s="170"/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  <c r="AA142" s="165"/>
      <c r="AB142" s="165"/>
      <c r="AC142" s="165"/>
      <c r="AD142" s="165"/>
      <c r="AE142" s="165"/>
      <c r="AF142" s="165"/>
      <c r="AG142" s="165"/>
      <c r="AH142" s="165"/>
      <c r="AI142" s="165"/>
      <c r="AJ142" s="165"/>
      <c r="AK142" s="165"/>
      <c r="AL142" s="165"/>
      <c r="AM142" s="165"/>
      <c r="AN142" s="165"/>
      <c r="AO142" s="165"/>
      <c r="AP142" s="165"/>
      <c r="AQ142" s="165"/>
      <c r="AR142" s="165"/>
      <c r="AS142" s="165"/>
      <c r="AT142" s="165"/>
      <c r="AU142" s="165"/>
      <c r="AV142" s="165"/>
      <c r="AW142" s="165">
        <v>0.2</v>
      </c>
      <c r="AX142" s="165"/>
      <c r="AY142" s="165"/>
      <c r="AZ142" s="165"/>
      <c r="BA142" s="165"/>
      <c r="BB142" s="170"/>
      <c r="BC142" s="165"/>
      <c r="BD142" s="165"/>
      <c r="BE142" s="165"/>
      <c r="BF142" s="165"/>
      <c r="BG142" s="165"/>
      <c r="BH142" s="165"/>
      <c r="BI142" s="165"/>
      <c r="BJ142" s="165"/>
      <c r="BK142" s="165"/>
      <c r="BL142" s="165"/>
      <c r="BM142" s="165"/>
      <c r="BN142" s="165"/>
      <c r="BO142" s="165"/>
      <c r="BP142" s="165"/>
      <c r="BQ142" s="165"/>
      <c r="BR142" s="165"/>
      <c r="BS142" s="165"/>
      <c r="BT142" s="165"/>
      <c r="BU142" s="165"/>
      <c r="BV142" s="165"/>
      <c r="BW142" s="165"/>
      <c r="BX142" s="165"/>
      <c r="BY142" s="165"/>
      <c r="BZ142" s="165"/>
      <c r="CA142" s="165"/>
      <c r="CB142" s="165"/>
      <c r="CC142" s="165"/>
      <c r="CD142" s="165"/>
      <c r="CE142" s="165"/>
      <c r="CF142" s="165"/>
      <c r="CG142" s="165"/>
      <c r="CH142" s="165"/>
      <c r="CI142" s="170"/>
      <c r="CJ142" s="165"/>
      <c r="CK142" s="165"/>
      <c r="CL142" s="165"/>
      <c r="CM142" s="165"/>
      <c r="CN142" s="170"/>
      <c r="CO142" s="165"/>
      <c r="CP142" s="165"/>
      <c r="CQ142" s="165"/>
    </row>
    <row r="143" spans="2:95" ht="14.85" customHeight="1" x14ac:dyDescent="0.25">
      <c r="B143" s="156" t="str">
        <f>Table1[[#Headers],[Simulação]]</f>
        <v>Simulação</v>
      </c>
      <c r="C143" s="154" t="str">
        <f t="shared" si="113"/>
        <v>PROTECTION_LTV_INCPTN</v>
      </c>
      <c r="D143" s="153" t="s">
        <v>1114</v>
      </c>
      <c r="E143" s="153" t="s">
        <v>727</v>
      </c>
      <c r="G143" s="172">
        <v>1</v>
      </c>
      <c r="H143" s="191">
        <f t="shared" si="114"/>
        <v>0.2</v>
      </c>
      <c r="I143" s="193">
        <f t="shared" si="115"/>
        <v>0</v>
      </c>
      <c r="J143" s="170"/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  <c r="AA143" s="165"/>
      <c r="AB143" s="165"/>
      <c r="AC143" s="165"/>
      <c r="AD143" s="165"/>
      <c r="AE143" s="165"/>
      <c r="AF143" s="165"/>
      <c r="AG143" s="165"/>
      <c r="AH143" s="165"/>
      <c r="AI143" s="165"/>
      <c r="AJ143" s="165"/>
      <c r="AK143" s="165"/>
      <c r="AL143" s="165"/>
      <c r="AM143" s="165"/>
      <c r="AN143" s="165"/>
      <c r="AO143" s="165"/>
      <c r="AP143" s="165"/>
      <c r="AQ143" s="165"/>
      <c r="AR143" s="165"/>
      <c r="AS143" s="165"/>
      <c r="AT143" s="165"/>
      <c r="AU143" s="165"/>
      <c r="AV143" s="165"/>
      <c r="AW143" s="165">
        <v>0.2</v>
      </c>
      <c r="AX143" s="165"/>
      <c r="AY143" s="165"/>
      <c r="AZ143" s="165"/>
      <c r="BA143" s="165"/>
      <c r="BB143" s="170"/>
      <c r="BC143" s="165"/>
      <c r="BD143" s="165"/>
      <c r="BE143" s="165"/>
      <c r="BF143" s="165"/>
      <c r="BG143" s="165"/>
      <c r="BH143" s="165"/>
      <c r="BI143" s="165"/>
      <c r="BJ143" s="165"/>
      <c r="BK143" s="165"/>
      <c r="BL143" s="165"/>
      <c r="BM143" s="165"/>
      <c r="BN143" s="165"/>
      <c r="BO143" s="165"/>
      <c r="BP143" s="165"/>
      <c r="BQ143" s="165"/>
      <c r="BR143" s="165"/>
      <c r="BS143" s="165"/>
      <c r="BT143" s="165"/>
      <c r="BU143" s="165"/>
      <c r="BV143" s="165"/>
      <c r="BW143" s="165"/>
      <c r="BX143" s="165"/>
      <c r="BY143" s="165"/>
      <c r="BZ143" s="165"/>
      <c r="CA143" s="165"/>
      <c r="CB143" s="165"/>
      <c r="CC143" s="165"/>
      <c r="CD143" s="165"/>
      <c r="CE143" s="165"/>
      <c r="CF143" s="165"/>
      <c r="CG143" s="165"/>
      <c r="CH143" s="165"/>
      <c r="CI143" s="170"/>
      <c r="CJ143" s="165"/>
      <c r="CK143" s="165"/>
      <c r="CL143" s="165"/>
      <c r="CM143" s="165"/>
      <c r="CN143" s="170"/>
      <c r="CO143" s="165"/>
      <c r="CP143" s="165"/>
      <c r="CQ143" s="165"/>
    </row>
    <row r="144" spans="2:95" ht="14.85" customHeight="1" x14ac:dyDescent="0.25">
      <c r="B144" s="156" t="str">
        <f>Table1[[#Headers],[Simulação]]</f>
        <v>Simulação</v>
      </c>
      <c r="C144" s="154" t="str">
        <f t="shared" si="113"/>
        <v>PROTECTION_ANNLSD_AGRD_RT</v>
      </c>
      <c r="D144" s="153" t="s">
        <v>1114</v>
      </c>
      <c r="E144" s="153" t="s">
        <v>757</v>
      </c>
      <c r="G144" s="172">
        <v>1</v>
      </c>
      <c r="H144" s="191">
        <f t="shared" si="114"/>
        <v>0.2</v>
      </c>
      <c r="I144" s="193">
        <f t="shared" si="115"/>
        <v>0</v>
      </c>
      <c r="J144" s="170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  <c r="AA144" s="165"/>
      <c r="AB144" s="165"/>
      <c r="AC144" s="165"/>
      <c r="AD144" s="165"/>
      <c r="AE144" s="165"/>
      <c r="AF144" s="165"/>
      <c r="AG144" s="165"/>
      <c r="AH144" s="165"/>
      <c r="AI144" s="165"/>
      <c r="AJ144" s="165"/>
      <c r="AK144" s="165"/>
      <c r="AL144" s="165"/>
      <c r="AM144" s="165"/>
      <c r="AN144" s="165"/>
      <c r="AO144" s="165"/>
      <c r="AP144" s="165"/>
      <c r="AQ144" s="165"/>
      <c r="AR144" s="165"/>
      <c r="AS144" s="165"/>
      <c r="AT144" s="165"/>
      <c r="AU144" s="165"/>
      <c r="AV144" s="165"/>
      <c r="AW144" s="165">
        <v>0.2</v>
      </c>
      <c r="AX144" s="165"/>
      <c r="AY144" s="165"/>
      <c r="AZ144" s="165"/>
      <c r="BA144" s="165"/>
      <c r="BB144" s="170"/>
      <c r="BC144" s="165"/>
      <c r="BD144" s="165"/>
      <c r="BE144" s="165"/>
      <c r="BF144" s="165"/>
      <c r="BG144" s="165"/>
      <c r="BH144" s="165"/>
      <c r="BI144" s="165"/>
      <c r="BJ144" s="165"/>
      <c r="BK144" s="165"/>
      <c r="BL144" s="165"/>
      <c r="BM144" s="165"/>
      <c r="BN144" s="165"/>
      <c r="BO144" s="165"/>
      <c r="BP144" s="165"/>
      <c r="BQ144" s="165"/>
      <c r="BR144" s="165"/>
      <c r="BS144" s="165"/>
      <c r="BT144" s="165"/>
      <c r="BU144" s="165"/>
      <c r="BV144" s="165"/>
      <c r="BW144" s="165"/>
      <c r="BX144" s="165"/>
      <c r="BY144" s="165"/>
      <c r="BZ144" s="165"/>
      <c r="CA144" s="165"/>
      <c r="CB144" s="165"/>
      <c r="CC144" s="165"/>
      <c r="CD144" s="165"/>
      <c r="CE144" s="165"/>
      <c r="CF144" s="165"/>
      <c r="CG144" s="165"/>
      <c r="CH144" s="165"/>
      <c r="CI144" s="170"/>
      <c r="CJ144" s="165"/>
      <c r="CK144" s="165"/>
      <c r="CL144" s="165"/>
      <c r="CM144" s="165"/>
      <c r="CN144" s="170"/>
      <c r="CO144" s="165"/>
      <c r="CP144" s="165"/>
      <c r="CQ144" s="165"/>
    </row>
    <row r="145" spans="2:95" ht="14.85" customHeight="1" x14ac:dyDescent="0.25">
      <c r="B145" s="156" t="str">
        <f>Table1[[#Headers],[Simulação]]</f>
        <v>Simulação</v>
      </c>
      <c r="C145" s="154" t="str">
        <f t="shared" si="113"/>
        <v>PROTECTION_EIR_INCPTN</v>
      </c>
      <c r="D145" s="153" t="s">
        <v>1114</v>
      </c>
      <c r="E145" s="153" t="s">
        <v>763</v>
      </c>
      <c r="G145" s="172">
        <v>1</v>
      </c>
      <c r="H145" s="191">
        <f t="shared" si="114"/>
        <v>0.2</v>
      </c>
      <c r="I145" s="193">
        <f t="shared" si="115"/>
        <v>0</v>
      </c>
      <c r="J145" s="170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  <c r="AA145" s="165"/>
      <c r="AB145" s="165"/>
      <c r="AC145" s="165"/>
      <c r="AD145" s="165"/>
      <c r="AE145" s="165"/>
      <c r="AF145" s="165"/>
      <c r="AG145" s="165"/>
      <c r="AH145" s="165"/>
      <c r="AI145" s="165"/>
      <c r="AJ145" s="165"/>
      <c r="AK145" s="165"/>
      <c r="AL145" s="165"/>
      <c r="AM145" s="165"/>
      <c r="AN145" s="165"/>
      <c r="AO145" s="165"/>
      <c r="AP145" s="165"/>
      <c r="AQ145" s="165"/>
      <c r="AR145" s="165"/>
      <c r="AS145" s="165"/>
      <c r="AT145" s="165"/>
      <c r="AU145" s="165"/>
      <c r="AV145" s="165"/>
      <c r="AW145" s="165">
        <v>0.2</v>
      </c>
      <c r="AX145" s="165"/>
      <c r="AY145" s="165"/>
      <c r="AZ145" s="165"/>
      <c r="BA145" s="165"/>
      <c r="BB145" s="170"/>
      <c r="BC145" s="165"/>
      <c r="BD145" s="165"/>
      <c r="BE145" s="165"/>
      <c r="BF145" s="165"/>
      <c r="BG145" s="165"/>
      <c r="BH145" s="165"/>
      <c r="BI145" s="165"/>
      <c r="BJ145" s="165"/>
      <c r="BK145" s="165"/>
      <c r="BL145" s="165"/>
      <c r="BM145" s="165"/>
      <c r="BN145" s="165"/>
      <c r="BO145" s="165"/>
      <c r="BP145" s="165"/>
      <c r="BQ145" s="165"/>
      <c r="BR145" s="165"/>
      <c r="BS145" s="165"/>
      <c r="BT145" s="165"/>
      <c r="BU145" s="165"/>
      <c r="BV145" s="165"/>
      <c r="BW145" s="165"/>
      <c r="BX145" s="165"/>
      <c r="BY145" s="165"/>
      <c r="BZ145" s="165"/>
      <c r="CA145" s="165"/>
      <c r="CB145" s="165"/>
      <c r="CC145" s="165"/>
      <c r="CD145" s="165"/>
      <c r="CE145" s="165"/>
      <c r="CF145" s="165"/>
      <c r="CG145" s="165"/>
      <c r="CH145" s="165"/>
      <c r="CI145" s="170"/>
      <c r="CJ145" s="165"/>
      <c r="CK145" s="165"/>
      <c r="CL145" s="165"/>
      <c r="CM145" s="165"/>
      <c r="CN145" s="170"/>
      <c r="CO145" s="165"/>
      <c r="CP145" s="165"/>
      <c r="CQ145" s="165"/>
    </row>
    <row r="146" spans="2:95" ht="14.85" customHeight="1" x14ac:dyDescent="0.25">
      <c r="B146" s="156" t="str">
        <f>Table1[[#Headers],[Simulação]]</f>
        <v>Simulação</v>
      </c>
      <c r="C146" s="154" t="str">
        <f t="shared" si="113"/>
        <v>PROTECTION_NW_BSNSS</v>
      </c>
      <c r="D146" s="153" t="s">
        <v>1114</v>
      </c>
      <c r="E146" s="153" t="s">
        <v>973</v>
      </c>
      <c r="G146" s="172">
        <v>6</v>
      </c>
      <c r="H146" s="191">
        <f t="shared" si="114"/>
        <v>0.79999999999999993</v>
      </c>
      <c r="I146" s="193">
        <f t="shared" si="115"/>
        <v>0</v>
      </c>
      <c r="J146" s="170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  <c r="AA146" s="165"/>
      <c r="AB146" s="165"/>
      <c r="AC146" s="165"/>
      <c r="AD146" s="165"/>
      <c r="AE146" s="165"/>
      <c r="AF146" s="165"/>
      <c r="AG146" s="165"/>
      <c r="AH146" s="165"/>
      <c r="AI146" s="165"/>
      <c r="AJ146" s="165"/>
      <c r="AK146" s="165"/>
      <c r="AL146" s="165"/>
      <c r="AM146" s="165"/>
      <c r="AN146" s="165"/>
      <c r="AO146" s="165"/>
      <c r="AP146" s="165"/>
      <c r="AQ146" s="165"/>
      <c r="AR146" s="165"/>
      <c r="AS146" s="165"/>
      <c r="AT146" s="165"/>
      <c r="AU146" s="165"/>
      <c r="AV146" s="165"/>
      <c r="AW146" s="165">
        <v>0.1</v>
      </c>
      <c r="AX146" s="165">
        <v>0.7</v>
      </c>
      <c r="AY146" s="165"/>
      <c r="AZ146" s="165"/>
      <c r="BA146" s="165"/>
      <c r="BB146" s="170"/>
      <c r="BC146" s="165"/>
      <c r="BD146" s="165"/>
      <c r="BE146" s="165"/>
      <c r="BF146" s="165"/>
      <c r="BG146" s="165"/>
      <c r="BH146" s="165"/>
      <c r="BI146" s="165"/>
      <c r="BJ146" s="165"/>
      <c r="BK146" s="165"/>
      <c r="BL146" s="165"/>
      <c r="BM146" s="165"/>
      <c r="BN146" s="165"/>
      <c r="BO146" s="165"/>
      <c r="BP146" s="165"/>
      <c r="BQ146" s="165"/>
      <c r="BR146" s="165"/>
      <c r="BS146" s="165"/>
      <c r="BT146" s="165"/>
      <c r="BU146" s="165"/>
      <c r="BV146" s="165"/>
      <c r="BW146" s="165"/>
      <c r="BX146" s="165"/>
      <c r="BY146" s="165"/>
      <c r="BZ146" s="165"/>
      <c r="CA146" s="165"/>
      <c r="CB146" s="165"/>
      <c r="CC146" s="165"/>
      <c r="CD146" s="165"/>
      <c r="CE146" s="165"/>
      <c r="CF146" s="165"/>
      <c r="CG146" s="165"/>
      <c r="CH146" s="165"/>
      <c r="CI146" s="170"/>
      <c r="CJ146" s="165"/>
      <c r="CK146" s="165"/>
      <c r="CL146" s="165"/>
      <c r="CM146" s="165"/>
      <c r="CN146" s="170"/>
      <c r="CO146" s="165"/>
      <c r="CP146" s="165"/>
      <c r="CQ146" s="165"/>
    </row>
    <row r="147" spans="2:95" ht="14.85" customHeight="1" x14ac:dyDescent="0.25">
      <c r="B147" s="156" t="str">
        <f>Table1[[#Headers],[Simulação]]</f>
        <v>Simulação</v>
      </c>
      <c r="C147" s="154" t="str">
        <f t="shared" si="113"/>
        <v>PROTECTION_YR_CNSTRCTN</v>
      </c>
      <c r="D147" s="153" t="s">
        <v>1114</v>
      </c>
      <c r="E147" s="153" t="s">
        <v>1290</v>
      </c>
      <c r="G147" s="172">
        <f>INDEX(Table1[[Especificação]:[Total Testes]],MATCH(PlanoV1.0!C147,Table1[CONCAT],0),MATCH(PlanoV1.0!B147,Table1[[#Headers],[Especificação]:[Total Testes]],0))</f>
        <v>0</v>
      </c>
      <c r="H147" s="191">
        <f t="shared" si="114"/>
        <v>0</v>
      </c>
      <c r="I147" s="193">
        <f t="shared" si="115"/>
        <v>0.2</v>
      </c>
      <c r="J147" s="170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  <c r="AA147" s="165"/>
      <c r="AB147" s="165"/>
      <c r="AC147" s="165"/>
      <c r="AD147" s="165"/>
      <c r="AE147" s="165"/>
      <c r="AF147" s="165"/>
      <c r="AG147" s="165"/>
      <c r="AH147" s="165"/>
      <c r="AI147" s="165"/>
      <c r="AJ147" s="165"/>
      <c r="AK147" s="165"/>
      <c r="AL147" s="165"/>
      <c r="AM147" s="165"/>
      <c r="AN147" s="165"/>
      <c r="AO147" s="165"/>
      <c r="AP147" s="165"/>
      <c r="AQ147" s="165"/>
      <c r="AR147" s="165"/>
      <c r="AS147" s="165"/>
      <c r="AT147" s="165"/>
      <c r="AU147" s="165"/>
      <c r="AV147" s="165"/>
      <c r="AW147" s="165"/>
      <c r="AX147" s="165">
        <v>0.2</v>
      </c>
      <c r="AY147" s="165"/>
      <c r="AZ147" s="165"/>
      <c r="BA147" s="165"/>
      <c r="BB147" s="170"/>
      <c r="BC147" s="165"/>
      <c r="BD147" s="165"/>
      <c r="BE147" s="165"/>
      <c r="BF147" s="165"/>
      <c r="BG147" s="165"/>
      <c r="BH147" s="165"/>
      <c r="BI147" s="165"/>
      <c r="BJ147" s="165"/>
      <c r="BK147" s="165"/>
      <c r="BL147" s="165"/>
      <c r="BM147" s="165"/>
      <c r="BN147" s="165"/>
      <c r="BO147" s="165"/>
      <c r="BP147" s="165"/>
      <c r="BQ147" s="165"/>
      <c r="BR147" s="165"/>
      <c r="BS147" s="165"/>
      <c r="BT147" s="165"/>
      <c r="BU147" s="165"/>
      <c r="BV147" s="165"/>
      <c r="BW147" s="165"/>
      <c r="BX147" s="165"/>
      <c r="BY147" s="165"/>
      <c r="BZ147" s="165"/>
      <c r="CA147" s="165"/>
      <c r="CB147" s="165"/>
      <c r="CC147" s="165"/>
      <c r="CD147" s="165"/>
      <c r="CE147" s="165"/>
      <c r="CF147" s="165"/>
      <c r="CG147" s="165"/>
      <c r="CH147" s="165"/>
      <c r="CI147" s="170"/>
      <c r="CJ147" s="165"/>
      <c r="CK147" s="165"/>
      <c r="CL147" s="165"/>
      <c r="CM147" s="165"/>
      <c r="CN147" s="170"/>
      <c r="CO147" s="165"/>
      <c r="CP147" s="165"/>
      <c r="CQ147" s="165"/>
    </row>
    <row r="148" spans="2:95" ht="14.85" customHeight="1" x14ac:dyDescent="0.25">
      <c r="B148" s="156" t="str">
        <f>Table1[[#Headers],[Simulação]]</f>
        <v>Simulação</v>
      </c>
      <c r="C148" s="154" t="str">
        <f t="shared" si="113"/>
        <v>PROTECTION_INTRNL_SGMNT</v>
      </c>
      <c r="D148" s="153" t="s">
        <v>1114</v>
      </c>
      <c r="E148" s="153" t="s">
        <v>50</v>
      </c>
      <c r="G148" s="172">
        <v>1.5</v>
      </c>
      <c r="H148" s="191">
        <f t="shared" si="114"/>
        <v>0.2</v>
      </c>
      <c r="I148" s="193">
        <f t="shared" si="115"/>
        <v>0</v>
      </c>
      <c r="J148" s="170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  <c r="AA148" s="165"/>
      <c r="AB148" s="165"/>
      <c r="AC148" s="165"/>
      <c r="AD148" s="165"/>
      <c r="AE148" s="165"/>
      <c r="AF148" s="165"/>
      <c r="AG148" s="165"/>
      <c r="AH148" s="165"/>
      <c r="AI148" s="165"/>
      <c r="AJ148" s="165"/>
      <c r="AK148" s="165"/>
      <c r="AL148" s="165"/>
      <c r="AM148" s="165"/>
      <c r="AN148" s="165"/>
      <c r="AO148" s="165"/>
      <c r="AP148" s="165"/>
      <c r="AQ148" s="165"/>
      <c r="AR148" s="165"/>
      <c r="AS148" s="165"/>
      <c r="AT148" s="165"/>
      <c r="AU148" s="165"/>
      <c r="AV148" s="165"/>
      <c r="AW148" s="165"/>
      <c r="AX148" s="165">
        <v>0.2</v>
      </c>
      <c r="AY148" s="165"/>
      <c r="AZ148" s="165"/>
      <c r="BA148" s="165"/>
      <c r="BB148" s="170"/>
      <c r="BC148" s="165"/>
      <c r="BD148" s="165"/>
      <c r="BE148" s="165"/>
      <c r="BF148" s="165"/>
      <c r="BG148" s="165"/>
      <c r="BH148" s="165"/>
      <c r="BI148" s="165"/>
      <c r="BJ148" s="165"/>
      <c r="BK148" s="165"/>
      <c r="BL148" s="165"/>
      <c r="BM148" s="165"/>
      <c r="BN148" s="165"/>
      <c r="BO148" s="165"/>
      <c r="BP148" s="165"/>
      <c r="BQ148" s="165"/>
      <c r="BR148" s="165"/>
      <c r="BS148" s="165"/>
      <c r="BT148" s="165"/>
      <c r="BU148" s="165"/>
      <c r="BV148" s="165"/>
      <c r="BW148" s="165"/>
      <c r="BX148" s="165"/>
      <c r="BY148" s="165"/>
      <c r="BZ148" s="165"/>
      <c r="CA148" s="165"/>
      <c r="CB148" s="165"/>
      <c r="CC148" s="165"/>
      <c r="CD148" s="165"/>
      <c r="CE148" s="165"/>
      <c r="CF148" s="165"/>
      <c r="CG148" s="165"/>
      <c r="CH148" s="165"/>
      <c r="CI148" s="170"/>
      <c r="CJ148" s="165"/>
      <c r="CK148" s="165"/>
      <c r="CL148" s="165"/>
      <c r="CM148" s="165"/>
      <c r="CN148" s="170"/>
      <c r="CO148" s="165"/>
      <c r="CP148" s="165"/>
      <c r="CQ148" s="165"/>
    </row>
    <row r="149" spans="2:95" ht="14.85" customHeight="1" x14ac:dyDescent="0.25">
      <c r="B149" s="156" t="str">
        <f>Table1[[#Headers],[Simulação]]</f>
        <v>Simulação</v>
      </c>
      <c r="C149" s="154" t="str">
        <f t="shared" si="113"/>
        <v>PROTECTION_EAD</v>
      </c>
      <c r="D149" s="153" t="s">
        <v>1114</v>
      </c>
      <c r="E149" s="153" t="s">
        <v>617</v>
      </c>
      <c r="G149" s="172">
        <v>1.5</v>
      </c>
      <c r="H149" s="191">
        <f t="shared" si="114"/>
        <v>0.2</v>
      </c>
      <c r="I149" s="193">
        <f t="shared" si="115"/>
        <v>0</v>
      </c>
      <c r="J149" s="170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65"/>
      <c r="AB149" s="165"/>
      <c r="AC149" s="165"/>
      <c r="AD149" s="165"/>
      <c r="AE149" s="165"/>
      <c r="AF149" s="165"/>
      <c r="AG149" s="165"/>
      <c r="AH149" s="165"/>
      <c r="AI149" s="165"/>
      <c r="AJ149" s="165"/>
      <c r="AK149" s="165"/>
      <c r="AL149" s="165"/>
      <c r="AM149" s="165"/>
      <c r="AN149" s="165"/>
      <c r="AO149" s="165"/>
      <c r="AP149" s="165"/>
      <c r="AQ149" s="165"/>
      <c r="AR149" s="165"/>
      <c r="AS149" s="165"/>
      <c r="AT149" s="165"/>
      <c r="AU149" s="165"/>
      <c r="AV149" s="165"/>
      <c r="AW149" s="165"/>
      <c r="AX149" s="165">
        <v>0.2</v>
      </c>
      <c r="AY149" s="165"/>
      <c r="AZ149" s="165"/>
      <c r="BA149" s="165"/>
      <c r="BB149" s="170"/>
      <c r="BC149" s="165"/>
      <c r="BD149" s="165"/>
      <c r="BE149" s="165"/>
      <c r="BF149" s="165"/>
      <c r="BG149" s="165"/>
      <c r="BH149" s="165"/>
      <c r="BI149" s="165"/>
      <c r="BJ149" s="165"/>
      <c r="BK149" s="165"/>
      <c r="BL149" s="165"/>
      <c r="BM149" s="165"/>
      <c r="BN149" s="165"/>
      <c r="BO149" s="165"/>
      <c r="BP149" s="165"/>
      <c r="BQ149" s="165"/>
      <c r="BR149" s="165"/>
      <c r="BS149" s="165"/>
      <c r="BT149" s="165"/>
      <c r="BU149" s="165"/>
      <c r="BV149" s="165"/>
      <c r="BW149" s="165"/>
      <c r="BX149" s="165"/>
      <c r="BY149" s="165"/>
      <c r="BZ149" s="165"/>
      <c r="CA149" s="165"/>
      <c r="CB149" s="165"/>
      <c r="CC149" s="165"/>
      <c r="CD149" s="165"/>
      <c r="CE149" s="165"/>
      <c r="CF149" s="165"/>
      <c r="CG149" s="165"/>
      <c r="CH149" s="165"/>
      <c r="CI149" s="170"/>
      <c r="CJ149" s="165"/>
      <c r="CK149" s="165"/>
      <c r="CL149" s="165"/>
      <c r="CM149" s="165"/>
      <c r="CN149" s="170"/>
      <c r="CO149" s="165"/>
      <c r="CP149" s="165"/>
      <c r="CQ149" s="165"/>
    </row>
    <row r="150" spans="2:95" ht="14.85" customHeight="1" x14ac:dyDescent="0.25">
      <c r="B150" s="156" t="str">
        <f>Table1[[#Headers],[Simulação]]</f>
        <v>Simulação</v>
      </c>
      <c r="C150" s="154" t="str">
        <f t="shared" si="113"/>
        <v>PROTECTION_OFF_BLNC_SHT_AMNT_INSTRMNT</v>
      </c>
      <c r="D150" s="153" t="s">
        <v>1114</v>
      </c>
      <c r="E150" s="153" t="s">
        <v>629</v>
      </c>
      <c r="G150" s="172">
        <v>1.5</v>
      </c>
      <c r="H150" s="191">
        <f t="shared" si="114"/>
        <v>0.2</v>
      </c>
      <c r="I150" s="193">
        <f t="shared" si="115"/>
        <v>0</v>
      </c>
      <c r="J150" s="170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  <c r="AA150" s="165"/>
      <c r="AB150" s="165"/>
      <c r="AC150" s="165"/>
      <c r="AD150" s="165"/>
      <c r="AE150" s="165"/>
      <c r="AF150" s="165"/>
      <c r="AG150" s="165"/>
      <c r="AH150" s="165"/>
      <c r="AI150" s="165"/>
      <c r="AJ150" s="165"/>
      <c r="AK150" s="165"/>
      <c r="AL150" s="165"/>
      <c r="AM150" s="165"/>
      <c r="AN150" s="165"/>
      <c r="AO150" s="165"/>
      <c r="AP150" s="165"/>
      <c r="AQ150" s="165"/>
      <c r="AR150" s="165"/>
      <c r="AS150" s="165"/>
      <c r="AT150" s="165"/>
      <c r="AU150" s="165"/>
      <c r="AV150" s="165"/>
      <c r="AW150" s="165"/>
      <c r="AX150" s="165">
        <v>0.2</v>
      </c>
      <c r="AY150" s="165"/>
      <c r="AZ150" s="165"/>
      <c r="BA150" s="165"/>
      <c r="BB150" s="170"/>
      <c r="BC150" s="165"/>
      <c r="BD150" s="165"/>
      <c r="BE150" s="165"/>
      <c r="BF150" s="165"/>
      <c r="BG150" s="165"/>
      <c r="BH150" s="165"/>
      <c r="BI150" s="165"/>
      <c r="BJ150" s="165"/>
      <c r="BK150" s="165"/>
      <c r="BL150" s="165"/>
      <c r="BM150" s="165"/>
      <c r="BN150" s="165"/>
      <c r="BO150" s="165"/>
      <c r="BP150" s="165"/>
      <c r="BQ150" s="165"/>
      <c r="BR150" s="165"/>
      <c r="BS150" s="165"/>
      <c r="BT150" s="165"/>
      <c r="BU150" s="165"/>
      <c r="BV150" s="165"/>
      <c r="BW150" s="165"/>
      <c r="BX150" s="165"/>
      <c r="BY150" s="165"/>
      <c r="BZ150" s="165"/>
      <c r="CA150" s="165"/>
      <c r="CB150" s="165"/>
      <c r="CC150" s="165"/>
      <c r="CD150" s="165"/>
      <c r="CE150" s="165"/>
      <c r="CF150" s="165"/>
      <c r="CG150" s="165"/>
      <c r="CH150" s="165"/>
      <c r="CI150" s="170"/>
      <c r="CJ150" s="165"/>
      <c r="CK150" s="165"/>
      <c r="CL150" s="165"/>
      <c r="CM150" s="165"/>
      <c r="CN150" s="170"/>
      <c r="CO150" s="165"/>
      <c r="CP150" s="165"/>
      <c r="CQ150" s="165"/>
    </row>
    <row r="151" spans="2:95" ht="14.85" customHeight="1" x14ac:dyDescent="0.25">
      <c r="B151" s="156" t="str">
        <f>Table1[[#Headers],[Simulação]]</f>
        <v>Simulação</v>
      </c>
      <c r="C151" s="154" t="str">
        <f t="shared" si="113"/>
        <v>PROTECTION_INTRNL_SGMNT_CAT_MSTA</v>
      </c>
      <c r="D151" s="153" t="s">
        <v>1114</v>
      </c>
      <c r="E151" s="153" t="s">
        <v>943</v>
      </c>
      <c r="G151" s="172">
        <v>1.5</v>
      </c>
      <c r="H151" s="191">
        <f t="shared" si="114"/>
        <v>0.2</v>
      </c>
      <c r="I151" s="193">
        <f t="shared" si="115"/>
        <v>0</v>
      </c>
      <c r="J151" s="170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  <c r="AA151" s="165"/>
      <c r="AB151" s="165"/>
      <c r="AC151" s="165"/>
      <c r="AD151" s="165"/>
      <c r="AE151" s="165"/>
      <c r="AF151" s="165"/>
      <c r="AG151" s="165"/>
      <c r="AH151" s="165"/>
      <c r="AI151" s="165"/>
      <c r="AJ151" s="165"/>
      <c r="AK151" s="165"/>
      <c r="AL151" s="165"/>
      <c r="AM151" s="165"/>
      <c r="AN151" s="165"/>
      <c r="AO151" s="165"/>
      <c r="AP151" s="165"/>
      <c r="AQ151" s="165"/>
      <c r="AR151" s="165"/>
      <c r="AS151" s="165"/>
      <c r="AT151" s="165"/>
      <c r="AU151" s="165"/>
      <c r="AV151" s="165"/>
      <c r="AW151" s="165"/>
      <c r="AX151" s="165">
        <v>0.2</v>
      </c>
      <c r="AY151" s="165"/>
      <c r="AZ151" s="165"/>
      <c r="BA151" s="165"/>
      <c r="BB151" s="170"/>
      <c r="BC151" s="165"/>
      <c r="BD151" s="165"/>
      <c r="BE151" s="165"/>
      <c r="BF151" s="165"/>
      <c r="BG151" s="165"/>
      <c r="BH151" s="165"/>
      <c r="BI151" s="165"/>
      <c r="BJ151" s="165"/>
      <c r="BK151" s="165"/>
      <c r="BL151" s="165"/>
      <c r="BM151" s="165"/>
      <c r="BN151" s="165"/>
      <c r="BO151" s="165"/>
      <c r="BP151" s="165"/>
      <c r="BQ151" s="165"/>
      <c r="BR151" s="165"/>
      <c r="BS151" s="165"/>
      <c r="BT151" s="165"/>
      <c r="BU151" s="165"/>
      <c r="BV151" s="165"/>
      <c r="BW151" s="165"/>
      <c r="BX151" s="165"/>
      <c r="BY151" s="165"/>
      <c r="BZ151" s="165"/>
      <c r="CA151" s="165"/>
      <c r="CB151" s="165"/>
      <c r="CC151" s="165"/>
      <c r="CD151" s="165"/>
      <c r="CE151" s="165"/>
      <c r="CF151" s="165"/>
      <c r="CG151" s="165"/>
      <c r="CH151" s="165"/>
      <c r="CI151" s="170"/>
      <c r="CJ151" s="165"/>
      <c r="CK151" s="165"/>
      <c r="CL151" s="165"/>
      <c r="CM151" s="165"/>
      <c r="CN151" s="170"/>
      <c r="CO151" s="165"/>
      <c r="CP151" s="165"/>
      <c r="CQ151" s="165"/>
    </row>
    <row r="152" spans="2:95" ht="14.85" customHeight="1" x14ac:dyDescent="0.25">
      <c r="B152" s="156" t="str">
        <f>Table1[[#Headers],[Simulação]]</f>
        <v>Simulação</v>
      </c>
      <c r="C152" s="154" t="str">
        <f t="shared" si="113"/>
        <v>PROTECTION_INTRNL_SGMNT_CATGSUB</v>
      </c>
      <c r="D152" s="153" t="s">
        <v>1114</v>
      </c>
      <c r="E152" s="153" t="s">
        <v>946</v>
      </c>
      <c r="G152" s="172">
        <v>1.5</v>
      </c>
      <c r="H152" s="191">
        <f t="shared" si="114"/>
        <v>0.2</v>
      </c>
      <c r="I152" s="193">
        <f t="shared" si="115"/>
        <v>0</v>
      </c>
      <c r="J152" s="170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  <c r="AA152" s="165"/>
      <c r="AB152" s="165"/>
      <c r="AC152" s="165"/>
      <c r="AD152" s="165"/>
      <c r="AE152" s="165"/>
      <c r="AF152" s="165"/>
      <c r="AG152" s="165"/>
      <c r="AH152" s="165"/>
      <c r="AI152" s="165"/>
      <c r="AJ152" s="165"/>
      <c r="AK152" s="165"/>
      <c r="AL152" s="165"/>
      <c r="AM152" s="165"/>
      <c r="AN152" s="165"/>
      <c r="AO152" s="165"/>
      <c r="AP152" s="165"/>
      <c r="AQ152" s="165"/>
      <c r="AR152" s="165"/>
      <c r="AS152" s="165"/>
      <c r="AT152" s="165"/>
      <c r="AU152" s="165"/>
      <c r="AV152" s="165"/>
      <c r="AW152" s="165"/>
      <c r="AX152" s="165">
        <v>0.2</v>
      </c>
      <c r="AY152" s="165"/>
      <c r="AZ152" s="165"/>
      <c r="BA152" s="165"/>
      <c r="BB152" s="170"/>
      <c r="BC152" s="165"/>
      <c r="BD152" s="165"/>
      <c r="BE152" s="165"/>
      <c r="BF152" s="165"/>
      <c r="BG152" s="165"/>
      <c r="BH152" s="165"/>
      <c r="BI152" s="165"/>
      <c r="BJ152" s="165"/>
      <c r="BK152" s="165"/>
      <c r="BL152" s="165"/>
      <c r="BM152" s="165"/>
      <c r="BN152" s="165"/>
      <c r="BO152" s="165"/>
      <c r="BP152" s="165"/>
      <c r="BQ152" s="165"/>
      <c r="BR152" s="165"/>
      <c r="BS152" s="165"/>
      <c r="BT152" s="165"/>
      <c r="BU152" s="165"/>
      <c r="BV152" s="165"/>
      <c r="BW152" s="165"/>
      <c r="BX152" s="165"/>
      <c r="BY152" s="165"/>
      <c r="BZ152" s="165"/>
      <c r="CA152" s="165"/>
      <c r="CB152" s="165"/>
      <c r="CC152" s="165"/>
      <c r="CD152" s="165"/>
      <c r="CE152" s="165"/>
      <c r="CF152" s="165"/>
      <c r="CG152" s="165"/>
      <c r="CH152" s="165"/>
      <c r="CI152" s="170"/>
      <c r="CJ152" s="165"/>
      <c r="CK152" s="165"/>
      <c r="CL152" s="165"/>
      <c r="CM152" s="165"/>
      <c r="CN152" s="170"/>
      <c r="CO152" s="165"/>
      <c r="CP152" s="165"/>
      <c r="CQ152" s="165"/>
    </row>
    <row r="153" spans="2:95" ht="14.85" customHeight="1" x14ac:dyDescent="0.25">
      <c r="B153" s="156" t="str">
        <f>Table1[[#Headers],[Simulação]]</f>
        <v>Simulação</v>
      </c>
      <c r="C153" s="154" t="str">
        <f t="shared" si="113"/>
        <v>PROTECTION_RL_ESTT_ADDRSS</v>
      </c>
      <c r="D153" s="153" t="s">
        <v>1114</v>
      </c>
      <c r="E153" s="153" t="s">
        <v>1127</v>
      </c>
      <c r="G153" s="172">
        <f>INDEX(Table1[[Especificação]:[Total Testes]],MATCH(PlanoV1.0!C153,Table1[CONCAT],0),MATCH(PlanoV1.0!B153,Table1[[#Headers],[Especificação]:[Total Testes]],0))</f>
        <v>0</v>
      </c>
      <c r="H153" s="191">
        <f t="shared" si="114"/>
        <v>0</v>
      </c>
      <c r="I153" s="193">
        <f t="shared" si="115"/>
        <v>0.2</v>
      </c>
      <c r="J153" s="170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  <c r="AA153" s="165"/>
      <c r="AB153" s="165"/>
      <c r="AC153" s="165"/>
      <c r="AD153" s="165"/>
      <c r="AE153" s="165"/>
      <c r="AF153" s="165"/>
      <c r="AG153" s="165"/>
      <c r="AH153" s="165"/>
      <c r="AI153" s="165"/>
      <c r="AJ153" s="165"/>
      <c r="AK153" s="165"/>
      <c r="AL153" s="165"/>
      <c r="AM153" s="165"/>
      <c r="AN153" s="165"/>
      <c r="AO153" s="165"/>
      <c r="AP153" s="165"/>
      <c r="AQ153" s="165"/>
      <c r="AR153" s="165"/>
      <c r="AS153" s="165"/>
      <c r="AT153" s="165"/>
      <c r="AU153" s="165"/>
      <c r="AV153" s="165"/>
      <c r="AW153" s="165"/>
      <c r="AX153" s="165">
        <v>0.1</v>
      </c>
      <c r="AY153" s="165">
        <v>0.1</v>
      </c>
      <c r="AZ153" s="165"/>
      <c r="BA153" s="165"/>
      <c r="BB153" s="170"/>
      <c r="BC153" s="165"/>
      <c r="BD153" s="165"/>
      <c r="BE153" s="165"/>
      <c r="BF153" s="165"/>
      <c r="BG153" s="165"/>
      <c r="BH153" s="165"/>
      <c r="BI153" s="165"/>
      <c r="BJ153" s="165"/>
      <c r="BK153" s="165"/>
      <c r="BL153" s="165"/>
      <c r="BM153" s="165"/>
      <c r="BN153" s="165"/>
      <c r="BO153" s="165"/>
      <c r="BP153" s="165"/>
      <c r="BQ153" s="165"/>
      <c r="BR153" s="165"/>
      <c r="BS153" s="165"/>
      <c r="BT153" s="165"/>
      <c r="BU153" s="165"/>
      <c r="BV153" s="165"/>
      <c r="BW153" s="165"/>
      <c r="BX153" s="165"/>
      <c r="BY153" s="165"/>
      <c r="BZ153" s="165"/>
      <c r="CA153" s="165"/>
      <c r="CB153" s="165"/>
      <c r="CC153" s="165"/>
      <c r="CD153" s="165"/>
      <c r="CE153" s="165"/>
      <c r="CF153" s="165"/>
      <c r="CG153" s="165"/>
      <c r="CH153" s="165"/>
      <c r="CI153" s="170"/>
      <c r="CJ153" s="165"/>
      <c r="CK153" s="165"/>
      <c r="CL153" s="165"/>
      <c r="CM153" s="165"/>
      <c r="CN153" s="170"/>
      <c r="CO153" s="165"/>
      <c r="CP153" s="165"/>
      <c r="CQ153" s="165"/>
    </row>
    <row r="154" spans="2:95" ht="14.85" customHeight="1" x14ac:dyDescent="0.25">
      <c r="B154" s="156" t="str">
        <f>Table1[[#Headers],[Simulação]]</f>
        <v>Simulação</v>
      </c>
      <c r="C154" s="154" t="str">
        <f t="shared" si="113"/>
        <v>PROTECTION_RL_ESTT_CLLTRL_LCTN_INT</v>
      </c>
      <c r="D154" s="153" t="s">
        <v>1114</v>
      </c>
      <c r="E154" s="153" t="s">
        <v>1133</v>
      </c>
      <c r="G154" s="172">
        <f>INDEX(Table1[[Especificação]:[Total Testes]],MATCH(PlanoV1.0!C154,Table1[CONCAT],0),MATCH(PlanoV1.0!B154,Table1[[#Headers],[Especificação]:[Total Testes]],0))</f>
        <v>0</v>
      </c>
      <c r="H154" s="191">
        <f t="shared" si="114"/>
        <v>0</v>
      </c>
      <c r="I154" s="193">
        <f t="shared" si="115"/>
        <v>0.2</v>
      </c>
      <c r="J154" s="170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  <c r="AA154" s="165"/>
      <c r="AB154" s="165"/>
      <c r="AC154" s="165"/>
      <c r="AD154" s="165"/>
      <c r="AE154" s="165"/>
      <c r="AF154" s="165"/>
      <c r="AG154" s="165"/>
      <c r="AH154" s="165"/>
      <c r="AI154" s="165"/>
      <c r="AJ154" s="165"/>
      <c r="AK154" s="165"/>
      <c r="AL154" s="165"/>
      <c r="AM154" s="165"/>
      <c r="AN154" s="165"/>
      <c r="AO154" s="165"/>
      <c r="AP154" s="165"/>
      <c r="AQ154" s="165"/>
      <c r="AR154" s="165"/>
      <c r="AS154" s="165"/>
      <c r="AT154" s="165"/>
      <c r="AU154" s="165"/>
      <c r="AV154" s="165"/>
      <c r="AW154" s="165"/>
      <c r="AX154" s="165"/>
      <c r="AY154" s="165">
        <v>0.2</v>
      </c>
      <c r="AZ154" s="165"/>
      <c r="BA154" s="165"/>
      <c r="BB154" s="170"/>
      <c r="BC154" s="165"/>
      <c r="BD154" s="165"/>
      <c r="BE154" s="165"/>
      <c r="BF154" s="165"/>
      <c r="BG154" s="165"/>
      <c r="BH154" s="165"/>
      <c r="BI154" s="165"/>
      <c r="BJ154" s="165"/>
      <c r="BK154" s="165"/>
      <c r="BL154" s="165"/>
      <c r="BM154" s="165"/>
      <c r="BN154" s="165"/>
      <c r="BO154" s="165"/>
      <c r="BP154" s="165"/>
      <c r="BQ154" s="165"/>
      <c r="BR154" s="165"/>
      <c r="BS154" s="165"/>
      <c r="BT154" s="165"/>
      <c r="BU154" s="165"/>
      <c r="BV154" s="165"/>
      <c r="BW154" s="165"/>
      <c r="BX154" s="165"/>
      <c r="BY154" s="165"/>
      <c r="BZ154" s="165"/>
      <c r="CA154" s="165"/>
      <c r="CB154" s="165"/>
      <c r="CC154" s="165"/>
      <c r="CD154" s="165"/>
      <c r="CE154" s="165"/>
      <c r="CF154" s="165"/>
      <c r="CG154" s="165"/>
      <c r="CH154" s="165"/>
      <c r="CI154" s="170"/>
      <c r="CJ154" s="165"/>
      <c r="CK154" s="165"/>
      <c r="CL154" s="165"/>
      <c r="CM154" s="165"/>
      <c r="CN154" s="170"/>
      <c r="CO154" s="165"/>
      <c r="CP154" s="165"/>
      <c r="CQ154" s="165"/>
    </row>
    <row r="155" spans="2:95" ht="14.85" customHeight="1" x14ac:dyDescent="0.25">
      <c r="B155" s="156" t="str">
        <f>Table1[[#Headers],[Simulação]]</f>
        <v>Simulação</v>
      </c>
      <c r="C155" s="154" t="str">
        <f t="shared" si="113"/>
        <v>PROTECTION_RL_ESTT_CTY</v>
      </c>
      <c r="D155" s="153" t="s">
        <v>1114</v>
      </c>
      <c r="E155" s="153" t="s">
        <v>1136</v>
      </c>
      <c r="G155" s="172">
        <f>INDEX(Table1[[Especificação]:[Total Testes]],MATCH(PlanoV1.0!C155,Table1[CONCAT],0),MATCH(PlanoV1.0!B155,Table1[[#Headers],[Especificação]:[Total Testes]],0))</f>
        <v>0</v>
      </c>
      <c r="H155" s="191">
        <f t="shared" si="114"/>
        <v>0</v>
      </c>
      <c r="I155" s="193">
        <f t="shared" si="115"/>
        <v>0.2</v>
      </c>
      <c r="J155" s="170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  <c r="AA155" s="165"/>
      <c r="AB155" s="165"/>
      <c r="AC155" s="165"/>
      <c r="AD155" s="165"/>
      <c r="AE155" s="165"/>
      <c r="AF155" s="165"/>
      <c r="AG155" s="165"/>
      <c r="AH155" s="165"/>
      <c r="AI155" s="165"/>
      <c r="AJ155" s="165"/>
      <c r="AK155" s="165"/>
      <c r="AL155" s="165"/>
      <c r="AM155" s="165"/>
      <c r="AN155" s="165"/>
      <c r="AO155" s="165"/>
      <c r="AP155" s="165"/>
      <c r="AQ155" s="165"/>
      <c r="AR155" s="165"/>
      <c r="AS155" s="165"/>
      <c r="AT155" s="165"/>
      <c r="AU155" s="165"/>
      <c r="AV155" s="165"/>
      <c r="AW155" s="165"/>
      <c r="AX155" s="165"/>
      <c r="AY155" s="165">
        <v>0.2</v>
      </c>
      <c r="AZ155" s="165"/>
      <c r="BA155" s="165"/>
      <c r="BB155" s="170"/>
      <c r="BC155" s="165"/>
      <c r="BD155" s="165"/>
      <c r="BE155" s="165"/>
      <c r="BF155" s="165"/>
      <c r="BG155" s="165"/>
      <c r="BH155" s="165"/>
      <c r="BI155" s="165"/>
      <c r="BJ155" s="165"/>
      <c r="BK155" s="165"/>
      <c r="BL155" s="165"/>
      <c r="BM155" s="165"/>
      <c r="BN155" s="165"/>
      <c r="BO155" s="165"/>
      <c r="BP155" s="165"/>
      <c r="BQ155" s="165"/>
      <c r="BR155" s="165"/>
      <c r="BS155" s="165"/>
      <c r="BT155" s="165"/>
      <c r="BU155" s="165"/>
      <c r="BV155" s="165"/>
      <c r="BW155" s="165"/>
      <c r="BX155" s="165"/>
      <c r="BY155" s="165"/>
      <c r="BZ155" s="165"/>
      <c r="CA155" s="165"/>
      <c r="CB155" s="165"/>
      <c r="CC155" s="165"/>
      <c r="CD155" s="165"/>
      <c r="CE155" s="165"/>
      <c r="CF155" s="165"/>
      <c r="CG155" s="165"/>
      <c r="CH155" s="165"/>
      <c r="CI155" s="170"/>
      <c r="CJ155" s="165"/>
      <c r="CK155" s="165"/>
      <c r="CL155" s="165"/>
      <c r="CM155" s="165"/>
      <c r="CN155" s="170"/>
      <c r="CO155" s="165"/>
      <c r="CP155" s="165"/>
      <c r="CQ155" s="165"/>
    </row>
    <row r="156" spans="2:95" ht="13.8" x14ac:dyDescent="0.25">
      <c r="B156" s="156"/>
      <c r="C156" s="207" t="s">
        <v>1723</v>
      </c>
      <c r="D156" s="178"/>
      <c r="E156" s="179"/>
      <c r="F156" s="205">
        <f>COUNTA(E157:E224)</f>
        <v>68</v>
      </c>
      <c r="G156" s="205">
        <f>SUM(G157:G206)</f>
        <v>114</v>
      </c>
      <c r="H156" s="208">
        <f>ROUND(SUM(H157:H206),0)</f>
        <v>17</v>
      </c>
      <c r="I156" s="210"/>
      <c r="J156" s="170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  <c r="AA156" s="165"/>
      <c r="AB156" s="165"/>
      <c r="AC156" s="165"/>
      <c r="AD156" s="165"/>
      <c r="AE156" s="165"/>
      <c r="AF156" s="165"/>
      <c r="AG156" s="165"/>
      <c r="AH156" s="165"/>
      <c r="AI156" s="165"/>
      <c r="AJ156" s="165"/>
      <c r="AK156" s="165"/>
      <c r="AL156" s="165"/>
      <c r="AM156" s="165"/>
      <c r="AN156" s="165"/>
      <c r="AO156" s="165"/>
      <c r="AP156" s="165"/>
      <c r="AQ156" s="165"/>
      <c r="AR156" s="165"/>
      <c r="AS156" s="165"/>
      <c r="AT156" s="165"/>
      <c r="AU156" s="165"/>
      <c r="AV156" s="165"/>
      <c r="AW156" s="165"/>
      <c r="AX156" s="165"/>
      <c r="AY156" s="194"/>
      <c r="AZ156" s="194"/>
      <c r="BA156" s="194"/>
      <c r="BB156" s="170"/>
      <c r="BC156" s="194"/>
      <c r="BD156" s="194"/>
      <c r="BE156" s="194"/>
      <c r="BF156" s="194"/>
      <c r="BG156" s="194"/>
      <c r="BH156" s="194"/>
      <c r="BI156" s="194"/>
      <c r="BJ156" s="194"/>
      <c r="BK156" s="194"/>
      <c r="BL156" s="194"/>
      <c r="BM156" s="194"/>
      <c r="BN156" s="194"/>
      <c r="BO156" s="194"/>
      <c r="BP156" s="194"/>
      <c r="BQ156" s="194"/>
      <c r="BR156" s="194"/>
      <c r="BS156" s="194"/>
      <c r="BT156" s="194"/>
      <c r="BU156" s="194"/>
      <c r="BV156" s="165"/>
      <c r="BW156" s="165"/>
      <c r="BX156" s="165"/>
      <c r="BY156" s="165"/>
      <c r="BZ156" s="165"/>
      <c r="CA156" s="165"/>
      <c r="CB156" s="165"/>
      <c r="CC156" s="165"/>
      <c r="CD156" s="165"/>
      <c r="CE156" s="165"/>
      <c r="CF156" s="165"/>
      <c r="CG156" s="165"/>
      <c r="CH156" s="165"/>
      <c r="CI156" s="170"/>
      <c r="CJ156" s="165"/>
      <c r="CK156" s="165"/>
      <c r="CL156" s="165"/>
      <c r="CM156" s="165"/>
      <c r="CN156" s="170"/>
      <c r="CO156" s="165"/>
      <c r="CP156" s="165"/>
      <c r="CQ156" s="165"/>
    </row>
    <row r="157" spans="2:95" ht="13.8" x14ac:dyDescent="0.25">
      <c r="B157" s="156" t="str">
        <f>Table1[[#Headers],[Total Testes]]</f>
        <v>Total Testes</v>
      </c>
      <c r="C157" s="154" t="str">
        <f t="shared" ref="C157" si="116">D157&amp;"_"&amp;E157</f>
        <v>ENTITY_TXNMY_ELGBL_CAPEX_W</v>
      </c>
      <c r="D157" s="153" t="s">
        <v>10</v>
      </c>
      <c r="E157" s="153" t="s">
        <v>1402</v>
      </c>
      <c r="G157" s="172">
        <f>INDEX(Table1[[Especificação]:[Total Testes]],MATCH(PlanoV1.0!C157,Table1[CONCAT],0),MATCH(PlanoV1.0!B157,Table1[[#Headers],[Especificação]:[Total Testes]],0))</f>
        <v>7.5</v>
      </c>
      <c r="H157" s="191">
        <f t="shared" si="111"/>
        <v>1</v>
      </c>
      <c r="I157" s="193">
        <f t="shared" si="112"/>
        <v>0</v>
      </c>
      <c r="J157" s="170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  <c r="AA157" s="165"/>
      <c r="AB157" s="165"/>
      <c r="AC157" s="165"/>
      <c r="AD157" s="165"/>
      <c r="AE157" s="165"/>
      <c r="AF157" s="165"/>
      <c r="AG157" s="165"/>
      <c r="AH157" s="165"/>
      <c r="AI157" s="165"/>
      <c r="AJ157" s="165"/>
      <c r="AK157" s="165"/>
      <c r="AL157" s="165"/>
      <c r="AM157" s="165"/>
      <c r="AN157" s="165"/>
      <c r="AO157" s="165"/>
      <c r="AP157" s="165"/>
      <c r="AQ157" s="165"/>
      <c r="AR157" s="165"/>
      <c r="AS157" s="165"/>
      <c r="AT157" s="165"/>
      <c r="AU157" s="165"/>
      <c r="AV157" s="165"/>
      <c r="AW157" s="165"/>
      <c r="AX157" s="165"/>
      <c r="AY157" s="165">
        <v>1</v>
      </c>
      <c r="AZ157" s="165"/>
      <c r="BA157" s="165"/>
      <c r="BB157" s="170"/>
      <c r="BC157" s="165"/>
      <c r="BD157" s="165"/>
      <c r="BE157" s="165"/>
      <c r="BF157" s="165"/>
      <c r="BG157" s="165"/>
      <c r="BH157" s="165"/>
      <c r="BI157" s="165"/>
      <c r="BJ157" s="165"/>
      <c r="BK157" s="165"/>
      <c r="BL157" s="165"/>
      <c r="BM157" s="165"/>
      <c r="BN157" s="165"/>
      <c r="BO157" s="165"/>
      <c r="BP157" s="165"/>
      <c r="BQ157" s="165"/>
      <c r="BR157" s="165"/>
      <c r="BS157" s="165"/>
      <c r="BT157" s="165"/>
      <c r="BU157" s="165"/>
      <c r="BV157" s="165"/>
      <c r="BW157" s="165"/>
      <c r="BX157" s="165"/>
      <c r="BY157" s="165"/>
      <c r="BZ157" s="165"/>
      <c r="CA157" s="165"/>
      <c r="CB157" s="165"/>
      <c r="CC157" s="165"/>
      <c r="CD157" s="165"/>
      <c r="CE157" s="165"/>
      <c r="CF157" s="165"/>
      <c r="CG157" s="165"/>
      <c r="CH157" s="165"/>
      <c r="CI157" s="170"/>
      <c r="CJ157" s="165"/>
      <c r="CK157" s="165"/>
      <c r="CL157" s="165"/>
      <c r="CM157" s="165"/>
      <c r="CN157" s="170"/>
      <c r="CO157" s="165"/>
      <c r="CP157" s="165"/>
      <c r="CQ157" s="165"/>
    </row>
    <row r="158" spans="2:95" ht="13.8" x14ac:dyDescent="0.25">
      <c r="B158" s="156" t="str">
        <f>Table1[[#Headers],[Total Testes]]</f>
        <v>Total Testes</v>
      </c>
      <c r="C158" s="154" t="str">
        <f t="shared" ref="C158:C206" si="117">D158&amp;"_"&amp;E158</f>
        <v>ENTITY_TXNMY_ELGBL_TRNVR_W</v>
      </c>
      <c r="D158" s="153" t="s">
        <v>10</v>
      </c>
      <c r="E158" s="153" t="s">
        <v>1405</v>
      </c>
      <c r="G158" s="172">
        <f>INDEX(Table1[[Especificação]:[Total Testes]],MATCH(PlanoV1.0!C158,Table1[CONCAT],0),MATCH(PlanoV1.0!B158,Table1[[#Headers],[Especificação]:[Total Testes]],0))</f>
        <v>7.5</v>
      </c>
      <c r="H158" s="191">
        <f t="shared" si="111"/>
        <v>1</v>
      </c>
      <c r="I158" s="193">
        <f t="shared" si="112"/>
        <v>-0.4</v>
      </c>
      <c r="J158" s="170"/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5"/>
      <c r="AJ158" s="165"/>
      <c r="AK158" s="165"/>
      <c r="AL158" s="165"/>
      <c r="AM158" s="165"/>
      <c r="AN158" s="165"/>
      <c r="AO158" s="165"/>
      <c r="AP158" s="165"/>
      <c r="AQ158" s="165"/>
      <c r="AR158" s="165"/>
      <c r="AS158" s="165"/>
      <c r="AT158" s="165"/>
      <c r="AU158" s="165"/>
      <c r="AV158" s="165"/>
      <c r="AW158" s="165"/>
      <c r="AX158" s="165"/>
      <c r="AY158" s="165">
        <v>0.5</v>
      </c>
      <c r="AZ158" s="165">
        <v>0.1</v>
      </c>
      <c r="BA158" s="165"/>
      <c r="BB158" s="170"/>
      <c r="BC158" s="165"/>
      <c r="BD158" s="165"/>
      <c r="BE158" s="165"/>
      <c r="BF158" s="165"/>
      <c r="BG158" s="165"/>
      <c r="BH158" s="165"/>
      <c r="BI158" s="165"/>
      <c r="BJ158" s="165"/>
      <c r="BK158" s="165"/>
      <c r="BL158" s="165"/>
      <c r="BM158" s="165"/>
      <c r="BN158" s="165"/>
      <c r="BO158" s="165"/>
      <c r="BP158" s="165"/>
      <c r="BQ158" s="165"/>
      <c r="BR158" s="165"/>
      <c r="BS158" s="165"/>
      <c r="BT158" s="165"/>
      <c r="BU158" s="165"/>
      <c r="BV158" s="165"/>
      <c r="BW158" s="165"/>
      <c r="BX158" s="165"/>
      <c r="BY158" s="165"/>
      <c r="BZ158" s="165"/>
      <c r="CA158" s="165"/>
      <c r="CB158" s="165"/>
      <c r="CC158" s="165"/>
      <c r="CD158" s="165"/>
      <c r="CE158" s="165"/>
      <c r="CF158" s="165"/>
      <c r="CG158" s="165"/>
      <c r="CH158" s="165"/>
      <c r="CI158" s="170"/>
      <c r="CJ158" s="165"/>
      <c r="CK158" s="165"/>
      <c r="CL158" s="165"/>
      <c r="CM158" s="165"/>
      <c r="CN158" s="170"/>
      <c r="CO158" s="165"/>
      <c r="CP158" s="165"/>
      <c r="CQ158" s="165"/>
    </row>
    <row r="159" spans="2:95" ht="13.8" x14ac:dyDescent="0.25">
      <c r="B159" s="156" t="str">
        <f>Table1[[#Headers],[Total Testes]]</f>
        <v>Total Testes</v>
      </c>
      <c r="C159" s="154" t="str">
        <f t="shared" si="117"/>
        <v>ENTITY_TXNMY_ELGBL_CAPEX_P</v>
      </c>
      <c r="D159" s="153" t="s">
        <v>10</v>
      </c>
      <c r="E159" s="153" t="s">
        <v>1408</v>
      </c>
      <c r="G159" s="172">
        <f>INDEX(Table1[[Especificação]:[Total Testes]],MATCH(PlanoV1.0!C159,Table1[CONCAT],0),MATCH(PlanoV1.0!B159,Table1[[#Headers],[Especificação]:[Total Testes]],0))</f>
        <v>2.5</v>
      </c>
      <c r="H159" s="191">
        <f t="shared" si="111"/>
        <v>0.4</v>
      </c>
      <c r="I159" s="193">
        <f t="shared" si="112"/>
        <v>0</v>
      </c>
      <c r="J159" s="170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5"/>
      <c r="AJ159" s="165"/>
      <c r="AK159" s="165"/>
      <c r="AL159" s="165"/>
      <c r="AM159" s="165"/>
      <c r="AN159" s="165"/>
      <c r="AO159" s="165"/>
      <c r="AP159" s="165"/>
      <c r="AQ159" s="165"/>
      <c r="AR159" s="165"/>
      <c r="AS159" s="165"/>
      <c r="AT159" s="165"/>
      <c r="AU159" s="165"/>
      <c r="AV159" s="165"/>
      <c r="AW159" s="165"/>
      <c r="AX159" s="165"/>
      <c r="AY159" s="165"/>
      <c r="AZ159" s="165">
        <v>0.4</v>
      </c>
      <c r="BA159" s="165"/>
      <c r="BB159" s="170"/>
      <c r="BC159" s="165"/>
      <c r="BD159" s="165"/>
      <c r="BE159" s="165"/>
      <c r="BF159" s="165"/>
      <c r="BG159" s="165"/>
      <c r="BH159" s="165"/>
      <c r="BI159" s="165"/>
      <c r="BJ159" s="165"/>
      <c r="BK159" s="165"/>
      <c r="BL159" s="165"/>
      <c r="BM159" s="165"/>
      <c r="BN159" s="165"/>
      <c r="BO159" s="165"/>
      <c r="BP159" s="165"/>
      <c r="BQ159" s="165"/>
      <c r="BR159" s="165"/>
      <c r="BS159" s="165"/>
      <c r="BT159" s="165"/>
      <c r="BU159" s="165"/>
      <c r="BV159" s="165"/>
      <c r="BW159" s="165"/>
      <c r="BX159" s="165"/>
      <c r="BY159" s="165"/>
      <c r="BZ159" s="165"/>
      <c r="CA159" s="165"/>
      <c r="CB159" s="165"/>
      <c r="CC159" s="165"/>
      <c r="CD159" s="165"/>
      <c r="CE159" s="165"/>
      <c r="CF159" s="165"/>
      <c r="CG159" s="165"/>
      <c r="CH159" s="165"/>
      <c r="CI159" s="170"/>
      <c r="CJ159" s="165"/>
      <c r="CK159" s="165"/>
      <c r="CL159" s="165"/>
      <c r="CM159" s="165"/>
      <c r="CN159" s="170"/>
      <c r="CO159" s="165"/>
      <c r="CP159" s="165"/>
      <c r="CQ159" s="165"/>
    </row>
    <row r="160" spans="2:95" ht="13.8" x14ac:dyDescent="0.25">
      <c r="B160" s="156" t="str">
        <f>Table1[[#Headers],[Total Testes]]</f>
        <v>Total Testes</v>
      </c>
      <c r="C160" s="154" t="str">
        <f t="shared" si="117"/>
        <v>ENTITY_TXNMY_ELGBL_TRNVR_P</v>
      </c>
      <c r="D160" s="153" t="s">
        <v>10</v>
      </c>
      <c r="E160" s="153" t="s">
        <v>1411</v>
      </c>
      <c r="G160" s="172">
        <f>INDEX(Table1[[Especificação]:[Total Testes]],MATCH(PlanoV1.0!C160,Table1[CONCAT],0),MATCH(PlanoV1.0!B160,Table1[[#Headers],[Especificação]:[Total Testes]],0))</f>
        <v>2.5</v>
      </c>
      <c r="H160" s="191">
        <f t="shared" si="111"/>
        <v>0.4</v>
      </c>
      <c r="I160" s="193">
        <f t="shared" si="112"/>
        <v>0</v>
      </c>
      <c r="J160" s="170"/>
      <c r="K160" s="165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  <c r="AA160" s="165"/>
      <c r="AB160" s="165"/>
      <c r="AC160" s="165"/>
      <c r="AD160" s="165"/>
      <c r="AE160" s="165"/>
      <c r="AF160" s="165"/>
      <c r="AG160" s="165"/>
      <c r="AH160" s="165"/>
      <c r="AI160" s="165"/>
      <c r="AJ160" s="165"/>
      <c r="AK160" s="165"/>
      <c r="AL160" s="165"/>
      <c r="AM160" s="165"/>
      <c r="AN160" s="165"/>
      <c r="AO160" s="165"/>
      <c r="AP160" s="165"/>
      <c r="AQ160" s="165"/>
      <c r="AR160" s="165"/>
      <c r="AS160" s="165"/>
      <c r="AT160" s="165"/>
      <c r="AU160" s="165"/>
      <c r="AV160" s="165"/>
      <c r="AW160" s="165"/>
      <c r="AX160" s="165"/>
      <c r="AY160" s="165"/>
      <c r="AZ160" s="165">
        <v>0.4</v>
      </c>
      <c r="BA160" s="165"/>
      <c r="BB160" s="170"/>
      <c r="BC160" s="165"/>
      <c r="BD160" s="165"/>
      <c r="BE160" s="165"/>
      <c r="BF160" s="165"/>
      <c r="BG160" s="165"/>
      <c r="BH160" s="165"/>
      <c r="BI160" s="165"/>
      <c r="BJ160" s="165"/>
      <c r="BK160" s="165"/>
      <c r="BL160" s="165"/>
      <c r="BM160" s="165"/>
      <c r="BN160" s="165"/>
      <c r="BO160" s="165"/>
      <c r="BP160" s="165"/>
      <c r="BQ160" s="165"/>
      <c r="BR160" s="165"/>
      <c r="BS160" s="165"/>
      <c r="BT160" s="165"/>
      <c r="BU160" s="165"/>
      <c r="BV160" s="165"/>
      <c r="BW160" s="165"/>
      <c r="BX160" s="165"/>
      <c r="BY160" s="165"/>
      <c r="BZ160" s="165"/>
      <c r="CA160" s="165"/>
      <c r="CB160" s="165"/>
      <c r="CC160" s="165"/>
      <c r="CD160" s="165"/>
      <c r="CE160" s="165"/>
      <c r="CF160" s="165"/>
      <c r="CG160" s="165"/>
      <c r="CH160" s="165"/>
      <c r="CI160" s="170"/>
      <c r="CJ160" s="165"/>
      <c r="CK160" s="165"/>
      <c r="CL160" s="165"/>
      <c r="CM160" s="165"/>
      <c r="CN160" s="170"/>
      <c r="CO160" s="165"/>
      <c r="CP160" s="165"/>
      <c r="CQ160" s="165"/>
    </row>
    <row r="161" spans="2:95" ht="13.8" x14ac:dyDescent="0.25">
      <c r="B161" s="156" t="str">
        <f>Table1[[#Headers],[Total Testes]]</f>
        <v>Total Testes</v>
      </c>
      <c r="C161" s="154" t="str">
        <f t="shared" si="117"/>
        <v>ENTITY_TXNMY_ELGBL_CAPEX_B</v>
      </c>
      <c r="D161" s="153" t="s">
        <v>10</v>
      </c>
      <c r="E161" s="153" t="s">
        <v>1414</v>
      </c>
      <c r="G161" s="172">
        <f>INDEX(Table1[[Especificação]:[Total Testes]],MATCH(PlanoV1.0!C161,Table1[CONCAT],0),MATCH(PlanoV1.0!B161,Table1[[#Headers],[Especificação]:[Total Testes]],0))</f>
        <v>2.5</v>
      </c>
      <c r="H161" s="191">
        <f t="shared" si="111"/>
        <v>0.4</v>
      </c>
      <c r="I161" s="193">
        <f t="shared" si="112"/>
        <v>0</v>
      </c>
      <c r="J161" s="170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  <c r="AA161" s="165"/>
      <c r="AB161" s="165"/>
      <c r="AC161" s="165"/>
      <c r="AD161" s="165"/>
      <c r="AE161" s="165"/>
      <c r="AF161" s="165"/>
      <c r="AG161" s="165"/>
      <c r="AH161" s="165"/>
      <c r="AI161" s="165"/>
      <c r="AJ161" s="165"/>
      <c r="AK161" s="165"/>
      <c r="AL161" s="165"/>
      <c r="AM161" s="165"/>
      <c r="AN161" s="165"/>
      <c r="AO161" s="165"/>
      <c r="AP161" s="165"/>
      <c r="AQ161" s="165"/>
      <c r="AR161" s="165"/>
      <c r="AS161" s="165"/>
      <c r="AT161" s="165"/>
      <c r="AU161" s="165"/>
      <c r="AV161" s="165"/>
      <c r="AW161" s="165"/>
      <c r="AX161" s="165"/>
      <c r="AY161" s="165"/>
      <c r="AZ161" s="165">
        <v>0.4</v>
      </c>
      <c r="BA161" s="165"/>
      <c r="BB161" s="170"/>
      <c r="BC161" s="165"/>
      <c r="BD161" s="165"/>
      <c r="BE161" s="165"/>
      <c r="BF161" s="165"/>
      <c r="BG161" s="165"/>
      <c r="BH161" s="165"/>
      <c r="BI161" s="165"/>
      <c r="BJ161" s="165"/>
      <c r="BK161" s="165"/>
      <c r="BL161" s="165"/>
      <c r="BM161" s="165"/>
      <c r="BN161" s="165"/>
      <c r="BO161" s="165"/>
      <c r="BP161" s="165"/>
      <c r="BQ161" s="165"/>
      <c r="BR161" s="165"/>
      <c r="BS161" s="165"/>
      <c r="BT161" s="165"/>
      <c r="BU161" s="165"/>
      <c r="BV161" s="165"/>
      <c r="BW161" s="165"/>
      <c r="BX161" s="165"/>
      <c r="BY161" s="165"/>
      <c r="BZ161" s="165"/>
      <c r="CA161" s="165"/>
      <c r="CB161" s="165"/>
      <c r="CC161" s="165"/>
      <c r="CD161" s="165"/>
      <c r="CE161" s="165"/>
      <c r="CF161" s="165"/>
      <c r="CG161" s="165"/>
      <c r="CH161" s="165"/>
      <c r="CI161" s="170"/>
      <c r="CJ161" s="165"/>
      <c r="CK161" s="165"/>
      <c r="CL161" s="165"/>
      <c r="CM161" s="165"/>
      <c r="CN161" s="170"/>
      <c r="CO161" s="165"/>
      <c r="CP161" s="165"/>
      <c r="CQ161" s="165"/>
    </row>
    <row r="162" spans="2:95" ht="13.8" x14ac:dyDescent="0.25">
      <c r="B162" s="156" t="str">
        <f>Table1[[#Headers],[Total Testes]]</f>
        <v>Total Testes</v>
      </c>
      <c r="C162" s="154" t="str">
        <f t="shared" si="117"/>
        <v>ENTITY_TXNMY_ELGBL_TRNVR_B</v>
      </c>
      <c r="D162" s="153" t="s">
        <v>10</v>
      </c>
      <c r="E162" s="153" t="s">
        <v>1417</v>
      </c>
      <c r="G162" s="172">
        <f>INDEX(Table1[[Especificação]:[Total Testes]],MATCH(PlanoV1.0!C162,Table1[CONCAT],0),MATCH(PlanoV1.0!B162,Table1[[#Headers],[Especificação]:[Total Testes]],0))</f>
        <v>2.5</v>
      </c>
      <c r="H162" s="191">
        <f t="shared" si="111"/>
        <v>0.4</v>
      </c>
      <c r="I162" s="193">
        <f t="shared" si="112"/>
        <v>0</v>
      </c>
      <c r="J162" s="170"/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  <c r="AD162" s="165"/>
      <c r="AE162" s="165"/>
      <c r="AF162" s="165"/>
      <c r="AG162" s="165"/>
      <c r="AH162" s="165"/>
      <c r="AI162" s="165"/>
      <c r="AJ162" s="165"/>
      <c r="AK162" s="165"/>
      <c r="AL162" s="165"/>
      <c r="AM162" s="165"/>
      <c r="AN162" s="165"/>
      <c r="AO162" s="165"/>
      <c r="AP162" s="165"/>
      <c r="AQ162" s="165"/>
      <c r="AR162" s="165"/>
      <c r="AS162" s="165"/>
      <c r="AT162" s="165"/>
      <c r="AU162" s="165"/>
      <c r="AV162" s="165"/>
      <c r="AW162" s="165"/>
      <c r="AX162" s="165"/>
      <c r="AY162" s="165"/>
      <c r="AZ162" s="165">
        <v>0.4</v>
      </c>
      <c r="BA162" s="165"/>
      <c r="BB162" s="170"/>
      <c r="BC162" s="165"/>
      <c r="BD162" s="165"/>
      <c r="BE162" s="165"/>
      <c r="BF162" s="165"/>
      <c r="BG162" s="165"/>
      <c r="BH162" s="165"/>
      <c r="BI162" s="165"/>
      <c r="BJ162" s="165"/>
      <c r="BK162" s="165"/>
      <c r="BL162" s="165"/>
      <c r="BM162" s="165"/>
      <c r="BN162" s="165"/>
      <c r="BO162" s="165"/>
      <c r="BP162" s="165"/>
      <c r="BQ162" s="165"/>
      <c r="BR162" s="165"/>
      <c r="BS162" s="165"/>
      <c r="BT162" s="165"/>
      <c r="BU162" s="165"/>
      <c r="BV162" s="165"/>
      <c r="BW162" s="165"/>
      <c r="BX162" s="165"/>
      <c r="BY162" s="165"/>
      <c r="BZ162" s="165"/>
      <c r="CA162" s="165"/>
      <c r="CB162" s="165"/>
      <c r="CC162" s="165"/>
      <c r="CD162" s="165"/>
      <c r="CE162" s="165"/>
      <c r="CF162" s="165"/>
      <c r="CG162" s="165"/>
      <c r="CH162" s="165"/>
      <c r="CI162" s="170"/>
      <c r="CJ162" s="165"/>
      <c r="CK162" s="165"/>
      <c r="CL162" s="165"/>
      <c r="CM162" s="165"/>
      <c r="CN162" s="170"/>
      <c r="CO162" s="165"/>
      <c r="CP162" s="165"/>
      <c r="CQ162" s="165"/>
    </row>
    <row r="163" spans="2:95" ht="13.8" x14ac:dyDescent="0.25">
      <c r="B163" s="156" t="str">
        <f>Table1[[#Headers],[Total Testes]]</f>
        <v>Total Testes</v>
      </c>
      <c r="C163" s="154" t="str">
        <f t="shared" si="117"/>
        <v>ENTITY_TXNMY_ELGBL_CAPEX_CE</v>
      </c>
      <c r="D163" s="153" t="s">
        <v>10</v>
      </c>
      <c r="E163" s="153" t="s">
        <v>1420</v>
      </c>
      <c r="G163" s="172">
        <f>INDEX(Table1[[Especificação]:[Total Testes]],MATCH(PlanoV1.0!C163,Table1[CONCAT],0),MATCH(PlanoV1.0!B163,Table1[[#Headers],[Especificação]:[Total Testes]],0))</f>
        <v>2.5</v>
      </c>
      <c r="H163" s="191">
        <f t="shared" si="111"/>
        <v>0.4</v>
      </c>
      <c r="I163" s="193">
        <f t="shared" si="112"/>
        <v>0</v>
      </c>
      <c r="J163" s="170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  <c r="AA163" s="165"/>
      <c r="AB163" s="165"/>
      <c r="AC163" s="165"/>
      <c r="AD163" s="165"/>
      <c r="AE163" s="165"/>
      <c r="AF163" s="165"/>
      <c r="AG163" s="165"/>
      <c r="AH163" s="165"/>
      <c r="AI163" s="165"/>
      <c r="AJ163" s="165"/>
      <c r="AK163" s="165"/>
      <c r="AL163" s="165"/>
      <c r="AM163" s="165"/>
      <c r="AN163" s="165"/>
      <c r="AO163" s="165"/>
      <c r="AP163" s="165"/>
      <c r="AQ163" s="165"/>
      <c r="AR163" s="165"/>
      <c r="AS163" s="165"/>
      <c r="AT163" s="165"/>
      <c r="AU163" s="165"/>
      <c r="AV163" s="165"/>
      <c r="AW163" s="165"/>
      <c r="AX163" s="165"/>
      <c r="AY163" s="165"/>
      <c r="AZ163" s="165">
        <v>0.3</v>
      </c>
      <c r="BA163" s="165">
        <v>0.1</v>
      </c>
      <c r="BB163" s="170"/>
      <c r="BC163" s="165"/>
      <c r="BD163" s="165"/>
      <c r="BE163" s="165"/>
      <c r="BF163" s="165"/>
      <c r="BG163" s="165"/>
      <c r="BH163" s="165"/>
      <c r="BI163" s="165"/>
      <c r="BJ163" s="165"/>
      <c r="BK163" s="165"/>
      <c r="BL163" s="165"/>
      <c r="BM163" s="165"/>
      <c r="BN163" s="165"/>
      <c r="BO163" s="165"/>
      <c r="BP163" s="165"/>
      <c r="BQ163" s="165"/>
      <c r="BR163" s="165"/>
      <c r="BS163" s="165"/>
      <c r="BT163" s="165"/>
      <c r="BU163" s="165"/>
      <c r="BV163" s="165"/>
      <c r="BW163" s="165"/>
      <c r="BX163" s="165"/>
      <c r="BY163" s="165"/>
      <c r="BZ163" s="165"/>
      <c r="CA163" s="165"/>
      <c r="CB163" s="165"/>
      <c r="CC163" s="165"/>
      <c r="CD163" s="165"/>
      <c r="CE163" s="165"/>
      <c r="CF163" s="165"/>
      <c r="CG163" s="165"/>
      <c r="CH163" s="165"/>
      <c r="CI163" s="170"/>
      <c r="CJ163" s="165"/>
      <c r="CK163" s="165"/>
      <c r="CL163" s="165"/>
      <c r="CM163" s="165"/>
      <c r="CN163" s="170"/>
      <c r="CO163" s="165"/>
      <c r="CP163" s="165"/>
      <c r="CQ163" s="165"/>
    </row>
    <row r="164" spans="2:95" ht="13.8" x14ac:dyDescent="0.25">
      <c r="B164" s="156" t="str">
        <f>Table1[[#Headers],[Total Testes]]</f>
        <v>Total Testes</v>
      </c>
      <c r="C164" s="154" t="str">
        <f t="shared" si="117"/>
        <v>ENTITY_TXNMY_ELGBL_TRNVR_CE</v>
      </c>
      <c r="D164" s="153" t="s">
        <v>10</v>
      </c>
      <c r="E164" s="155" t="s">
        <v>1423</v>
      </c>
      <c r="G164" s="172">
        <f>INDEX(Table1[[Especificação]:[Total Testes]],MATCH(PlanoV1.0!C164,Table1[CONCAT],0),MATCH(PlanoV1.0!B164,Table1[[#Headers],[Especificação]:[Total Testes]],0))</f>
        <v>2.5</v>
      </c>
      <c r="H164" s="191">
        <f t="shared" si="111"/>
        <v>0.4</v>
      </c>
      <c r="I164" s="193">
        <f t="shared" si="112"/>
        <v>0</v>
      </c>
      <c r="J164" s="170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  <c r="AA164" s="165"/>
      <c r="AB164" s="165"/>
      <c r="AC164" s="165"/>
      <c r="AD164" s="165"/>
      <c r="AE164" s="165"/>
      <c r="AF164" s="165"/>
      <c r="AG164" s="165"/>
      <c r="AH164" s="165"/>
      <c r="AI164" s="165"/>
      <c r="AJ164" s="165"/>
      <c r="AK164" s="165"/>
      <c r="AL164" s="165"/>
      <c r="AM164" s="165"/>
      <c r="AN164" s="165"/>
      <c r="AO164" s="165"/>
      <c r="AP164" s="165"/>
      <c r="AQ164" s="165"/>
      <c r="AR164" s="165"/>
      <c r="AS164" s="165"/>
      <c r="AT164" s="165"/>
      <c r="AU164" s="165"/>
      <c r="AV164" s="165"/>
      <c r="AW164" s="165"/>
      <c r="AX164" s="165"/>
      <c r="AY164" s="165"/>
      <c r="AZ164" s="165"/>
      <c r="BA164" s="165">
        <v>0.4</v>
      </c>
      <c r="BB164" s="170"/>
      <c r="BC164" s="165"/>
      <c r="BD164" s="165"/>
      <c r="BE164" s="165"/>
      <c r="BF164" s="165"/>
      <c r="BG164" s="165"/>
      <c r="BH164" s="165"/>
      <c r="BI164" s="165"/>
      <c r="BJ164" s="165"/>
      <c r="BK164" s="165"/>
      <c r="BL164" s="165"/>
      <c r="BM164" s="165"/>
      <c r="BN164" s="165"/>
      <c r="BO164" s="165"/>
      <c r="BP164" s="165"/>
      <c r="BQ164" s="165"/>
      <c r="BR164" s="165"/>
      <c r="BS164" s="165"/>
      <c r="BT164" s="165"/>
      <c r="BU164" s="165"/>
      <c r="BV164" s="165"/>
      <c r="BW164" s="165"/>
      <c r="BX164" s="165"/>
      <c r="BY164" s="165"/>
      <c r="BZ164" s="165"/>
      <c r="CA164" s="165"/>
      <c r="CB164" s="165"/>
      <c r="CC164" s="165"/>
      <c r="CD164" s="165"/>
      <c r="CE164" s="165"/>
      <c r="CF164" s="165"/>
      <c r="CG164" s="165"/>
      <c r="CH164" s="165"/>
      <c r="CI164" s="170"/>
      <c r="CJ164" s="165"/>
      <c r="CK164" s="165"/>
      <c r="CL164" s="165"/>
      <c r="CM164" s="165"/>
      <c r="CN164" s="170"/>
      <c r="CO164" s="165"/>
      <c r="CP164" s="165"/>
      <c r="CQ164" s="165"/>
    </row>
    <row r="165" spans="2:95" ht="13.8" x14ac:dyDescent="0.25">
      <c r="B165" s="156" t="str">
        <f>Table1[[#Headers],[Total Testes]]</f>
        <v>Total Testes</v>
      </c>
      <c r="C165" s="154" t="str">
        <f t="shared" si="117"/>
        <v>ENTITY_PURE_CAPEX_P</v>
      </c>
      <c r="D165" s="153" t="s">
        <v>10</v>
      </c>
      <c r="E165" s="153" t="s">
        <v>1426</v>
      </c>
      <c r="G165" s="172">
        <f>INDEX(Table1[[Especificação]:[Total Testes]],MATCH(PlanoV1.0!C165,Table1[CONCAT],0),MATCH(PlanoV1.0!B165,Table1[[#Headers],[Especificação]:[Total Testes]],0))</f>
        <v>2.5</v>
      </c>
      <c r="H165" s="191">
        <f t="shared" si="111"/>
        <v>0.4</v>
      </c>
      <c r="I165" s="193">
        <f t="shared" si="112"/>
        <v>0</v>
      </c>
      <c r="J165" s="170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  <c r="AA165" s="165"/>
      <c r="AB165" s="165"/>
      <c r="AC165" s="165"/>
      <c r="AD165" s="165"/>
      <c r="AE165" s="165"/>
      <c r="AF165" s="165"/>
      <c r="AG165" s="165"/>
      <c r="AH165" s="165"/>
      <c r="AI165" s="165"/>
      <c r="AJ165" s="165"/>
      <c r="AK165" s="165"/>
      <c r="AL165" s="165"/>
      <c r="AM165" s="165"/>
      <c r="AN165" s="165"/>
      <c r="AO165" s="165"/>
      <c r="AP165" s="165"/>
      <c r="AQ165" s="165"/>
      <c r="AR165" s="165"/>
      <c r="AS165" s="165"/>
      <c r="AT165" s="165"/>
      <c r="AU165" s="165"/>
      <c r="AV165" s="165"/>
      <c r="AW165" s="165"/>
      <c r="AX165" s="165"/>
      <c r="AY165" s="165"/>
      <c r="AZ165" s="165"/>
      <c r="BA165" s="165">
        <v>0.4</v>
      </c>
      <c r="BB165" s="170"/>
      <c r="BC165" s="165"/>
      <c r="BD165" s="165"/>
      <c r="BE165" s="165"/>
      <c r="BF165" s="165"/>
      <c r="BG165" s="165"/>
      <c r="BH165" s="165"/>
      <c r="BI165" s="165"/>
      <c r="BJ165" s="165"/>
      <c r="BK165" s="165"/>
      <c r="BL165" s="165"/>
      <c r="BM165" s="165"/>
      <c r="BN165" s="165"/>
      <c r="BO165" s="165"/>
      <c r="BP165" s="165"/>
      <c r="BQ165" s="165"/>
      <c r="BR165" s="165"/>
      <c r="BS165" s="165"/>
      <c r="BT165" s="165"/>
      <c r="BU165" s="165"/>
      <c r="BV165" s="165"/>
      <c r="BW165" s="165"/>
      <c r="BX165" s="165"/>
      <c r="BY165" s="165"/>
      <c r="BZ165" s="165"/>
      <c r="CA165" s="165"/>
      <c r="CB165" s="165"/>
      <c r="CC165" s="165"/>
      <c r="CD165" s="165"/>
      <c r="CE165" s="165"/>
      <c r="CF165" s="165"/>
      <c r="CG165" s="165"/>
      <c r="CH165" s="165"/>
      <c r="CI165" s="170"/>
      <c r="CJ165" s="165"/>
      <c r="CK165" s="165"/>
      <c r="CL165" s="165"/>
      <c r="CM165" s="165"/>
      <c r="CN165" s="170"/>
      <c r="CO165" s="165"/>
      <c r="CP165" s="165"/>
      <c r="CQ165" s="165"/>
    </row>
    <row r="166" spans="2:95" ht="13.8" x14ac:dyDescent="0.25">
      <c r="B166" s="156" t="str">
        <f>Table1[[#Headers],[Total Testes]]</f>
        <v>Total Testes</v>
      </c>
      <c r="C166" s="154" t="str">
        <f t="shared" si="117"/>
        <v>ENTITY_PURE_TRNVR_P</v>
      </c>
      <c r="D166" s="153" t="s">
        <v>10</v>
      </c>
      <c r="E166" s="153" t="s">
        <v>1429</v>
      </c>
      <c r="G166" s="172">
        <f>INDEX(Table1[[Especificação]:[Total Testes]],MATCH(PlanoV1.0!C166,Table1[CONCAT],0),MATCH(PlanoV1.0!B166,Table1[[#Headers],[Especificação]:[Total Testes]],0))</f>
        <v>2.5</v>
      </c>
      <c r="H166" s="191">
        <f t="shared" si="111"/>
        <v>0.4</v>
      </c>
      <c r="I166" s="193">
        <f t="shared" si="112"/>
        <v>0</v>
      </c>
      <c r="J166" s="170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  <c r="AA166" s="165"/>
      <c r="AB166" s="165"/>
      <c r="AC166" s="165"/>
      <c r="AD166" s="165"/>
      <c r="AE166" s="165"/>
      <c r="AF166" s="165"/>
      <c r="AG166" s="165"/>
      <c r="AH166" s="165"/>
      <c r="AI166" s="165"/>
      <c r="AJ166" s="165"/>
      <c r="AK166" s="165"/>
      <c r="AL166" s="165"/>
      <c r="AM166" s="165"/>
      <c r="AN166" s="165"/>
      <c r="AO166" s="165"/>
      <c r="AP166" s="165"/>
      <c r="AQ166" s="165"/>
      <c r="AR166" s="165"/>
      <c r="AS166" s="165"/>
      <c r="AT166" s="165"/>
      <c r="AU166" s="165"/>
      <c r="AV166" s="165"/>
      <c r="AW166" s="165"/>
      <c r="AX166" s="165"/>
      <c r="AY166" s="165"/>
      <c r="AZ166" s="165"/>
      <c r="BA166" s="165">
        <v>0.4</v>
      </c>
      <c r="BB166" s="170"/>
      <c r="BC166" s="165"/>
      <c r="BD166" s="165"/>
      <c r="BE166" s="165"/>
      <c r="BF166" s="165"/>
      <c r="BG166" s="165"/>
      <c r="BH166" s="165"/>
      <c r="BI166" s="165"/>
      <c r="BJ166" s="165"/>
      <c r="BK166" s="165"/>
      <c r="BL166" s="165"/>
      <c r="BM166" s="165"/>
      <c r="BN166" s="165"/>
      <c r="BO166" s="165"/>
      <c r="BP166" s="165"/>
      <c r="BQ166" s="165"/>
      <c r="BR166" s="165"/>
      <c r="BS166" s="165"/>
      <c r="BT166" s="165"/>
      <c r="BU166" s="165"/>
      <c r="BV166" s="165"/>
      <c r="BW166" s="165"/>
      <c r="BX166" s="165"/>
      <c r="BY166" s="165"/>
      <c r="BZ166" s="165"/>
      <c r="CA166" s="165"/>
      <c r="CB166" s="165"/>
      <c r="CC166" s="165"/>
      <c r="CD166" s="165"/>
      <c r="CE166" s="165"/>
      <c r="CF166" s="165"/>
      <c r="CG166" s="165"/>
      <c r="CH166" s="165"/>
      <c r="CI166" s="170"/>
      <c r="CJ166" s="165"/>
      <c r="CK166" s="165"/>
      <c r="CL166" s="165"/>
      <c r="CM166" s="165"/>
      <c r="CN166" s="170"/>
      <c r="CO166" s="165"/>
      <c r="CP166" s="165"/>
      <c r="CQ166" s="165"/>
    </row>
    <row r="167" spans="2:95" ht="13.8" x14ac:dyDescent="0.25">
      <c r="B167" s="156" t="str">
        <f>Table1[[#Headers],[Total Testes]]</f>
        <v>Total Testes</v>
      </c>
      <c r="C167" s="154" t="str">
        <f t="shared" si="117"/>
        <v>ENTITY_PURE_CAPEX_B</v>
      </c>
      <c r="D167" s="153" t="s">
        <v>10</v>
      </c>
      <c r="E167" s="153" t="s">
        <v>1432</v>
      </c>
      <c r="G167" s="172">
        <f>INDEX(Table1[[Especificação]:[Total Testes]],MATCH(PlanoV1.0!C167,Table1[CONCAT],0),MATCH(PlanoV1.0!B167,Table1[[#Headers],[Especificação]:[Total Testes]],0))</f>
        <v>2.5</v>
      </c>
      <c r="H167" s="191">
        <f t="shared" si="111"/>
        <v>0.4</v>
      </c>
      <c r="I167" s="193">
        <f t="shared" si="112"/>
        <v>0</v>
      </c>
      <c r="J167" s="170"/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  <c r="AA167" s="165"/>
      <c r="AB167" s="165"/>
      <c r="AC167" s="165"/>
      <c r="AD167" s="165"/>
      <c r="AE167" s="165"/>
      <c r="AF167" s="165"/>
      <c r="AG167" s="165"/>
      <c r="AH167" s="165"/>
      <c r="AI167" s="165"/>
      <c r="AJ167" s="165"/>
      <c r="AK167" s="165"/>
      <c r="AL167" s="165"/>
      <c r="AM167" s="165"/>
      <c r="AN167" s="165"/>
      <c r="AO167" s="165"/>
      <c r="AP167" s="165"/>
      <c r="AQ167" s="165"/>
      <c r="AR167" s="165"/>
      <c r="AS167" s="165"/>
      <c r="AT167" s="165"/>
      <c r="AU167" s="165"/>
      <c r="AV167" s="165"/>
      <c r="AW167" s="165"/>
      <c r="AX167" s="165"/>
      <c r="AY167" s="165"/>
      <c r="AZ167" s="165"/>
      <c r="BA167" s="165">
        <v>0.4</v>
      </c>
      <c r="BB167" s="170"/>
      <c r="BC167" s="165"/>
      <c r="BD167" s="165"/>
      <c r="BE167" s="165"/>
      <c r="BF167" s="165"/>
      <c r="BG167" s="165"/>
      <c r="BH167" s="165"/>
      <c r="BI167" s="165"/>
      <c r="BJ167" s="165"/>
      <c r="BK167" s="165"/>
      <c r="BL167" s="165"/>
      <c r="BM167" s="165"/>
      <c r="BN167" s="165"/>
      <c r="BO167" s="165"/>
      <c r="BP167" s="165"/>
      <c r="BQ167" s="165"/>
      <c r="BR167" s="165"/>
      <c r="BS167" s="165"/>
      <c r="BT167" s="165"/>
      <c r="BU167" s="165"/>
      <c r="BV167" s="165"/>
      <c r="BW167" s="165"/>
      <c r="BX167" s="165"/>
      <c r="BY167" s="165"/>
      <c r="BZ167" s="165"/>
      <c r="CA167" s="165"/>
      <c r="CB167" s="165"/>
      <c r="CC167" s="165"/>
      <c r="CD167" s="165"/>
      <c r="CE167" s="165"/>
      <c r="CF167" s="165"/>
      <c r="CG167" s="165"/>
      <c r="CH167" s="165"/>
      <c r="CI167" s="170"/>
      <c r="CJ167" s="165"/>
      <c r="CK167" s="165"/>
      <c r="CL167" s="165"/>
      <c r="CM167" s="165"/>
      <c r="CN167" s="170"/>
      <c r="CO167" s="165"/>
      <c r="CP167" s="165"/>
      <c r="CQ167" s="165"/>
    </row>
    <row r="168" spans="2:95" ht="13.8" x14ac:dyDescent="0.25">
      <c r="B168" s="156" t="str">
        <f>Table1[[#Headers],[Total Testes]]</f>
        <v>Total Testes</v>
      </c>
      <c r="C168" s="154" t="str">
        <f t="shared" si="117"/>
        <v>ENTITY_PURE_TRNVR_B</v>
      </c>
      <c r="D168" s="153" t="s">
        <v>10</v>
      </c>
      <c r="E168" s="153" t="s">
        <v>1435</v>
      </c>
      <c r="G168" s="172">
        <f>INDEX(Table1[[Especificação]:[Total Testes]],MATCH(PlanoV1.0!C168,Table1[CONCAT],0),MATCH(PlanoV1.0!B168,Table1[[#Headers],[Especificação]:[Total Testes]],0))</f>
        <v>2.5</v>
      </c>
      <c r="H168" s="191">
        <f t="shared" si="111"/>
        <v>0.4</v>
      </c>
      <c r="I168" s="193">
        <f t="shared" si="112"/>
        <v>0</v>
      </c>
      <c r="J168" s="170"/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  <c r="AA168" s="165"/>
      <c r="AB168" s="165"/>
      <c r="AC168" s="165"/>
      <c r="AD168" s="165"/>
      <c r="AE168" s="165"/>
      <c r="AF168" s="165"/>
      <c r="AG168" s="165"/>
      <c r="AH168" s="165"/>
      <c r="AI168" s="165"/>
      <c r="AJ168" s="165"/>
      <c r="AK168" s="165"/>
      <c r="AL168" s="165"/>
      <c r="AM168" s="165"/>
      <c r="AN168" s="165"/>
      <c r="AO168" s="165"/>
      <c r="AP168" s="165"/>
      <c r="AQ168" s="165"/>
      <c r="AR168" s="165"/>
      <c r="AS168" s="165"/>
      <c r="AT168" s="165"/>
      <c r="AU168" s="165"/>
      <c r="AV168" s="165"/>
      <c r="AW168" s="165"/>
      <c r="AX168" s="165"/>
      <c r="AY168" s="165"/>
      <c r="AZ168" s="165"/>
      <c r="BA168" s="165">
        <v>0.3</v>
      </c>
      <c r="BB168" s="170"/>
      <c r="BC168" s="165">
        <v>0.1</v>
      </c>
      <c r="BD168" s="165"/>
      <c r="BE168" s="165"/>
      <c r="BF168" s="165"/>
      <c r="BG168" s="165"/>
      <c r="BH168" s="165"/>
      <c r="BI168" s="165"/>
      <c r="BJ168" s="165"/>
      <c r="BK168" s="165"/>
      <c r="BL168" s="165"/>
      <c r="BM168" s="165"/>
      <c r="BN168" s="165"/>
      <c r="BO168" s="165"/>
      <c r="BP168" s="165"/>
      <c r="BQ168" s="165"/>
      <c r="BR168" s="165"/>
      <c r="BS168" s="165"/>
      <c r="BT168" s="165"/>
      <c r="BU168" s="165"/>
      <c r="BV168" s="165"/>
      <c r="BW168" s="165"/>
      <c r="BX168" s="165"/>
      <c r="BY168" s="165"/>
      <c r="BZ168" s="165"/>
      <c r="CA168" s="165"/>
      <c r="CB168" s="165"/>
      <c r="CC168" s="165"/>
      <c r="CD168" s="165"/>
      <c r="CE168" s="165"/>
      <c r="CF168" s="165"/>
      <c r="CG168" s="165"/>
      <c r="CH168" s="165"/>
      <c r="CI168" s="170"/>
      <c r="CJ168" s="165"/>
      <c r="CK168" s="165"/>
      <c r="CL168" s="165"/>
      <c r="CM168" s="165"/>
      <c r="CN168" s="170"/>
      <c r="CO168" s="165"/>
      <c r="CP168" s="165"/>
      <c r="CQ168" s="165"/>
    </row>
    <row r="169" spans="2:95" ht="13.8" x14ac:dyDescent="0.25">
      <c r="B169" s="156" t="str">
        <f>Table1[[#Headers],[Total Testes]]</f>
        <v>Total Testes</v>
      </c>
      <c r="C169" s="154" t="str">
        <f t="shared" si="117"/>
        <v>ENTITY_PURE_CAPEX_W</v>
      </c>
      <c r="D169" s="153" t="s">
        <v>10</v>
      </c>
      <c r="E169" s="153" t="s">
        <v>1438</v>
      </c>
      <c r="G169" s="172">
        <f>INDEX(Table1[[Especificação]:[Total Testes]],MATCH(PlanoV1.0!C169,Table1[CONCAT],0),MATCH(PlanoV1.0!B169,Table1[[#Headers],[Especificação]:[Total Testes]],0))</f>
        <v>2.5</v>
      </c>
      <c r="H169" s="191">
        <f t="shared" si="111"/>
        <v>0.4</v>
      </c>
      <c r="I169" s="193">
        <f t="shared" si="112"/>
        <v>0</v>
      </c>
      <c r="J169" s="170"/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  <c r="AA169" s="165"/>
      <c r="AB169" s="165"/>
      <c r="AC169" s="165"/>
      <c r="AD169" s="165"/>
      <c r="AE169" s="165"/>
      <c r="AF169" s="165"/>
      <c r="AG169" s="165"/>
      <c r="AH169" s="165"/>
      <c r="AI169" s="165"/>
      <c r="AJ169" s="165"/>
      <c r="AK169" s="165"/>
      <c r="AL169" s="165"/>
      <c r="AM169" s="165"/>
      <c r="AN169" s="165"/>
      <c r="AO169" s="165"/>
      <c r="AP169" s="165"/>
      <c r="AQ169" s="165"/>
      <c r="AR169" s="165"/>
      <c r="AS169" s="165"/>
      <c r="AT169" s="165"/>
      <c r="AU169" s="165"/>
      <c r="AV169" s="165"/>
      <c r="AW169" s="165"/>
      <c r="AX169" s="165"/>
      <c r="AY169" s="165"/>
      <c r="AZ169" s="165"/>
      <c r="BA169" s="165"/>
      <c r="BB169" s="170"/>
      <c r="BC169" s="165">
        <v>0.4</v>
      </c>
      <c r="BD169" s="165"/>
      <c r="BE169" s="165"/>
      <c r="BF169" s="165"/>
      <c r="BG169" s="165"/>
      <c r="BH169" s="165"/>
      <c r="BI169" s="165"/>
      <c r="BJ169" s="165"/>
      <c r="BK169" s="165"/>
      <c r="BL169" s="165"/>
      <c r="BM169" s="165"/>
      <c r="BN169" s="165"/>
      <c r="BO169" s="165"/>
      <c r="BP169" s="165"/>
      <c r="BQ169" s="165"/>
      <c r="BR169" s="165"/>
      <c r="BS169" s="165"/>
      <c r="BT169" s="165"/>
      <c r="BU169" s="165"/>
      <c r="BV169" s="165"/>
      <c r="BW169" s="165"/>
      <c r="BX169" s="165"/>
      <c r="BY169" s="165"/>
      <c r="BZ169" s="165"/>
      <c r="CA169" s="165"/>
      <c r="CB169" s="165"/>
      <c r="CC169" s="165"/>
      <c r="CD169" s="165"/>
      <c r="CE169" s="165"/>
      <c r="CF169" s="165"/>
      <c r="CG169" s="165"/>
      <c r="CH169" s="165"/>
      <c r="CI169" s="170"/>
      <c r="CJ169" s="165"/>
      <c r="CK169" s="165"/>
      <c r="CL169" s="165"/>
      <c r="CM169" s="165"/>
      <c r="CN169" s="170"/>
      <c r="CO169" s="165"/>
      <c r="CP169" s="165"/>
      <c r="CQ169" s="165"/>
    </row>
    <row r="170" spans="2:95" ht="13.8" x14ac:dyDescent="0.25">
      <c r="B170" s="156" t="str">
        <f>Table1[[#Headers],[Total Testes]]</f>
        <v>Total Testes</v>
      </c>
      <c r="C170" s="154" t="str">
        <f t="shared" si="117"/>
        <v>ENTITY_PURE_TRNVR_W</v>
      </c>
      <c r="D170" s="153" t="s">
        <v>10</v>
      </c>
      <c r="E170" s="153" t="s">
        <v>1441</v>
      </c>
      <c r="G170" s="172">
        <f>INDEX(Table1[[Especificação]:[Total Testes]],MATCH(PlanoV1.0!C170,Table1[CONCAT],0),MATCH(PlanoV1.0!B170,Table1[[#Headers],[Especificação]:[Total Testes]],0))</f>
        <v>2.5</v>
      </c>
      <c r="H170" s="191">
        <f t="shared" si="111"/>
        <v>0.4</v>
      </c>
      <c r="I170" s="193">
        <f t="shared" si="112"/>
        <v>0</v>
      </c>
      <c r="J170" s="170"/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  <c r="AA170" s="165"/>
      <c r="AB170" s="165"/>
      <c r="AC170" s="165"/>
      <c r="AD170" s="165"/>
      <c r="AE170" s="165"/>
      <c r="AF170" s="165"/>
      <c r="AG170" s="165"/>
      <c r="AH170" s="165"/>
      <c r="AI170" s="165"/>
      <c r="AJ170" s="165"/>
      <c r="AK170" s="165"/>
      <c r="AL170" s="165"/>
      <c r="AM170" s="165"/>
      <c r="AN170" s="165"/>
      <c r="AO170" s="165"/>
      <c r="AP170" s="165"/>
      <c r="AQ170" s="165"/>
      <c r="AR170" s="165"/>
      <c r="AS170" s="165"/>
      <c r="AT170" s="165"/>
      <c r="AU170" s="165"/>
      <c r="AV170" s="165"/>
      <c r="AW170" s="165"/>
      <c r="AX170" s="165"/>
      <c r="AY170" s="165"/>
      <c r="AZ170" s="165"/>
      <c r="BA170" s="165"/>
      <c r="BB170" s="170"/>
      <c r="BC170" s="165">
        <v>0.4</v>
      </c>
      <c r="BD170" s="165"/>
      <c r="BE170" s="165"/>
      <c r="BF170" s="165"/>
      <c r="BG170" s="165"/>
      <c r="BH170" s="165"/>
      <c r="BI170" s="165"/>
      <c r="BJ170" s="165"/>
      <c r="BK170" s="165"/>
      <c r="BL170" s="165"/>
      <c r="BM170" s="165"/>
      <c r="BN170" s="165"/>
      <c r="BO170" s="165"/>
      <c r="BP170" s="165"/>
      <c r="BQ170" s="165"/>
      <c r="BR170" s="165"/>
      <c r="BS170" s="165"/>
      <c r="BT170" s="165"/>
      <c r="BU170" s="165"/>
      <c r="BV170" s="165"/>
      <c r="BW170" s="165"/>
      <c r="BX170" s="165"/>
      <c r="BY170" s="165"/>
      <c r="BZ170" s="165"/>
      <c r="CA170" s="165"/>
      <c r="CB170" s="165"/>
      <c r="CC170" s="165"/>
      <c r="CD170" s="165"/>
      <c r="CE170" s="165"/>
      <c r="CF170" s="165"/>
      <c r="CG170" s="165"/>
      <c r="CH170" s="165"/>
      <c r="CI170" s="170"/>
      <c r="CJ170" s="165"/>
      <c r="CK170" s="165"/>
      <c r="CL170" s="165"/>
      <c r="CM170" s="165"/>
      <c r="CN170" s="170"/>
      <c r="CO170" s="165"/>
      <c r="CP170" s="165"/>
      <c r="CQ170" s="165"/>
    </row>
    <row r="171" spans="2:95" ht="13.8" x14ac:dyDescent="0.25">
      <c r="B171" s="156" t="str">
        <f>Table1[[#Headers],[Total Testes]]</f>
        <v>Total Testes</v>
      </c>
      <c r="C171" s="154" t="str">
        <f t="shared" si="117"/>
        <v>ENTITY_PURE_CAPEX_CE</v>
      </c>
      <c r="D171" s="153" t="s">
        <v>10</v>
      </c>
      <c r="E171" s="153" t="s">
        <v>1444</v>
      </c>
      <c r="G171" s="172">
        <f>INDEX(Table1[[Especificação]:[Total Testes]],MATCH(PlanoV1.0!C171,Table1[CONCAT],0),MATCH(PlanoV1.0!B171,Table1[[#Headers],[Especificação]:[Total Testes]],0))</f>
        <v>2.5</v>
      </c>
      <c r="H171" s="191">
        <f t="shared" si="111"/>
        <v>0.4</v>
      </c>
      <c r="I171" s="193">
        <f t="shared" si="112"/>
        <v>0</v>
      </c>
      <c r="J171" s="170"/>
      <c r="K171" s="165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  <c r="AA171" s="165"/>
      <c r="AB171" s="165"/>
      <c r="AC171" s="165"/>
      <c r="AD171" s="165"/>
      <c r="AE171" s="165"/>
      <c r="AF171" s="165"/>
      <c r="AG171" s="165"/>
      <c r="AH171" s="165"/>
      <c r="AI171" s="165"/>
      <c r="AJ171" s="165"/>
      <c r="AK171" s="165"/>
      <c r="AL171" s="165"/>
      <c r="AM171" s="165"/>
      <c r="AN171" s="165"/>
      <c r="AO171" s="165"/>
      <c r="AP171" s="165"/>
      <c r="AQ171" s="165"/>
      <c r="AR171" s="165"/>
      <c r="AS171" s="165"/>
      <c r="AT171" s="165"/>
      <c r="AU171" s="165"/>
      <c r="AV171" s="165"/>
      <c r="AW171" s="165"/>
      <c r="AX171" s="165"/>
      <c r="AY171" s="165"/>
      <c r="AZ171" s="165"/>
      <c r="BA171" s="165"/>
      <c r="BB171" s="170"/>
      <c r="BC171" s="165">
        <v>0.4</v>
      </c>
      <c r="BD171" s="165"/>
      <c r="BE171" s="165"/>
      <c r="BF171" s="165"/>
      <c r="BG171" s="165"/>
      <c r="BH171" s="165"/>
      <c r="BI171" s="165"/>
      <c r="BJ171" s="165"/>
      <c r="BK171" s="165"/>
      <c r="BL171" s="165"/>
      <c r="BM171" s="165"/>
      <c r="BN171" s="165"/>
      <c r="BO171" s="165"/>
      <c r="BP171" s="165"/>
      <c r="BQ171" s="165"/>
      <c r="BR171" s="165"/>
      <c r="BS171" s="165"/>
      <c r="BT171" s="165"/>
      <c r="BU171" s="165"/>
      <c r="BV171" s="165"/>
      <c r="BW171" s="165"/>
      <c r="BX171" s="165"/>
      <c r="BY171" s="165"/>
      <c r="BZ171" s="165"/>
      <c r="CA171" s="165"/>
      <c r="CB171" s="165"/>
      <c r="CC171" s="165"/>
      <c r="CD171" s="165"/>
      <c r="CE171" s="165"/>
      <c r="CF171" s="165"/>
      <c r="CG171" s="165"/>
      <c r="CH171" s="165"/>
      <c r="CI171" s="170"/>
      <c r="CJ171" s="165"/>
      <c r="CK171" s="165"/>
      <c r="CL171" s="165"/>
      <c r="CM171" s="165"/>
      <c r="CN171" s="170"/>
      <c r="CO171" s="165"/>
      <c r="CP171" s="165"/>
      <c r="CQ171" s="165"/>
    </row>
    <row r="172" spans="2:95" ht="13.8" x14ac:dyDescent="0.25">
      <c r="B172" s="156" t="str">
        <f>Table1[[#Headers],[Total Testes]]</f>
        <v>Total Testes</v>
      </c>
      <c r="C172" s="154" t="str">
        <f t="shared" si="117"/>
        <v>ENTITY_PURE_TRNVR_CE</v>
      </c>
      <c r="D172" s="153" t="s">
        <v>10</v>
      </c>
      <c r="E172" s="153" t="s">
        <v>1447</v>
      </c>
      <c r="G172" s="172">
        <f>INDEX(Table1[[Especificação]:[Total Testes]],MATCH(PlanoV1.0!C172,Table1[CONCAT],0),MATCH(PlanoV1.0!B172,Table1[[#Headers],[Especificação]:[Total Testes]],0))</f>
        <v>2.5</v>
      </c>
      <c r="H172" s="191">
        <f t="shared" si="111"/>
        <v>0.4</v>
      </c>
      <c r="I172" s="193">
        <f t="shared" si="112"/>
        <v>0</v>
      </c>
      <c r="J172" s="170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5"/>
      <c r="AH172" s="165"/>
      <c r="AI172" s="165"/>
      <c r="AJ172" s="165"/>
      <c r="AK172" s="165"/>
      <c r="AL172" s="165"/>
      <c r="AM172" s="165"/>
      <c r="AN172" s="165"/>
      <c r="AO172" s="165"/>
      <c r="AP172" s="165"/>
      <c r="AQ172" s="165"/>
      <c r="AR172" s="165"/>
      <c r="AS172" s="165"/>
      <c r="AT172" s="165"/>
      <c r="AU172" s="165"/>
      <c r="AV172" s="165"/>
      <c r="AW172" s="165"/>
      <c r="AX172" s="165"/>
      <c r="AY172" s="165"/>
      <c r="AZ172" s="165"/>
      <c r="BA172" s="165"/>
      <c r="BB172" s="170"/>
      <c r="BC172" s="165">
        <v>0.4</v>
      </c>
      <c r="BD172" s="165"/>
      <c r="BE172" s="165"/>
      <c r="BF172" s="165"/>
      <c r="BG172" s="165"/>
      <c r="BH172" s="165"/>
      <c r="BI172" s="165"/>
      <c r="BJ172" s="165"/>
      <c r="BK172" s="165"/>
      <c r="BL172" s="165"/>
      <c r="BM172" s="165"/>
      <c r="BN172" s="165"/>
      <c r="BO172" s="165"/>
      <c r="BP172" s="165"/>
      <c r="BQ172" s="165"/>
      <c r="BR172" s="165"/>
      <c r="BS172" s="165"/>
      <c r="BT172" s="165"/>
      <c r="BU172" s="165"/>
      <c r="BV172" s="165"/>
      <c r="BW172" s="165"/>
      <c r="BX172" s="165"/>
      <c r="BY172" s="165"/>
      <c r="BZ172" s="165"/>
      <c r="CA172" s="165"/>
      <c r="CB172" s="165"/>
      <c r="CC172" s="165"/>
      <c r="CD172" s="165"/>
      <c r="CE172" s="165"/>
      <c r="CF172" s="165"/>
      <c r="CG172" s="165"/>
      <c r="CH172" s="165"/>
      <c r="CI172" s="170"/>
      <c r="CJ172" s="165"/>
      <c r="CK172" s="165"/>
      <c r="CL172" s="165"/>
      <c r="CM172" s="165"/>
      <c r="CN172" s="170"/>
      <c r="CO172" s="165"/>
      <c r="CP172" s="165"/>
      <c r="CQ172" s="165"/>
    </row>
    <row r="173" spans="2:95" ht="13.8" x14ac:dyDescent="0.25">
      <c r="B173" s="156" t="str">
        <f>Table1[[#Headers],[Total Testes]]</f>
        <v>Total Testes</v>
      </c>
      <c r="C173" s="154" t="str">
        <f t="shared" si="117"/>
        <v>ENTITY_ENBLNG_CAPEX_W</v>
      </c>
      <c r="D173" s="153" t="s">
        <v>10</v>
      </c>
      <c r="E173" s="153" t="s">
        <v>1450</v>
      </c>
      <c r="G173" s="172">
        <f>INDEX(Table1[[Especificação]:[Total Testes]],MATCH(PlanoV1.0!C173,Table1[CONCAT],0),MATCH(PlanoV1.0!B173,Table1[[#Headers],[Especificação]:[Total Testes]],0))</f>
        <v>2.5</v>
      </c>
      <c r="H173" s="191">
        <f t="shared" si="111"/>
        <v>0.4</v>
      </c>
      <c r="I173" s="193">
        <f t="shared" si="112"/>
        <v>0</v>
      </c>
      <c r="J173" s="170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5"/>
      <c r="AH173" s="165"/>
      <c r="AI173" s="165"/>
      <c r="AJ173" s="165"/>
      <c r="AK173" s="165"/>
      <c r="AL173" s="165"/>
      <c r="AM173" s="165"/>
      <c r="AN173" s="165"/>
      <c r="AO173" s="165"/>
      <c r="AP173" s="165"/>
      <c r="AQ173" s="165"/>
      <c r="AR173" s="165"/>
      <c r="AS173" s="165"/>
      <c r="AT173" s="165"/>
      <c r="AU173" s="165"/>
      <c r="AV173" s="165"/>
      <c r="AW173" s="165"/>
      <c r="AX173" s="165"/>
      <c r="AY173" s="165"/>
      <c r="AZ173" s="165"/>
      <c r="BA173" s="165"/>
      <c r="BB173" s="170"/>
      <c r="BC173" s="165">
        <v>0.3</v>
      </c>
      <c r="BD173" s="165">
        <v>0.1</v>
      </c>
      <c r="BE173" s="165"/>
      <c r="BF173" s="165"/>
      <c r="BG173" s="165"/>
      <c r="BH173" s="165"/>
      <c r="BI173" s="165"/>
      <c r="BJ173" s="165"/>
      <c r="BK173" s="165"/>
      <c r="BL173" s="165"/>
      <c r="BM173" s="165"/>
      <c r="BN173" s="165"/>
      <c r="BO173" s="165"/>
      <c r="BP173" s="165"/>
      <c r="BQ173" s="165"/>
      <c r="BR173" s="165"/>
      <c r="BS173" s="165"/>
      <c r="BT173" s="165"/>
      <c r="BU173" s="165"/>
      <c r="BV173" s="165"/>
      <c r="BW173" s="165"/>
      <c r="BX173" s="165"/>
      <c r="BY173" s="165"/>
      <c r="BZ173" s="165"/>
      <c r="CA173" s="165"/>
      <c r="CB173" s="165"/>
      <c r="CC173" s="165"/>
      <c r="CD173" s="165"/>
      <c r="CE173" s="165"/>
      <c r="CF173" s="165"/>
      <c r="CG173" s="165"/>
      <c r="CH173" s="165"/>
      <c r="CI173" s="170"/>
      <c r="CJ173" s="165"/>
      <c r="CK173" s="165"/>
      <c r="CL173" s="165"/>
      <c r="CM173" s="165"/>
      <c r="CN173" s="170"/>
      <c r="CO173" s="165"/>
      <c r="CP173" s="165"/>
      <c r="CQ173" s="165"/>
    </row>
    <row r="174" spans="2:95" ht="13.8" x14ac:dyDescent="0.25">
      <c r="B174" s="156" t="str">
        <f>Table1[[#Headers],[Total Testes]]</f>
        <v>Total Testes</v>
      </c>
      <c r="C174" s="154" t="str">
        <f t="shared" si="117"/>
        <v>ENTITY_ENBLNG_TRNVR_W</v>
      </c>
      <c r="D174" s="153" t="s">
        <v>10</v>
      </c>
      <c r="E174" s="153" t="s">
        <v>1453</v>
      </c>
      <c r="G174" s="172">
        <f>INDEX(Table1[[Especificação]:[Total Testes]],MATCH(PlanoV1.0!C174,Table1[CONCAT],0),MATCH(PlanoV1.0!B174,Table1[[#Headers],[Especificação]:[Total Testes]],0))</f>
        <v>2.5</v>
      </c>
      <c r="H174" s="191">
        <f t="shared" si="111"/>
        <v>0.4</v>
      </c>
      <c r="I174" s="193">
        <f t="shared" si="112"/>
        <v>0</v>
      </c>
      <c r="J174" s="170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5"/>
      <c r="AH174" s="165"/>
      <c r="AI174" s="165"/>
      <c r="AJ174" s="165"/>
      <c r="AK174" s="165"/>
      <c r="AL174" s="165"/>
      <c r="AM174" s="165"/>
      <c r="AN174" s="165"/>
      <c r="AO174" s="165"/>
      <c r="AP174" s="165"/>
      <c r="AQ174" s="165"/>
      <c r="AR174" s="165"/>
      <c r="AS174" s="165"/>
      <c r="AT174" s="165"/>
      <c r="AU174" s="165"/>
      <c r="AV174" s="165"/>
      <c r="AW174" s="165"/>
      <c r="AX174" s="165"/>
      <c r="AY174" s="165"/>
      <c r="AZ174" s="165"/>
      <c r="BA174" s="165"/>
      <c r="BB174" s="170"/>
      <c r="BC174" s="165"/>
      <c r="BD174" s="165">
        <v>0.4</v>
      </c>
      <c r="BE174" s="165"/>
      <c r="BF174" s="165"/>
      <c r="BG174" s="165"/>
      <c r="BH174" s="165"/>
      <c r="BI174" s="165"/>
      <c r="BJ174" s="165"/>
      <c r="BK174" s="165"/>
      <c r="BL174" s="165"/>
      <c r="BM174" s="165"/>
      <c r="BN174" s="165"/>
      <c r="BO174" s="165"/>
      <c r="BP174" s="165"/>
      <c r="BQ174" s="165"/>
      <c r="BR174" s="165"/>
      <c r="BS174" s="165"/>
      <c r="BT174" s="165"/>
      <c r="BU174" s="165"/>
      <c r="BV174" s="165"/>
      <c r="BW174" s="165"/>
      <c r="BX174" s="165"/>
      <c r="BY174" s="165"/>
      <c r="BZ174" s="165"/>
      <c r="CA174" s="165"/>
      <c r="CB174" s="165"/>
      <c r="CC174" s="165"/>
      <c r="CD174" s="165"/>
      <c r="CE174" s="165"/>
      <c r="CF174" s="165"/>
      <c r="CG174" s="165"/>
      <c r="CH174" s="165"/>
      <c r="CI174" s="170"/>
      <c r="CJ174" s="165"/>
      <c r="CK174" s="165"/>
      <c r="CL174" s="165"/>
      <c r="CM174" s="165"/>
      <c r="CN174" s="170"/>
      <c r="CO174" s="165"/>
      <c r="CP174" s="165"/>
      <c r="CQ174" s="165"/>
    </row>
    <row r="175" spans="2:95" ht="13.8" x14ac:dyDescent="0.25">
      <c r="B175" s="156" t="str">
        <f>Table1[[#Headers],[Total Testes]]</f>
        <v>Total Testes</v>
      </c>
      <c r="C175" s="154" t="str">
        <f t="shared" si="117"/>
        <v>ENTITY_ENBLNG_CAPEX_CE</v>
      </c>
      <c r="D175" s="153" t="s">
        <v>10</v>
      </c>
      <c r="E175" s="153" t="s">
        <v>1456</v>
      </c>
      <c r="G175" s="172">
        <f>INDEX(Table1[[Especificação]:[Total Testes]],MATCH(PlanoV1.0!C175,Table1[CONCAT],0),MATCH(PlanoV1.0!B175,Table1[[#Headers],[Especificação]:[Total Testes]],0))</f>
        <v>2.5</v>
      </c>
      <c r="H175" s="191">
        <f t="shared" si="111"/>
        <v>0.4</v>
      </c>
      <c r="I175" s="193">
        <f t="shared" si="112"/>
        <v>0</v>
      </c>
      <c r="J175" s="170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5"/>
      <c r="AH175" s="165"/>
      <c r="AI175" s="165"/>
      <c r="AJ175" s="165"/>
      <c r="AK175" s="165"/>
      <c r="AL175" s="165"/>
      <c r="AM175" s="165"/>
      <c r="AN175" s="165"/>
      <c r="AO175" s="165"/>
      <c r="AP175" s="165"/>
      <c r="AQ175" s="165"/>
      <c r="AR175" s="165"/>
      <c r="AS175" s="165"/>
      <c r="AT175" s="165"/>
      <c r="AU175" s="165"/>
      <c r="AV175" s="165"/>
      <c r="AW175" s="165"/>
      <c r="AX175" s="165"/>
      <c r="AY175" s="165"/>
      <c r="AZ175" s="165"/>
      <c r="BA175" s="165"/>
      <c r="BB175" s="170"/>
      <c r="BC175" s="165"/>
      <c r="BD175" s="165">
        <v>0.4</v>
      </c>
      <c r="BE175" s="165"/>
      <c r="BF175" s="165"/>
      <c r="BG175" s="165"/>
      <c r="BH175" s="165"/>
      <c r="BI175" s="165"/>
      <c r="BJ175" s="165"/>
      <c r="BK175" s="165"/>
      <c r="BL175" s="165"/>
      <c r="BM175" s="165"/>
      <c r="BN175" s="165"/>
      <c r="BO175" s="165"/>
      <c r="BP175" s="165"/>
      <c r="BQ175" s="165"/>
      <c r="BR175" s="165"/>
      <c r="BS175" s="165"/>
      <c r="BT175" s="165"/>
      <c r="BU175" s="165"/>
      <c r="BV175" s="165"/>
      <c r="BW175" s="165"/>
      <c r="BX175" s="165"/>
      <c r="BY175" s="165"/>
      <c r="BZ175" s="165"/>
      <c r="CA175" s="165"/>
      <c r="CB175" s="165"/>
      <c r="CC175" s="165"/>
      <c r="CD175" s="165"/>
      <c r="CE175" s="165"/>
      <c r="CF175" s="165"/>
      <c r="CG175" s="165"/>
      <c r="CH175" s="165"/>
      <c r="CI175" s="170"/>
      <c r="CJ175" s="165"/>
      <c r="CK175" s="165"/>
      <c r="CL175" s="165"/>
      <c r="CM175" s="165"/>
      <c r="CN175" s="170"/>
      <c r="CO175" s="165"/>
      <c r="CP175" s="165"/>
      <c r="CQ175" s="165"/>
    </row>
    <row r="176" spans="2:95" ht="13.8" x14ac:dyDescent="0.25">
      <c r="B176" s="156" t="str">
        <f>Table1[[#Headers],[Total Testes]]</f>
        <v>Total Testes</v>
      </c>
      <c r="C176" s="154" t="str">
        <f t="shared" si="117"/>
        <v>ENTITY_ENBLNG_TRNVR_CE</v>
      </c>
      <c r="D176" s="153" t="s">
        <v>10</v>
      </c>
      <c r="E176" s="153" t="s">
        <v>1459</v>
      </c>
      <c r="G176" s="172">
        <f>INDEX(Table1[[Especificação]:[Total Testes]],MATCH(PlanoV1.0!C176,Table1[CONCAT],0),MATCH(PlanoV1.0!B176,Table1[[#Headers],[Especificação]:[Total Testes]],0))</f>
        <v>2.5</v>
      </c>
      <c r="H176" s="191">
        <f t="shared" si="111"/>
        <v>0.4</v>
      </c>
      <c r="I176" s="193">
        <f t="shared" si="112"/>
        <v>0</v>
      </c>
      <c r="J176" s="170"/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5"/>
      <c r="AH176" s="165"/>
      <c r="AI176" s="165"/>
      <c r="AJ176" s="165"/>
      <c r="AK176" s="165"/>
      <c r="AL176" s="165"/>
      <c r="AM176" s="165"/>
      <c r="AN176" s="165"/>
      <c r="AO176" s="165"/>
      <c r="AP176" s="165"/>
      <c r="AQ176" s="165"/>
      <c r="AR176" s="165"/>
      <c r="AS176" s="165"/>
      <c r="AT176" s="165"/>
      <c r="AU176" s="165"/>
      <c r="AV176" s="165"/>
      <c r="AW176" s="165"/>
      <c r="AX176" s="165"/>
      <c r="AY176" s="165"/>
      <c r="AZ176" s="165"/>
      <c r="BA176" s="165"/>
      <c r="BB176" s="170"/>
      <c r="BC176" s="165"/>
      <c r="BD176" s="165">
        <v>0.4</v>
      </c>
      <c r="BE176" s="165"/>
      <c r="BF176" s="165"/>
      <c r="BG176" s="165"/>
      <c r="BH176" s="165"/>
      <c r="BI176" s="165"/>
      <c r="BJ176" s="165"/>
      <c r="BK176" s="165"/>
      <c r="BL176" s="165"/>
      <c r="BM176" s="165"/>
      <c r="BN176" s="165"/>
      <c r="BO176" s="165"/>
      <c r="BP176" s="165"/>
      <c r="BQ176" s="165"/>
      <c r="BR176" s="165"/>
      <c r="BS176" s="165"/>
      <c r="BT176" s="165"/>
      <c r="BU176" s="165"/>
      <c r="BV176" s="165"/>
      <c r="BW176" s="165"/>
      <c r="BX176" s="165"/>
      <c r="BY176" s="165"/>
      <c r="BZ176" s="165"/>
      <c r="CA176" s="165"/>
      <c r="CB176" s="165"/>
      <c r="CC176" s="165"/>
      <c r="CD176" s="165"/>
      <c r="CE176" s="165"/>
      <c r="CF176" s="165"/>
      <c r="CG176" s="165"/>
      <c r="CH176" s="165"/>
      <c r="CI176" s="170"/>
      <c r="CJ176" s="165"/>
      <c r="CK176" s="165"/>
      <c r="CL176" s="165"/>
      <c r="CM176" s="165"/>
      <c r="CN176" s="170"/>
      <c r="CO176" s="165"/>
      <c r="CP176" s="165"/>
      <c r="CQ176" s="165"/>
    </row>
    <row r="177" spans="2:95" ht="13.8" x14ac:dyDescent="0.25">
      <c r="B177" s="156" t="str">
        <f>Table1[[#Headers],[Total Testes]]</f>
        <v>Total Testes</v>
      </c>
      <c r="C177" s="154" t="str">
        <f t="shared" si="117"/>
        <v>INSTRUMENT_TYP_OFF_BLNC_PRDCT</v>
      </c>
      <c r="D177" s="153" t="s">
        <v>414</v>
      </c>
      <c r="E177" s="153" t="s">
        <v>1351</v>
      </c>
      <c r="G177" s="172">
        <f>INDEX(Table1[[Especificação]:[Total Testes]],MATCH(PlanoV1.0!C177,Table1[CONCAT],0),MATCH(PlanoV1.0!B177,Table1[[#Headers],[Especificação]:[Total Testes]],0))</f>
        <v>0</v>
      </c>
      <c r="H177" s="191">
        <f t="shared" si="111"/>
        <v>0</v>
      </c>
      <c r="I177" s="193">
        <f t="shared" si="112"/>
        <v>0.4</v>
      </c>
      <c r="J177" s="170"/>
      <c r="K177" s="165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5"/>
      <c r="AH177" s="165"/>
      <c r="AI177" s="165"/>
      <c r="AJ177" s="165"/>
      <c r="AK177" s="165"/>
      <c r="AL177" s="165"/>
      <c r="AM177" s="165"/>
      <c r="AN177" s="165"/>
      <c r="AO177" s="165"/>
      <c r="AP177" s="165"/>
      <c r="AQ177" s="165"/>
      <c r="AR177" s="165"/>
      <c r="AS177" s="165"/>
      <c r="AT177" s="165"/>
      <c r="AU177" s="165"/>
      <c r="AV177" s="165"/>
      <c r="AW177" s="165"/>
      <c r="AX177" s="165"/>
      <c r="AY177" s="165"/>
      <c r="AZ177" s="165"/>
      <c r="BA177" s="165"/>
      <c r="BB177" s="170"/>
      <c r="BC177" s="165"/>
      <c r="BD177" s="165">
        <v>0.4</v>
      </c>
      <c r="BE177" s="165"/>
      <c r="BF177" s="165"/>
      <c r="BG177" s="165"/>
      <c r="BH177" s="165"/>
      <c r="BI177" s="165"/>
      <c r="BJ177" s="165"/>
      <c r="BK177" s="165"/>
      <c r="BL177" s="165"/>
      <c r="BM177" s="165"/>
      <c r="BN177" s="165"/>
      <c r="BO177" s="165"/>
      <c r="BP177" s="165"/>
      <c r="BQ177" s="165"/>
      <c r="BR177" s="165"/>
      <c r="BS177" s="165"/>
      <c r="BT177" s="165"/>
      <c r="BU177" s="165"/>
      <c r="BV177" s="165"/>
      <c r="BW177" s="165"/>
      <c r="BX177" s="165"/>
      <c r="BY177" s="165"/>
      <c r="BZ177" s="165"/>
      <c r="CA177" s="165"/>
      <c r="CB177" s="165"/>
      <c r="CC177" s="165"/>
      <c r="CD177" s="165"/>
      <c r="CE177" s="165"/>
      <c r="CF177" s="165"/>
      <c r="CG177" s="165"/>
      <c r="CH177" s="165"/>
      <c r="CI177" s="170"/>
      <c r="CJ177" s="165"/>
      <c r="CK177" s="165"/>
      <c r="CL177" s="165"/>
      <c r="CM177" s="165"/>
      <c r="CN177" s="170"/>
      <c r="CO177" s="165"/>
      <c r="CP177" s="165"/>
      <c r="CQ177" s="165"/>
    </row>
    <row r="178" spans="2:95" ht="13.8" x14ac:dyDescent="0.25">
      <c r="B178" s="156" t="str">
        <f>Table1[[#Headers],[Total Testes]]</f>
        <v>Total Testes</v>
      </c>
      <c r="C178" s="154" t="str">
        <f t="shared" si="117"/>
        <v>INSTRUMENT_FLG_MNMM_SFGRDS</v>
      </c>
      <c r="D178" s="153" t="s">
        <v>414</v>
      </c>
      <c r="E178" s="153" t="s">
        <v>1480</v>
      </c>
      <c r="G178" s="172">
        <f>INDEX(Table1[[Especificação]:[Total Testes]],MATCH(PlanoV1.0!C178,Table1[CONCAT],0),MATCH(PlanoV1.0!B178,Table1[[#Headers],[Especificação]:[Total Testes]],0))</f>
        <v>0</v>
      </c>
      <c r="H178" s="191">
        <f t="shared" si="111"/>
        <v>0</v>
      </c>
      <c r="I178" s="193">
        <f t="shared" si="112"/>
        <v>0.89999999999999991</v>
      </c>
      <c r="J178" s="170"/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5"/>
      <c r="AH178" s="165"/>
      <c r="AI178" s="165"/>
      <c r="AJ178" s="165"/>
      <c r="AK178" s="165"/>
      <c r="AL178" s="165"/>
      <c r="AM178" s="165"/>
      <c r="AN178" s="165"/>
      <c r="AO178" s="165"/>
      <c r="AP178" s="165"/>
      <c r="AQ178" s="165"/>
      <c r="AR178" s="165"/>
      <c r="AS178" s="165"/>
      <c r="AT178" s="165"/>
      <c r="AU178" s="165"/>
      <c r="AV178" s="165"/>
      <c r="AW178" s="165"/>
      <c r="AX178" s="165"/>
      <c r="AY178" s="165"/>
      <c r="AZ178" s="165"/>
      <c r="BA178" s="165"/>
      <c r="BB178" s="170"/>
      <c r="BC178" s="165"/>
      <c r="BD178" s="165">
        <v>0.3</v>
      </c>
      <c r="BE178" s="165">
        <v>0.6</v>
      </c>
      <c r="BF178" s="165"/>
      <c r="BG178" s="165"/>
      <c r="BH178" s="165"/>
      <c r="BI178" s="165"/>
      <c r="BJ178" s="165"/>
      <c r="BK178" s="165"/>
      <c r="BL178" s="165"/>
      <c r="BM178" s="165"/>
      <c r="BN178" s="165"/>
      <c r="BO178" s="165"/>
      <c r="BP178" s="165"/>
      <c r="BQ178" s="165"/>
      <c r="BR178" s="165"/>
      <c r="BS178" s="165"/>
      <c r="BT178" s="165"/>
      <c r="BU178" s="165"/>
      <c r="BV178" s="165"/>
      <c r="BW178" s="165"/>
      <c r="BX178" s="165"/>
      <c r="BY178" s="165"/>
      <c r="BZ178" s="165"/>
      <c r="CA178" s="165"/>
      <c r="CB178" s="165"/>
      <c r="CC178" s="165"/>
      <c r="CD178" s="165"/>
      <c r="CE178" s="165"/>
      <c r="CF178" s="165"/>
      <c r="CG178" s="165"/>
      <c r="CH178" s="165"/>
      <c r="CI178" s="170"/>
      <c r="CJ178" s="165"/>
      <c r="CK178" s="165"/>
      <c r="CL178" s="165"/>
      <c r="CM178" s="165"/>
      <c r="CN178" s="170"/>
      <c r="CO178" s="165"/>
      <c r="CP178" s="165"/>
      <c r="CQ178" s="165"/>
    </row>
    <row r="179" spans="2:95" ht="13.8" x14ac:dyDescent="0.25">
      <c r="B179" s="156" t="str">
        <f>Table1[[#Headers],[Total Testes]]</f>
        <v>Total Testes</v>
      </c>
      <c r="C179" s="154" t="str">
        <f t="shared" si="117"/>
        <v>INSTR_PROTECTION_TYP_RLTN</v>
      </c>
      <c r="D179" s="153" t="s">
        <v>1101</v>
      </c>
      <c r="E179" s="153" t="s">
        <v>1384</v>
      </c>
      <c r="G179" s="172">
        <f>INDEX(Table1[[Especificação]:[Total Testes]],MATCH(PlanoV1.0!C179,Table1[CONCAT],0),MATCH(PlanoV1.0!B179,Table1[[#Headers],[Especificação]:[Total Testes]],0))</f>
        <v>5</v>
      </c>
      <c r="H179" s="191">
        <f t="shared" si="111"/>
        <v>0.7</v>
      </c>
      <c r="I179" s="193">
        <f t="shared" si="112"/>
        <v>0</v>
      </c>
      <c r="J179" s="170"/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5"/>
      <c r="AH179" s="165"/>
      <c r="AI179" s="165"/>
      <c r="AJ179" s="165"/>
      <c r="AK179" s="165"/>
      <c r="AL179" s="165"/>
      <c r="AM179" s="165"/>
      <c r="AN179" s="165"/>
      <c r="AO179" s="165"/>
      <c r="AP179" s="165"/>
      <c r="AQ179" s="165"/>
      <c r="AR179" s="165"/>
      <c r="AS179" s="165"/>
      <c r="AT179" s="165"/>
      <c r="AU179" s="165"/>
      <c r="AV179" s="165"/>
      <c r="AW179" s="165"/>
      <c r="AX179" s="165"/>
      <c r="AY179" s="165"/>
      <c r="AZ179" s="165"/>
      <c r="BA179" s="165"/>
      <c r="BB179" s="170"/>
      <c r="BC179" s="165"/>
      <c r="BD179" s="165"/>
      <c r="BE179" s="165">
        <v>0.7</v>
      </c>
      <c r="BF179" s="165"/>
      <c r="BG179" s="165"/>
      <c r="BH179" s="165"/>
      <c r="BI179" s="165"/>
      <c r="BJ179" s="165"/>
      <c r="BK179" s="165"/>
      <c r="BL179" s="165"/>
      <c r="BM179" s="165"/>
      <c r="BN179" s="165"/>
      <c r="BO179" s="165"/>
      <c r="BP179" s="165"/>
      <c r="BQ179" s="165"/>
      <c r="BR179" s="165"/>
      <c r="BS179" s="165"/>
      <c r="BT179" s="165"/>
      <c r="BU179" s="165"/>
      <c r="BV179" s="165"/>
      <c r="BW179" s="165"/>
      <c r="BX179" s="165"/>
      <c r="BY179" s="165"/>
      <c r="BZ179" s="165"/>
      <c r="CA179" s="165"/>
      <c r="CB179" s="165"/>
      <c r="CC179" s="165"/>
      <c r="CD179" s="165"/>
      <c r="CE179" s="165"/>
      <c r="CF179" s="165"/>
      <c r="CG179" s="165"/>
      <c r="CH179" s="165"/>
      <c r="CI179" s="170"/>
      <c r="CJ179" s="165"/>
      <c r="CK179" s="165"/>
      <c r="CL179" s="165"/>
      <c r="CM179" s="165"/>
      <c r="CN179" s="170"/>
      <c r="CO179" s="165"/>
      <c r="CP179" s="165"/>
      <c r="CQ179" s="165"/>
    </row>
    <row r="180" spans="2:95" ht="13.8" x14ac:dyDescent="0.25">
      <c r="B180" s="156" t="str">
        <f>Table1[[#Headers],[Total Testes]]</f>
        <v>Total Testes</v>
      </c>
      <c r="C180" s="154" t="str">
        <f t="shared" si="117"/>
        <v>PROTECTION_BLDNG_AR</v>
      </c>
      <c r="D180" s="153" t="s">
        <v>1114</v>
      </c>
      <c r="E180" s="153" t="s">
        <v>1387</v>
      </c>
      <c r="G180" s="172">
        <f>INDEX(Table1[[Especificação]:[Total Testes]],MATCH(PlanoV1.0!C180,Table1[CONCAT],0),MATCH(PlanoV1.0!B180,Table1[[#Headers],[Especificação]:[Total Testes]],0))</f>
        <v>0</v>
      </c>
      <c r="H180" s="191">
        <f t="shared" si="111"/>
        <v>0</v>
      </c>
      <c r="I180" s="193">
        <f t="shared" si="112"/>
        <v>0.4</v>
      </c>
      <c r="J180" s="170"/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  <c r="AA180" s="165"/>
      <c r="AB180" s="165"/>
      <c r="AC180" s="165"/>
      <c r="AD180" s="165"/>
      <c r="AE180" s="165"/>
      <c r="AF180" s="165"/>
      <c r="AG180" s="165"/>
      <c r="AH180" s="165"/>
      <c r="AI180" s="165"/>
      <c r="AJ180" s="165"/>
      <c r="AK180" s="165"/>
      <c r="AL180" s="165"/>
      <c r="AM180" s="165"/>
      <c r="AN180" s="165"/>
      <c r="AO180" s="165"/>
      <c r="AP180" s="165"/>
      <c r="AQ180" s="165"/>
      <c r="AR180" s="165"/>
      <c r="AS180" s="165"/>
      <c r="AT180" s="165"/>
      <c r="AU180" s="165"/>
      <c r="AV180" s="165"/>
      <c r="AW180" s="165"/>
      <c r="AX180" s="165"/>
      <c r="AY180" s="165"/>
      <c r="AZ180" s="165"/>
      <c r="BA180" s="165"/>
      <c r="BB180" s="170"/>
      <c r="BC180" s="165"/>
      <c r="BD180" s="165"/>
      <c r="BE180" s="165">
        <v>0.4</v>
      </c>
      <c r="BF180" s="165"/>
      <c r="BG180" s="165"/>
      <c r="BH180" s="165"/>
      <c r="BI180" s="165"/>
      <c r="BJ180" s="165"/>
      <c r="BK180" s="165"/>
      <c r="BL180" s="165"/>
      <c r="BM180" s="165"/>
      <c r="BN180" s="165"/>
      <c r="BO180" s="165"/>
      <c r="BP180" s="165"/>
      <c r="BQ180" s="165"/>
      <c r="BR180" s="165"/>
      <c r="BS180" s="165"/>
      <c r="BT180" s="165"/>
      <c r="BU180" s="165"/>
      <c r="BV180" s="165"/>
      <c r="BW180" s="165"/>
      <c r="BX180" s="165"/>
      <c r="BY180" s="165"/>
      <c r="BZ180" s="165"/>
      <c r="CA180" s="165"/>
      <c r="CB180" s="165"/>
      <c r="CC180" s="165"/>
      <c r="CD180" s="165"/>
      <c r="CE180" s="165"/>
      <c r="CF180" s="165"/>
      <c r="CG180" s="165"/>
      <c r="CH180" s="165"/>
      <c r="CI180" s="170"/>
      <c r="CJ180" s="165"/>
      <c r="CK180" s="165"/>
      <c r="CL180" s="165"/>
      <c r="CM180" s="165"/>
      <c r="CN180" s="170"/>
      <c r="CO180" s="165"/>
      <c r="CP180" s="165"/>
      <c r="CQ180" s="165"/>
    </row>
    <row r="181" spans="2:95" ht="13.8" x14ac:dyDescent="0.25">
      <c r="B181" s="156" t="str">
        <f>Table1[[#Headers],[Total Testes]]</f>
        <v>Total Testes</v>
      </c>
      <c r="C181" s="154" t="str">
        <f t="shared" si="117"/>
        <v>PROTECTION_RL_ESTT_CRTFCTN</v>
      </c>
      <c r="D181" s="153" t="s">
        <v>1114</v>
      </c>
      <c r="E181" s="153" t="s">
        <v>1512</v>
      </c>
      <c r="G181" s="172">
        <f>INDEX(Table1[[Especificação]:[Total Testes]],MATCH(PlanoV1.0!C181,Table1[CONCAT],0),MATCH(PlanoV1.0!B181,Table1[[#Headers],[Especificação]:[Total Testes]],0))</f>
        <v>0</v>
      </c>
      <c r="H181" s="191">
        <f t="shared" si="111"/>
        <v>0</v>
      </c>
      <c r="I181" s="193">
        <f t="shared" si="112"/>
        <v>1</v>
      </c>
      <c r="J181" s="170"/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  <c r="AA181" s="165"/>
      <c r="AB181" s="165"/>
      <c r="AC181" s="165"/>
      <c r="AD181" s="165"/>
      <c r="AE181" s="165"/>
      <c r="AF181" s="165"/>
      <c r="AG181" s="165"/>
      <c r="AH181" s="165"/>
      <c r="AI181" s="165"/>
      <c r="AJ181" s="165"/>
      <c r="AK181" s="165"/>
      <c r="AL181" s="165"/>
      <c r="AM181" s="165"/>
      <c r="AN181" s="165"/>
      <c r="AO181" s="165"/>
      <c r="AP181" s="165"/>
      <c r="AQ181" s="165"/>
      <c r="AR181" s="165"/>
      <c r="AS181" s="165"/>
      <c r="AT181" s="165"/>
      <c r="AU181" s="165"/>
      <c r="AV181" s="165"/>
      <c r="AW181" s="165"/>
      <c r="AX181" s="165"/>
      <c r="AY181" s="165"/>
      <c r="AZ181" s="165"/>
      <c r="BA181" s="165"/>
      <c r="BB181" s="170"/>
      <c r="BC181" s="165"/>
      <c r="BD181" s="165"/>
      <c r="BE181" s="165">
        <v>0.3</v>
      </c>
      <c r="BF181" s="165">
        <v>0.7</v>
      </c>
      <c r="BG181" s="165"/>
      <c r="BH181" s="165"/>
      <c r="BI181" s="165"/>
      <c r="BJ181" s="165"/>
      <c r="BK181" s="165"/>
      <c r="BL181" s="165"/>
      <c r="BM181" s="165"/>
      <c r="BN181" s="165"/>
      <c r="BO181" s="165"/>
      <c r="BP181" s="165"/>
      <c r="BQ181" s="165"/>
      <c r="BR181" s="165"/>
      <c r="BS181" s="165"/>
      <c r="BT181" s="165"/>
      <c r="BU181" s="165"/>
      <c r="BV181" s="165"/>
      <c r="BW181" s="165"/>
      <c r="BX181" s="165"/>
      <c r="BY181" s="165"/>
      <c r="BZ181" s="165"/>
      <c r="CA181" s="165"/>
      <c r="CB181" s="165"/>
      <c r="CC181" s="165"/>
      <c r="CD181" s="165"/>
      <c r="CE181" s="165"/>
      <c r="CF181" s="165"/>
      <c r="CG181" s="165"/>
      <c r="CH181" s="165"/>
      <c r="CI181" s="170"/>
      <c r="CJ181" s="165"/>
      <c r="CK181" s="165"/>
      <c r="CL181" s="165"/>
      <c r="CM181" s="165"/>
      <c r="CN181" s="170"/>
      <c r="CO181" s="165"/>
      <c r="CP181" s="165"/>
      <c r="CQ181" s="165"/>
    </row>
    <row r="182" spans="2:95" ht="13.8" x14ac:dyDescent="0.25">
      <c r="B182" s="156" t="str">
        <f>Table1[[#Headers],[Total Testes]]</f>
        <v>Total Testes</v>
      </c>
      <c r="C182" s="154" t="str">
        <f t="shared" si="117"/>
        <v>PROTECTION_TYP_VHCL</v>
      </c>
      <c r="D182" s="153" t="s">
        <v>1114</v>
      </c>
      <c r="E182" s="153" t="s">
        <v>1515</v>
      </c>
      <c r="G182" s="172">
        <f>INDEX(Table1[[Especificação]:[Total Testes]],MATCH(PlanoV1.0!C182,Table1[CONCAT],0),MATCH(PlanoV1.0!B182,Table1[[#Headers],[Especificação]:[Total Testes]],0))</f>
        <v>0</v>
      </c>
      <c r="H182" s="191">
        <f t="shared" si="111"/>
        <v>0</v>
      </c>
      <c r="I182" s="193">
        <f t="shared" si="112"/>
        <v>1</v>
      </c>
      <c r="J182" s="170"/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  <c r="AA182" s="165"/>
      <c r="AB182" s="165"/>
      <c r="AC182" s="165"/>
      <c r="AD182" s="165"/>
      <c r="AE182" s="165"/>
      <c r="AF182" s="165"/>
      <c r="AG182" s="165"/>
      <c r="AH182" s="165"/>
      <c r="AI182" s="165"/>
      <c r="AJ182" s="165"/>
      <c r="AK182" s="165"/>
      <c r="AL182" s="165"/>
      <c r="AM182" s="165"/>
      <c r="AN182" s="165"/>
      <c r="AO182" s="165"/>
      <c r="AP182" s="165"/>
      <c r="AQ182" s="165"/>
      <c r="AR182" s="165"/>
      <c r="AS182" s="165"/>
      <c r="AT182" s="165"/>
      <c r="AU182" s="165"/>
      <c r="AV182" s="165"/>
      <c r="AW182" s="165"/>
      <c r="AX182" s="165"/>
      <c r="AY182" s="165"/>
      <c r="AZ182" s="165"/>
      <c r="BA182" s="165"/>
      <c r="BB182" s="170"/>
      <c r="BC182" s="165"/>
      <c r="BD182" s="165"/>
      <c r="BE182" s="165"/>
      <c r="BF182" s="165">
        <v>1</v>
      </c>
      <c r="BG182" s="165"/>
      <c r="BH182" s="165"/>
      <c r="BI182" s="165"/>
      <c r="BJ182" s="165"/>
      <c r="BK182" s="165"/>
      <c r="BL182" s="165"/>
      <c r="BM182" s="165"/>
      <c r="BN182" s="165"/>
      <c r="BO182" s="165"/>
      <c r="BP182" s="165"/>
      <c r="BQ182" s="165"/>
      <c r="BR182" s="165"/>
      <c r="BS182" s="165"/>
      <c r="BT182" s="165"/>
      <c r="BU182" s="165"/>
      <c r="BV182" s="165"/>
      <c r="BW182" s="165"/>
      <c r="BX182" s="165"/>
      <c r="BY182" s="165"/>
      <c r="BZ182" s="165"/>
      <c r="CA182" s="165"/>
      <c r="CB182" s="165"/>
      <c r="CC182" s="165"/>
      <c r="CD182" s="165"/>
      <c r="CE182" s="165"/>
      <c r="CF182" s="165"/>
      <c r="CG182" s="165"/>
      <c r="CH182" s="165"/>
      <c r="CI182" s="170"/>
      <c r="CJ182" s="165"/>
      <c r="CK182" s="165"/>
      <c r="CL182" s="165"/>
      <c r="CM182" s="165"/>
      <c r="CN182" s="170"/>
      <c r="CO182" s="165"/>
      <c r="CP182" s="165"/>
      <c r="CQ182" s="165"/>
    </row>
    <row r="183" spans="2:95" ht="13.8" x14ac:dyDescent="0.25">
      <c r="B183" s="156" t="str">
        <f>Table1[[#Headers],[Total Testes]]</f>
        <v>Total Testes</v>
      </c>
      <c r="C183" s="154" t="str">
        <f t="shared" si="117"/>
        <v>PROTECTION_DT_RGSTRTN</v>
      </c>
      <c r="D183" s="153" t="s">
        <v>1114</v>
      </c>
      <c r="E183" s="153" t="s">
        <v>1518</v>
      </c>
      <c r="G183" s="172">
        <f>INDEX(Table1[[Especificação]:[Total Testes]],MATCH(PlanoV1.0!C183,Table1[CONCAT],0),MATCH(PlanoV1.0!B183,Table1[[#Headers],[Especificação]:[Total Testes]],0))</f>
        <v>0</v>
      </c>
      <c r="H183" s="191">
        <f t="shared" ref="H183:H206" si="118">ROUNDUP(G183/8,1)</f>
        <v>0</v>
      </c>
      <c r="I183" s="193">
        <f t="shared" ref="I183:I225" si="119">SUM(J183:CQ183)-H183</f>
        <v>1</v>
      </c>
      <c r="J183" s="170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  <c r="AA183" s="165"/>
      <c r="AB183" s="165"/>
      <c r="AC183" s="165"/>
      <c r="AD183" s="165"/>
      <c r="AE183" s="165"/>
      <c r="AF183" s="165"/>
      <c r="AG183" s="165"/>
      <c r="AH183" s="165"/>
      <c r="AI183" s="165"/>
      <c r="AJ183" s="165"/>
      <c r="AK183" s="165"/>
      <c r="AL183" s="165"/>
      <c r="AM183" s="165"/>
      <c r="AN183" s="165"/>
      <c r="AO183" s="165"/>
      <c r="AP183" s="165"/>
      <c r="AQ183" s="165"/>
      <c r="AR183" s="165"/>
      <c r="AS183" s="165"/>
      <c r="AT183" s="165"/>
      <c r="AU183" s="165"/>
      <c r="AV183" s="165"/>
      <c r="AW183" s="165"/>
      <c r="AX183" s="165"/>
      <c r="AY183" s="165"/>
      <c r="AZ183" s="165"/>
      <c r="BA183" s="165"/>
      <c r="BB183" s="170"/>
      <c r="BC183" s="165"/>
      <c r="BD183" s="165"/>
      <c r="BE183" s="165"/>
      <c r="BF183" s="165">
        <v>0.3</v>
      </c>
      <c r="BG183" s="165">
        <v>0.7</v>
      </c>
      <c r="BH183" s="165"/>
      <c r="BI183" s="165"/>
      <c r="BJ183" s="165"/>
      <c r="BK183" s="165"/>
      <c r="BL183" s="165"/>
      <c r="BM183" s="165"/>
      <c r="BN183" s="165"/>
      <c r="BO183" s="165"/>
      <c r="BP183" s="165"/>
      <c r="BQ183" s="165"/>
      <c r="BR183" s="165"/>
      <c r="BS183" s="165"/>
      <c r="BT183" s="165"/>
      <c r="BU183" s="165"/>
      <c r="BV183" s="165"/>
      <c r="BW183" s="165"/>
      <c r="BX183" s="165"/>
      <c r="BY183" s="165"/>
      <c r="BZ183" s="165"/>
      <c r="CA183" s="165"/>
      <c r="CB183" s="165"/>
      <c r="CC183" s="165"/>
      <c r="CD183" s="165"/>
      <c r="CE183" s="165"/>
      <c r="CF183" s="165"/>
      <c r="CG183" s="165"/>
      <c r="CH183" s="165"/>
      <c r="CI183" s="170"/>
      <c r="CJ183" s="165"/>
      <c r="CK183" s="165"/>
      <c r="CL183" s="165"/>
      <c r="CM183" s="165"/>
      <c r="CN183" s="170"/>
      <c r="CO183" s="165"/>
      <c r="CP183" s="165"/>
      <c r="CQ183" s="165"/>
    </row>
    <row r="184" spans="2:95" ht="13.8" x14ac:dyDescent="0.25">
      <c r="B184" s="156" t="str">
        <f>Table1[[#Headers],[Total Testes]]</f>
        <v>Total Testes</v>
      </c>
      <c r="C184" s="154" t="str">
        <f t="shared" si="117"/>
        <v>PROTECTION_PRMRY_ENRGY_DMND_NN_RNWBL</v>
      </c>
      <c r="D184" s="153" t="s">
        <v>1114</v>
      </c>
      <c r="E184" s="153" t="s">
        <v>1521</v>
      </c>
      <c r="G184" s="172">
        <f>INDEX(Table1[[Especificação]:[Total Testes]],MATCH(PlanoV1.0!C184,Table1[CONCAT],0),MATCH(PlanoV1.0!B184,Table1[[#Headers],[Especificação]:[Total Testes]],0))</f>
        <v>6</v>
      </c>
      <c r="H184" s="191">
        <f t="shared" si="118"/>
        <v>0.79999999999999993</v>
      </c>
      <c r="I184" s="193">
        <f t="shared" si="119"/>
        <v>0</v>
      </c>
      <c r="J184" s="170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  <c r="AA184" s="165"/>
      <c r="AB184" s="165"/>
      <c r="AC184" s="165"/>
      <c r="AD184" s="165"/>
      <c r="AE184" s="165"/>
      <c r="AF184" s="165"/>
      <c r="AG184" s="165"/>
      <c r="AH184" s="165"/>
      <c r="AI184" s="165"/>
      <c r="AJ184" s="165"/>
      <c r="AK184" s="165"/>
      <c r="AL184" s="165"/>
      <c r="AM184" s="165"/>
      <c r="AN184" s="165"/>
      <c r="AO184" s="165"/>
      <c r="AP184" s="165"/>
      <c r="AQ184" s="165"/>
      <c r="AR184" s="165"/>
      <c r="AS184" s="165"/>
      <c r="AT184" s="165"/>
      <c r="AU184" s="165"/>
      <c r="AV184" s="165"/>
      <c r="AW184" s="165"/>
      <c r="AX184" s="165"/>
      <c r="AY184" s="165"/>
      <c r="AZ184" s="165"/>
      <c r="BA184" s="165"/>
      <c r="BB184" s="170"/>
      <c r="BC184" s="165"/>
      <c r="BD184" s="165"/>
      <c r="BE184" s="165"/>
      <c r="BF184" s="165"/>
      <c r="BG184" s="165">
        <v>0.8</v>
      </c>
      <c r="BH184" s="165"/>
      <c r="BI184" s="165"/>
      <c r="BJ184" s="165"/>
      <c r="BK184" s="165"/>
      <c r="BL184" s="165"/>
      <c r="BM184" s="165"/>
      <c r="BN184" s="165"/>
      <c r="BO184" s="165"/>
      <c r="BP184" s="165"/>
      <c r="BQ184" s="165"/>
      <c r="BR184" s="165"/>
      <c r="BS184" s="165"/>
      <c r="BT184" s="165"/>
      <c r="BU184" s="165"/>
      <c r="BV184" s="165"/>
      <c r="BW184" s="165"/>
      <c r="BX184" s="165"/>
      <c r="BY184" s="165"/>
      <c r="BZ184" s="165"/>
      <c r="CA184" s="165"/>
      <c r="CB184" s="165"/>
      <c r="CC184" s="165"/>
      <c r="CD184" s="165"/>
      <c r="CE184" s="165"/>
      <c r="CF184" s="165"/>
      <c r="CG184" s="165"/>
      <c r="CH184" s="165"/>
      <c r="CI184" s="170"/>
      <c r="CJ184" s="165"/>
      <c r="CK184" s="165"/>
      <c r="CL184" s="165"/>
      <c r="CM184" s="165"/>
      <c r="CN184" s="170"/>
      <c r="CO184" s="165"/>
      <c r="CP184" s="165"/>
      <c r="CQ184" s="165"/>
    </row>
    <row r="185" spans="2:95" ht="13.8" x14ac:dyDescent="0.25">
      <c r="B185" s="156" t="str">
        <f>Table1[[#Headers],[Total Testes]]</f>
        <v>Total Testes</v>
      </c>
      <c r="C185" s="154" t="str">
        <f t="shared" si="117"/>
        <v>PROTECTION_PRMRY_ENRGY_DMND_TTL</v>
      </c>
      <c r="D185" s="153" t="s">
        <v>1114</v>
      </c>
      <c r="E185" s="153" t="s">
        <v>1524</v>
      </c>
      <c r="G185" s="172">
        <f>INDEX(Table1[[Especificação]:[Total Testes]],MATCH(PlanoV1.0!C185,Table1[CONCAT],0),MATCH(PlanoV1.0!B185,Table1[[#Headers],[Especificação]:[Total Testes]],0))</f>
        <v>7.5</v>
      </c>
      <c r="H185" s="191">
        <f t="shared" si="118"/>
        <v>1</v>
      </c>
      <c r="I185" s="193">
        <f t="shared" si="119"/>
        <v>0</v>
      </c>
      <c r="J185" s="170"/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  <c r="AA185" s="165"/>
      <c r="AB185" s="165"/>
      <c r="AC185" s="165"/>
      <c r="AD185" s="165"/>
      <c r="AE185" s="165"/>
      <c r="AF185" s="165"/>
      <c r="AG185" s="165"/>
      <c r="AH185" s="165"/>
      <c r="AI185" s="165"/>
      <c r="AJ185" s="165"/>
      <c r="AK185" s="165"/>
      <c r="AL185" s="165"/>
      <c r="AM185" s="165"/>
      <c r="AN185" s="165"/>
      <c r="AO185" s="165"/>
      <c r="AP185" s="165"/>
      <c r="AQ185" s="165"/>
      <c r="AR185" s="165"/>
      <c r="AS185" s="165"/>
      <c r="AT185" s="165"/>
      <c r="AU185" s="165"/>
      <c r="AV185" s="165"/>
      <c r="AW185" s="165"/>
      <c r="AX185" s="165"/>
      <c r="AY185" s="165"/>
      <c r="AZ185" s="165"/>
      <c r="BA185" s="165"/>
      <c r="BB185" s="170"/>
      <c r="BC185" s="165"/>
      <c r="BD185" s="165"/>
      <c r="BE185" s="165"/>
      <c r="BF185" s="165"/>
      <c r="BG185" s="165">
        <v>0.5</v>
      </c>
      <c r="BH185" s="165">
        <v>0.5</v>
      </c>
      <c r="BI185" s="165"/>
      <c r="BJ185" s="165"/>
      <c r="BK185" s="165"/>
      <c r="BL185" s="165"/>
      <c r="BM185" s="165"/>
      <c r="BN185" s="165"/>
      <c r="BO185" s="165"/>
      <c r="BP185" s="165"/>
      <c r="BQ185" s="165"/>
      <c r="BR185" s="165"/>
      <c r="BS185" s="165"/>
      <c r="BT185" s="165"/>
      <c r="BU185" s="165"/>
      <c r="BV185" s="165"/>
      <c r="BW185" s="165"/>
      <c r="BX185" s="165"/>
      <c r="BY185" s="165"/>
      <c r="BZ185" s="165"/>
      <c r="CA185" s="165"/>
      <c r="CB185" s="165"/>
      <c r="CC185" s="165"/>
      <c r="CD185" s="165"/>
      <c r="CE185" s="165"/>
      <c r="CF185" s="165"/>
      <c r="CG185" s="165"/>
      <c r="CH185" s="165"/>
      <c r="CI185" s="170"/>
      <c r="CJ185" s="165"/>
      <c r="CK185" s="165"/>
      <c r="CL185" s="165"/>
      <c r="CM185" s="165"/>
      <c r="CN185" s="170"/>
      <c r="CO185" s="165"/>
      <c r="CP185" s="165"/>
      <c r="CQ185" s="165"/>
    </row>
    <row r="186" spans="2:95" ht="13.8" x14ac:dyDescent="0.25">
      <c r="B186" s="156" t="str">
        <f>Table1[[#Headers],[Total Testes]]</f>
        <v>Total Testes</v>
      </c>
      <c r="C186" s="154" t="str">
        <f t="shared" si="117"/>
        <v>PROTECTION_PRMRY_ENRGY_DMND_RFRNC_VL</v>
      </c>
      <c r="D186" s="153" t="s">
        <v>1114</v>
      </c>
      <c r="E186" s="153" t="s">
        <v>1527</v>
      </c>
      <c r="G186" s="172">
        <f>INDEX(Table1[[Especificação]:[Total Testes]],MATCH(PlanoV1.0!C186,Table1[CONCAT],0),MATCH(PlanoV1.0!B186,Table1[[#Headers],[Especificação]:[Total Testes]],0))</f>
        <v>7.5</v>
      </c>
      <c r="H186" s="191">
        <f t="shared" si="118"/>
        <v>1</v>
      </c>
      <c r="I186" s="193">
        <f t="shared" si="119"/>
        <v>0</v>
      </c>
      <c r="J186" s="170"/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  <c r="AA186" s="165"/>
      <c r="AB186" s="165"/>
      <c r="AC186" s="165"/>
      <c r="AD186" s="165"/>
      <c r="AE186" s="165"/>
      <c r="AF186" s="165"/>
      <c r="AG186" s="165"/>
      <c r="AH186" s="165"/>
      <c r="AI186" s="165"/>
      <c r="AJ186" s="165"/>
      <c r="AK186" s="165"/>
      <c r="AL186" s="165"/>
      <c r="AM186" s="165"/>
      <c r="AN186" s="165"/>
      <c r="AO186" s="165"/>
      <c r="AP186" s="165"/>
      <c r="AQ186" s="165"/>
      <c r="AR186" s="165"/>
      <c r="AS186" s="165"/>
      <c r="AT186" s="165"/>
      <c r="AU186" s="165"/>
      <c r="AV186" s="165"/>
      <c r="AW186" s="165"/>
      <c r="AX186" s="165"/>
      <c r="AY186" s="165"/>
      <c r="AZ186" s="165"/>
      <c r="BA186" s="165"/>
      <c r="BB186" s="170"/>
      <c r="BC186" s="165"/>
      <c r="BD186" s="165"/>
      <c r="BE186" s="165"/>
      <c r="BF186" s="165"/>
      <c r="BG186" s="165"/>
      <c r="BH186" s="165">
        <v>1</v>
      </c>
      <c r="BI186" s="165"/>
      <c r="BJ186" s="165"/>
      <c r="BK186" s="165"/>
      <c r="BL186" s="165"/>
      <c r="BM186" s="165"/>
      <c r="BN186" s="165"/>
      <c r="BO186" s="165"/>
      <c r="BP186" s="165"/>
      <c r="BQ186" s="165"/>
      <c r="BR186" s="165"/>
      <c r="BS186" s="165"/>
      <c r="BT186" s="165"/>
      <c r="BU186" s="165"/>
      <c r="BV186" s="165"/>
      <c r="BW186" s="165"/>
      <c r="BX186" s="165"/>
      <c r="BY186" s="165"/>
      <c r="BZ186" s="165"/>
      <c r="CA186" s="165"/>
      <c r="CB186" s="165"/>
      <c r="CC186" s="165"/>
      <c r="CD186" s="165"/>
      <c r="CE186" s="165"/>
      <c r="CF186" s="165"/>
      <c r="CG186" s="165"/>
      <c r="CH186" s="165"/>
      <c r="CI186" s="170"/>
      <c r="CJ186" s="165"/>
      <c r="CK186" s="165"/>
      <c r="CL186" s="165"/>
      <c r="CM186" s="165"/>
      <c r="CN186" s="170"/>
      <c r="CO186" s="165"/>
      <c r="CP186" s="165"/>
      <c r="CQ186" s="165"/>
    </row>
    <row r="187" spans="2:95" ht="13.8" x14ac:dyDescent="0.25">
      <c r="B187" s="156" t="str">
        <f>Table1[[#Headers],[Total Testes]]</f>
        <v>Total Testes</v>
      </c>
      <c r="C187" s="154" t="str">
        <f t="shared" si="117"/>
        <v>PROTECTION_RL_ESTT_CLMT_ZN</v>
      </c>
      <c r="D187" s="153" t="s">
        <v>1114</v>
      </c>
      <c r="E187" s="153" t="s">
        <v>1530</v>
      </c>
      <c r="G187" s="172">
        <f>INDEX(Table1[[Especificação]:[Total Testes]],MATCH(PlanoV1.0!C187,Table1[CONCAT],0),MATCH(PlanoV1.0!B187,Table1[[#Headers],[Especificação]:[Total Testes]],0))</f>
        <v>8</v>
      </c>
      <c r="H187" s="191">
        <f t="shared" si="118"/>
        <v>1</v>
      </c>
      <c r="I187" s="193">
        <f t="shared" si="119"/>
        <v>0</v>
      </c>
      <c r="J187" s="170"/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65"/>
      <c r="AB187" s="165"/>
      <c r="AC187" s="165"/>
      <c r="AD187" s="165"/>
      <c r="AE187" s="165"/>
      <c r="AF187" s="165"/>
      <c r="AG187" s="165"/>
      <c r="AH187" s="165"/>
      <c r="AI187" s="165"/>
      <c r="AJ187" s="165"/>
      <c r="AK187" s="165"/>
      <c r="AL187" s="165"/>
      <c r="AM187" s="165"/>
      <c r="AN187" s="165"/>
      <c r="AO187" s="165"/>
      <c r="AP187" s="165"/>
      <c r="AQ187" s="165"/>
      <c r="AR187" s="165"/>
      <c r="AS187" s="165"/>
      <c r="AT187" s="165"/>
      <c r="AU187" s="165"/>
      <c r="AV187" s="165"/>
      <c r="AW187" s="165"/>
      <c r="AX187" s="165"/>
      <c r="AY187" s="165"/>
      <c r="AZ187" s="165"/>
      <c r="BA187" s="165"/>
      <c r="BB187" s="170"/>
      <c r="BC187" s="165"/>
      <c r="BD187" s="165"/>
      <c r="BE187" s="165"/>
      <c r="BF187" s="165"/>
      <c r="BG187" s="165"/>
      <c r="BH187" s="165">
        <v>0.5</v>
      </c>
      <c r="BI187" s="165">
        <v>0.5</v>
      </c>
      <c r="BJ187" s="165"/>
      <c r="BK187" s="165"/>
      <c r="BL187" s="165"/>
      <c r="BM187" s="165"/>
      <c r="BN187" s="165"/>
      <c r="BO187" s="165"/>
      <c r="BP187" s="165"/>
      <c r="BQ187" s="165"/>
      <c r="BR187" s="165"/>
      <c r="BS187" s="165"/>
      <c r="BT187" s="165"/>
      <c r="BU187" s="165"/>
      <c r="BV187" s="165"/>
      <c r="BW187" s="165"/>
      <c r="BX187" s="165"/>
      <c r="BY187" s="165"/>
      <c r="BZ187" s="165"/>
      <c r="CA187" s="165"/>
      <c r="CB187" s="165"/>
      <c r="CC187" s="165"/>
      <c r="CD187" s="165"/>
      <c r="CE187" s="165"/>
      <c r="CF187" s="165"/>
      <c r="CG187" s="165"/>
      <c r="CH187" s="165"/>
      <c r="CI187" s="170"/>
      <c r="CJ187" s="165"/>
      <c r="CK187" s="165"/>
      <c r="CL187" s="165"/>
      <c r="CM187" s="165"/>
      <c r="CN187" s="170"/>
      <c r="CO187" s="165"/>
      <c r="CP187" s="165"/>
      <c r="CQ187" s="165"/>
    </row>
    <row r="188" spans="2:95" ht="13.8" x14ac:dyDescent="0.25">
      <c r="B188" s="156" t="str">
        <f>Table1[[#Headers],[Total Testes]]</f>
        <v>Total Testes</v>
      </c>
      <c r="C188" s="154" t="str">
        <f t="shared" si="117"/>
        <v>INSTR_ACTIVITY_COD_SOC</v>
      </c>
      <c r="D188" s="153" t="s">
        <v>1542</v>
      </c>
      <c r="E188" s="153" t="s">
        <v>12</v>
      </c>
      <c r="G188" s="172">
        <f>INDEX(Table1[[Especificação]:[Total Testes]],MATCH(PlanoV1.0!C188,Table1[CONCAT],0),MATCH(PlanoV1.0!B188,Table1[[#Headers],[Especificação]:[Total Testes]],0))</f>
        <v>2.5</v>
      </c>
      <c r="H188" s="191">
        <f t="shared" si="118"/>
        <v>0.4</v>
      </c>
      <c r="I188" s="193">
        <f t="shared" si="119"/>
        <v>0</v>
      </c>
      <c r="J188" s="170"/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165"/>
      <c r="AB188" s="165"/>
      <c r="AC188" s="165"/>
      <c r="AD188" s="165"/>
      <c r="AE188" s="165"/>
      <c r="AF188" s="165"/>
      <c r="AG188" s="165"/>
      <c r="AH188" s="165"/>
      <c r="AI188" s="165"/>
      <c r="AJ188" s="165"/>
      <c r="AK188" s="165"/>
      <c r="AL188" s="165"/>
      <c r="AM188" s="165"/>
      <c r="AN188" s="165"/>
      <c r="AO188" s="165"/>
      <c r="AP188" s="165"/>
      <c r="AQ188" s="165"/>
      <c r="AR188" s="165"/>
      <c r="AS188" s="165"/>
      <c r="AT188" s="165"/>
      <c r="AU188" s="165"/>
      <c r="AV188" s="165"/>
      <c r="AW188" s="165"/>
      <c r="AX188" s="165"/>
      <c r="AY188" s="165"/>
      <c r="AZ188" s="165"/>
      <c r="BA188" s="165"/>
      <c r="BB188" s="170"/>
      <c r="BC188" s="165"/>
      <c r="BD188" s="165"/>
      <c r="BE188" s="165"/>
      <c r="BF188" s="165"/>
      <c r="BG188" s="165"/>
      <c r="BH188" s="165"/>
      <c r="BI188" s="165">
        <v>0.4</v>
      </c>
      <c r="BJ188" s="165"/>
      <c r="BK188" s="165"/>
      <c r="BL188" s="165"/>
      <c r="BM188" s="165"/>
      <c r="BN188" s="165"/>
      <c r="BO188" s="165"/>
      <c r="BP188" s="165"/>
      <c r="BQ188" s="165"/>
      <c r="BR188" s="165"/>
      <c r="BS188" s="165"/>
      <c r="BT188" s="165"/>
      <c r="BU188" s="165"/>
      <c r="BV188" s="165"/>
      <c r="BW188" s="165"/>
      <c r="BX188" s="165"/>
      <c r="BY188" s="165"/>
      <c r="BZ188" s="165"/>
      <c r="CA188" s="165"/>
      <c r="CB188" s="165"/>
      <c r="CC188" s="165"/>
      <c r="CD188" s="165"/>
      <c r="CE188" s="165"/>
      <c r="CF188" s="165"/>
      <c r="CG188" s="165"/>
      <c r="CH188" s="165"/>
      <c r="CI188" s="170"/>
      <c r="CJ188" s="165"/>
      <c r="CK188" s="165"/>
      <c r="CL188" s="165"/>
      <c r="CM188" s="165"/>
      <c r="CN188" s="170"/>
      <c r="CO188" s="165"/>
      <c r="CP188" s="165"/>
      <c r="CQ188" s="165"/>
    </row>
    <row r="189" spans="2:95" ht="13.8" x14ac:dyDescent="0.25">
      <c r="B189" s="156" t="str">
        <f>Table1[[#Headers],[Total Testes]]</f>
        <v>Total Testes</v>
      </c>
      <c r="C189" s="154" t="str">
        <f t="shared" si="117"/>
        <v>INSTR_ACTIVITY_DT_RFRNC</v>
      </c>
      <c r="D189" s="153" t="s">
        <v>1542</v>
      </c>
      <c r="E189" s="153" t="s">
        <v>38</v>
      </c>
      <c r="G189" s="172">
        <f>INDEX(Table1[[Especificação]:[Total Testes]],MATCH(PlanoV1.0!C189,Table1[CONCAT],0),MATCH(PlanoV1.0!B189,Table1[[#Headers],[Especificação]:[Total Testes]],0))</f>
        <v>2.5</v>
      </c>
      <c r="H189" s="191">
        <f t="shared" si="118"/>
        <v>0.4</v>
      </c>
      <c r="I189" s="193">
        <f t="shared" si="119"/>
        <v>0</v>
      </c>
      <c r="J189" s="170"/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  <c r="AA189" s="165"/>
      <c r="AB189" s="165"/>
      <c r="AC189" s="165"/>
      <c r="AD189" s="165"/>
      <c r="AE189" s="165"/>
      <c r="AF189" s="165"/>
      <c r="AG189" s="165"/>
      <c r="AH189" s="165"/>
      <c r="AI189" s="165"/>
      <c r="AJ189" s="165"/>
      <c r="AK189" s="165"/>
      <c r="AL189" s="165"/>
      <c r="AM189" s="165"/>
      <c r="AN189" s="165"/>
      <c r="AO189" s="165"/>
      <c r="AP189" s="165"/>
      <c r="AQ189" s="165"/>
      <c r="AR189" s="165"/>
      <c r="AS189" s="165"/>
      <c r="AT189" s="165"/>
      <c r="AU189" s="165"/>
      <c r="AV189" s="165"/>
      <c r="AW189" s="165"/>
      <c r="AX189" s="165"/>
      <c r="AY189" s="165"/>
      <c r="AZ189" s="165"/>
      <c r="BA189" s="165"/>
      <c r="BB189" s="170"/>
      <c r="BC189" s="165"/>
      <c r="BD189" s="165"/>
      <c r="BE189" s="165"/>
      <c r="BF189" s="165"/>
      <c r="BG189" s="165"/>
      <c r="BH189" s="165"/>
      <c r="BI189" s="165">
        <v>0.4</v>
      </c>
      <c r="BJ189" s="165"/>
      <c r="BK189" s="165"/>
      <c r="BL189" s="165"/>
      <c r="BM189" s="165"/>
      <c r="BN189" s="165"/>
      <c r="BO189" s="165"/>
      <c r="BP189" s="165"/>
      <c r="BQ189" s="165"/>
      <c r="BR189" s="165"/>
      <c r="BS189" s="165"/>
      <c r="BT189" s="165"/>
      <c r="BU189" s="165"/>
      <c r="BV189" s="165"/>
      <c r="BW189" s="165"/>
      <c r="BX189" s="165"/>
      <c r="BY189" s="165"/>
      <c r="BZ189" s="165"/>
      <c r="CA189" s="165"/>
      <c r="CB189" s="165"/>
      <c r="CC189" s="165"/>
      <c r="CD189" s="165"/>
      <c r="CE189" s="165"/>
      <c r="CF189" s="165"/>
      <c r="CG189" s="165"/>
      <c r="CH189" s="165"/>
      <c r="CI189" s="170"/>
      <c r="CJ189" s="165"/>
      <c r="CK189" s="165"/>
      <c r="CL189" s="165"/>
      <c r="CM189" s="165"/>
      <c r="CN189" s="170"/>
      <c r="CO189" s="165"/>
      <c r="CP189" s="165"/>
      <c r="CQ189" s="165"/>
    </row>
    <row r="190" spans="2:95" ht="13.8" x14ac:dyDescent="0.25">
      <c r="B190" s="156" t="str">
        <f>Table1[[#Headers],[Total Testes]]</f>
        <v>Total Testes</v>
      </c>
      <c r="C190" s="154" t="str">
        <f t="shared" si="117"/>
        <v>INSTR_ACTIVITY_INSTRMNT_ID</v>
      </c>
      <c r="D190" s="153" t="s">
        <v>1542</v>
      </c>
      <c r="E190" s="153" t="s">
        <v>405</v>
      </c>
      <c r="G190" s="172">
        <f>INDEX(Table1[[Especificação]:[Total Testes]],MATCH(PlanoV1.0!C190,Table1[CONCAT],0),MATCH(PlanoV1.0!B190,Table1[[#Headers],[Especificação]:[Total Testes]],0))</f>
        <v>2.5</v>
      </c>
      <c r="H190" s="191">
        <f t="shared" si="118"/>
        <v>0.4</v>
      </c>
      <c r="I190" s="193">
        <f t="shared" si="119"/>
        <v>0</v>
      </c>
      <c r="J190" s="170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  <c r="AA190" s="165"/>
      <c r="AB190" s="165"/>
      <c r="AC190" s="165"/>
      <c r="AD190" s="165"/>
      <c r="AE190" s="165"/>
      <c r="AF190" s="165"/>
      <c r="AG190" s="165"/>
      <c r="AH190" s="165"/>
      <c r="AI190" s="165"/>
      <c r="AJ190" s="165"/>
      <c r="AK190" s="165"/>
      <c r="AL190" s="165"/>
      <c r="AM190" s="165"/>
      <c r="AN190" s="165"/>
      <c r="AO190" s="165"/>
      <c r="AP190" s="165"/>
      <c r="AQ190" s="165"/>
      <c r="AR190" s="165"/>
      <c r="AS190" s="165"/>
      <c r="AT190" s="165"/>
      <c r="AU190" s="165"/>
      <c r="AV190" s="165"/>
      <c r="AW190" s="165"/>
      <c r="AX190" s="165"/>
      <c r="AY190" s="165"/>
      <c r="AZ190" s="165"/>
      <c r="BA190" s="165"/>
      <c r="BB190" s="170"/>
      <c r="BC190" s="165"/>
      <c r="BD190" s="165"/>
      <c r="BE190" s="165"/>
      <c r="BF190" s="165"/>
      <c r="BG190" s="165"/>
      <c r="BH190" s="165"/>
      <c r="BI190" s="165">
        <v>0.4</v>
      </c>
      <c r="BJ190" s="165"/>
      <c r="BK190" s="165"/>
      <c r="BL190" s="165"/>
      <c r="BM190" s="165"/>
      <c r="BN190" s="165"/>
      <c r="BO190" s="165"/>
      <c r="BP190" s="165"/>
      <c r="BQ190" s="165"/>
      <c r="BR190" s="165"/>
      <c r="BS190" s="165"/>
      <c r="BT190" s="165"/>
      <c r="BU190" s="165"/>
      <c r="BV190" s="165"/>
      <c r="BW190" s="165"/>
      <c r="BX190" s="165"/>
      <c r="BY190" s="165"/>
      <c r="BZ190" s="165"/>
      <c r="CA190" s="165"/>
      <c r="CB190" s="165"/>
      <c r="CC190" s="165"/>
      <c r="CD190" s="165"/>
      <c r="CE190" s="165"/>
      <c r="CF190" s="165"/>
      <c r="CG190" s="165"/>
      <c r="CH190" s="165"/>
      <c r="CI190" s="170"/>
      <c r="CJ190" s="165"/>
      <c r="CK190" s="165"/>
      <c r="CL190" s="165"/>
      <c r="CM190" s="165"/>
      <c r="CN190" s="170"/>
      <c r="CO190" s="165"/>
      <c r="CP190" s="165"/>
      <c r="CQ190" s="165"/>
    </row>
    <row r="191" spans="2:95" ht="13.8" x14ac:dyDescent="0.25">
      <c r="B191" s="156" t="str">
        <f>Table1[[#Headers],[Total Testes]]</f>
        <v>Total Testes</v>
      </c>
      <c r="C191" s="154" t="str">
        <f t="shared" si="117"/>
        <v>INSTR_ACTIVITY_PRCNTG_ACTVTY</v>
      </c>
      <c r="D191" s="153" t="s">
        <v>1542</v>
      </c>
      <c r="E191" s="153" t="s">
        <v>1548</v>
      </c>
      <c r="G191" s="172">
        <f>INDEX(Table1[[Especificação]:[Total Testes]],MATCH(PlanoV1.0!C191,Table1[CONCAT],0),MATCH(PlanoV1.0!B191,Table1[[#Headers],[Especificação]:[Total Testes]],0))</f>
        <v>4.5</v>
      </c>
      <c r="H191" s="191">
        <f t="shared" si="118"/>
        <v>0.6</v>
      </c>
      <c r="I191" s="193">
        <f t="shared" si="119"/>
        <v>0</v>
      </c>
      <c r="J191" s="170"/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  <c r="AA191" s="165"/>
      <c r="AB191" s="165"/>
      <c r="AC191" s="165"/>
      <c r="AD191" s="165"/>
      <c r="AE191" s="165"/>
      <c r="AF191" s="165"/>
      <c r="AG191" s="165"/>
      <c r="AH191" s="165"/>
      <c r="AI191" s="165"/>
      <c r="AJ191" s="165"/>
      <c r="AK191" s="165"/>
      <c r="AL191" s="165"/>
      <c r="AM191" s="165"/>
      <c r="AN191" s="165"/>
      <c r="AO191" s="165"/>
      <c r="AP191" s="165"/>
      <c r="AQ191" s="165"/>
      <c r="AR191" s="165"/>
      <c r="AS191" s="165"/>
      <c r="AT191" s="165"/>
      <c r="AU191" s="165"/>
      <c r="AV191" s="165"/>
      <c r="AW191" s="165"/>
      <c r="AX191" s="165"/>
      <c r="AY191" s="165"/>
      <c r="AZ191" s="165"/>
      <c r="BA191" s="165"/>
      <c r="BB191" s="170"/>
      <c r="BC191" s="165"/>
      <c r="BD191" s="165"/>
      <c r="BE191" s="165"/>
      <c r="BF191" s="165"/>
      <c r="BG191" s="165"/>
      <c r="BH191" s="165"/>
      <c r="BI191" s="165">
        <v>0.3</v>
      </c>
      <c r="BJ191" s="165">
        <v>0.3</v>
      </c>
      <c r="BK191" s="165"/>
      <c r="BL191" s="165"/>
      <c r="BM191" s="165"/>
      <c r="BN191" s="165"/>
      <c r="BO191" s="165"/>
      <c r="BP191" s="165"/>
      <c r="BQ191" s="165"/>
      <c r="BR191" s="165"/>
      <c r="BS191" s="165"/>
      <c r="BT191" s="165"/>
      <c r="BU191" s="165"/>
      <c r="BV191" s="165"/>
      <c r="BW191" s="165"/>
      <c r="BX191" s="165"/>
      <c r="BY191" s="165"/>
      <c r="BZ191" s="165"/>
      <c r="CA191" s="165"/>
      <c r="CB191" s="165"/>
      <c r="CC191" s="165"/>
      <c r="CD191" s="165"/>
      <c r="CE191" s="165"/>
      <c r="CF191" s="165"/>
      <c r="CG191" s="165"/>
      <c r="CH191" s="165"/>
      <c r="CI191" s="170"/>
      <c r="CJ191" s="165"/>
      <c r="CK191" s="165"/>
      <c r="CL191" s="165"/>
      <c r="CM191" s="165"/>
      <c r="CN191" s="170"/>
      <c r="CO191" s="165"/>
      <c r="CP191" s="165"/>
      <c r="CQ191" s="165"/>
    </row>
    <row r="192" spans="2:95" ht="13.8" x14ac:dyDescent="0.25">
      <c r="B192" s="156" t="str">
        <f>Table1[[#Headers],[Total Testes]]</f>
        <v>Total Testes</v>
      </c>
      <c r="C192" s="154" t="str">
        <f t="shared" si="117"/>
        <v>INSTR_ACTIVITY_FLG_SBSTNTL_CNTRBTN</v>
      </c>
      <c r="D192" s="153" t="s">
        <v>1542</v>
      </c>
      <c r="E192" s="153" t="s">
        <v>1554</v>
      </c>
      <c r="G192" s="172">
        <f>INDEX(Table1[[Especificação]:[Total Testes]],MATCH(PlanoV1.0!C192,Table1[CONCAT],0),MATCH(PlanoV1.0!B192,Table1[[#Headers],[Especificação]:[Total Testes]],0))</f>
        <v>4.5</v>
      </c>
      <c r="H192" s="191">
        <f t="shared" si="118"/>
        <v>0.6</v>
      </c>
      <c r="I192" s="193">
        <f t="shared" si="119"/>
        <v>9.9999999999999978E-2</v>
      </c>
      <c r="J192" s="170"/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  <c r="AA192" s="165"/>
      <c r="AB192" s="165"/>
      <c r="AC192" s="165"/>
      <c r="AD192" s="165"/>
      <c r="AE192" s="165"/>
      <c r="AF192" s="165"/>
      <c r="AG192" s="165"/>
      <c r="AH192" s="165"/>
      <c r="AI192" s="165"/>
      <c r="AJ192" s="165"/>
      <c r="AK192" s="165"/>
      <c r="AL192" s="165"/>
      <c r="AM192" s="165"/>
      <c r="AN192" s="165"/>
      <c r="AO192" s="165"/>
      <c r="AP192" s="165"/>
      <c r="AQ192" s="165"/>
      <c r="AR192" s="165"/>
      <c r="AS192" s="165"/>
      <c r="AT192" s="165"/>
      <c r="AU192" s="165"/>
      <c r="AV192" s="165"/>
      <c r="AW192" s="165"/>
      <c r="AX192" s="165"/>
      <c r="AY192" s="165"/>
      <c r="AZ192" s="165"/>
      <c r="BA192" s="165"/>
      <c r="BB192" s="170"/>
      <c r="BC192" s="165"/>
      <c r="BD192" s="165"/>
      <c r="BE192" s="165"/>
      <c r="BF192" s="165"/>
      <c r="BG192" s="165"/>
      <c r="BH192" s="165"/>
      <c r="BI192" s="165"/>
      <c r="BJ192" s="165">
        <v>0.7</v>
      </c>
      <c r="BK192" s="165"/>
      <c r="BL192" s="165"/>
      <c r="BM192" s="165"/>
      <c r="BN192" s="165"/>
      <c r="BO192" s="165"/>
      <c r="BP192" s="165"/>
      <c r="BQ192" s="165"/>
      <c r="BR192" s="165"/>
      <c r="BS192" s="165"/>
      <c r="BT192" s="165"/>
      <c r="BU192" s="165"/>
      <c r="BV192" s="165"/>
      <c r="BW192" s="165"/>
      <c r="BX192" s="165"/>
      <c r="BY192" s="165"/>
      <c r="BZ192" s="165"/>
      <c r="CA192" s="165"/>
      <c r="CB192" s="165"/>
      <c r="CC192" s="165"/>
      <c r="CD192" s="165"/>
      <c r="CE192" s="165"/>
      <c r="CF192" s="165"/>
      <c r="CG192" s="165"/>
      <c r="CH192" s="165"/>
      <c r="CI192" s="170"/>
      <c r="CJ192" s="165"/>
      <c r="CK192" s="165"/>
      <c r="CL192" s="165"/>
      <c r="CM192" s="165"/>
      <c r="CN192" s="170"/>
      <c r="CO192" s="165"/>
      <c r="CP192" s="165"/>
      <c r="CQ192" s="165"/>
    </row>
    <row r="193" spans="2:95" ht="13.8" x14ac:dyDescent="0.25">
      <c r="B193" s="156" t="str">
        <f>Table1[[#Headers],[Total Testes]]</f>
        <v>Total Testes</v>
      </c>
      <c r="C193" s="154" t="str">
        <f t="shared" si="117"/>
        <v>INSTR_ACTIVITY_FLG_DNSH_CMPLNC</v>
      </c>
      <c r="D193" s="153" t="s">
        <v>1542</v>
      </c>
      <c r="E193" s="153" t="s">
        <v>1557</v>
      </c>
      <c r="G193" s="172">
        <f>INDEX(Table1[[Especificação]:[Total Testes]],MATCH(PlanoV1.0!C193,Table1[CONCAT],0),MATCH(PlanoV1.0!B193,Table1[[#Headers],[Especificação]:[Total Testes]],0))</f>
        <v>0</v>
      </c>
      <c r="H193" s="191">
        <f t="shared" si="118"/>
        <v>0</v>
      </c>
      <c r="I193" s="193">
        <f t="shared" si="119"/>
        <v>0.9</v>
      </c>
      <c r="J193" s="170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  <c r="AA193" s="165"/>
      <c r="AB193" s="165"/>
      <c r="AC193" s="165"/>
      <c r="AD193" s="165"/>
      <c r="AE193" s="165"/>
      <c r="AF193" s="165"/>
      <c r="AG193" s="165"/>
      <c r="AH193" s="165"/>
      <c r="AI193" s="165"/>
      <c r="AJ193" s="165"/>
      <c r="AK193" s="165"/>
      <c r="AL193" s="165"/>
      <c r="AM193" s="165"/>
      <c r="AN193" s="165"/>
      <c r="AO193" s="165"/>
      <c r="AP193" s="165"/>
      <c r="AQ193" s="165"/>
      <c r="AR193" s="165"/>
      <c r="AS193" s="165"/>
      <c r="AT193" s="165"/>
      <c r="AU193" s="165"/>
      <c r="AV193" s="165"/>
      <c r="AW193" s="165"/>
      <c r="AX193" s="165"/>
      <c r="AY193" s="165"/>
      <c r="AZ193" s="165"/>
      <c r="BA193" s="165"/>
      <c r="BB193" s="170"/>
      <c r="BC193" s="165"/>
      <c r="BD193" s="165"/>
      <c r="BE193" s="165"/>
      <c r="BF193" s="165"/>
      <c r="BG193" s="165"/>
      <c r="BH193" s="165"/>
      <c r="BI193" s="165"/>
      <c r="BJ193" s="165">
        <v>0.9</v>
      </c>
      <c r="BK193" s="165"/>
      <c r="BL193" s="165"/>
      <c r="BM193" s="165"/>
      <c r="BN193" s="165"/>
      <c r="BO193" s="165"/>
      <c r="BP193" s="165"/>
      <c r="BQ193" s="165"/>
      <c r="BR193" s="165"/>
      <c r="BS193" s="165"/>
      <c r="BT193" s="165"/>
      <c r="BU193" s="165"/>
      <c r="BV193" s="165"/>
      <c r="BW193" s="165"/>
      <c r="BX193" s="165"/>
      <c r="BY193" s="165"/>
      <c r="BZ193" s="165"/>
      <c r="CA193" s="165"/>
      <c r="CB193" s="165"/>
      <c r="CC193" s="165"/>
      <c r="CD193" s="165"/>
      <c r="CE193" s="165"/>
      <c r="CF193" s="165"/>
      <c r="CG193" s="165"/>
      <c r="CH193" s="165"/>
      <c r="CI193" s="170"/>
      <c r="CJ193" s="165"/>
      <c r="CK193" s="165"/>
      <c r="CL193" s="165"/>
      <c r="CM193" s="165"/>
      <c r="CN193" s="170"/>
      <c r="CO193" s="165"/>
      <c r="CP193" s="165"/>
      <c r="CQ193" s="165"/>
    </row>
    <row r="194" spans="2:95" ht="13.8" x14ac:dyDescent="0.25">
      <c r="B194" s="156" t="str">
        <f>Table1[[#Headers],[Total Testes]]</f>
        <v>Total Testes</v>
      </c>
      <c r="C194" s="154" t="str">
        <f t="shared" si="117"/>
        <v>INSTR_ACTIVITY_DNSH_DTL</v>
      </c>
      <c r="D194" s="153" t="s">
        <v>1542</v>
      </c>
      <c r="E194" s="153" t="s">
        <v>1560</v>
      </c>
      <c r="G194" s="172">
        <f>INDEX(Table1[[Especificação]:[Total Testes]],MATCH(PlanoV1.0!C194,Table1[CONCAT],0),MATCH(PlanoV1.0!B194,Table1[[#Headers],[Especificação]:[Total Testes]],0))</f>
        <v>0</v>
      </c>
      <c r="H194" s="191">
        <f t="shared" si="118"/>
        <v>0</v>
      </c>
      <c r="I194" s="193">
        <f t="shared" si="119"/>
        <v>1</v>
      </c>
      <c r="J194" s="170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  <c r="AA194" s="165"/>
      <c r="AB194" s="165"/>
      <c r="AC194" s="165"/>
      <c r="AD194" s="165"/>
      <c r="AE194" s="165"/>
      <c r="AF194" s="165"/>
      <c r="AG194" s="165"/>
      <c r="AH194" s="165"/>
      <c r="AI194" s="165"/>
      <c r="AJ194" s="165"/>
      <c r="AK194" s="165"/>
      <c r="AL194" s="165"/>
      <c r="AM194" s="165"/>
      <c r="AN194" s="165"/>
      <c r="AO194" s="165"/>
      <c r="AP194" s="165"/>
      <c r="AQ194" s="165"/>
      <c r="AR194" s="165"/>
      <c r="AS194" s="165"/>
      <c r="AT194" s="165"/>
      <c r="AU194" s="165"/>
      <c r="AV194" s="165"/>
      <c r="AW194" s="165"/>
      <c r="AX194" s="165"/>
      <c r="AY194" s="165"/>
      <c r="AZ194" s="165"/>
      <c r="BA194" s="165"/>
      <c r="BB194" s="170"/>
      <c r="BC194" s="165"/>
      <c r="BD194" s="165"/>
      <c r="BE194" s="165"/>
      <c r="BF194" s="165"/>
      <c r="BG194" s="165"/>
      <c r="BH194" s="165"/>
      <c r="BI194" s="165"/>
      <c r="BJ194" s="165">
        <v>0.1</v>
      </c>
      <c r="BK194" s="165">
        <v>0.9</v>
      </c>
      <c r="BL194" s="165"/>
      <c r="BM194" s="165"/>
      <c r="BN194" s="165"/>
      <c r="BO194" s="165"/>
      <c r="BP194" s="165"/>
      <c r="BQ194" s="165"/>
      <c r="BR194" s="165"/>
      <c r="BS194" s="165"/>
      <c r="BT194" s="165"/>
      <c r="BU194" s="165"/>
      <c r="BV194" s="165"/>
      <c r="BW194" s="165"/>
      <c r="BX194" s="165"/>
      <c r="BY194" s="165"/>
      <c r="BZ194" s="165"/>
      <c r="CA194" s="165"/>
      <c r="CB194" s="165"/>
      <c r="CC194" s="165"/>
      <c r="CD194" s="165"/>
      <c r="CE194" s="165"/>
      <c r="CF194" s="165"/>
      <c r="CG194" s="165"/>
      <c r="CH194" s="165"/>
      <c r="CI194" s="170"/>
      <c r="CJ194" s="165"/>
      <c r="CK194" s="165"/>
      <c r="CL194" s="165"/>
      <c r="CM194" s="165"/>
      <c r="CN194" s="170"/>
      <c r="CO194" s="165"/>
      <c r="CP194" s="165"/>
      <c r="CQ194" s="165"/>
    </row>
    <row r="195" spans="2:95" ht="13.8" x14ac:dyDescent="0.25">
      <c r="B195" s="156" t="str">
        <f>Table1[[#Headers],[Total Testes]]</f>
        <v>Total Testes</v>
      </c>
      <c r="C195" s="154" t="str">
        <f t="shared" si="117"/>
        <v>ENTITY_GRP_ECNMC_ACTVTY</v>
      </c>
      <c r="D195" s="153" t="s">
        <v>10</v>
      </c>
      <c r="E195" s="153" t="s">
        <v>382</v>
      </c>
      <c r="G195" s="172">
        <f>INDEX(Table1[[Especificação]:[Total Testes]],MATCH(PlanoV1.0!C195,Table1[CONCAT],0),MATCH(PlanoV1.0!B195,Table1[[#Headers],[Especificação]:[Total Testes]],0))</f>
        <v>3.5</v>
      </c>
      <c r="H195" s="191">
        <f t="shared" si="118"/>
        <v>0.5</v>
      </c>
      <c r="I195" s="193">
        <f t="shared" si="119"/>
        <v>0</v>
      </c>
      <c r="J195" s="170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  <c r="AA195" s="165"/>
      <c r="AB195" s="165"/>
      <c r="AC195" s="165"/>
      <c r="AD195" s="165"/>
      <c r="AE195" s="165"/>
      <c r="AF195" s="165"/>
      <c r="AG195" s="165"/>
      <c r="AH195" s="165"/>
      <c r="AI195" s="165"/>
      <c r="AJ195" s="165"/>
      <c r="AK195" s="165"/>
      <c r="AL195" s="165"/>
      <c r="AM195" s="165"/>
      <c r="AN195" s="165"/>
      <c r="AO195" s="165"/>
      <c r="AP195" s="165"/>
      <c r="AQ195" s="165"/>
      <c r="AR195" s="165"/>
      <c r="AS195" s="165"/>
      <c r="AT195" s="165"/>
      <c r="AU195" s="165"/>
      <c r="AV195" s="165"/>
      <c r="AW195" s="165"/>
      <c r="AX195" s="165"/>
      <c r="AY195" s="165"/>
      <c r="AZ195" s="165"/>
      <c r="BA195" s="165"/>
      <c r="BB195" s="170"/>
      <c r="BC195" s="165"/>
      <c r="BD195" s="165"/>
      <c r="BE195" s="165"/>
      <c r="BF195" s="165"/>
      <c r="BG195" s="165"/>
      <c r="BH195" s="165"/>
      <c r="BI195" s="165"/>
      <c r="BJ195" s="165"/>
      <c r="BK195" s="165">
        <v>0.5</v>
      </c>
      <c r="BL195" s="165"/>
      <c r="BM195" s="165"/>
      <c r="BN195" s="165"/>
      <c r="BO195" s="165"/>
      <c r="BP195" s="165"/>
      <c r="BQ195" s="165"/>
      <c r="BR195" s="165"/>
      <c r="BS195" s="165"/>
      <c r="BT195" s="165"/>
      <c r="BU195" s="165"/>
      <c r="BV195" s="165"/>
      <c r="BW195" s="165"/>
      <c r="BX195" s="165"/>
      <c r="BY195" s="165"/>
      <c r="BZ195" s="165"/>
      <c r="CA195" s="165"/>
      <c r="CB195" s="165"/>
      <c r="CC195" s="165"/>
      <c r="CD195" s="165"/>
      <c r="CE195" s="165"/>
      <c r="CF195" s="165"/>
      <c r="CG195" s="165"/>
      <c r="CH195" s="165"/>
      <c r="CI195" s="170"/>
      <c r="CJ195" s="165"/>
      <c r="CK195" s="165"/>
      <c r="CL195" s="165"/>
      <c r="CM195" s="165"/>
      <c r="CN195" s="170"/>
      <c r="CO195" s="165"/>
      <c r="CP195" s="165"/>
      <c r="CQ195" s="165"/>
    </row>
    <row r="196" spans="2:95" ht="13.8" x14ac:dyDescent="0.25">
      <c r="B196" s="156" t="str">
        <f>Table1[[#Headers],[Total Testes]]</f>
        <v>Total Testes</v>
      </c>
      <c r="C196" s="154" t="str">
        <f t="shared" si="117"/>
        <v>PROTECTION_TYP_EMSSNS_LBL</v>
      </c>
      <c r="D196" s="153" t="s">
        <v>1114</v>
      </c>
      <c r="E196" s="153" t="s">
        <v>1235</v>
      </c>
      <c r="G196" s="172">
        <f>INDEX(Table1[[Especificação]:[Total Testes]],MATCH(PlanoV1.0!C196,Table1[CONCAT],0),MATCH(PlanoV1.0!B196,Table1[[#Headers],[Especificação]:[Total Testes]],0))</f>
        <v>0</v>
      </c>
      <c r="H196" s="191">
        <f t="shared" si="118"/>
        <v>0</v>
      </c>
      <c r="I196" s="193">
        <f t="shared" si="119"/>
        <v>0.7</v>
      </c>
      <c r="J196" s="170"/>
      <c r="K196" s="165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  <c r="AA196" s="165"/>
      <c r="AB196" s="165"/>
      <c r="AC196" s="165"/>
      <c r="AD196" s="165"/>
      <c r="AE196" s="165"/>
      <c r="AF196" s="165"/>
      <c r="AG196" s="165"/>
      <c r="AH196" s="165"/>
      <c r="AI196" s="165"/>
      <c r="AJ196" s="165"/>
      <c r="AK196" s="165"/>
      <c r="AL196" s="165"/>
      <c r="AM196" s="165"/>
      <c r="AN196" s="165"/>
      <c r="AO196" s="165"/>
      <c r="AP196" s="165"/>
      <c r="AQ196" s="165"/>
      <c r="AR196" s="165"/>
      <c r="AS196" s="165"/>
      <c r="AT196" s="165"/>
      <c r="AU196" s="165"/>
      <c r="AV196" s="165"/>
      <c r="AW196" s="165"/>
      <c r="AX196" s="165"/>
      <c r="AY196" s="165"/>
      <c r="AZ196" s="165"/>
      <c r="BA196" s="165"/>
      <c r="BB196" s="170"/>
      <c r="BC196" s="165"/>
      <c r="BD196" s="165"/>
      <c r="BE196" s="165"/>
      <c r="BF196" s="165"/>
      <c r="BG196" s="165"/>
      <c r="BH196" s="165"/>
      <c r="BI196" s="165"/>
      <c r="BJ196" s="165"/>
      <c r="BK196" s="165">
        <v>0.6</v>
      </c>
      <c r="BL196" s="165">
        <v>0.1</v>
      </c>
      <c r="BM196" s="165"/>
      <c r="BN196" s="165"/>
      <c r="BO196" s="165"/>
      <c r="BP196" s="165"/>
      <c r="BQ196" s="165"/>
      <c r="BR196" s="165"/>
      <c r="BS196" s="165"/>
      <c r="BT196" s="165"/>
      <c r="BU196" s="165"/>
      <c r="BV196" s="165"/>
      <c r="BW196" s="165"/>
      <c r="BX196" s="165"/>
      <c r="BY196" s="165"/>
      <c r="BZ196" s="165"/>
      <c r="CA196" s="165"/>
      <c r="CB196" s="165"/>
      <c r="CC196" s="165"/>
      <c r="CD196" s="165"/>
      <c r="CE196" s="165"/>
      <c r="CF196" s="165"/>
      <c r="CG196" s="165"/>
      <c r="CH196" s="165"/>
      <c r="CI196" s="170"/>
      <c r="CJ196" s="165"/>
      <c r="CK196" s="165"/>
      <c r="CL196" s="165"/>
      <c r="CM196" s="165"/>
      <c r="CN196" s="170"/>
      <c r="CO196" s="165"/>
      <c r="CP196" s="165"/>
      <c r="CQ196" s="165"/>
    </row>
    <row r="197" spans="2:95" ht="13.8" x14ac:dyDescent="0.25">
      <c r="B197" s="156" t="str">
        <f>Table1[[#Headers],[Total Testes]]</f>
        <v>Total Testes</v>
      </c>
      <c r="C197" s="154" t="str">
        <f t="shared" si="117"/>
        <v>PROTECTION_EPC_EMSSNS_LBL</v>
      </c>
      <c r="D197" s="153" t="s">
        <v>1114</v>
      </c>
      <c r="E197" s="153" t="s">
        <v>1238</v>
      </c>
      <c r="G197" s="172">
        <f>INDEX(Table1[[Especificação]:[Total Testes]],MATCH(PlanoV1.0!C197,Table1[CONCAT],0),MATCH(PlanoV1.0!B197,Table1[[#Headers],[Especificação]:[Total Testes]],0))</f>
        <v>0</v>
      </c>
      <c r="H197" s="191">
        <f t="shared" si="118"/>
        <v>0</v>
      </c>
      <c r="I197" s="193">
        <f t="shared" si="119"/>
        <v>0.5</v>
      </c>
      <c r="J197" s="170"/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  <c r="AA197" s="165"/>
      <c r="AB197" s="165"/>
      <c r="AC197" s="165"/>
      <c r="AD197" s="165"/>
      <c r="AE197" s="165"/>
      <c r="AF197" s="165"/>
      <c r="AG197" s="165"/>
      <c r="AH197" s="165"/>
      <c r="AI197" s="165"/>
      <c r="AJ197" s="165"/>
      <c r="AK197" s="165"/>
      <c r="AL197" s="165"/>
      <c r="AM197" s="165"/>
      <c r="AN197" s="165"/>
      <c r="AO197" s="165"/>
      <c r="AP197" s="165"/>
      <c r="AQ197" s="165"/>
      <c r="AR197" s="165"/>
      <c r="AS197" s="165"/>
      <c r="AT197" s="165"/>
      <c r="AU197" s="165"/>
      <c r="AV197" s="165"/>
      <c r="AW197" s="165"/>
      <c r="AX197" s="165"/>
      <c r="AY197" s="165"/>
      <c r="AZ197" s="165"/>
      <c r="BA197" s="165"/>
      <c r="BB197" s="170"/>
      <c r="BC197" s="165"/>
      <c r="BD197" s="165"/>
      <c r="BE197" s="165"/>
      <c r="BF197" s="165"/>
      <c r="BG197" s="165"/>
      <c r="BH197" s="165"/>
      <c r="BI197" s="165"/>
      <c r="BJ197" s="165"/>
      <c r="BK197" s="165"/>
      <c r="BL197" s="165">
        <v>0.5</v>
      </c>
      <c r="BM197" s="165"/>
      <c r="BN197" s="165"/>
      <c r="BO197" s="165"/>
      <c r="BP197" s="165"/>
      <c r="BQ197" s="165"/>
      <c r="BR197" s="165"/>
      <c r="BS197" s="165"/>
      <c r="BT197" s="165"/>
      <c r="BU197" s="165"/>
      <c r="BV197" s="165"/>
      <c r="BW197" s="165"/>
      <c r="BX197" s="165"/>
      <c r="BY197" s="165"/>
      <c r="BZ197" s="165"/>
      <c r="CA197" s="165"/>
      <c r="CB197" s="165"/>
      <c r="CC197" s="165"/>
      <c r="CD197" s="165"/>
      <c r="CE197" s="165"/>
      <c r="CF197" s="165"/>
      <c r="CG197" s="165"/>
      <c r="CH197" s="165"/>
      <c r="CI197" s="170"/>
      <c r="CJ197" s="165"/>
      <c r="CK197" s="165"/>
      <c r="CL197" s="165"/>
      <c r="CM197" s="165"/>
      <c r="CN197" s="170"/>
      <c r="CO197" s="165"/>
      <c r="CP197" s="165"/>
      <c r="CQ197" s="165"/>
    </row>
    <row r="198" spans="2:95" ht="13.8" x14ac:dyDescent="0.25">
      <c r="B198" s="156" t="str">
        <f>Table1[[#Headers],[Total Testes]]</f>
        <v>Total Testes</v>
      </c>
      <c r="C198" s="154" t="str">
        <f t="shared" si="117"/>
        <v>PROTECTION_VHCL_EMSSNS_LBL</v>
      </c>
      <c r="D198" s="153" t="s">
        <v>1114</v>
      </c>
      <c r="E198" s="153" t="s">
        <v>1241</v>
      </c>
      <c r="G198" s="172">
        <f>INDEX(Table1[[Especificação]:[Total Testes]],MATCH(PlanoV1.0!C198,Table1[CONCAT],0),MATCH(PlanoV1.0!B198,Table1[[#Headers],[Especificação]:[Total Testes]],0))</f>
        <v>0</v>
      </c>
      <c r="H198" s="191">
        <f t="shared" si="118"/>
        <v>0</v>
      </c>
      <c r="I198" s="193">
        <f t="shared" si="119"/>
        <v>1</v>
      </c>
      <c r="J198" s="170"/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  <c r="AA198" s="165"/>
      <c r="AB198" s="165"/>
      <c r="AC198" s="165"/>
      <c r="AD198" s="165"/>
      <c r="AE198" s="165"/>
      <c r="AF198" s="165"/>
      <c r="AG198" s="165"/>
      <c r="AH198" s="165"/>
      <c r="AI198" s="165"/>
      <c r="AJ198" s="165"/>
      <c r="AK198" s="165"/>
      <c r="AL198" s="165"/>
      <c r="AM198" s="165"/>
      <c r="AN198" s="165"/>
      <c r="AO198" s="165"/>
      <c r="AP198" s="165"/>
      <c r="AQ198" s="165"/>
      <c r="AR198" s="165"/>
      <c r="AS198" s="165"/>
      <c r="AT198" s="165"/>
      <c r="AU198" s="165"/>
      <c r="AV198" s="165"/>
      <c r="AW198" s="165"/>
      <c r="AX198" s="165"/>
      <c r="AY198" s="165"/>
      <c r="AZ198" s="165"/>
      <c r="BA198" s="165"/>
      <c r="BB198" s="170"/>
      <c r="BC198" s="165"/>
      <c r="BD198" s="165"/>
      <c r="BE198" s="165"/>
      <c r="BF198" s="165"/>
      <c r="BG198" s="165"/>
      <c r="BH198" s="165"/>
      <c r="BI198" s="165"/>
      <c r="BJ198" s="165"/>
      <c r="BK198" s="165"/>
      <c r="BL198" s="165">
        <v>1</v>
      </c>
      <c r="BM198" s="165"/>
      <c r="BN198" s="165"/>
      <c r="BO198" s="165"/>
      <c r="BP198" s="165"/>
      <c r="BQ198" s="165"/>
      <c r="BR198" s="165"/>
      <c r="BS198" s="165"/>
      <c r="BT198" s="165"/>
      <c r="BU198" s="165"/>
      <c r="BV198" s="165"/>
      <c r="BW198" s="165"/>
      <c r="BX198" s="165"/>
      <c r="BY198" s="165"/>
      <c r="BZ198" s="165"/>
      <c r="CA198" s="165"/>
      <c r="CB198" s="165"/>
      <c r="CC198" s="165"/>
      <c r="CD198" s="165"/>
      <c r="CE198" s="165"/>
      <c r="CF198" s="165"/>
      <c r="CG198" s="165"/>
      <c r="CH198" s="165"/>
      <c r="CI198" s="170"/>
      <c r="CJ198" s="165"/>
      <c r="CK198" s="165"/>
      <c r="CL198" s="165"/>
      <c r="CM198" s="165"/>
      <c r="CN198" s="170"/>
      <c r="CO198" s="165"/>
      <c r="CP198" s="165"/>
      <c r="CQ198" s="165"/>
    </row>
    <row r="199" spans="2:95" ht="13.8" x14ac:dyDescent="0.25">
      <c r="B199" s="156" t="str">
        <f>Table1[[#Headers],[Total Testes]]</f>
        <v>Total Testes</v>
      </c>
      <c r="C199" s="154" t="str">
        <f t="shared" si="117"/>
        <v>PROTECTION_TYP_EMSSNS_SCR</v>
      </c>
      <c r="D199" s="153" t="s">
        <v>1114</v>
      </c>
      <c r="E199" s="153" t="s">
        <v>1244</v>
      </c>
      <c r="G199" s="172">
        <f>INDEX(Table1[[Especificação]:[Total Testes]],MATCH(PlanoV1.0!C199,Table1[CONCAT],0),MATCH(PlanoV1.0!B199,Table1[[#Headers],[Especificação]:[Total Testes]],0))</f>
        <v>0</v>
      </c>
      <c r="H199" s="191">
        <f t="shared" si="118"/>
        <v>0</v>
      </c>
      <c r="I199" s="193">
        <f t="shared" si="119"/>
        <v>0.5</v>
      </c>
      <c r="J199" s="170"/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  <c r="AA199" s="165"/>
      <c r="AB199" s="165"/>
      <c r="AC199" s="165"/>
      <c r="AD199" s="165"/>
      <c r="AE199" s="165"/>
      <c r="AF199" s="165"/>
      <c r="AG199" s="165"/>
      <c r="AH199" s="165"/>
      <c r="AI199" s="165"/>
      <c r="AJ199" s="165"/>
      <c r="AK199" s="165"/>
      <c r="AL199" s="165"/>
      <c r="AM199" s="165"/>
      <c r="AN199" s="165"/>
      <c r="AO199" s="165"/>
      <c r="AP199" s="165"/>
      <c r="AQ199" s="165"/>
      <c r="AR199" s="165"/>
      <c r="AS199" s="165"/>
      <c r="AT199" s="165"/>
      <c r="AU199" s="165"/>
      <c r="AV199" s="165"/>
      <c r="AW199" s="165"/>
      <c r="AX199" s="165"/>
      <c r="AY199" s="165"/>
      <c r="AZ199" s="165"/>
      <c r="BA199" s="165"/>
      <c r="BB199" s="170"/>
      <c r="BC199" s="165"/>
      <c r="BD199" s="165"/>
      <c r="BE199" s="165"/>
      <c r="BF199" s="165"/>
      <c r="BG199" s="165"/>
      <c r="BH199" s="165"/>
      <c r="BI199" s="165"/>
      <c r="BJ199" s="165"/>
      <c r="BK199" s="165"/>
      <c r="BL199" s="165">
        <v>0.4</v>
      </c>
      <c r="BM199" s="165">
        <v>0.1</v>
      </c>
      <c r="BN199" s="165"/>
      <c r="BO199" s="165"/>
      <c r="BP199" s="165"/>
      <c r="BQ199" s="165"/>
      <c r="BR199" s="165"/>
      <c r="BS199" s="165"/>
      <c r="BT199" s="165"/>
      <c r="BU199" s="165"/>
      <c r="BV199" s="165"/>
      <c r="BW199" s="165"/>
      <c r="BX199" s="165"/>
      <c r="BY199" s="165"/>
      <c r="BZ199" s="165"/>
      <c r="CA199" s="165"/>
      <c r="CB199" s="165"/>
      <c r="CC199" s="165"/>
      <c r="CD199" s="165"/>
      <c r="CE199" s="165"/>
      <c r="CF199" s="165"/>
      <c r="CG199" s="165"/>
      <c r="CH199" s="165"/>
      <c r="CI199" s="170"/>
      <c r="CJ199" s="165"/>
      <c r="CK199" s="165"/>
      <c r="CL199" s="165"/>
      <c r="CM199" s="165"/>
      <c r="CN199" s="170"/>
      <c r="CO199" s="165"/>
      <c r="CP199" s="165"/>
      <c r="CQ199" s="165"/>
    </row>
    <row r="200" spans="2:95" ht="13.8" x14ac:dyDescent="0.25">
      <c r="B200" s="156" t="str">
        <f>Table1[[#Headers],[Total Testes]]</f>
        <v>Total Testes</v>
      </c>
      <c r="C200" s="154" t="str">
        <f t="shared" si="117"/>
        <v>PROTECTION_EPC_EMSSNS_SCR</v>
      </c>
      <c r="D200" s="153" t="s">
        <v>1114</v>
      </c>
      <c r="E200" s="153" t="s">
        <v>1247</v>
      </c>
      <c r="G200" s="172">
        <f>INDEX(Table1[[Especificação]:[Total Testes]],MATCH(PlanoV1.0!C200,Table1[CONCAT],0),MATCH(PlanoV1.0!B200,Table1[[#Headers],[Especificação]:[Total Testes]],0))</f>
        <v>0</v>
      </c>
      <c r="H200" s="191">
        <f t="shared" si="118"/>
        <v>0</v>
      </c>
      <c r="I200" s="193">
        <f t="shared" si="119"/>
        <v>0.6</v>
      </c>
      <c r="J200" s="170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  <c r="AA200" s="165"/>
      <c r="AB200" s="165"/>
      <c r="AC200" s="165"/>
      <c r="AD200" s="165"/>
      <c r="AE200" s="165"/>
      <c r="AF200" s="165"/>
      <c r="AG200" s="165"/>
      <c r="AH200" s="165"/>
      <c r="AI200" s="165"/>
      <c r="AJ200" s="165"/>
      <c r="AK200" s="165"/>
      <c r="AL200" s="165"/>
      <c r="AM200" s="165"/>
      <c r="AN200" s="165"/>
      <c r="AO200" s="165"/>
      <c r="AP200" s="165"/>
      <c r="AQ200" s="165"/>
      <c r="AR200" s="165"/>
      <c r="AS200" s="165"/>
      <c r="AT200" s="165"/>
      <c r="AU200" s="165"/>
      <c r="AV200" s="165"/>
      <c r="AW200" s="165"/>
      <c r="AX200" s="165"/>
      <c r="AY200" s="165"/>
      <c r="AZ200" s="165"/>
      <c r="BA200" s="165"/>
      <c r="BB200" s="170"/>
      <c r="BC200" s="165"/>
      <c r="BD200" s="165"/>
      <c r="BE200" s="165"/>
      <c r="BF200" s="165"/>
      <c r="BG200" s="165"/>
      <c r="BH200" s="165"/>
      <c r="BI200" s="165"/>
      <c r="BJ200" s="165"/>
      <c r="BK200" s="165"/>
      <c r="BL200" s="165"/>
      <c r="BM200" s="165">
        <v>0.6</v>
      </c>
      <c r="BN200" s="165"/>
      <c r="BO200" s="165"/>
      <c r="BP200" s="165"/>
      <c r="BQ200" s="165"/>
      <c r="BR200" s="165"/>
      <c r="BS200" s="165"/>
      <c r="BT200" s="165"/>
      <c r="BU200" s="165"/>
      <c r="BV200" s="165"/>
      <c r="BW200" s="165"/>
      <c r="BX200" s="165"/>
      <c r="BY200" s="165"/>
      <c r="BZ200" s="165"/>
      <c r="CA200" s="165"/>
      <c r="CB200" s="165"/>
      <c r="CC200" s="165"/>
      <c r="CD200" s="165"/>
      <c r="CE200" s="165"/>
      <c r="CF200" s="165"/>
      <c r="CG200" s="165"/>
      <c r="CH200" s="165"/>
      <c r="CI200" s="170"/>
      <c r="CJ200" s="165"/>
      <c r="CK200" s="165"/>
      <c r="CL200" s="165"/>
      <c r="CM200" s="165"/>
      <c r="CN200" s="170"/>
      <c r="CO200" s="165"/>
      <c r="CP200" s="165"/>
      <c r="CQ200" s="165"/>
    </row>
    <row r="201" spans="2:95" ht="14.85" customHeight="1" x14ac:dyDescent="0.25">
      <c r="B201" s="156" t="str">
        <f>Table1[[#Headers],[Total Testes]]</f>
        <v>Total Testes</v>
      </c>
      <c r="C201" s="154" t="str">
        <f t="shared" si="117"/>
        <v>PROTECTION_VHCL_EMSSNS_SCR</v>
      </c>
      <c r="D201" s="153" t="s">
        <v>1114</v>
      </c>
      <c r="E201" s="153" t="s">
        <v>1250</v>
      </c>
      <c r="G201" s="172">
        <f>INDEX(Table1[[Especificação]:[Total Testes]],MATCH(PlanoV1.0!C201,Table1[CONCAT],0),MATCH(PlanoV1.0!B201,Table1[[#Headers],[Especificação]:[Total Testes]],0))</f>
        <v>0</v>
      </c>
      <c r="H201" s="191">
        <f t="shared" si="118"/>
        <v>0</v>
      </c>
      <c r="I201" s="193">
        <f t="shared" si="119"/>
        <v>0.8</v>
      </c>
      <c r="J201" s="170"/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  <c r="AA201" s="165"/>
      <c r="AB201" s="165"/>
      <c r="AC201" s="165"/>
      <c r="AD201" s="165"/>
      <c r="AE201" s="165"/>
      <c r="AF201" s="165"/>
      <c r="AG201" s="165"/>
      <c r="AH201" s="165"/>
      <c r="AI201" s="165"/>
      <c r="AJ201" s="165"/>
      <c r="AK201" s="165"/>
      <c r="AL201" s="165"/>
      <c r="AM201" s="165"/>
      <c r="AN201" s="165"/>
      <c r="AO201" s="165"/>
      <c r="AP201" s="165"/>
      <c r="AQ201" s="165"/>
      <c r="AR201" s="165"/>
      <c r="AS201" s="165"/>
      <c r="AT201" s="165"/>
      <c r="AU201" s="165"/>
      <c r="AV201" s="165"/>
      <c r="AW201" s="165"/>
      <c r="AX201" s="165"/>
      <c r="AY201" s="165"/>
      <c r="AZ201" s="165"/>
      <c r="BA201" s="165"/>
      <c r="BB201" s="170"/>
      <c r="BC201" s="165"/>
      <c r="BD201" s="165"/>
      <c r="BE201" s="165"/>
      <c r="BF201" s="165"/>
      <c r="BG201" s="165"/>
      <c r="BH201" s="165"/>
      <c r="BI201" s="165"/>
      <c r="BJ201" s="165"/>
      <c r="BK201" s="165"/>
      <c r="BL201" s="165"/>
      <c r="BM201" s="165">
        <v>0.8</v>
      </c>
      <c r="BN201" s="165"/>
      <c r="BO201" s="165"/>
      <c r="BP201" s="165"/>
      <c r="BQ201" s="165"/>
      <c r="BR201" s="165"/>
      <c r="BS201" s="165"/>
      <c r="BT201" s="165"/>
      <c r="BU201" s="165"/>
      <c r="BV201" s="165"/>
      <c r="BW201" s="165"/>
      <c r="BX201" s="165"/>
      <c r="BY201" s="165"/>
      <c r="BZ201" s="165"/>
      <c r="CA201" s="165"/>
      <c r="CB201" s="165"/>
      <c r="CC201" s="165"/>
      <c r="CD201" s="165"/>
      <c r="CE201" s="165"/>
      <c r="CF201" s="165"/>
      <c r="CG201" s="165"/>
      <c r="CH201" s="165"/>
      <c r="CI201" s="170"/>
      <c r="CJ201" s="165"/>
      <c r="CK201" s="165"/>
      <c r="CL201" s="165"/>
      <c r="CM201" s="165"/>
      <c r="CN201" s="170"/>
      <c r="CO201" s="165"/>
      <c r="CP201" s="165"/>
      <c r="CQ201" s="165"/>
    </row>
    <row r="202" spans="2:95" ht="13.8" x14ac:dyDescent="0.25">
      <c r="B202" s="156" t="str">
        <f>Table1[[#Headers],[Total Testes]]</f>
        <v>Total Testes</v>
      </c>
      <c r="C202" s="154" t="str">
        <f t="shared" si="117"/>
        <v>PROTECTION_INSRNC_ID</v>
      </c>
      <c r="D202" s="153" t="s">
        <v>1114</v>
      </c>
      <c r="E202" s="153" t="s">
        <v>1275</v>
      </c>
      <c r="G202" s="172">
        <f>INDEX(Table1[[Especificação]:[Total Testes]],MATCH(PlanoV1.0!C202,Table1[CONCAT],0),MATCH(PlanoV1.0!B202,Table1[[#Headers],[Especificação]:[Total Testes]],0))</f>
        <v>0</v>
      </c>
      <c r="H202" s="191">
        <f t="shared" si="118"/>
        <v>0</v>
      </c>
      <c r="I202" s="193">
        <f t="shared" si="119"/>
        <v>0.8</v>
      </c>
      <c r="J202" s="170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  <c r="AA202" s="165"/>
      <c r="AB202" s="165"/>
      <c r="AC202" s="165"/>
      <c r="AD202" s="165"/>
      <c r="AE202" s="165"/>
      <c r="AF202" s="165"/>
      <c r="AG202" s="165"/>
      <c r="AH202" s="165"/>
      <c r="AI202" s="165"/>
      <c r="AJ202" s="165"/>
      <c r="AK202" s="165"/>
      <c r="AL202" s="165"/>
      <c r="AM202" s="165"/>
      <c r="AN202" s="165"/>
      <c r="AO202" s="165"/>
      <c r="AP202" s="165"/>
      <c r="AQ202" s="165"/>
      <c r="AR202" s="165"/>
      <c r="AS202" s="165"/>
      <c r="AT202" s="165"/>
      <c r="AU202" s="165"/>
      <c r="AV202" s="165"/>
      <c r="AW202" s="165"/>
      <c r="AX202" s="165"/>
      <c r="AY202" s="165"/>
      <c r="AZ202" s="165"/>
      <c r="BA202" s="165"/>
      <c r="BB202" s="170"/>
      <c r="BC202" s="165"/>
      <c r="BD202" s="165"/>
      <c r="BE202" s="165"/>
      <c r="BF202" s="165"/>
      <c r="BG202" s="165"/>
      <c r="BH202" s="165"/>
      <c r="BI202" s="165"/>
      <c r="BJ202" s="165"/>
      <c r="BK202" s="165"/>
      <c r="BL202" s="165"/>
      <c r="BM202" s="165">
        <v>0.5</v>
      </c>
      <c r="BN202" s="165">
        <v>0.3</v>
      </c>
      <c r="BO202" s="165"/>
      <c r="BP202" s="165"/>
      <c r="BQ202" s="165"/>
      <c r="BR202" s="165"/>
      <c r="BS202" s="165"/>
      <c r="BT202" s="165"/>
      <c r="BU202" s="165"/>
      <c r="BV202" s="165"/>
      <c r="BW202" s="165"/>
      <c r="BX202" s="165"/>
      <c r="BY202" s="165"/>
      <c r="BZ202" s="165"/>
      <c r="CA202" s="165"/>
      <c r="CB202" s="165"/>
      <c r="CC202" s="165"/>
      <c r="CD202" s="165"/>
      <c r="CE202" s="165"/>
      <c r="CF202" s="165"/>
      <c r="CG202" s="165"/>
      <c r="CH202" s="165"/>
      <c r="CI202" s="170"/>
      <c r="CJ202" s="165"/>
      <c r="CK202" s="165"/>
      <c r="CL202" s="165"/>
      <c r="CM202" s="165"/>
      <c r="CN202" s="170"/>
      <c r="CO202" s="165"/>
      <c r="CP202" s="165"/>
      <c r="CQ202" s="165"/>
    </row>
    <row r="203" spans="2:95" ht="14.85" customHeight="1" x14ac:dyDescent="0.25">
      <c r="B203" s="156" t="str">
        <f>Table1[[#Headers],[Total Testes]]</f>
        <v>Total Testes</v>
      </c>
      <c r="C203" s="154" t="str">
        <f t="shared" si="117"/>
        <v>PROTECTION_TYP_HZRDS_INSRD</v>
      </c>
      <c r="D203" s="153" t="s">
        <v>1114</v>
      </c>
      <c r="E203" s="153" t="s">
        <v>1278</v>
      </c>
      <c r="G203" s="172">
        <f>INDEX(Table1[[Especificação]:[Total Testes]],MATCH(PlanoV1.0!C203,Table1[CONCAT],0),MATCH(PlanoV1.0!B203,Table1[[#Headers],[Especificação]:[Total Testes]],0))</f>
        <v>0</v>
      </c>
      <c r="H203" s="191">
        <f t="shared" si="118"/>
        <v>0</v>
      </c>
      <c r="I203" s="193">
        <f t="shared" si="119"/>
        <v>0.7</v>
      </c>
      <c r="J203" s="170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  <c r="AA203" s="165"/>
      <c r="AB203" s="165"/>
      <c r="AC203" s="165"/>
      <c r="AD203" s="165"/>
      <c r="AE203" s="165"/>
      <c r="AF203" s="165"/>
      <c r="AG203" s="165"/>
      <c r="AH203" s="165"/>
      <c r="AI203" s="165"/>
      <c r="AJ203" s="165"/>
      <c r="AK203" s="165"/>
      <c r="AL203" s="165"/>
      <c r="AM203" s="165"/>
      <c r="AN203" s="165"/>
      <c r="AO203" s="165"/>
      <c r="AP203" s="165"/>
      <c r="AQ203" s="165"/>
      <c r="AR203" s="165"/>
      <c r="AS203" s="165"/>
      <c r="AT203" s="165"/>
      <c r="AU203" s="165"/>
      <c r="AV203" s="165"/>
      <c r="AW203" s="165"/>
      <c r="AX203" s="165"/>
      <c r="AY203" s="165"/>
      <c r="AZ203" s="165"/>
      <c r="BA203" s="165"/>
      <c r="BB203" s="170"/>
      <c r="BC203" s="165"/>
      <c r="BD203" s="165"/>
      <c r="BE203" s="165"/>
      <c r="BF203" s="165"/>
      <c r="BG203" s="165"/>
      <c r="BH203" s="165"/>
      <c r="BI203" s="165"/>
      <c r="BJ203" s="165"/>
      <c r="BK203" s="165"/>
      <c r="BL203" s="165"/>
      <c r="BM203" s="165"/>
      <c r="BN203" s="165">
        <v>0.7</v>
      </c>
      <c r="BO203" s="165"/>
      <c r="BP203" s="165"/>
      <c r="BQ203" s="165"/>
      <c r="BR203" s="165"/>
      <c r="BS203" s="165"/>
      <c r="BT203" s="165"/>
      <c r="BU203" s="165"/>
      <c r="BV203" s="165"/>
      <c r="BW203" s="165"/>
      <c r="BX203" s="165"/>
      <c r="BY203" s="165"/>
      <c r="BZ203" s="165"/>
      <c r="CA203" s="165"/>
      <c r="CB203" s="165"/>
      <c r="CC203" s="165"/>
      <c r="CD203" s="165"/>
      <c r="CE203" s="165"/>
      <c r="CF203" s="165"/>
      <c r="CG203" s="165"/>
      <c r="CH203" s="165"/>
      <c r="CI203" s="170"/>
      <c r="CJ203" s="165"/>
      <c r="CK203" s="165"/>
      <c r="CL203" s="165"/>
      <c r="CM203" s="165"/>
      <c r="CN203" s="170"/>
      <c r="CO203" s="165"/>
      <c r="CP203" s="165"/>
      <c r="CQ203" s="165"/>
    </row>
    <row r="204" spans="2:95" ht="14.85" customHeight="1" x14ac:dyDescent="0.25">
      <c r="B204" s="156" t="str">
        <f>Table1[[#Headers],[Total Testes]]</f>
        <v>Total Testes</v>
      </c>
      <c r="C204" s="154" t="str">
        <f t="shared" si="117"/>
        <v>PROTECTION_AMNT_CVRD_INSRNC</v>
      </c>
      <c r="D204" s="153" t="s">
        <v>1114</v>
      </c>
      <c r="E204" s="153" t="s">
        <v>1281</v>
      </c>
      <c r="G204" s="172">
        <f>INDEX(Table1[[Especificação]:[Total Testes]],MATCH(PlanoV1.0!C204,Table1[CONCAT],0),MATCH(PlanoV1.0!B204,Table1[[#Headers],[Especificação]:[Total Testes]],0))</f>
        <v>0</v>
      </c>
      <c r="H204" s="191">
        <f t="shared" si="118"/>
        <v>0</v>
      </c>
      <c r="I204" s="193">
        <f t="shared" si="119"/>
        <v>0.8</v>
      </c>
      <c r="J204" s="170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  <c r="AA204" s="165"/>
      <c r="AB204" s="165"/>
      <c r="AC204" s="165"/>
      <c r="AD204" s="165"/>
      <c r="AE204" s="165"/>
      <c r="AF204" s="165"/>
      <c r="AG204" s="165"/>
      <c r="AH204" s="165"/>
      <c r="AI204" s="165"/>
      <c r="AJ204" s="165"/>
      <c r="AK204" s="165"/>
      <c r="AL204" s="165"/>
      <c r="AM204" s="165"/>
      <c r="AN204" s="165"/>
      <c r="AO204" s="165"/>
      <c r="AP204" s="165"/>
      <c r="AQ204" s="165"/>
      <c r="AR204" s="165"/>
      <c r="AS204" s="165"/>
      <c r="AT204" s="165"/>
      <c r="AU204" s="165"/>
      <c r="AV204" s="165"/>
      <c r="AW204" s="165"/>
      <c r="AX204" s="165"/>
      <c r="AY204" s="165"/>
      <c r="AZ204" s="165"/>
      <c r="BA204" s="165"/>
      <c r="BB204" s="170"/>
      <c r="BC204" s="165"/>
      <c r="BD204" s="165"/>
      <c r="BE204" s="165"/>
      <c r="BF204" s="165"/>
      <c r="BG204" s="165"/>
      <c r="BH204" s="165"/>
      <c r="BI204" s="203"/>
      <c r="BJ204" s="165"/>
      <c r="BK204" s="165"/>
      <c r="BL204" s="165"/>
      <c r="BM204" s="165"/>
      <c r="BN204" s="165">
        <v>0.8</v>
      </c>
      <c r="BO204" s="165"/>
      <c r="BP204" s="165"/>
      <c r="BQ204" s="165"/>
      <c r="BR204" s="165"/>
      <c r="BS204" s="165"/>
      <c r="BT204" s="165"/>
      <c r="BU204" s="165"/>
      <c r="BV204" s="165"/>
      <c r="BW204" s="165"/>
      <c r="BX204" s="165"/>
      <c r="BY204" s="165"/>
      <c r="BZ204" s="165"/>
      <c r="CA204" s="165"/>
      <c r="CB204" s="165"/>
      <c r="CC204" s="165"/>
      <c r="CD204" s="165"/>
      <c r="CE204" s="165"/>
      <c r="CF204" s="165"/>
      <c r="CG204" s="165"/>
      <c r="CH204" s="165"/>
      <c r="CI204" s="170"/>
      <c r="CJ204" s="165"/>
      <c r="CK204" s="165"/>
      <c r="CL204" s="165"/>
      <c r="CM204" s="165"/>
      <c r="CN204" s="170"/>
      <c r="CO204" s="165"/>
      <c r="CP204" s="165"/>
      <c r="CQ204" s="165"/>
    </row>
    <row r="205" spans="2:95" ht="14.85" customHeight="1" x14ac:dyDescent="0.25">
      <c r="B205" s="156" t="str">
        <f>Table1[[#Headers],[Total Testes]]</f>
        <v>Total Testes</v>
      </c>
      <c r="C205" s="154" t="str">
        <f t="shared" si="117"/>
        <v>PROTECTION_DT_MTRTY_INSRNC</v>
      </c>
      <c r="D205" s="153" t="s">
        <v>1114</v>
      </c>
      <c r="E205" s="153" t="s">
        <v>1284</v>
      </c>
      <c r="G205" s="172">
        <f>INDEX(Table1[[Especificação]:[Total Testes]],MATCH(PlanoV1.0!C205,Table1[CONCAT],0),MATCH(PlanoV1.0!B205,Table1[[#Headers],[Especificação]:[Total Testes]],0))</f>
        <v>0</v>
      </c>
      <c r="H205" s="191">
        <f t="shared" si="118"/>
        <v>0</v>
      </c>
      <c r="I205" s="193">
        <f t="shared" si="119"/>
        <v>0.8</v>
      </c>
      <c r="J205" s="170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5"/>
      <c r="AO205" s="165"/>
      <c r="AP205" s="165"/>
      <c r="AQ205" s="165"/>
      <c r="AR205" s="165"/>
      <c r="AS205" s="165"/>
      <c r="AT205" s="165"/>
      <c r="AU205" s="165"/>
      <c r="AV205" s="165"/>
      <c r="AW205" s="165"/>
      <c r="AX205" s="165"/>
      <c r="AY205" s="165"/>
      <c r="AZ205" s="165"/>
      <c r="BA205" s="165"/>
      <c r="BB205" s="170"/>
      <c r="BC205" s="165"/>
      <c r="BD205" s="165"/>
      <c r="BE205" s="165"/>
      <c r="BF205" s="165"/>
      <c r="BG205" s="165"/>
      <c r="BH205" s="165"/>
      <c r="BI205" s="165"/>
      <c r="BJ205" s="165"/>
      <c r="BK205" s="165"/>
      <c r="BL205" s="165"/>
      <c r="BM205" s="165"/>
      <c r="BN205" s="165">
        <v>0.2</v>
      </c>
      <c r="BO205" s="165">
        <v>0.6</v>
      </c>
      <c r="BP205" s="165"/>
      <c r="BQ205" s="165"/>
      <c r="BR205" s="165"/>
      <c r="BS205" s="165"/>
      <c r="BT205" s="165"/>
      <c r="BU205" s="165"/>
      <c r="BV205" s="165"/>
      <c r="BW205" s="165"/>
      <c r="BX205" s="165"/>
      <c r="BY205" s="165"/>
      <c r="BZ205" s="165"/>
      <c r="CA205" s="165"/>
      <c r="CB205" s="165"/>
      <c r="CC205" s="165"/>
      <c r="CD205" s="165"/>
      <c r="CE205" s="165"/>
      <c r="CF205" s="165"/>
      <c r="CG205" s="165"/>
      <c r="CH205" s="165"/>
      <c r="CI205" s="170"/>
      <c r="CJ205" s="165"/>
      <c r="CK205" s="165"/>
      <c r="CL205" s="165"/>
      <c r="CM205" s="165"/>
      <c r="CN205" s="170"/>
      <c r="CO205" s="165"/>
      <c r="CP205" s="165"/>
      <c r="CQ205" s="165"/>
    </row>
    <row r="206" spans="2:95" ht="14.85" customHeight="1" x14ac:dyDescent="0.25">
      <c r="B206" s="156" t="str">
        <f>Table1[[#Headers],[Total Testes]]</f>
        <v>Total Testes</v>
      </c>
      <c r="C206" s="154" t="str">
        <f t="shared" si="117"/>
        <v>PROTECTION_FLG_FRST_HM</v>
      </c>
      <c r="D206" s="153" t="s">
        <v>1114</v>
      </c>
      <c r="E206" s="155" t="s">
        <v>1287</v>
      </c>
      <c r="G206" s="172">
        <f>INDEX(Table1[[Especificação]:[Total Testes]],MATCH(PlanoV1.0!C206,Table1[CONCAT],0),MATCH(PlanoV1.0!B206,Table1[[#Headers],[Especificação]:[Total Testes]],0))</f>
        <v>0</v>
      </c>
      <c r="H206" s="191">
        <f t="shared" si="118"/>
        <v>0</v>
      </c>
      <c r="I206" s="193">
        <f t="shared" si="119"/>
        <v>0.7</v>
      </c>
      <c r="J206" s="170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  <c r="AA206" s="165"/>
      <c r="AB206" s="165"/>
      <c r="AC206" s="165"/>
      <c r="AD206" s="165"/>
      <c r="AE206" s="165"/>
      <c r="AF206" s="165"/>
      <c r="AG206" s="165"/>
      <c r="AH206" s="165"/>
      <c r="AI206" s="165"/>
      <c r="AJ206" s="165"/>
      <c r="AK206" s="165"/>
      <c r="AL206" s="165"/>
      <c r="AM206" s="165"/>
      <c r="AN206" s="165"/>
      <c r="AO206" s="165"/>
      <c r="AP206" s="165"/>
      <c r="AQ206" s="165"/>
      <c r="AR206" s="165"/>
      <c r="AS206" s="165"/>
      <c r="AT206" s="165"/>
      <c r="AU206" s="165"/>
      <c r="AV206" s="165"/>
      <c r="AW206" s="165"/>
      <c r="AX206" s="165"/>
      <c r="AY206" s="165"/>
      <c r="AZ206" s="165"/>
      <c r="BA206" s="165"/>
      <c r="BB206" s="170"/>
      <c r="BC206" s="165"/>
      <c r="BD206" s="165"/>
      <c r="BE206" s="165"/>
      <c r="BF206" s="165"/>
      <c r="BG206" s="165"/>
      <c r="BH206" s="165"/>
      <c r="BI206" s="165"/>
      <c r="BJ206" s="165"/>
      <c r="BK206" s="165"/>
      <c r="BL206" s="165"/>
      <c r="BM206" s="165"/>
      <c r="BN206" s="165"/>
      <c r="BO206" s="165">
        <v>0.7</v>
      </c>
      <c r="BP206" s="165"/>
      <c r="BQ206" s="165"/>
      <c r="BR206" s="165"/>
      <c r="BS206" s="165"/>
      <c r="BT206" s="165"/>
      <c r="BU206" s="165"/>
      <c r="BV206" s="165"/>
      <c r="BW206" s="165"/>
      <c r="BX206" s="165"/>
      <c r="BY206" s="165"/>
      <c r="BZ206" s="165"/>
      <c r="CA206" s="165"/>
      <c r="CB206" s="165"/>
      <c r="CC206" s="165"/>
      <c r="CD206" s="165"/>
      <c r="CE206" s="165"/>
      <c r="CF206" s="165"/>
      <c r="CG206" s="165"/>
      <c r="CH206" s="165"/>
      <c r="CI206" s="170"/>
      <c r="CJ206" s="165"/>
      <c r="CK206" s="165"/>
      <c r="CL206" s="165"/>
      <c r="CM206" s="165"/>
      <c r="CN206" s="170"/>
      <c r="CO206" s="165"/>
      <c r="CP206" s="165"/>
      <c r="CQ206" s="165"/>
    </row>
    <row r="207" spans="2:95" ht="14.85" customHeight="1" x14ac:dyDescent="0.25">
      <c r="B207" s="156" t="str">
        <f>Table1[[#Headers],[Total Testes]]</f>
        <v>Total Testes</v>
      </c>
      <c r="C207" s="154" t="str">
        <f t="shared" ref="C207:C224" si="120">D207&amp;"_"&amp;E207</f>
        <v>PROTECTION_ENTTY_NM</v>
      </c>
      <c r="D207" s="153" t="s">
        <v>1114</v>
      </c>
      <c r="E207" s="153" t="s">
        <v>59</v>
      </c>
      <c r="G207" s="172">
        <v>3</v>
      </c>
      <c r="H207" s="191">
        <f t="shared" ref="H207:H224" si="121">ROUNDUP(G207/8,1)</f>
        <v>0.4</v>
      </c>
      <c r="I207" s="193">
        <f t="shared" ref="I207:I224" si="122">SUM(J207:CQ207)-H207</f>
        <v>0</v>
      </c>
      <c r="J207" s="170"/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  <c r="AA207" s="165"/>
      <c r="AB207" s="165"/>
      <c r="AC207" s="165"/>
      <c r="AD207" s="165"/>
      <c r="AE207" s="165"/>
      <c r="AF207" s="165"/>
      <c r="AG207" s="165"/>
      <c r="AH207" s="165"/>
      <c r="AI207" s="165"/>
      <c r="AJ207" s="165"/>
      <c r="AK207" s="165"/>
      <c r="AL207" s="165"/>
      <c r="AM207" s="165"/>
      <c r="AN207" s="165"/>
      <c r="AO207" s="165"/>
      <c r="AP207" s="165"/>
      <c r="AQ207" s="165"/>
      <c r="AR207" s="165"/>
      <c r="AS207" s="165"/>
      <c r="AT207" s="165"/>
      <c r="AU207" s="165"/>
      <c r="AV207" s="165"/>
      <c r="AW207" s="165"/>
      <c r="AX207" s="165"/>
      <c r="AY207" s="165"/>
      <c r="AZ207" s="165"/>
      <c r="BA207" s="165"/>
      <c r="BB207" s="170"/>
      <c r="BC207" s="165"/>
      <c r="BD207" s="165"/>
      <c r="BE207" s="165"/>
      <c r="BF207" s="165"/>
      <c r="BG207" s="165"/>
      <c r="BH207" s="165"/>
      <c r="BI207" s="165"/>
      <c r="BJ207" s="165"/>
      <c r="BK207" s="165"/>
      <c r="BL207" s="165"/>
      <c r="BM207" s="165"/>
      <c r="BN207" s="165"/>
      <c r="BO207" s="165">
        <v>0.4</v>
      </c>
      <c r="BP207" s="165"/>
      <c r="BQ207" s="165"/>
      <c r="BR207" s="165"/>
      <c r="BS207" s="165"/>
      <c r="BT207" s="165"/>
      <c r="BU207" s="165"/>
      <c r="BV207" s="165"/>
      <c r="BW207" s="165"/>
      <c r="BX207" s="165"/>
      <c r="BY207" s="165"/>
      <c r="BZ207" s="165"/>
      <c r="CA207" s="165"/>
      <c r="CB207" s="165"/>
      <c r="CC207" s="165"/>
      <c r="CD207" s="165"/>
      <c r="CE207" s="165"/>
      <c r="CF207" s="165"/>
      <c r="CG207" s="165"/>
      <c r="CH207" s="165"/>
      <c r="CI207" s="170"/>
      <c r="CJ207" s="165"/>
      <c r="CK207" s="165"/>
      <c r="CL207" s="165"/>
      <c r="CM207" s="165"/>
      <c r="CN207" s="170"/>
      <c r="CO207" s="165"/>
      <c r="CP207" s="165"/>
      <c r="CQ207" s="165"/>
    </row>
    <row r="208" spans="2:95" ht="14.85" customHeight="1" x14ac:dyDescent="0.25">
      <c r="B208" s="156" t="str">
        <f>Table1[[#Headers],[Total Testes]]</f>
        <v>Total Testes</v>
      </c>
      <c r="C208" s="154" t="str">
        <f t="shared" si="120"/>
        <v>PROTECTION_EC_GRP_NM</v>
      </c>
      <c r="D208" s="153" t="s">
        <v>1114</v>
      </c>
      <c r="E208" s="153" t="s">
        <v>284</v>
      </c>
      <c r="G208" s="172">
        <v>3</v>
      </c>
      <c r="H208" s="191">
        <f t="shared" si="121"/>
        <v>0.4</v>
      </c>
      <c r="I208" s="193">
        <f t="shared" si="122"/>
        <v>0</v>
      </c>
      <c r="J208" s="170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  <c r="AA208" s="165"/>
      <c r="AB208" s="165"/>
      <c r="AC208" s="165"/>
      <c r="AD208" s="165"/>
      <c r="AE208" s="165"/>
      <c r="AF208" s="165"/>
      <c r="AG208" s="165"/>
      <c r="AH208" s="165"/>
      <c r="AI208" s="165"/>
      <c r="AJ208" s="165"/>
      <c r="AK208" s="165"/>
      <c r="AL208" s="165"/>
      <c r="AM208" s="165"/>
      <c r="AN208" s="165"/>
      <c r="AO208" s="165"/>
      <c r="AP208" s="165"/>
      <c r="AQ208" s="165"/>
      <c r="AR208" s="165"/>
      <c r="AS208" s="165"/>
      <c r="AT208" s="165"/>
      <c r="AU208" s="165"/>
      <c r="AV208" s="165"/>
      <c r="AW208" s="165"/>
      <c r="AX208" s="165"/>
      <c r="AY208" s="165"/>
      <c r="AZ208" s="165"/>
      <c r="BA208" s="165"/>
      <c r="BB208" s="170"/>
      <c r="BC208" s="165"/>
      <c r="BD208" s="165"/>
      <c r="BE208" s="165"/>
      <c r="BF208" s="165"/>
      <c r="BG208" s="165"/>
      <c r="BH208" s="165"/>
      <c r="BI208" s="165"/>
      <c r="BJ208" s="165"/>
      <c r="BK208" s="165"/>
      <c r="BL208" s="165"/>
      <c r="BM208" s="165"/>
      <c r="BN208" s="165"/>
      <c r="BO208" s="165">
        <v>0.3</v>
      </c>
      <c r="BP208" s="165">
        <v>0.1</v>
      </c>
      <c r="BQ208" s="165"/>
      <c r="BR208" s="165"/>
      <c r="BS208" s="165"/>
      <c r="BT208" s="165"/>
      <c r="BU208" s="165"/>
      <c r="BV208" s="165"/>
      <c r="BW208" s="165"/>
      <c r="BX208" s="165"/>
      <c r="BY208" s="165"/>
      <c r="BZ208" s="165"/>
      <c r="CA208" s="165"/>
      <c r="CB208" s="165"/>
      <c r="CC208" s="165"/>
      <c r="CD208" s="165"/>
      <c r="CE208" s="165"/>
      <c r="CF208" s="165"/>
      <c r="CG208" s="165"/>
      <c r="CH208" s="165"/>
      <c r="CI208" s="170"/>
      <c r="CJ208" s="165"/>
      <c r="CK208" s="165"/>
      <c r="CL208" s="165"/>
      <c r="CM208" s="165"/>
      <c r="CN208" s="170"/>
      <c r="CO208" s="165"/>
      <c r="CP208" s="165"/>
      <c r="CQ208" s="165"/>
    </row>
    <row r="209" spans="2:95" ht="14.85" customHeight="1" x14ac:dyDescent="0.25">
      <c r="B209" s="156" t="str">
        <f>Table1[[#Headers],[Total Testes]]</f>
        <v>Total Testes</v>
      </c>
      <c r="C209" s="154" t="str">
        <f t="shared" si="120"/>
        <v>PROTECTION_FRBRNC_STTS_INSTRMNT</v>
      </c>
      <c r="D209" s="153" t="s">
        <v>1114</v>
      </c>
      <c r="E209" s="153" t="s">
        <v>501</v>
      </c>
      <c r="G209" s="172">
        <v>3</v>
      </c>
      <c r="H209" s="191">
        <f t="shared" si="121"/>
        <v>0.4</v>
      </c>
      <c r="I209" s="193">
        <f t="shared" si="122"/>
        <v>0</v>
      </c>
      <c r="J209" s="170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  <c r="AA209" s="165"/>
      <c r="AB209" s="165"/>
      <c r="AC209" s="165"/>
      <c r="AD209" s="165"/>
      <c r="AE209" s="165"/>
      <c r="AF209" s="165"/>
      <c r="AG209" s="165"/>
      <c r="AH209" s="165"/>
      <c r="AI209" s="165"/>
      <c r="AJ209" s="165"/>
      <c r="AK209" s="165"/>
      <c r="AL209" s="165"/>
      <c r="AM209" s="165"/>
      <c r="AN209" s="165"/>
      <c r="AO209" s="165"/>
      <c r="AP209" s="165"/>
      <c r="AQ209" s="165"/>
      <c r="AR209" s="165"/>
      <c r="AS209" s="165"/>
      <c r="AT209" s="165"/>
      <c r="AU209" s="165"/>
      <c r="AV209" s="165"/>
      <c r="AW209" s="165"/>
      <c r="AX209" s="165"/>
      <c r="AY209" s="165"/>
      <c r="AZ209" s="165"/>
      <c r="BA209" s="165"/>
      <c r="BB209" s="170"/>
      <c r="BC209" s="165"/>
      <c r="BD209" s="165"/>
      <c r="BE209" s="165"/>
      <c r="BF209" s="165"/>
      <c r="BG209" s="165"/>
      <c r="BH209" s="165"/>
      <c r="BI209" s="165"/>
      <c r="BJ209" s="165"/>
      <c r="BK209" s="165"/>
      <c r="BL209" s="165"/>
      <c r="BM209" s="165"/>
      <c r="BN209" s="165"/>
      <c r="BO209" s="165"/>
      <c r="BP209" s="165">
        <v>0.4</v>
      </c>
      <c r="BQ209" s="165"/>
      <c r="BR209" s="165"/>
      <c r="BS209" s="165"/>
      <c r="BT209" s="165"/>
      <c r="BU209" s="165"/>
      <c r="BV209" s="165"/>
      <c r="BW209" s="165"/>
      <c r="BX209" s="165"/>
      <c r="BY209" s="165"/>
      <c r="BZ209" s="165"/>
      <c r="CA209" s="165"/>
      <c r="CB209" s="165"/>
      <c r="CC209" s="165"/>
      <c r="CD209" s="165"/>
      <c r="CE209" s="165"/>
      <c r="CF209" s="165"/>
      <c r="CG209" s="165"/>
      <c r="CH209" s="165"/>
      <c r="CI209" s="170"/>
      <c r="CJ209" s="165"/>
      <c r="CK209" s="165"/>
      <c r="CL209" s="165"/>
      <c r="CM209" s="165"/>
      <c r="CN209" s="170"/>
      <c r="CO209" s="165"/>
      <c r="CP209" s="165"/>
      <c r="CQ209" s="165"/>
    </row>
    <row r="210" spans="2:95" ht="14.85" customHeight="1" x14ac:dyDescent="0.25">
      <c r="B210" s="156" t="str">
        <f>Table1[[#Headers],[Total Testes]]</f>
        <v>Total Testes</v>
      </c>
      <c r="C210" s="154" t="str">
        <f t="shared" si="120"/>
        <v>PROTECTION_IFRS9_BHVRL_MTRTY</v>
      </c>
      <c r="D210" s="153" t="s">
        <v>1114</v>
      </c>
      <c r="E210" s="153" t="s">
        <v>614</v>
      </c>
      <c r="G210" s="172">
        <v>2.5</v>
      </c>
      <c r="H210" s="191">
        <f t="shared" si="121"/>
        <v>0.4</v>
      </c>
      <c r="I210" s="193">
        <f t="shared" si="122"/>
        <v>0</v>
      </c>
      <c r="J210" s="170"/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5"/>
      <c r="AJ210" s="165"/>
      <c r="AK210" s="165"/>
      <c r="AL210" s="165"/>
      <c r="AM210" s="165"/>
      <c r="AN210" s="165"/>
      <c r="AO210" s="165"/>
      <c r="AP210" s="165"/>
      <c r="AQ210" s="165"/>
      <c r="AR210" s="165"/>
      <c r="AS210" s="165"/>
      <c r="AT210" s="165"/>
      <c r="AU210" s="165"/>
      <c r="AV210" s="165"/>
      <c r="AW210" s="165"/>
      <c r="AX210" s="165"/>
      <c r="AY210" s="165"/>
      <c r="AZ210" s="165"/>
      <c r="BA210" s="165"/>
      <c r="BB210" s="170"/>
      <c r="BC210" s="165"/>
      <c r="BD210" s="165"/>
      <c r="BE210" s="165"/>
      <c r="BF210" s="165"/>
      <c r="BG210" s="165"/>
      <c r="BH210" s="165"/>
      <c r="BI210" s="165"/>
      <c r="BJ210" s="165"/>
      <c r="BK210" s="165"/>
      <c r="BL210" s="165"/>
      <c r="BM210" s="165"/>
      <c r="BN210" s="165"/>
      <c r="BO210" s="165"/>
      <c r="BP210" s="165">
        <v>0.4</v>
      </c>
      <c r="BQ210" s="165"/>
      <c r="BR210" s="165"/>
      <c r="BS210" s="165"/>
      <c r="BT210" s="165"/>
      <c r="BU210" s="165"/>
      <c r="BV210" s="165"/>
      <c r="BW210" s="165"/>
      <c r="BX210" s="165"/>
      <c r="BY210" s="165"/>
      <c r="BZ210" s="165"/>
      <c r="CA210" s="165"/>
      <c r="CB210" s="165"/>
      <c r="CC210" s="165"/>
      <c r="CD210" s="165"/>
      <c r="CE210" s="165"/>
      <c r="CF210" s="165"/>
      <c r="CG210" s="165"/>
      <c r="CH210" s="165"/>
      <c r="CI210" s="170"/>
      <c r="CJ210" s="165"/>
      <c r="CK210" s="165"/>
      <c r="CL210" s="165"/>
      <c r="CM210" s="165"/>
      <c r="CN210" s="170"/>
      <c r="CO210" s="165"/>
      <c r="CP210" s="165"/>
      <c r="CQ210" s="165"/>
    </row>
    <row r="211" spans="2:95" ht="14.85" customHeight="1" x14ac:dyDescent="0.25">
      <c r="B211" s="156" t="str">
        <f>Table1[[#Headers],[Total Testes]]</f>
        <v>Total Testes</v>
      </c>
      <c r="C211" s="154" t="str">
        <f t="shared" si="120"/>
        <v>PROTECTION_LTV</v>
      </c>
      <c r="D211" s="153" t="s">
        <v>1114</v>
      </c>
      <c r="E211" s="153" t="s">
        <v>724</v>
      </c>
      <c r="G211" s="172">
        <v>2.5</v>
      </c>
      <c r="H211" s="191">
        <f t="shared" si="121"/>
        <v>0.4</v>
      </c>
      <c r="I211" s="193">
        <f t="shared" si="122"/>
        <v>0</v>
      </c>
      <c r="J211" s="170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5"/>
      <c r="AJ211" s="165"/>
      <c r="AK211" s="165"/>
      <c r="AL211" s="165"/>
      <c r="AM211" s="165"/>
      <c r="AN211" s="165"/>
      <c r="AO211" s="165"/>
      <c r="AP211" s="165"/>
      <c r="AQ211" s="165"/>
      <c r="AR211" s="165"/>
      <c r="AS211" s="165"/>
      <c r="AT211" s="165"/>
      <c r="AU211" s="165"/>
      <c r="AV211" s="165"/>
      <c r="AW211" s="165"/>
      <c r="AX211" s="165"/>
      <c r="AY211" s="165"/>
      <c r="AZ211" s="165"/>
      <c r="BA211" s="165"/>
      <c r="BB211" s="170"/>
      <c r="BC211" s="165"/>
      <c r="BD211" s="165"/>
      <c r="BE211" s="165"/>
      <c r="BF211" s="165"/>
      <c r="BG211" s="165"/>
      <c r="BH211" s="165"/>
      <c r="BI211" s="165"/>
      <c r="BJ211" s="165"/>
      <c r="BK211" s="165"/>
      <c r="BL211" s="165"/>
      <c r="BM211" s="165"/>
      <c r="BN211" s="165"/>
      <c r="BO211" s="165"/>
      <c r="BP211" s="165">
        <v>0.4</v>
      </c>
      <c r="BQ211" s="165"/>
      <c r="BR211" s="165"/>
      <c r="BS211" s="165"/>
      <c r="BT211" s="165"/>
      <c r="BU211" s="165"/>
      <c r="BV211" s="165"/>
      <c r="BW211" s="165"/>
      <c r="BX211" s="165"/>
      <c r="BY211" s="165"/>
      <c r="BZ211" s="165"/>
      <c r="CA211" s="165"/>
      <c r="CB211" s="165"/>
      <c r="CC211" s="165"/>
      <c r="CD211" s="165"/>
      <c r="CE211" s="165"/>
      <c r="CF211" s="165"/>
      <c r="CG211" s="165"/>
      <c r="CH211" s="165"/>
      <c r="CI211" s="170"/>
      <c r="CJ211" s="165"/>
      <c r="CK211" s="165"/>
      <c r="CL211" s="165"/>
      <c r="CM211" s="165"/>
      <c r="CN211" s="170"/>
      <c r="CO211" s="165"/>
      <c r="CP211" s="165"/>
      <c r="CQ211" s="165"/>
    </row>
    <row r="212" spans="2:95" ht="14.85" customHeight="1" x14ac:dyDescent="0.25">
      <c r="B212" s="156" t="str">
        <f>Table1[[#Headers],[Total Testes]]</f>
        <v>Total Testes</v>
      </c>
      <c r="C212" s="154" t="str">
        <f t="shared" si="120"/>
        <v>PROTECTION_LTV_INCPTN</v>
      </c>
      <c r="D212" s="153" t="s">
        <v>1114</v>
      </c>
      <c r="E212" s="153" t="s">
        <v>727</v>
      </c>
      <c r="G212" s="172">
        <v>2.5</v>
      </c>
      <c r="H212" s="191">
        <f t="shared" si="121"/>
        <v>0.4</v>
      </c>
      <c r="I212" s="193">
        <f t="shared" si="122"/>
        <v>0</v>
      </c>
      <c r="J212" s="170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  <c r="AA212" s="165"/>
      <c r="AB212" s="165"/>
      <c r="AC212" s="165"/>
      <c r="AD212" s="165"/>
      <c r="AE212" s="165"/>
      <c r="AF212" s="165"/>
      <c r="AG212" s="165"/>
      <c r="AH212" s="165"/>
      <c r="AI212" s="165"/>
      <c r="AJ212" s="165"/>
      <c r="AK212" s="165"/>
      <c r="AL212" s="165"/>
      <c r="AM212" s="165"/>
      <c r="AN212" s="165"/>
      <c r="AO212" s="165"/>
      <c r="AP212" s="165"/>
      <c r="AQ212" s="165"/>
      <c r="AR212" s="165"/>
      <c r="AS212" s="165"/>
      <c r="AT212" s="165"/>
      <c r="AU212" s="165"/>
      <c r="AV212" s="165"/>
      <c r="AW212" s="165"/>
      <c r="AX212" s="165"/>
      <c r="AY212" s="165"/>
      <c r="AZ212" s="165"/>
      <c r="BA212" s="165"/>
      <c r="BB212" s="170"/>
      <c r="BC212" s="165"/>
      <c r="BD212" s="165"/>
      <c r="BE212" s="165"/>
      <c r="BF212" s="165"/>
      <c r="BG212" s="165"/>
      <c r="BH212" s="165"/>
      <c r="BI212" s="165"/>
      <c r="BJ212" s="165"/>
      <c r="BK212" s="165"/>
      <c r="BL212" s="165"/>
      <c r="BM212" s="165"/>
      <c r="BN212" s="165"/>
      <c r="BO212" s="165"/>
      <c r="BP212" s="165">
        <v>0.4</v>
      </c>
      <c r="BQ212" s="165"/>
      <c r="BR212" s="165"/>
      <c r="BS212" s="165"/>
      <c r="BT212" s="165"/>
      <c r="BU212" s="165"/>
      <c r="BV212" s="165"/>
      <c r="BW212" s="165"/>
      <c r="BX212" s="165"/>
      <c r="BY212" s="165"/>
      <c r="BZ212" s="165"/>
      <c r="CA212" s="165"/>
      <c r="CB212" s="165"/>
      <c r="CC212" s="165"/>
      <c r="CD212" s="165"/>
      <c r="CE212" s="165"/>
      <c r="CF212" s="165"/>
      <c r="CG212" s="165"/>
      <c r="CH212" s="165"/>
      <c r="CI212" s="170"/>
      <c r="CJ212" s="165"/>
      <c r="CK212" s="165"/>
      <c r="CL212" s="165"/>
      <c r="CM212" s="165"/>
      <c r="CN212" s="170"/>
      <c r="CO212" s="165"/>
      <c r="CP212" s="165"/>
      <c r="CQ212" s="165"/>
    </row>
    <row r="213" spans="2:95" ht="14.85" customHeight="1" x14ac:dyDescent="0.25">
      <c r="B213" s="156" t="str">
        <f>Table1[[#Headers],[Total Testes]]</f>
        <v>Total Testes</v>
      </c>
      <c r="C213" s="154" t="str">
        <f t="shared" si="120"/>
        <v>PROTECTION_ANNLSD_AGRD_RT</v>
      </c>
      <c r="D213" s="153" t="s">
        <v>1114</v>
      </c>
      <c r="E213" s="153" t="s">
        <v>757</v>
      </c>
      <c r="G213" s="172">
        <v>2.5</v>
      </c>
      <c r="H213" s="191">
        <f t="shared" si="121"/>
        <v>0.4</v>
      </c>
      <c r="I213" s="193">
        <f t="shared" si="122"/>
        <v>0</v>
      </c>
      <c r="J213" s="170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  <c r="AA213" s="165"/>
      <c r="AB213" s="165"/>
      <c r="AC213" s="165"/>
      <c r="AD213" s="165"/>
      <c r="AE213" s="165"/>
      <c r="AF213" s="165"/>
      <c r="AG213" s="165"/>
      <c r="AH213" s="165"/>
      <c r="AI213" s="165"/>
      <c r="AJ213" s="165"/>
      <c r="AK213" s="165"/>
      <c r="AL213" s="165"/>
      <c r="AM213" s="165"/>
      <c r="AN213" s="165"/>
      <c r="AO213" s="165"/>
      <c r="AP213" s="165"/>
      <c r="AQ213" s="165"/>
      <c r="AR213" s="165"/>
      <c r="AS213" s="165"/>
      <c r="AT213" s="165"/>
      <c r="AU213" s="165"/>
      <c r="AV213" s="165"/>
      <c r="AW213" s="165"/>
      <c r="AX213" s="165"/>
      <c r="AY213" s="165"/>
      <c r="AZ213" s="165"/>
      <c r="BA213" s="165"/>
      <c r="BB213" s="170"/>
      <c r="BC213" s="165"/>
      <c r="BD213" s="165"/>
      <c r="BE213" s="165"/>
      <c r="BF213" s="165"/>
      <c r="BG213" s="165"/>
      <c r="BH213" s="165"/>
      <c r="BI213" s="165"/>
      <c r="BJ213" s="165"/>
      <c r="BK213" s="165"/>
      <c r="BL213" s="165"/>
      <c r="BM213" s="165"/>
      <c r="BN213" s="165"/>
      <c r="BO213" s="165"/>
      <c r="BP213" s="165">
        <v>0.3</v>
      </c>
      <c r="BQ213" s="165">
        <v>0.1</v>
      </c>
      <c r="BR213" s="165"/>
      <c r="BS213" s="165"/>
      <c r="BT213" s="165"/>
      <c r="BU213" s="165"/>
      <c r="BV213" s="165"/>
      <c r="BW213" s="165"/>
      <c r="BX213" s="165"/>
      <c r="BY213" s="165"/>
      <c r="BZ213" s="165"/>
      <c r="CA213" s="165"/>
      <c r="CB213" s="165"/>
      <c r="CC213" s="165"/>
      <c r="CD213" s="165"/>
      <c r="CE213" s="165"/>
      <c r="CF213" s="165"/>
      <c r="CG213" s="165"/>
      <c r="CH213" s="165"/>
      <c r="CI213" s="170"/>
      <c r="CJ213" s="165"/>
      <c r="CK213" s="165"/>
      <c r="CL213" s="165"/>
      <c r="CM213" s="165"/>
      <c r="CN213" s="170"/>
      <c r="CO213" s="165"/>
      <c r="CP213" s="165"/>
      <c r="CQ213" s="165"/>
    </row>
    <row r="214" spans="2:95" ht="14.85" customHeight="1" x14ac:dyDescent="0.25">
      <c r="B214" s="156" t="str">
        <f>Table1[[#Headers],[Total Testes]]</f>
        <v>Total Testes</v>
      </c>
      <c r="C214" s="154" t="str">
        <f t="shared" si="120"/>
        <v>PROTECTION_EIR_INCPTN</v>
      </c>
      <c r="D214" s="153" t="s">
        <v>1114</v>
      </c>
      <c r="E214" s="153" t="s">
        <v>763</v>
      </c>
      <c r="G214" s="172">
        <v>2.5</v>
      </c>
      <c r="H214" s="191">
        <f t="shared" si="121"/>
        <v>0.4</v>
      </c>
      <c r="I214" s="193">
        <f t="shared" si="122"/>
        <v>0</v>
      </c>
      <c r="J214" s="170"/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  <c r="AA214" s="165"/>
      <c r="AB214" s="165"/>
      <c r="AC214" s="165"/>
      <c r="AD214" s="165"/>
      <c r="AE214" s="165"/>
      <c r="AF214" s="165"/>
      <c r="AG214" s="165"/>
      <c r="AH214" s="165"/>
      <c r="AI214" s="165"/>
      <c r="AJ214" s="165"/>
      <c r="AK214" s="165"/>
      <c r="AL214" s="165"/>
      <c r="AM214" s="165"/>
      <c r="AN214" s="165"/>
      <c r="AO214" s="165"/>
      <c r="AP214" s="165"/>
      <c r="AQ214" s="165"/>
      <c r="AR214" s="165"/>
      <c r="AS214" s="165"/>
      <c r="AT214" s="165"/>
      <c r="AU214" s="165"/>
      <c r="AV214" s="165"/>
      <c r="AW214" s="165"/>
      <c r="AX214" s="165"/>
      <c r="AY214" s="165"/>
      <c r="AZ214" s="165"/>
      <c r="BA214" s="165"/>
      <c r="BB214" s="170"/>
      <c r="BC214" s="165"/>
      <c r="BD214" s="165"/>
      <c r="BE214" s="165"/>
      <c r="BF214" s="165"/>
      <c r="BG214" s="165"/>
      <c r="BH214" s="165"/>
      <c r="BI214" s="165"/>
      <c r="BJ214" s="165"/>
      <c r="BK214" s="165"/>
      <c r="BL214" s="165"/>
      <c r="BM214" s="165"/>
      <c r="BN214" s="165"/>
      <c r="BO214" s="165"/>
      <c r="BP214" s="165"/>
      <c r="BQ214" s="165">
        <v>0.4</v>
      </c>
      <c r="BR214" s="165"/>
      <c r="BS214" s="165"/>
      <c r="BT214" s="165"/>
      <c r="BU214" s="165"/>
      <c r="BV214" s="165"/>
      <c r="BW214" s="165"/>
      <c r="BX214" s="165"/>
      <c r="BY214" s="165"/>
      <c r="BZ214" s="165"/>
      <c r="CA214" s="165"/>
      <c r="CB214" s="165"/>
      <c r="CC214" s="165"/>
      <c r="CD214" s="165"/>
      <c r="CE214" s="165"/>
      <c r="CF214" s="165"/>
      <c r="CG214" s="165"/>
      <c r="CH214" s="165"/>
      <c r="CI214" s="170"/>
      <c r="CJ214" s="165"/>
      <c r="CK214" s="165"/>
      <c r="CL214" s="165"/>
      <c r="CM214" s="165"/>
      <c r="CN214" s="170"/>
      <c r="CO214" s="165"/>
      <c r="CP214" s="165"/>
      <c r="CQ214" s="165"/>
    </row>
    <row r="215" spans="2:95" ht="14.85" customHeight="1" x14ac:dyDescent="0.25">
      <c r="B215" s="156" t="str">
        <f>Table1[[#Headers],[Total Testes]]</f>
        <v>Total Testes</v>
      </c>
      <c r="C215" s="154" t="str">
        <f t="shared" si="120"/>
        <v>PROTECTION_NW_BSNSS</v>
      </c>
      <c r="D215" s="153" t="s">
        <v>1114</v>
      </c>
      <c r="E215" s="153" t="s">
        <v>973</v>
      </c>
      <c r="G215" s="172">
        <v>8</v>
      </c>
      <c r="H215" s="191">
        <f t="shared" si="121"/>
        <v>1</v>
      </c>
      <c r="I215" s="193">
        <f t="shared" si="122"/>
        <v>0</v>
      </c>
      <c r="J215" s="170"/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  <c r="AA215" s="165"/>
      <c r="AB215" s="165"/>
      <c r="AC215" s="165"/>
      <c r="AD215" s="165"/>
      <c r="AE215" s="165"/>
      <c r="AF215" s="165"/>
      <c r="AG215" s="165"/>
      <c r="AH215" s="165"/>
      <c r="AI215" s="165"/>
      <c r="AJ215" s="165"/>
      <c r="AK215" s="165"/>
      <c r="AL215" s="165"/>
      <c r="AM215" s="165"/>
      <c r="AN215" s="165"/>
      <c r="AO215" s="165"/>
      <c r="AP215" s="165"/>
      <c r="AQ215" s="165"/>
      <c r="AR215" s="165"/>
      <c r="AS215" s="165"/>
      <c r="AT215" s="165"/>
      <c r="AU215" s="165"/>
      <c r="AV215" s="165"/>
      <c r="AW215" s="165"/>
      <c r="AX215" s="165"/>
      <c r="AY215" s="165"/>
      <c r="AZ215" s="165"/>
      <c r="BA215" s="165"/>
      <c r="BB215" s="170"/>
      <c r="BC215" s="165"/>
      <c r="BD215" s="165"/>
      <c r="BE215" s="165"/>
      <c r="BF215" s="165"/>
      <c r="BG215" s="165"/>
      <c r="BH215" s="165"/>
      <c r="BI215" s="165"/>
      <c r="BJ215" s="165"/>
      <c r="BK215" s="165"/>
      <c r="BL215" s="165"/>
      <c r="BM215" s="165"/>
      <c r="BN215" s="165"/>
      <c r="BO215" s="165"/>
      <c r="BP215" s="165"/>
      <c r="BQ215" s="165">
        <v>1</v>
      </c>
      <c r="BR215" s="165"/>
      <c r="BS215" s="165"/>
      <c r="BT215" s="165"/>
      <c r="BU215" s="165"/>
      <c r="BV215" s="165"/>
      <c r="BW215" s="165"/>
      <c r="BX215" s="165"/>
      <c r="BY215" s="165"/>
      <c r="BZ215" s="165"/>
      <c r="CA215" s="165"/>
      <c r="CB215" s="165"/>
      <c r="CC215" s="165"/>
      <c r="CD215" s="165"/>
      <c r="CE215" s="165"/>
      <c r="CF215" s="165"/>
      <c r="CG215" s="165"/>
      <c r="CH215" s="165"/>
      <c r="CI215" s="170"/>
      <c r="CJ215" s="165"/>
      <c r="CK215" s="165"/>
      <c r="CL215" s="165"/>
      <c r="CM215" s="165"/>
      <c r="CN215" s="170"/>
      <c r="CO215" s="165"/>
      <c r="CP215" s="165"/>
      <c r="CQ215" s="165"/>
    </row>
    <row r="216" spans="2:95" ht="14.85" customHeight="1" x14ac:dyDescent="0.25">
      <c r="B216" s="156" t="str">
        <f>Table1[[#Headers],[Total Testes]]</f>
        <v>Total Testes</v>
      </c>
      <c r="C216" s="154" t="str">
        <f t="shared" si="120"/>
        <v>PROTECTION_YR_CNSTRCTN</v>
      </c>
      <c r="D216" s="153" t="s">
        <v>1114</v>
      </c>
      <c r="E216" s="153" t="s">
        <v>1290</v>
      </c>
      <c r="G216" s="172">
        <f>INDEX(Table1[[Especificação]:[Total Testes]],MATCH(PlanoV1.0!C216,Table1[CONCAT],0),MATCH(PlanoV1.0!B216,Table1[[#Headers],[Especificação]:[Total Testes]],0))</f>
        <v>0</v>
      </c>
      <c r="H216" s="191">
        <f t="shared" si="121"/>
        <v>0</v>
      </c>
      <c r="I216" s="193">
        <f t="shared" si="122"/>
        <v>0.4</v>
      </c>
      <c r="J216" s="170"/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  <c r="AA216" s="165"/>
      <c r="AB216" s="165"/>
      <c r="AC216" s="165"/>
      <c r="AD216" s="165"/>
      <c r="AE216" s="165"/>
      <c r="AF216" s="165"/>
      <c r="AG216" s="165"/>
      <c r="AH216" s="165"/>
      <c r="AI216" s="165"/>
      <c r="AJ216" s="165"/>
      <c r="AK216" s="165"/>
      <c r="AL216" s="165"/>
      <c r="AM216" s="165"/>
      <c r="AN216" s="165"/>
      <c r="AO216" s="165"/>
      <c r="AP216" s="165"/>
      <c r="AQ216" s="165"/>
      <c r="AR216" s="165"/>
      <c r="AS216" s="165"/>
      <c r="AT216" s="165"/>
      <c r="AU216" s="165"/>
      <c r="AV216" s="165"/>
      <c r="AW216" s="165"/>
      <c r="AX216" s="165"/>
      <c r="AY216" s="165"/>
      <c r="AZ216" s="165"/>
      <c r="BA216" s="165"/>
      <c r="BB216" s="170"/>
      <c r="BC216" s="165"/>
      <c r="BD216" s="165"/>
      <c r="BE216" s="165"/>
      <c r="BF216" s="165"/>
      <c r="BG216" s="165"/>
      <c r="BH216" s="165"/>
      <c r="BI216" s="165"/>
      <c r="BJ216" s="165"/>
      <c r="BK216" s="165"/>
      <c r="BL216" s="165"/>
      <c r="BM216" s="165"/>
      <c r="BN216" s="165"/>
      <c r="BO216" s="165"/>
      <c r="BP216" s="165"/>
      <c r="BQ216" s="165">
        <v>0.4</v>
      </c>
      <c r="BR216" s="165"/>
      <c r="BS216" s="165"/>
      <c r="BT216" s="165"/>
      <c r="BU216" s="165"/>
      <c r="BV216" s="165"/>
      <c r="BW216" s="165"/>
      <c r="BX216" s="165"/>
      <c r="BY216" s="165"/>
      <c r="BZ216" s="165"/>
      <c r="CA216" s="165"/>
      <c r="CB216" s="165"/>
      <c r="CC216" s="165"/>
      <c r="CD216" s="165"/>
      <c r="CE216" s="165"/>
      <c r="CF216" s="165"/>
      <c r="CG216" s="165"/>
      <c r="CH216" s="165"/>
      <c r="CI216" s="170"/>
      <c r="CJ216" s="165"/>
      <c r="CK216" s="165"/>
      <c r="CL216" s="165"/>
      <c r="CM216" s="165"/>
      <c r="CN216" s="170"/>
      <c r="CO216" s="165"/>
      <c r="CP216" s="165"/>
      <c r="CQ216" s="165"/>
    </row>
    <row r="217" spans="2:95" ht="14.85" customHeight="1" x14ac:dyDescent="0.25">
      <c r="B217" s="156" t="str">
        <f>Table1[[#Headers],[Total Testes]]</f>
        <v>Total Testes</v>
      </c>
      <c r="C217" s="154" t="str">
        <f t="shared" si="120"/>
        <v>PROTECTION_INTRNL_SGMNT</v>
      </c>
      <c r="D217" s="153" t="s">
        <v>1114</v>
      </c>
      <c r="E217" s="153" t="s">
        <v>50</v>
      </c>
      <c r="G217" s="172">
        <v>3</v>
      </c>
      <c r="H217" s="191">
        <f t="shared" si="121"/>
        <v>0.4</v>
      </c>
      <c r="I217" s="193">
        <f t="shared" si="122"/>
        <v>0</v>
      </c>
      <c r="J217" s="170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  <c r="AA217" s="165"/>
      <c r="AB217" s="165"/>
      <c r="AC217" s="165"/>
      <c r="AD217" s="165"/>
      <c r="AE217" s="165"/>
      <c r="AF217" s="165"/>
      <c r="AG217" s="165"/>
      <c r="AH217" s="165"/>
      <c r="AI217" s="165"/>
      <c r="AJ217" s="165"/>
      <c r="AK217" s="165"/>
      <c r="AL217" s="165"/>
      <c r="AM217" s="165"/>
      <c r="AN217" s="165"/>
      <c r="AO217" s="165"/>
      <c r="AP217" s="165"/>
      <c r="AQ217" s="165"/>
      <c r="AR217" s="165"/>
      <c r="AS217" s="165"/>
      <c r="AT217" s="165"/>
      <c r="AU217" s="165"/>
      <c r="AV217" s="165"/>
      <c r="AW217" s="165"/>
      <c r="AX217" s="165"/>
      <c r="AY217" s="165"/>
      <c r="AZ217" s="165"/>
      <c r="BA217" s="165"/>
      <c r="BB217" s="170"/>
      <c r="BC217" s="165"/>
      <c r="BD217" s="165"/>
      <c r="BE217" s="165"/>
      <c r="BF217" s="165"/>
      <c r="BG217" s="165"/>
      <c r="BH217" s="165"/>
      <c r="BI217" s="165"/>
      <c r="BJ217" s="165"/>
      <c r="BK217" s="165"/>
      <c r="BL217" s="165"/>
      <c r="BM217" s="165"/>
      <c r="BN217" s="165"/>
      <c r="BO217" s="165"/>
      <c r="BP217" s="165"/>
      <c r="BQ217" s="165">
        <v>0.1</v>
      </c>
      <c r="BR217" s="165">
        <v>0.3</v>
      </c>
      <c r="BS217" s="165"/>
      <c r="BT217" s="165"/>
      <c r="BU217" s="165"/>
      <c r="BV217" s="165"/>
      <c r="BW217" s="165"/>
      <c r="BX217" s="165"/>
      <c r="BY217" s="165"/>
      <c r="BZ217" s="165"/>
      <c r="CA217" s="165"/>
      <c r="CB217" s="165"/>
      <c r="CC217" s="165"/>
      <c r="CD217" s="165"/>
      <c r="CE217" s="165"/>
      <c r="CF217" s="165"/>
      <c r="CG217" s="165"/>
      <c r="CH217" s="165"/>
      <c r="CI217" s="170"/>
      <c r="CJ217" s="165"/>
      <c r="CK217" s="165"/>
      <c r="CL217" s="165"/>
      <c r="CM217" s="165"/>
      <c r="CN217" s="170"/>
      <c r="CO217" s="165"/>
      <c r="CP217" s="165"/>
      <c r="CQ217" s="165"/>
    </row>
    <row r="218" spans="2:95" ht="14.85" customHeight="1" x14ac:dyDescent="0.25">
      <c r="B218" s="156" t="str">
        <f>Table1[[#Headers],[Total Testes]]</f>
        <v>Total Testes</v>
      </c>
      <c r="C218" s="154" t="str">
        <f t="shared" si="120"/>
        <v>PROTECTION_EAD</v>
      </c>
      <c r="D218" s="153" t="s">
        <v>1114</v>
      </c>
      <c r="E218" s="153" t="s">
        <v>617</v>
      </c>
      <c r="G218" s="172">
        <v>3</v>
      </c>
      <c r="H218" s="191">
        <f t="shared" si="121"/>
        <v>0.4</v>
      </c>
      <c r="I218" s="193">
        <f t="shared" si="122"/>
        <v>0</v>
      </c>
      <c r="J218" s="170"/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  <c r="AA218" s="165"/>
      <c r="AB218" s="165"/>
      <c r="AC218" s="165"/>
      <c r="AD218" s="165"/>
      <c r="AE218" s="165"/>
      <c r="AF218" s="165"/>
      <c r="AG218" s="165"/>
      <c r="AH218" s="165"/>
      <c r="AI218" s="165"/>
      <c r="AJ218" s="165"/>
      <c r="AK218" s="165"/>
      <c r="AL218" s="165"/>
      <c r="AM218" s="165"/>
      <c r="AN218" s="165"/>
      <c r="AO218" s="165"/>
      <c r="AP218" s="165"/>
      <c r="AQ218" s="165"/>
      <c r="AR218" s="165"/>
      <c r="AS218" s="165"/>
      <c r="AT218" s="165"/>
      <c r="AU218" s="165"/>
      <c r="AV218" s="165"/>
      <c r="AW218" s="165"/>
      <c r="AX218" s="165"/>
      <c r="AY218" s="165"/>
      <c r="AZ218" s="165"/>
      <c r="BA218" s="165"/>
      <c r="BB218" s="170"/>
      <c r="BC218" s="165"/>
      <c r="BD218" s="165"/>
      <c r="BE218" s="165"/>
      <c r="BF218" s="165"/>
      <c r="BG218" s="165"/>
      <c r="BH218" s="165"/>
      <c r="BI218" s="165"/>
      <c r="BJ218" s="165"/>
      <c r="BK218" s="165"/>
      <c r="BL218" s="165"/>
      <c r="BM218" s="165"/>
      <c r="BN218" s="165"/>
      <c r="BO218" s="165"/>
      <c r="BP218" s="165"/>
      <c r="BQ218" s="165"/>
      <c r="BR218" s="165">
        <v>0.4</v>
      </c>
      <c r="BS218" s="165"/>
      <c r="BT218" s="165"/>
      <c r="BU218" s="165"/>
      <c r="BV218" s="165"/>
      <c r="BW218" s="165"/>
      <c r="BX218" s="165"/>
      <c r="BY218" s="165"/>
      <c r="BZ218" s="165"/>
      <c r="CA218" s="165"/>
      <c r="CB218" s="165"/>
      <c r="CC218" s="165"/>
      <c r="CD218" s="165"/>
      <c r="CE218" s="165"/>
      <c r="CF218" s="165"/>
      <c r="CG218" s="165"/>
      <c r="CH218" s="165"/>
      <c r="CI218" s="170"/>
      <c r="CJ218" s="165"/>
      <c r="CK218" s="165"/>
      <c r="CL218" s="165"/>
      <c r="CM218" s="165"/>
      <c r="CN218" s="170"/>
      <c r="CO218" s="165"/>
      <c r="CP218" s="165"/>
      <c r="CQ218" s="165"/>
    </row>
    <row r="219" spans="2:95" ht="14.85" customHeight="1" x14ac:dyDescent="0.25">
      <c r="B219" s="156" t="str">
        <f>Table1[[#Headers],[Total Testes]]</f>
        <v>Total Testes</v>
      </c>
      <c r="C219" s="154" t="str">
        <f t="shared" si="120"/>
        <v>PROTECTION_OFF_BLNC_SHT_AMNT_INSTRMNT</v>
      </c>
      <c r="D219" s="153" t="s">
        <v>1114</v>
      </c>
      <c r="E219" s="153" t="s">
        <v>629</v>
      </c>
      <c r="G219" s="172">
        <v>3</v>
      </c>
      <c r="H219" s="191">
        <f t="shared" si="121"/>
        <v>0.4</v>
      </c>
      <c r="I219" s="193">
        <f t="shared" si="122"/>
        <v>0</v>
      </c>
      <c r="J219" s="170"/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  <c r="AA219" s="165"/>
      <c r="AB219" s="165"/>
      <c r="AC219" s="165"/>
      <c r="AD219" s="165"/>
      <c r="AE219" s="165"/>
      <c r="AF219" s="165"/>
      <c r="AG219" s="165"/>
      <c r="AH219" s="165"/>
      <c r="AI219" s="165"/>
      <c r="AJ219" s="165"/>
      <c r="AK219" s="165"/>
      <c r="AL219" s="165"/>
      <c r="AM219" s="165"/>
      <c r="AN219" s="165"/>
      <c r="AO219" s="165"/>
      <c r="AP219" s="165"/>
      <c r="AQ219" s="165"/>
      <c r="AR219" s="165"/>
      <c r="AS219" s="165"/>
      <c r="AT219" s="165"/>
      <c r="AU219" s="165"/>
      <c r="AV219" s="165"/>
      <c r="AW219" s="165"/>
      <c r="AX219" s="165"/>
      <c r="AY219" s="165"/>
      <c r="AZ219" s="165"/>
      <c r="BA219" s="165"/>
      <c r="BB219" s="170"/>
      <c r="BC219" s="165"/>
      <c r="BD219" s="165"/>
      <c r="BE219" s="165"/>
      <c r="BF219" s="165"/>
      <c r="BG219" s="165"/>
      <c r="BH219" s="165"/>
      <c r="BI219" s="165"/>
      <c r="BJ219" s="165"/>
      <c r="BK219" s="165"/>
      <c r="BL219" s="165"/>
      <c r="BM219" s="165"/>
      <c r="BN219" s="165"/>
      <c r="BO219" s="165"/>
      <c r="BP219" s="165"/>
      <c r="BQ219" s="165"/>
      <c r="BR219" s="165">
        <v>0.4</v>
      </c>
      <c r="BS219" s="165"/>
      <c r="BT219" s="165"/>
      <c r="BU219" s="165"/>
      <c r="BV219" s="165"/>
      <c r="BW219" s="165"/>
      <c r="BX219" s="165"/>
      <c r="BY219" s="165"/>
      <c r="BZ219" s="165"/>
      <c r="CA219" s="165"/>
      <c r="CB219" s="165"/>
      <c r="CC219" s="165"/>
      <c r="CD219" s="165"/>
      <c r="CE219" s="165"/>
      <c r="CF219" s="165"/>
      <c r="CG219" s="165"/>
      <c r="CH219" s="165"/>
      <c r="CI219" s="170"/>
      <c r="CJ219" s="165"/>
      <c r="CK219" s="165"/>
      <c r="CL219" s="165"/>
      <c r="CM219" s="165"/>
      <c r="CN219" s="170"/>
      <c r="CO219" s="165"/>
      <c r="CP219" s="165"/>
      <c r="CQ219" s="165"/>
    </row>
    <row r="220" spans="2:95" ht="14.85" customHeight="1" x14ac:dyDescent="0.25">
      <c r="B220" s="156" t="str">
        <f>Table1[[#Headers],[Total Testes]]</f>
        <v>Total Testes</v>
      </c>
      <c r="C220" s="154" t="str">
        <f t="shared" si="120"/>
        <v>PROTECTION_INTRNL_SGMNT_CAT_MSTA</v>
      </c>
      <c r="D220" s="153" t="s">
        <v>1114</v>
      </c>
      <c r="E220" s="153" t="s">
        <v>943</v>
      </c>
      <c r="G220" s="172">
        <v>3.5</v>
      </c>
      <c r="H220" s="191">
        <f t="shared" si="121"/>
        <v>0.5</v>
      </c>
      <c r="I220" s="193">
        <f t="shared" si="122"/>
        <v>0</v>
      </c>
      <c r="J220" s="170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  <c r="AA220" s="165"/>
      <c r="AB220" s="165"/>
      <c r="AC220" s="165"/>
      <c r="AD220" s="165"/>
      <c r="AE220" s="165"/>
      <c r="AF220" s="165"/>
      <c r="AG220" s="165"/>
      <c r="AH220" s="165"/>
      <c r="AI220" s="165"/>
      <c r="AJ220" s="165"/>
      <c r="AK220" s="165"/>
      <c r="AL220" s="165"/>
      <c r="AM220" s="165"/>
      <c r="AN220" s="165"/>
      <c r="AO220" s="165"/>
      <c r="AP220" s="165"/>
      <c r="AQ220" s="165"/>
      <c r="AR220" s="165"/>
      <c r="AS220" s="165"/>
      <c r="AT220" s="165"/>
      <c r="AU220" s="165"/>
      <c r="AV220" s="165"/>
      <c r="AW220" s="165"/>
      <c r="AX220" s="165"/>
      <c r="AY220" s="165"/>
      <c r="AZ220" s="165"/>
      <c r="BA220" s="165"/>
      <c r="BB220" s="170"/>
      <c r="BC220" s="165"/>
      <c r="BD220" s="165"/>
      <c r="BE220" s="165"/>
      <c r="BF220" s="165"/>
      <c r="BG220" s="165"/>
      <c r="BH220" s="165"/>
      <c r="BI220" s="165"/>
      <c r="BJ220" s="165"/>
      <c r="BK220" s="165"/>
      <c r="BL220" s="165"/>
      <c r="BM220" s="165"/>
      <c r="BN220" s="165"/>
      <c r="BO220" s="165"/>
      <c r="BP220" s="165"/>
      <c r="BQ220" s="165"/>
      <c r="BR220" s="165">
        <v>0.5</v>
      </c>
      <c r="BS220" s="165"/>
      <c r="BT220" s="165"/>
      <c r="BU220" s="165"/>
      <c r="BV220" s="165"/>
      <c r="BW220" s="165"/>
      <c r="BX220" s="165"/>
      <c r="BY220" s="165"/>
      <c r="BZ220" s="165"/>
      <c r="CA220" s="165"/>
      <c r="CB220" s="165"/>
      <c r="CC220" s="165"/>
      <c r="CD220" s="165"/>
      <c r="CE220" s="165"/>
      <c r="CF220" s="165"/>
      <c r="CG220" s="165"/>
      <c r="CH220" s="165"/>
      <c r="CI220" s="170"/>
      <c r="CJ220" s="165"/>
      <c r="CK220" s="165"/>
      <c r="CL220" s="165"/>
      <c r="CM220" s="165"/>
      <c r="CN220" s="170"/>
      <c r="CO220" s="165"/>
      <c r="CP220" s="165"/>
      <c r="CQ220" s="165"/>
    </row>
    <row r="221" spans="2:95" ht="14.85" customHeight="1" x14ac:dyDescent="0.25">
      <c r="B221" s="156" t="str">
        <f>Table1[[#Headers],[Total Testes]]</f>
        <v>Total Testes</v>
      </c>
      <c r="C221" s="154" t="str">
        <f t="shared" si="120"/>
        <v>PROTECTION_INTRNL_SGMNT_CATGSUB</v>
      </c>
      <c r="D221" s="153" t="s">
        <v>1114</v>
      </c>
      <c r="E221" s="153" t="s">
        <v>946</v>
      </c>
      <c r="G221" s="172">
        <v>3.5</v>
      </c>
      <c r="H221" s="191">
        <f t="shared" si="121"/>
        <v>0.5</v>
      </c>
      <c r="I221" s="193">
        <f t="shared" si="122"/>
        <v>0</v>
      </c>
      <c r="J221" s="170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  <c r="AA221" s="165"/>
      <c r="AB221" s="165"/>
      <c r="AC221" s="165"/>
      <c r="AD221" s="165"/>
      <c r="AE221" s="165"/>
      <c r="AF221" s="165"/>
      <c r="AG221" s="165"/>
      <c r="AH221" s="165"/>
      <c r="AI221" s="165"/>
      <c r="AJ221" s="165"/>
      <c r="AK221" s="165"/>
      <c r="AL221" s="165"/>
      <c r="AM221" s="165"/>
      <c r="AN221" s="165"/>
      <c r="AO221" s="165"/>
      <c r="AP221" s="165"/>
      <c r="AQ221" s="165"/>
      <c r="AR221" s="165"/>
      <c r="AS221" s="165"/>
      <c r="AT221" s="165"/>
      <c r="AU221" s="165"/>
      <c r="AV221" s="165"/>
      <c r="AW221" s="165"/>
      <c r="AX221" s="165"/>
      <c r="AY221" s="165"/>
      <c r="AZ221" s="165"/>
      <c r="BA221" s="165"/>
      <c r="BB221" s="170"/>
      <c r="BC221" s="165"/>
      <c r="BD221" s="165"/>
      <c r="BE221" s="165"/>
      <c r="BF221" s="165"/>
      <c r="BG221" s="165"/>
      <c r="BH221" s="165"/>
      <c r="BI221" s="165"/>
      <c r="BJ221" s="165"/>
      <c r="BK221" s="165"/>
      <c r="BL221" s="165"/>
      <c r="BM221" s="165"/>
      <c r="BN221" s="165"/>
      <c r="BO221" s="165"/>
      <c r="BP221" s="165"/>
      <c r="BQ221" s="165"/>
      <c r="BR221" s="165">
        <v>0.4</v>
      </c>
      <c r="BS221" s="165">
        <v>0.1</v>
      </c>
      <c r="BT221" s="165"/>
      <c r="BU221" s="165"/>
      <c r="BV221" s="165"/>
      <c r="BW221" s="165"/>
      <c r="BX221" s="165"/>
      <c r="BY221" s="165"/>
      <c r="BZ221" s="165"/>
      <c r="CA221" s="165"/>
      <c r="CB221" s="165"/>
      <c r="CC221" s="165"/>
      <c r="CD221" s="165"/>
      <c r="CE221" s="165"/>
      <c r="CF221" s="165"/>
      <c r="CG221" s="165"/>
      <c r="CH221" s="165"/>
      <c r="CI221" s="170"/>
      <c r="CJ221" s="165"/>
      <c r="CK221" s="165"/>
      <c r="CL221" s="165"/>
      <c r="CM221" s="165"/>
      <c r="CN221" s="170"/>
      <c r="CO221" s="165"/>
      <c r="CP221" s="165"/>
      <c r="CQ221" s="165"/>
    </row>
    <row r="222" spans="2:95" ht="14.85" customHeight="1" x14ac:dyDescent="0.25">
      <c r="B222" s="156" t="str">
        <f>Table1[[#Headers],[Total Testes]]</f>
        <v>Total Testes</v>
      </c>
      <c r="C222" s="154" t="str">
        <f t="shared" si="120"/>
        <v>PROTECTION_RL_ESTT_ADDRSS</v>
      </c>
      <c r="D222" s="153" t="s">
        <v>1114</v>
      </c>
      <c r="E222" s="153" t="s">
        <v>1127</v>
      </c>
      <c r="G222" s="172">
        <f>INDEX(Table1[[Especificação]:[Total Testes]],MATCH(PlanoV1.0!C222,Table1[CONCAT],0),MATCH(PlanoV1.0!B222,Table1[[#Headers],[Especificação]:[Total Testes]],0))</f>
        <v>0</v>
      </c>
      <c r="H222" s="191">
        <f t="shared" si="121"/>
        <v>0</v>
      </c>
      <c r="I222" s="193">
        <f t="shared" si="122"/>
        <v>0.4</v>
      </c>
      <c r="J222" s="170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  <c r="AA222" s="165"/>
      <c r="AB222" s="165"/>
      <c r="AC222" s="165"/>
      <c r="AD222" s="165"/>
      <c r="AE222" s="165"/>
      <c r="AF222" s="165"/>
      <c r="AG222" s="165"/>
      <c r="AH222" s="165"/>
      <c r="AI222" s="165"/>
      <c r="AJ222" s="165"/>
      <c r="AK222" s="165"/>
      <c r="AL222" s="165"/>
      <c r="AM222" s="165"/>
      <c r="AN222" s="165"/>
      <c r="AO222" s="165"/>
      <c r="AP222" s="165"/>
      <c r="AQ222" s="165"/>
      <c r="AR222" s="165"/>
      <c r="AS222" s="165"/>
      <c r="AT222" s="165"/>
      <c r="AU222" s="165"/>
      <c r="AV222" s="165"/>
      <c r="AW222" s="165"/>
      <c r="AX222" s="165"/>
      <c r="AY222" s="165"/>
      <c r="AZ222" s="165"/>
      <c r="BA222" s="165"/>
      <c r="BB222" s="170"/>
      <c r="BC222" s="165"/>
      <c r="BD222" s="165"/>
      <c r="BE222" s="165"/>
      <c r="BF222" s="165"/>
      <c r="BG222" s="165"/>
      <c r="BH222" s="165"/>
      <c r="BI222" s="165"/>
      <c r="BJ222" s="165"/>
      <c r="BK222" s="165"/>
      <c r="BL222" s="165"/>
      <c r="BM222" s="165"/>
      <c r="BN222" s="165"/>
      <c r="BO222" s="165"/>
      <c r="BP222" s="165"/>
      <c r="BQ222" s="165"/>
      <c r="BR222" s="165"/>
      <c r="BS222" s="165">
        <v>0.4</v>
      </c>
      <c r="BT222" s="165"/>
      <c r="BU222" s="165"/>
      <c r="BV222" s="165"/>
      <c r="BW222" s="165"/>
      <c r="BX222" s="165"/>
      <c r="BY222" s="165"/>
      <c r="BZ222" s="165"/>
      <c r="CA222" s="165"/>
      <c r="CB222" s="165"/>
      <c r="CC222" s="165"/>
      <c r="CD222" s="165"/>
      <c r="CE222" s="165"/>
      <c r="CF222" s="165"/>
      <c r="CG222" s="165"/>
      <c r="CH222" s="165"/>
      <c r="CI222" s="170"/>
      <c r="CJ222" s="165"/>
      <c r="CK222" s="165"/>
      <c r="CL222" s="165"/>
      <c r="CM222" s="165"/>
      <c r="CN222" s="170"/>
      <c r="CO222" s="165"/>
      <c r="CP222" s="165"/>
      <c r="CQ222" s="165"/>
    </row>
    <row r="223" spans="2:95" ht="14.85" customHeight="1" x14ac:dyDescent="0.25">
      <c r="B223" s="156" t="str">
        <f>Table1[[#Headers],[Total Testes]]</f>
        <v>Total Testes</v>
      </c>
      <c r="C223" s="154" t="str">
        <f t="shared" si="120"/>
        <v>PROTECTION_RL_ESTT_CLLTRL_LCTN_INT</v>
      </c>
      <c r="D223" s="153" t="s">
        <v>1114</v>
      </c>
      <c r="E223" s="153" t="s">
        <v>1133</v>
      </c>
      <c r="G223" s="172">
        <f>INDEX(Table1[[Especificação]:[Total Testes]],MATCH(PlanoV1.0!C223,Table1[CONCAT],0),MATCH(PlanoV1.0!B223,Table1[[#Headers],[Especificação]:[Total Testes]],0))</f>
        <v>0</v>
      </c>
      <c r="H223" s="191">
        <f t="shared" si="121"/>
        <v>0</v>
      </c>
      <c r="I223" s="193">
        <f t="shared" si="122"/>
        <v>0.4</v>
      </c>
      <c r="J223" s="170"/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  <c r="AA223" s="165"/>
      <c r="AB223" s="165"/>
      <c r="AC223" s="165"/>
      <c r="AD223" s="165"/>
      <c r="AE223" s="165"/>
      <c r="AF223" s="165"/>
      <c r="AG223" s="165"/>
      <c r="AH223" s="165"/>
      <c r="AI223" s="165"/>
      <c r="AJ223" s="165"/>
      <c r="AK223" s="165"/>
      <c r="AL223" s="165"/>
      <c r="AM223" s="165"/>
      <c r="AN223" s="165"/>
      <c r="AO223" s="165"/>
      <c r="AP223" s="165"/>
      <c r="AQ223" s="165"/>
      <c r="AR223" s="165"/>
      <c r="AS223" s="165"/>
      <c r="AT223" s="165"/>
      <c r="AU223" s="165"/>
      <c r="AV223" s="165"/>
      <c r="AW223" s="165"/>
      <c r="AX223" s="165"/>
      <c r="AY223" s="165"/>
      <c r="AZ223" s="165"/>
      <c r="BA223" s="165"/>
      <c r="BB223" s="170"/>
      <c r="BC223" s="165"/>
      <c r="BD223" s="165"/>
      <c r="BE223" s="165"/>
      <c r="BF223" s="165"/>
      <c r="BG223" s="165"/>
      <c r="BH223" s="165"/>
      <c r="BI223" s="165"/>
      <c r="BJ223" s="165"/>
      <c r="BK223" s="165"/>
      <c r="BL223" s="165"/>
      <c r="BM223" s="165"/>
      <c r="BN223" s="165"/>
      <c r="BO223" s="165"/>
      <c r="BP223" s="165"/>
      <c r="BQ223" s="165"/>
      <c r="BR223" s="165"/>
      <c r="BS223" s="165">
        <v>0.4</v>
      </c>
      <c r="BT223" s="165"/>
      <c r="BU223" s="165"/>
      <c r="BV223" s="165"/>
      <c r="BW223" s="165"/>
      <c r="BX223" s="165"/>
      <c r="BY223" s="165"/>
      <c r="BZ223" s="165"/>
      <c r="CA223" s="165"/>
      <c r="CB223" s="165"/>
      <c r="CC223" s="165"/>
      <c r="CD223" s="165"/>
      <c r="CE223" s="165"/>
      <c r="CF223" s="165"/>
      <c r="CG223" s="165"/>
      <c r="CH223" s="165"/>
      <c r="CI223" s="170"/>
      <c r="CJ223" s="165"/>
      <c r="CK223" s="165"/>
      <c r="CL223" s="165"/>
      <c r="CM223" s="165"/>
      <c r="CN223" s="170"/>
      <c r="CO223" s="165"/>
      <c r="CP223" s="165"/>
      <c r="CQ223" s="165"/>
    </row>
    <row r="224" spans="2:95" ht="14.85" customHeight="1" x14ac:dyDescent="0.25">
      <c r="B224" s="156" t="str">
        <f>Table1[[#Headers],[Total Testes]]</f>
        <v>Total Testes</v>
      </c>
      <c r="C224" s="154" t="str">
        <f t="shared" si="120"/>
        <v>PROTECTION_RL_ESTT_CTY</v>
      </c>
      <c r="D224" s="153" t="s">
        <v>1114</v>
      </c>
      <c r="E224" s="153" t="s">
        <v>1136</v>
      </c>
      <c r="G224" s="172">
        <f>INDEX(Table1[[Especificação]:[Total Testes]],MATCH(PlanoV1.0!C224,Table1[CONCAT],0),MATCH(PlanoV1.0!B224,Table1[[#Headers],[Especificação]:[Total Testes]],0))</f>
        <v>0</v>
      </c>
      <c r="H224" s="191">
        <f t="shared" si="121"/>
        <v>0</v>
      </c>
      <c r="I224" s="193">
        <f t="shared" si="122"/>
        <v>0.4</v>
      </c>
      <c r="J224" s="170"/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  <c r="AA224" s="165"/>
      <c r="AB224" s="165"/>
      <c r="AC224" s="165"/>
      <c r="AD224" s="165"/>
      <c r="AE224" s="165"/>
      <c r="AF224" s="165"/>
      <c r="AG224" s="165"/>
      <c r="AH224" s="165"/>
      <c r="AI224" s="165"/>
      <c r="AJ224" s="165"/>
      <c r="AK224" s="165"/>
      <c r="AL224" s="165"/>
      <c r="AM224" s="165"/>
      <c r="AN224" s="165"/>
      <c r="AO224" s="165"/>
      <c r="AP224" s="165"/>
      <c r="AQ224" s="165"/>
      <c r="AR224" s="165"/>
      <c r="AS224" s="165"/>
      <c r="AT224" s="165"/>
      <c r="AU224" s="165"/>
      <c r="AV224" s="165"/>
      <c r="AW224" s="165"/>
      <c r="AX224" s="165"/>
      <c r="AY224" s="165"/>
      <c r="AZ224" s="165"/>
      <c r="BA224" s="165"/>
      <c r="BB224" s="170"/>
      <c r="BC224" s="165"/>
      <c r="BD224" s="165"/>
      <c r="BE224" s="165"/>
      <c r="BF224" s="165"/>
      <c r="BG224" s="165"/>
      <c r="BH224" s="165"/>
      <c r="BI224" s="165"/>
      <c r="BJ224" s="165"/>
      <c r="BK224" s="165"/>
      <c r="BL224" s="165"/>
      <c r="BM224" s="165"/>
      <c r="BN224" s="165"/>
      <c r="BO224" s="165"/>
      <c r="BP224" s="165"/>
      <c r="BQ224" s="165"/>
      <c r="BR224" s="165"/>
      <c r="BS224" s="165">
        <v>0.4</v>
      </c>
      <c r="BT224" s="165"/>
      <c r="BU224" s="165"/>
      <c r="BV224" s="165"/>
      <c r="BW224" s="165"/>
      <c r="BX224" s="165"/>
      <c r="BY224" s="165"/>
      <c r="BZ224" s="165"/>
      <c r="CA224" s="165"/>
      <c r="CB224" s="165"/>
      <c r="CC224" s="165"/>
      <c r="CD224" s="165"/>
      <c r="CE224" s="165"/>
      <c r="CF224" s="165"/>
      <c r="CG224" s="165"/>
      <c r="CH224" s="165"/>
      <c r="CI224" s="170"/>
      <c r="CJ224" s="165"/>
      <c r="CK224" s="165"/>
      <c r="CL224" s="165"/>
      <c r="CM224" s="165"/>
      <c r="CN224" s="170"/>
      <c r="CO224" s="165"/>
      <c r="CP224" s="165"/>
      <c r="CQ224" s="165"/>
    </row>
    <row r="225" spans="1:95" ht="13.8" x14ac:dyDescent="0.25">
      <c r="B225" s="156"/>
      <c r="C225" s="211" t="s">
        <v>1711</v>
      </c>
      <c r="D225" s="178"/>
      <c r="E225" s="179"/>
      <c r="F225" s="205"/>
      <c r="G225" s="205">
        <f>H225*8</f>
        <v>32</v>
      </c>
      <c r="H225" s="208">
        <f>ROUNDUP(Auxiliar!$E$12*H156,0)</f>
        <v>4</v>
      </c>
      <c r="I225" s="209">
        <f t="shared" si="119"/>
        <v>0.70000000000000018</v>
      </c>
      <c r="J225" s="170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5"/>
      <c r="AH225" s="165"/>
      <c r="AI225" s="165"/>
      <c r="AJ225" s="165"/>
      <c r="AK225" s="165"/>
      <c r="AL225" s="165"/>
      <c r="AM225" s="165"/>
      <c r="AN225" s="165"/>
      <c r="AO225" s="165"/>
      <c r="AP225" s="165"/>
      <c r="AQ225" s="165"/>
      <c r="AR225" s="165"/>
      <c r="AS225" s="165"/>
      <c r="AT225" s="165"/>
      <c r="AU225" s="165"/>
      <c r="AV225" s="165"/>
      <c r="AW225" s="165"/>
      <c r="AX225" s="165"/>
      <c r="AY225" s="165"/>
      <c r="AZ225" s="165"/>
      <c r="BA225" s="165"/>
      <c r="BB225" s="170"/>
      <c r="BC225" s="165"/>
      <c r="BD225" s="165"/>
      <c r="BE225" s="165"/>
      <c r="BF225" s="165"/>
      <c r="BG225" s="165"/>
      <c r="BH225" s="165"/>
      <c r="BI225" s="165"/>
      <c r="BJ225" s="165"/>
      <c r="BK225" s="165"/>
      <c r="BL225" s="165"/>
      <c r="BM225" s="165"/>
      <c r="BN225" s="165"/>
      <c r="BO225" s="165"/>
      <c r="BP225" s="165"/>
      <c r="BQ225" s="165"/>
      <c r="BR225" s="165"/>
      <c r="BS225" s="165">
        <v>0.7</v>
      </c>
      <c r="BT225" s="165">
        <v>2</v>
      </c>
      <c r="BU225" s="165">
        <v>2</v>
      </c>
      <c r="BV225" s="165"/>
      <c r="BW225" s="165"/>
      <c r="BX225" s="165"/>
      <c r="BY225" s="165"/>
      <c r="BZ225" s="165"/>
      <c r="CA225" s="165"/>
      <c r="CB225" s="165"/>
      <c r="CC225" s="165"/>
      <c r="CD225" s="165"/>
      <c r="CE225" s="165"/>
      <c r="CF225" s="165"/>
      <c r="CG225" s="165"/>
      <c r="CH225" s="165"/>
      <c r="CI225" s="170"/>
      <c r="CJ225" s="165"/>
      <c r="CK225" s="165"/>
      <c r="CL225" s="165"/>
      <c r="CM225" s="165"/>
      <c r="CN225" s="170"/>
      <c r="CO225" s="165"/>
      <c r="CP225" s="165"/>
      <c r="CQ225" s="165"/>
    </row>
    <row r="226" spans="1:95" ht="13.8" x14ac:dyDescent="0.25">
      <c r="A226"/>
      <c r="B226"/>
      <c r="C226"/>
      <c r="D226"/>
      <c r="E226"/>
      <c r="F226" s="218"/>
      <c r="G226"/>
      <c r="H226"/>
      <c r="I226"/>
      <c r="J226"/>
      <c r="K226"/>
      <c r="L226"/>
      <c r="M226"/>
      <c r="N226"/>
    </row>
  </sheetData>
  <conditionalFormatting sqref="I10:I225">
    <cfRule type="cellIs" dxfId="28" priority="4" operator="notEqual">
      <formula>0</formula>
    </cfRule>
    <cfRule type="cellIs" dxfId="27" priority="33" operator="equal">
      <formula>0</formula>
    </cfRule>
  </conditionalFormatting>
  <conditionalFormatting sqref="J9:J225">
    <cfRule type="cellIs" dxfId="26" priority="9" operator="greaterThan">
      <formula>0</formula>
    </cfRule>
  </conditionalFormatting>
  <conditionalFormatting sqref="J2:BU2">
    <cfRule type="cellIs" dxfId="25" priority="1" operator="equal">
      <formula>0</formula>
    </cfRule>
    <cfRule type="cellIs" dxfId="24" priority="2" operator="greaterThan">
      <formula>0</formula>
    </cfRule>
    <cfRule type="cellIs" dxfId="23" priority="3" operator="lessThan">
      <formula>0</formula>
    </cfRule>
  </conditionalFormatting>
  <conditionalFormatting sqref="K9:BA225 BC9:CH225 CJ9:CM225 CO9:CQ225">
    <cfRule type="cellIs" dxfId="22" priority="10" operator="notEqual">
      <formula>0</formula>
    </cfRule>
  </conditionalFormatting>
  <conditionalFormatting sqref="BB9:BB225">
    <cfRule type="cellIs" dxfId="21" priority="8" operator="greaterThan">
      <formula>0</formula>
    </cfRule>
  </conditionalFormatting>
  <conditionalFormatting sqref="CI9:CI225">
    <cfRule type="cellIs" dxfId="20" priority="5" operator="greaterThan">
      <formula>0</formula>
    </cfRule>
  </conditionalFormatting>
  <conditionalFormatting sqref="CN9:CN225">
    <cfRule type="cellIs" dxfId="19" priority="6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CQ232"/>
  <sheetViews>
    <sheetView showGridLines="0" zoomScale="80" zoomScaleNormal="80" workbookViewId="0">
      <pane xSplit="9" ySplit="8" topLeftCell="J9" activePane="bottomRight" state="frozen"/>
      <selection pane="topRight" activeCell="J1" sqref="J1"/>
      <selection pane="bottomLeft" activeCell="A9" sqref="A9"/>
      <selection pane="bottomRight" activeCell="J9" sqref="J9"/>
    </sheetView>
  </sheetViews>
  <sheetFormatPr defaultColWidth="5.59765625" defaultRowHeight="13.8" outlineLevelRow="1" x14ac:dyDescent="0.25"/>
  <cols>
    <col min="1" max="1" width="2.69921875" style="145" customWidth="1"/>
    <col min="2" max="2" width="2.69921875" style="142" customWidth="1"/>
    <col min="3" max="3" width="39.8984375" style="143" customWidth="1"/>
    <col min="4" max="4" width="20.69921875" style="144" customWidth="1"/>
    <col min="5" max="5" width="29.5" style="144" customWidth="1"/>
    <col min="6" max="6" width="15.69921875" style="173" customWidth="1"/>
    <col min="7" max="7" width="18.69921875" style="144" customWidth="1"/>
    <col min="8" max="8" width="18.69921875" style="187" customWidth="1"/>
    <col min="9" max="9" width="9.5" style="145" bestFit="1" customWidth="1"/>
    <col min="10" max="14" width="5.59765625" style="145"/>
  </cols>
  <sheetData>
    <row r="1" spans="1:95" x14ac:dyDescent="0.25">
      <c r="H1" s="185">
        <f>I1/8</f>
        <v>150.29999999999978</v>
      </c>
      <c r="I1" s="174">
        <f>SUM(J1:BU1)</f>
        <v>1202.3999999999983</v>
      </c>
      <c r="K1" s="145">
        <f>K4*8</f>
        <v>24.8</v>
      </c>
      <c r="L1" s="145">
        <f t="shared" ref="L1:BU1" si="0">L4*8</f>
        <v>24.8</v>
      </c>
      <c r="M1" s="145">
        <f t="shared" si="0"/>
        <v>24.8</v>
      </c>
      <c r="N1" s="145">
        <f t="shared" si="0"/>
        <v>24.8</v>
      </c>
      <c r="O1" s="145">
        <f t="shared" si="0"/>
        <v>24.8</v>
      </c>
      <c r="P1" s="145">
        <f t="shared" si="0"/>
        <v>24.8</v>
      </c>
      <c r="Q1" s="145">
        <f t="shared" si="0"/>
        <v>24.8</v>
      </c>
      <c r="R1" s="145">
        <f t="shared" si="0"/>
        <v>24.8</v>
      </c>
      <c r="S1" s="145">
        <f t="shared" si="0"/>
        <v>24.8</v>
      </c>
      <c r="T1" s="145">
        <f t="shared" si="0"/>
        <v>24.8</v>
      </c>
      <c r="U1" s="145">
        <f t="shared" si="0"/>
        <v>24.8</v>
      </c>
      <c r="V1" s="145">
        <f t="shared" si="0"/>
        <v>24.8</v>
      </c>
      <c r="W1" s="145">
        <f t="shared" si="0"/>
        <v>24.8</v>
      </c>
      <c r="X1" s="145">
        <f t="shared" si="0"/>
        <v>24.8</v>
      </c>
      <c r="Y1" s="145">
        <f t="shared" si="0"/>
        <v>24.8</v>
      </c>
      <c r="Z1" s="145">
        <f t="shared" si="0"/>
        <v>24.8</v>
      </c>
      <c r="AA1" s="145">
        <f t="shared" si="0"/>
        <v>24.8</v>
      </c>
      <c r="AB1" s="145">
        <f t="shared" si="0"/>
        <v>24.8</v>
      </c>
      <c r="AC1" s="145">
        <f t="shared" si="0"/>
        <v>24.8</v>
      </c>
      <c r="AD1" s="145">
        <f t="shared" si="0"/>
        <v>24.8</v>
      </c>
      <c r="AE1" s="145">
        <f t="shared" si="0"/>
        <v>24.8</v>
      </c>
      <c r="AF1" s="145">
        <f t="shared" si="0"/>
        <v>24.8</v>
      </c>
      <c r="AG1" s="145">
        <f t="shared" si="0"/>
        <v>16.8</v>
      </c>
      <c r="AH1" s="145">
        <f t="shared" si="0"/>
        <v>16.8</v>
      </c>
      <c r="AI1" s="145">
        <f t="shared" si="0"/>
        <v>16.8</v>
      </c>
      <c r="AJ1" s="145">
        <f t="shared" si="0"/>
        <v>16.8</v>
      </c>
      <c r="AK1" s="145">
        <f t="shared" si="0"/>
        <v>16.8</v>
      </c>
      <c r="AL1" s="145">
        <f t="shared" si="0"/>
        <v>16.8</v>
      </c>
      <c r="AM1" s="145">
        <f t="shared" si="0"/>
        <v>16.8</v>
      </c>
      <c r="AN1" s="145">
        <f t="shared" si="0"/>
        <v>16.8</v>
      </c>
      <c r="AO1" s="145">
        <f t="shared" si="0"/>
        <v>16.8</v>
      </c>
      <c r="AP1" s="145">
        <f t="shared" si="0"/>
        <v>16.8</v>
      </c>
      <c r="AQ1" s="145">
        <f t="shared" si="0"/>
        <v>16.8</v>
      </c>
      <c r="AR1" s="145">
        <f t="shared" si="0"/>
        <v>16.8</v>
      </c>
      <c r="AS1" s="145">
        <f t="shared" si="0"/>
        <v>16.8</v>
      </c>
      <c r="AT1" s="145">
        <f t="shared" si="0"/>
        <v>16.8</v>
      </c>
      <c r="AU1" s="145">
        <f t="shared" si="0"/>
        <v>16.8</v>
      </c>
      <c r="AV1" s="145">
        <f t="shared" si="0"/>
        <v>16.8</v>
      </c>
      <c r="AW1" s="145">
        <f t="shared" si="0"/>
        <v>16.8</v>
      </c>
      <c r="AX1" s="145">
        <f t="shared" si="0"/>
        <v>16.8</v>
      </c>
      <c r="AY1" s="145">
        <f t="shared" si="0"/>
        <v>16.8</v>
      </c>
      <c r="AZ1" s="145">
        <f t="shared" si="0"/>
        <v>16.8</v>
      </c>
      <c r="BA1" s="145">
        <f t="shared" si="0"/>
        <v>16.8</v>
      </c>
      <c r="BB1" s="145">
        <f t="shared" si="0"/>
        <v>0</v>
      </c>
      <c r="BC1" s="145">
        <f t="shared" si="0"/>
        <v>16.8</v>
      </c>
      <c r="BD1" s="145">
        <f t="shared" si="0"/>
        <v>16.8</v>
      </c>
      <c r="BE1" s="145">
        <f t="shared" si="0"/>
        <v>16.8</v>
      </c>
      <c r="BF1" s="145">
        <f t="shared" si="0"/>
        <v>16.8</v>
      </c>
      <c r="BG1" s="145">
        <f t="shared" si="0"/>
        <v>16.8</v>
      </c>
      <c r="BH1" s="145">
        <f t="shared" si="0"/>
        <v>16.8</v>
      </c>
      <c r="BI1" s="145">
        <f t="shared" si="0"/>
        <v>16.8</v>
      </c>
      <c r="BJ1" s="145">
        <f t="shared" si="0"/>
        <v>16.8</v>
      </c>
      <c r="BK1" s="145">
        <f t="shared" si="0"/>
        <v>16.8</v>
      </c>
      <c r="BL1" s="145">
        <f t="shared" si="0"/>
        <v>16.8</v>
      </c>
      <c r="BM1" s="145">
        <f t="shared" si="0"/>
        <v>16.8</v>
      </c>
      <c r="BN1" s="145">
        <f t="shared" si="0"/>
        <v>16.8</v>
      </c>
      <c r="BO1" s="145">
        <f t="shared" si="0"/>
        <v>16.8</v>
      </c>
      <c r="BP1" s="145">
        <f t="shared" si="0"/>
        <v>16.8</v>
      </c>
      <c r="BQ1" s="145">
        <f t="shared" si="0"/>
        <v>16.8</v>
      </c>
      <c r="BR1" s="145">
        <f t="shared" si="0"/>
        <v>16.8</v>
      </c>
      <c r="BS1" s="145">
        <f t="shared" si="0"/>
        <v>16.8</v>
      </c>
      <c r="BT1" s="145">
        <f t="shared" si="0"/>
        <v>16.8</v>
      </c>
      <c r="BU1" s="145">
        <f t="shared" si="0"/>
        <v>1.6</v>
      </c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</row>
    <row r="2" spans="1:95" x14ac:dyDescent="0.25">
      <c r="A2" s="150"/>
      <c r="B2" s="147"/>
      <c r="C2" s="148"/>
      <c r="D2" s="149"/>
      <c r="E2" s="149"/>
      <c r="F2" s="217"/>
      <c r="G2" s="149"/>
      <c r="H2" s="186"/>
      <c r="I2" s="152" t="s">
        <v>1707</v>
      </c>
      <c r="J2" s="151"/>
      <c r="K2" s="151">
        <f t="shared" ref="K2:BU2" si="1">K3-K4</f>
        <v>0</v>
      </c>
      <c r="L2" s="151">
        <f t="shared" si="1"/>
        <v>0</v>
      </c>
      <c r="M2" s="151">
        <f t="shared" si="1"/>
        <v>0</v>
      </c>
      <c r="N2" s="151">
        <f t="shared" si="1"/>
        <v>0</v>
      </c>
      <c r="O2" s="151">
        <f t="shared" si="1"/>
        <v>0</v>
      </c>
      <c r="P2" s="151">
        <f t="shared" si="1"/>
        <v>0</v>
      </c>
      <c r="Q2" s="151">
        <f t="shared" si="1"/>
        <v>0</v>
      </c>
      <c r="R2" s="151">
        <f t="shared" si="1"/>
        <v>0</v>
      </c>
      <c r="S2" s="151">
        <f t="shared" si="1"/>
        <v>0</v>
      </c>
      <c r="T2" s="151">
        <f t="shared" si="1"/>
        <v>0</v>
      </c>
      <c r="U2" s="151">
        <f t="shared" si="1"/>
        <v>0</v>
      </c>
      <c r="V2" s="151">
        <f t="shared" si="1"/>
        <v>0</v>
      </c>
      <c r="W2" s="151">
        <f t="shared" si="1"/>
        <v>0</v>
      </c>
      <c r="X2" s="151">
        <f t="shared" si="1"/>
        <v>0</v>
      </c>
      <c r="Y2" s="151">
        <f t="shared" si="1"/>
        <v>0</v>
      </c>
      <c r="Z2" s="151">
        <f t="shared" si="1"/>
        <v>0</v>
      </c>
      <c r="AA2" s="151">
        <f t="shared" si="1"/>
        <v>0</v>
      </c>
      <c r="AB2" s="151">
        <f t="shared" si="1"/>
        <v>0</v>
      </c>
      <c r="AC2" s="151">
        <f t="shared" si="1"/>
        <v>0</v>
      </c>
      <c r="AD2" s="151">
        <f t="shared" si="1"/>
        <v>0</v>
      </c>
      <c r="AE2" s="151">
        <f t="shared" si="1"/>
        <v>0</v>
      </c>
      <c r="AF2" s="151">
        <f t="shared" si="1"/>
        <v>0</v>
      </c>
      <c r="AG2" s="151">
        <f t="shared" si="1"/>
        <v>0</v>
      </c>
      <c r="AH2" s="151">
        <f t="shared" si="1"/>
        <v>0</v>
      </c>
      <c r="AI2" s="151">
        <f t="shared" si="1"/>
        <v>0</v>
      </c>
      <c r="AJ2" s="151">
        <f t="shared" si="1"/>
        <v>0</v>
      </c>
      <c r="AK2" s="151">
        <f t="shared" si="1"/>
        <v>0</v>
      </c>
      <c r="AL2" s="151">
        <f t="shared" si="1"/>
        <v>0</v>
      </c>
      <c r="AM2" s="151">
        <f t="shared" si="1"/>
        <v>0</v>
      </c>
      <c r="AN2" s="151">
        <f t="shared" si="1"/>
        <v>0</v>
      </c>
      <c r="AO2" s="151">
        <f t="shared" si="1"/>
        <v>0</v>
      </c>
      <c r="AP2" s="151">
        <f t="shared" si="1"/>
        <v>0</v>
      </c>
      <c r="AQ2" s="151">
        <f t="shared" si="1"/>
        <v>0</v>
      </c>
      <c r="AR2" s="151">
        <f t="shared" si="1"/>
        <v>0</v>
      </c>
      <c r="AS2" s="151">
        <f t="shared" si="1"/>
        <v>0</v>
      </c>
      <c r="AT2" s="151">
        <f t="shared" si="1"/>
        <v>0</v>
      </c>
      <c r="AU2" s="151">
        <f t="shared" si="1"/>
        <v>0</v>
      </c>
      <c r="AV2" s="151">
        <f t="shared" si="1"/>
        <v>0</v>
      </c>
      <c r="AW2" s="151">
        <f t="shared" si="1"/>
        <v>0</v>
      </c>
      <c r="AX2" s="151">
        <f t="shared" si="1"/>
        <v>0</v>
      </c>
      <c r="AY2" s="151">
        <f t="shared" si="1"/>
        <v>0</v>
      </c>
      <c r="AZ2" s="151">
        <f t="shared" si="1"/>
        <v>0</v>
      </c>
      <c r="BA2" s="151">
        <f t="shared" si="1"/>
        <v>0</v>
      </c>
      <c r="BB2" s="151"/>
      <c r="BC2" s="151">
        <f t="shared" si="1"/>
        <v>0</v>
      </c>
      <c r="BD2" s="151">
        <f t="shared" si="1"/>
        <v>0</v>
      </c>
      <c r="BE2" s="151">
        <f t="shared" si="1"/>
        <v>0</v>
      </c>
      <c r="BF2" s="151">
        <f t="shared" si="1"/>
        <v>0</v>
      </c>
      <c r="BG2" s="151">
        <f t="shared" si="1"/>
        <v>0</v>
      </c>
      <c r="BH2" s="151">
        <f t="shared" si="1"/>
        <v>0</v>
      </c>
      <c r="BI2" s="151">
        <f t="shared" si="1"/>
        <v>0</v>
      </c>
      <c r="BJ2" s="151">
        <f t="shared" si="1"/>
        <v>0</v>
      </c>
      <c r="BK2" s="151">
        <f t="shared" si="1"/>
        <v>0</v>
      </c>
      <c r="BL2" s="151">
        <f t="shared" si="1"/>
        <v>0</v>
      </c>
      <c r="BM2" s="151">
        <f t="shared" si="1"/>
        <v>0</v>
      </c>
      <c r="BN2" s="151">
        <f t="shared" si="1"/>
        <v>0</v>
      </c>
      <c r="BO2" s="151">
        <f t="shared" si="1"/>
        <v>0</v>
      </c>
      <c r="BP2" s="151">
        <f t="shared" si="1"/>
        <v>0</v>
      </c>
      <c r="BQ2" s="151">
        <f t="shared" si="1"/>
        <v>0</v>
      </c>
      <c r="BR2" s="151">
        <f t="shared" si="1"/>
        <v>0</v>
      </c>
      <c r="BS2" s="151">
        <f t="shared" si="1"/>
        <v>0</v>
      </c>
      <c r="BT2" s="151">
        <f t="shared" si="1"/>
        <v>0</v>
      </c>
      <c r="BU2" s="151">
        <f t="shared" si="1"/>
        <v>0</v>
      </c>
    </row>
    <row r="3" spans="1:95" x14ac:dyDescent="0.25">
      <c r="A3" s="150"/>
      <c r="B3" s="147"/>
      <c r="C3" s="148"/>
      <c r="D3" s="149"/>
      <c r="E3" s="149"/>
      <c r="F3" s="217"/>
      <c r="G3" s="149"/>
      <c r="H3" s="186"/>
      <c r="I3" s="152" t="s">
        <v>1706</v>
      </c>
      <c r="J3" s="152"/>
      <c r="K3" s="152">
        <f t="shared" ref="K3:BU3" si="2">SUM(K9:K226)</f>
        <v>3.1</v>
      </c>
      <c r="L3" s="152">
        <f t="shared" si="2"/>
        <v>3.1</v>
      </c>
      <c r="M3" s="152">
        <f t="shared" si="2"/>
        <v>3.1</v>
      </c>
      <c r="N3" s="152">
        <f t="shared" si="2"/>
        <v>3.1</v>
      </c>
      <c r="O3" s="152">
        <f t="shared" si="2"/>
        <v>3.1</v>
      </c>
      <c r="P3" s="152">
        <f t="shared" si="2"/>
        <v>3.1</v>
      </c>
      <c r="Q3" s="152">
        <f t="shared" si="2"/>
        <v>3.1</v>
      </c>
      <c r="R3" s="152">
        <f t="shared" si="2"/>
        <v>3.1</v>
      </c>
      <c r="S3" s="152">
        <f t="shared" si="2"/>
        <v>3.1</v>
      </c>
      <c r="T3" s="152">
        <f t="shared" si="2"/>
        <v>3.1</v>
      </c>
      <c r="U3" s="152">
        <f t="shared" si="2"/>
        <v>3.1</v>
      </c>
      <c r="V3" s="152">
        <f t="shared" si="2"/>
        <v>3.1</v>
      </c>
      <c r="W3" s="152">
        <f t="shared" si="2"/>
        <v>3.1</v>
      </c>
      <c r="X3" s="152">
        <f t="shared" si="2"/>
        <v>3.1</v>
      </c>
      <c r="Y3" s="152">
        <f t="shared" si="2"/>
        <v>3.1</v>
      </c>
      <c r="Z3" s="152">
        <f t="shared" si="2"/>
        <v>3.1</v>
      </c>
      <c r="AA3" s="152">
        <f t="shared" si="2"/>
        <v>3.1</v>
      </c>
      <c r="AB3" s="152">
        <f t="shared" si="2"/>
        <v>3.1</v>
      </c>
      <c r="AC3" s="152">
        <f t="shared" si="2"/>
        <v>3.1</v>
      </c>
      <c r="AD3" s="152">
        <f t="shared" si="2"/>
        <v>3.1</v>
      </c>
      <c r="AE3" s="152">
        <f t="shared" si="2"/>
        <v>3.1</v>
      </c>
      <c r="AF3" s="152">
        <f t="shared" si="2"/>
        <v>3.1</v>
      </c>
      <c r="AG3" s="152">
        <f t="shared" si="2"/>
        <v>2.1</v>
      </c>
      <c r="AH3" s="152">
        <f t="shared" si="2"/>
        <v>2.1</v>
      </c>
      <c r="AI3" s="152">
        <f t="shared" si="2"/>
        <v>2.1</v>
      </c>
      <c r="AJ3" s="152">
        <f t="shared" si="2"/>
        <v>2.1</v>
      </c>
      <c r="AK3" s="152">
        <f t="shared" si="2"/>
        <v>2.1</v>
      </c>
      <c r="AL3" s="152">
        <f t="shared" si="2"/>
        <v>2.1</v>
      </c>
      <c r="AM3" s="152">
        <f t="shared" si="2"/>
        <v>2.1</v>
      </c>
      <c r="AN3" s="152">
        <f t="shared" si="2"/>
        <v>2.1</v>
      </c>
      <c r="AO3" s="152">
        <f t="shared" si="2"/>
        <v>2.1</v>
      </c>
      <c r="AP3" s="152">
        <f t="shared" si="2"/>
        <v>2.1</v>
      </c>
      <c r="AQ3" s="152">
        <f t="shared" si="2"/>
        <v>2.1</v>
      </c>
      <c r="AR3" s="152">
        <f t="shared" si="2"/>
        <v>2.1</v>
      </c>
      <c r="AS3" s="152">
        <f t="shared" si="2"/>
        <v>2.1</v>
      </c>
      <c r="AT3" s="152">
        <f t="shared" si="2"/>
        <v>2.1</v>
      </c>
      <c r="AU3" s="152">
        <f t="shared" si="2"/>
        <v>2.1</v>
      </c>
      <c r="AV3" s="152">
        <f t="shared" si="2"/>
        <v>2.1</v>
      </c>
      <c r="AW3" s="152">
        <f t="shared" si="2"/>
        <v>2.1</v>
      </c>
      <c r="AX3" s="152">
        <f t="shared" si="2"/>
        <v>2.1</v>
      </c>
      <c r="AY3" s="152">
        <f t="shared" si="2"/>
        <v>2.1</v>
      </c>
      <c r="AZ3" s="152">
        <f t="shared" si="2"/>
        <v>2.1</v>
      </c>
      <c r="BA3" s="152">
        <f t="shared" si="2"/>
        <v>2.1</v>
      </c>
      <c r="BB3" s="152"/>
      <c r="BC3" s="152">
        <f t="shared" si="2"/>
        <v>2.1</v>
      </c>
      <c r="BD3" s="152">
        <f t="shared" si="2"/>
        <v>2.1</v>
      </c>
      <c r="BE3" s="152">
        <f t="shared" si="2"/>
        <v>2.1</v>
      </c>
      <c r="BF3" s="152">
        <f t="shared" si="2"/>
        <v>2.1</v>
      </c>
      <c r="BG3" s="152">
        <f t="shared" si="2"/>
        <v>2.1</v>
      </c>
      <c r="BH3" s="152">
        <f t="shared" si="2"/>
        <v>2.1</v>
      </c>
      <c r="BI3" s="152">
        <f t="shared" si="2"/>
        <v>2.1</v>
      </c>
      <c r="BJ3" s="152">
        <f t="shared" si="2"/>
        <v>2.1</v>
      </c>
      <c r="BK3" s="152">
        <f t="shared" si="2"/>
        <v>2.1</v>
      </c>
      <c r="BL3" s="152">
        <f t="shared" si="2"/>
        <v>2.1</v>
      </c>
      <c r="BM3" s="152">
        <f t="shared" si="2"/>
        <v>2.1</v>
      </c>
      <c r="BN3" s="152">
        <f t="shared" si="2"/>
        <v>2.1</v>
      </c>
      <c r="BO3" s="152">
        <f t="shared" si="2"/>
        <v>2.1</v>
      </c>
      <c r="BP3" s="152">
        <f t="shared" si="2"/>
        <v>2.1</v>
      </c>
      <c r="BQ3" s="152">
        <f t="shared" si="2"/>
        <v>2.1</v>
      </c>
      <c r="BR3" s="152">
        <f t="shared" si="2"/>
        <v>2.1</v>
      </c>
      <c r="BS3" s="152">
        <f t="shared" si="2"/>
        <v>2.1</v>
      </c>
      <c r="BT3" s="152">
        <f t="shared" si="2"/>
        <v>2.1</v>
      </c>
      <c r="BU3" s="152">
        <f t="shared" si="2"/>
        <v>0.2</v>
      </c>
      <c r="BV3" s="152"/>
      <c r="BW3" s="152"/>
      <c r="BX3" s="152"/>
      <c r="BY3" s="152"/>
      <c r="BZ3" s="152"/>
      <c r="CA3" s="152"/>
      <c r="CB3" s="152"/>
      <c r="CC3" s="152"/>
      <c r="CD3" s="152"/>
      <c r="CE3" s="152"/>
      <c r="CF3" s="152"/>
      <c r="CG3" s="152"/>
      <c r="CH3" s="152"/>
      <c r="CI3" s="152"/>
      <c r="CJ3" s="152"/>
      <c r="CK3" s="152"/>
      <c r="CL3" s="152"/>
      <c r="CM3" s="152"/>
      <c r="CN3" s="152"/>
      <c r="CO3" s="152"/>
      <c r="CP3" s="152"/>
      <c r="CQ3" s="152"/>
    </row>
    <row r="4" spans="1:95" x14ac:dyDescent="0.25">
      <c r="A4" s="150"/>
      <c r="B4" s="147"/>
      <c r="C4" s="148"/>
      <c r="D4" s="149"/>
      <c r="E4" s="149"/>
      <c r="F4" s="217"/>
      <c r="G4" s="223"/>
      <c r="H4" s="186"/>
      <c r="I4" s="152" t="s">
        <v>1705</v>
      </c>
      <c r="J4" s="152"/>
      <c r="K4" s="152">
        <v>3.1</v>
      </c>
      <c r="L4" s="152">
        <v>3.1</v>
      </c>
      <c r="M4" s="152">
        <v>3.1</v>
      </c>
      <c r="N4" s="152">
        <v>3.1</v>
      </c>
      <c r="O4" s="152">
        <v>3.1</v>
      </c>
      <c r="P4" s="152">
        <v>3.1</v>
      </c>
      <c r="Q4" s="152">
        <v>3.1</v>
      </c>
      <c r="R4" s="152">
        <v>3.1</v>
      </c>
      <c r="S4" s="152">
        <v>3.1</v>
      </c>
      <c r="T4" s="152">
        <v>3.1</v>
      </c>
      <c r="U4" s="152">
        <v>3.1</v>
      </c>
      <c r="V4" s="152">
        <v>3.1</v>
      </c>
      <c r="W4" s="152">
        <v>3.1</v>
      </c>
      <c r="X4" s="152">
        <v>3.1</v>
      </c>
      <c r="Y4" s="152">
        <v>3.1</v>
      </c>
      <c r="Z4" s="152">
        <v>3.1</v>
      </c>
      <c r="AA4" s="152">
        <v>3.1</v>
      </c>
      <c r="AB4" s="152">
        <v>3.1</v>
      </c>
      <c r="AC4" s="152">
        <v>3.1</v>
      </c>
      <c r="AD4" s="152">
        <v>3.1</v>
      </c>
      <c r="AE4" s="152">
        <v>3.1</v>
      </c>
      <c r="AF4" s="152">
        <v>3.1</v>
      </c>
      <c r="AG4" s="152">
        <v>2.1</v>
      </c>
      <c r="AH4" s="152">
        <v>2.1</v>
      </c>
      <c r="AI4" s="152">
        <v>2.1</v>
      </c>
      <c r="AJ4" s="152">
        <v>2.1</v>
      </c>
      <c r="AK4" s="152">
        <v>2.1</v>
      </c>
      <c r="AL4" s="152">
        <v>2.1</v>
      </c>
      <c r="AM4" s="152">
        <v>2.1</v>
      </c>
      <c r="AN4" s="152">
        <v>2.1</v>
      </c>
      <c r="AO4" s="152">
        <v>2.1</v>
      </c>
      <c r="AP4" s="152">
        <v>2.1</v>
      </c>
      <c r="AQ4" s="152">
        <v>2.1</v>
      </c>
      <c r="AR4" s="152">
        <v>2.1</v>
      </c>
      <c r="AS4" s="152">
        <v>2.1</v>
      </c>
      <c r="AT4" s="152">
        <v>2.1</v>
      </c>
      <c r="AU4" s="152">
        <v>2.1</v>
      </c>
      <c r="AV4" s="152">
        <v>2.1</v>
      </c>
      <c r="AW4" s="152">
        <v>2.1</v>
      </c>
      <c r="AX4" s="152">
        <v>2.1</v>
      </c>
      <c r="AY4" s="152">
        <v>2.1</v>
      </c>
      <c r="AZ4" s="152">
        <v>2.1</v>
      </c>
      <c r="BA4" s="152">
        <v>2.1</v>
      </c>
      <c r="BB4" s="152"/>
      <c r="BC4" s="152">
        <v>2.1</v>
      </c>
      <c r="BD4" s="152">
        <v>2.1</v>
      </c>
      <c r="BE4" s="152">
        <v>2.1</v>
      </c>
      <c r="BF4" s="152">
        <v>2.1</v>
      </c>
      <c r="BG4" s="152">
        <v>2.1</v>
      </c>
      <c r="BH4" s="152">
        <v>2.1</v>
      </c>
      <c r="BI4" s="152">
        <v>2.1</v>
      </c>
      <c r="BJ4" s="152">
        <v>2.1</v>
      </c>
      <c r="BK4" s="152">
        <v>2.1</v>
      </c>
      <c r="BL4" s="152">
        <v>2.1</v>
      </c>
      <c r="BM4" s="152">
        <v>2.1</v>
      </c>
      <c r="BN4" s="152">
        <v>2.1</v>
      </c>
      <c r="BO4" s="152">
        <v>2.1</v>
      </c>
      <c r="BP4" s="152">
        <v>2.1</v>
      </c>
      <c r="BQ4" s="152">
        <v>2.1</v>
      </c>
      <c r="BR4" s="152">
        <v>2.1</v>
      </c>
      <c r="BS4" s="152">
        <v>2.1</v>
      </c>
      <c r="BT4" s="152">
        <v>2.1</v>
      </c>
      <c r="BU4" s="152">
        <v>0.2</v>
      </c>
      <c r="BV4" s="152"/>
      <c r="BW4" s="152"/>
      <c r="BX4" s="152"/>
      <c r="BY4" s="152"/>
      <c r="BZ4" s="152"/>
      <c r="CA4" s="152"/>
      <c r="CB4" s="152"/>
      <c r="CC4" s="152"/>
      <c r="CD4" s="152"/>
      <c r="CE4" s="152"/>
      <c r="CF4" s="152"/>
      <c r="CG4" s="152"/>
      <c r="CH4" s="152"/>
      <c r="CI4" s="152"/>
      <c r="CJ4" s="152"/>
      <c r="CK4" s="152"/>
      <c r="CL4" s="152"/>
      <c r="CM4" s="152"/>
      <c r="CN4" s="152"/>
      <c r="CO4" s="152"/>
      <c r="CP4" s="152"/>
      <c r="CQ4" s="152"/>
    </row>
    <row r="5" spans="1:95" x14ac:dyDescent="0.25">
      <c r="G5" s="219">
        <f>G11+G12+G16</f>
        <v>545.09999999999991</v>
      </c>
      <c r="H5" s="219">
        <f>H11+H12+H16</f>
        <v>68.400000000000006</v>
      </c>
      <c r="J5" s="146" t="s">
        <v>1701</v>
      </c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 t="s">
        <v>1702</v>
      </c>
      <c r="AH5" s="146"/>
      <c r="AI5" s="146"/>
      <c r="AJ5" s="146"/>
      <c r="AK5" s="146"/>
      <c r="AL5" s="146"/>
      <c r="AM5" s="146"/>
      <c r="AN5" s="146"/>
      <c r="AO5" s="146"/>
      <c r="AP5" s="146"/>
      <c r="AQ5" s="146"/>
      <c r="AR5" s="146"/>
      <c r="AS5" s="146"/>
      <c r="AT5" s="146"/>
      <c r="AU5" s="146"/>
      <c r="AV5" s="146"/>
      <c r="AW5" s="146"/>
      <c r="AX5" s="146"/>
      <c r="AY5" s="146"/>
      <c r="AZ5" s="146"/>
      <c r="BA5" s="146" t="s">
        <v>1703</v>
      </c>
      <c r="BB5" s="146"/>
      <c r="BC5" s="146"/>
      <c r="BD5" s="146"/>
      <c r="BE5" s="146"/>
      <c r="BF5" s="146"/>
      <c r="BG5" s="146"/>
      <c r="BH5" s="146"/>
      <c r="BI5" s="146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 t="s">
        <v>1704</v>
      </c>
      <c r="BW5" s="146"/>
      <c r="BX5" s="146"/>
      <c r="BY5" s="146"/>
      <c r="BZ5" s="146"/>
      <c r="CA5" s="146"/>
      <c r="CB5" s="146"/>
      <c r="CC5" s="146"/>
      <c r="CD5" s="146"/>
      <c r="CE5" s="146"/>
      <c r="CF5" s="146"/>
      <c r="CG5" s="146"/>
      <c r="CH5" s="146"/>
      <c r="CI5" s="146"/>
      <c r="CJ5" s="146"/>
      <c r="CK5" s="146"/>
      <c r="CL5" s="146"/>
      <c r="CM5" s="146"/>
      <c r="CN5" s="146"/>
      <c r="CO5" s="146"/>
      <c r="CP5" s="146"/>
      <c r="CQ5" s="146"/>
    </row>
    <row r="6" spans="1:95" ht="16.2" x14ac:dyDescent="0.25">
      <c r="D6" s="143"/>
      <c r="E6" s="143"/>
      <c r="G6" s="220">
        <f>G5/8</f>
        <v>68.137499999999989</v>
      </c>
      <c r="H6" s="188">
        <f>H5-G6</f>
        <v>0.26250000000001705</v>
      </c>
      <c r="J6" s="167">
        <v>45649</v>
      </c>
      <c r="K6" s="167">
        <v>45650</v>
      </c>
      <c r="L6" s="167">
        <v>45651</v>
      </c>
      <c r="M6" s="167">
        <v>45652</v>
      </c>
      <c r="N6" s="167">
        <v>45653</v>
      </c>
      <c r="O6" s="167">
        <v>45649</v>
      </c>
      <c r="P6" s="167">
        <v>45650</v>
      </c>
      <c r="Q6" s="167">
        <v>45651</v>
      </c>
      <c r="R6" s="167">
        <v>45652</v>
      </c>
      <c r="S6" s="167">
        <v>45653</v>
      </c>
      <c r="T6" s="167">
        <v>45649</v>
      </c>
      <c r="U6" s="167">
        <v>45650</v>
      </c>
      <c r="V6" s="167">
        <v>45651</v>
      </c>
      <c r="W6" s="167">
        <v>45652</v>
      </c>
      <c r="X6" s="167">
        <v>45653</v>
      </c>
      <c r="Y6" s="167">
        <v>45649</v>
      </c>
      <c r="Z6" s="167">
        <v>45650</v>
      </c>
      <c r="AA6" s="167">
        <v>45651</v>
      </c>
      <c r="AB6" s="167">
        <v>45652</v>
      </c>
      <c r="AC6" s="167">
        <v>45653</v>
      </c>
      <c r="AD6" s="167">
        <v>45649</v>
      </c>
      <c r="AE6" s="167">
        <v>45650</v>
      </c>
      <c r="AF6" s="167">
        <v>45651</v>
      </c>
      <c r="AG6" s="167">
        <v>45652</v>
      </c>
      <c r="AH6" s="167">
        <v>45653</v>
      </c>
      <c r="AI6" s="167">
        <v>45649</v>
      </c>
      <c r="AJ6" s="167">
        <v>45650</v>
      </c>
      <c r="AK6" s="167">
        <v>45651</v>
      </c>
      <c r="AL6" s="167">
        <v>45652</v>
      </c>
      <c r="AM6" s="167">
        <v>45653</v>
      </c>
      <c r="AN6" s="167">
        <v>45649</v>
      </c>
      <c r="AO6" s="167">
        <v>45650</v>
      </c>
      <c r="AP6" s="167">
        <v>45651</v>
      </c>
      <c r="AQ6" s="167">
        <v>45652</v>
      </c>
      <c r="AR6" s="167">
        <v>45653</v>
      </c>
      <c r="AS6" s="167">
        <v>45649</v>
      </c>
      <c r="AT6" s="167">
        <v>45650</v>
      </c>
      <c r="AU6" s="167">
        <v>45651</v>
      </c>
      <c r="AV6" s="167">
        <v>45652</v>
      </c>
      <c r="AW6" s="167">
        <v>45653</v>
      </c>
      <c r="AX6" s="167">
        <v>45649</v>
      </c>
      <c r="AY6" s="167">
        <v>45650</v>
      </c>
      <c r="AZ6" s="167">
        <v>45651</v>
      </c>
      <c r="BA6" s="167">
        <v>45652</v>
      </c>
      <c r="BB6" s="167">
        <v>45653</v>
      </c>
      <c r="BC6" s="167">
        <v>45649</v>
      </c>
      <c r="BD6" s="167">
        <v>45650</v>
      </c>
      <c r="BE6" s="167">
        <v>45651</v>
      </c>
      <c r="BF6" s="167">
        <v>45652</v>
      </c>
      <c r="BG6" s="167">
        <v>45653</v>
      </c>
      <c r="BH6" s="167">
        <v>45649</v>
      </c>
      <c r="BI6" s="167">
        <v>45650</v>
      </c>
      <c r="BJ6" s="167">
        <v>45651</v>
      </c>
      <c r="BK6" s="167">
        <v>45652</v>
      </c>
      <c r="BL6" s="167">
        <v>45653</v>
      </c>
      <c r="BM6" s="167">
        <v>45649</v>
      </c>
      <c r="BN6" s="167">
        <v>45650</v>
      </c>
      <c r="BO6" s="167">
        <v>45651</v>
      </c>
      <c r="BP6" s="167">
        <v>45652</v>
      </c>
      <c r="BQ6" s="167">
        <v>45653</v>
      </c>
      <c r="BR6" s="167">
        <v>45649</v>
      </c>
      <c r="BS6" s="167">
        <v>45650</v>
      </c>
      <c r="BT6" s="167">
        <v>45651</v>
      </c>
      <c r="BU6" s="167">
        <v>45652</v>
      </c>
      <c r="BV6" s="167">
        <v>45653</v>
      </c>
      <c r="BW6" s="167">
        <v>45649</v>
      </c>
      <c r="BX6" s="167">
        <v>45650</v>
      </c>
      <c r="BY6" s="167">
        <v>45651</v>
      </c>
      <c r="BZ6" s="167">
        <v>45652</v>
      </c>
      <c r="CA6" s="167">
        <v>45653</v>
      </c>
      <c r="CB6" s="167">
        <v>45649</v>
      </c>
      <c r="CC6" s="167">
        <v>45650</v>
      </c>
      <c r="CD6" s="167">
        <v>45651</v>
      </c>
      <c r="CE6" s="167">
        <v>45652</v>
      </c>
      <c r="CF6" s="167">
        <v>45653</v>
      </c>
      <c r="CG6" s="167">
        <v>45649</v>
      </c>
      <c r="CH6" s="167">
        <v>45650</v>
      </c>
      <c r="CI6" s="167">
        <v>45651</v>
      </c>
      <c r="CJ6" s="167">
        <v>45652</v>
      </c>
      <c r="CK6" s="167">
        <v>45653</v>
      </c>
      <c r="CL6" s="167">
        <v>45649</v>
      </c>
      <c r="CM6" s="167">
        <v>45650</v>
      </c>
      <c r="CN6" s="167">
        <v>45651</v>
      </c>
      <c r="CO6" s="167">
        <v>45652</v>
      </c>
      <c r="CP6" s="167">
        <v>45653</v>
      </c>
      <c r="CQ6" s="167">
        <v>45649</v>
      </c>
    </row>
    <row r="7" spans="1:95" ht="17.399999999999999" x14ac:dyDescent="0.25">
      <c r="D7" s="143"/>
      <c r="E7" s="143"/>
      <c r="G7" s="143"/>
      <c r="H7" s="188"/>
      <c r="I7" s="169">
        <v>45657</v>
      </c>
      <c r="J7" s="168">
        <f>WORKDAY(I7,1)</f>
        <v>45658</v>
      </c>
      <c r="K7" s="168">
        <f t="shared" ref="K7:N8" si="3">WORKDAY(J7,1)</f>
        <v>45659</v>
      </c>
      <c r="L7" s="168">
        <f t="shared" si="3"/>
        <v>45660</v>
      </c>
      <c r="M7" s="168">
        <f t="shared" si="3"/>
        <v>45663</v>
      </c>
      <c r="N7" s="168">
        <f t="shared" si="3"/>
        <v>45664</v>
      </c>
      <c r="O7" s="168">
        <f>WORKDAY(N7,1)</f>
        <v>45665</v>
      </c>
      <c r="P7" s="168">
        <f t="shared" ref="P7:S8" si="4">WORKDAY(O7,1)</f>
        <v>45666</v>
      </c>
      <c r="Q7" s="168">
        <f t="shared" si="4"/>
        <v>45667</v>
      </c>
      <c r="R7" s="168">
        <f t="shared" si="4"/>
        <v>45670</v>
      </c>
      <c r="S7" s="168">
        <f t="shared" si="4"/>
        <v>45671</v>
      </c>
      <c r="T7" s="168">
        <f>WORKDAY(S7,1)</f>
        <v>45672</v>
      </c>
      <c r="U7" s="168">
        <f t="shared" ref="U7:AJ8" si="5">WORKDAY(T7,1)</f>
        <v>45673</v>
      </c>
      <c r="V7" s="168">
        <f t="shared" si="5"/>
        <v>45674</v>
      </c>
      <c r="W7" s="168">
        <f t="shared" si="5"/>
        <v>45677</v>
      </c>
      <c r="X7" s="168">
        <f t="shared" si="5"/>
        <v>45678</v>
      </c>
    </row>
    <row r="8" spans="1:95" ht="17.399999999999999" x14ac:dyDescent="0.25">
      <c r="D8" s="143"/>
      <c r="E8" s="143"/>
      <c r="F8" s="173" t="s">
        <v>1613</v>
      </c>
      <c r="G8" s="173" t="s">
        <v>1708</v>
      </c>
      <c r="H8" s="192" t="s">
        <v>1728</v>
      </c>
      <c r="I8" s="202" t="s">
        <v>1707</v>
      </c>
      <c r="J8" s="168">
        <f>WORKDAY(I7,1)</f>
        <v>45658</v>
      </c>
      <c r="K8" s="168">
        <f t="shared" si="3"/>
        <v>45659</v>
      </c>
      <c r="L8" s="168">
        <f t="shared" si="3"/>
        <v>45660</v>
      </c>
      <c r="M8" s="168">
        <f t="shared" si="3"/>
        <v>45663</v>
      </c>
      <c r="N8" s="168">
        <f t="shared" si="3"/>
        <v>45664</v>
      </c>
      <c r="O8" s="168">
        <f>WORKDAY(N8,1)</f>
        <v>45665</v>
      </c>
      <c r="P8" s="168">
        <f t="shared" si="4"/>
        <v>45666</v>
      </c>
      <c r="Q8" s="168">
        <f t="shared" si="4"/>
        <v>45667</v>
      </c>
      <c r="R8" s="168">
        <f t="shared" si="4"/>
        <v>45670</v>
      </c>
      <c r="S8" s="168">
        <f t="shared" si="4"/>
        <v>45671</v>
      </c>
      <c r="T8" s="168">
        <f>WORKDAY(S8,1)</f>
        <v>45672</v>
      </c>
      <c r="U8" s="168">
        <f t="shared" si="5"/>
        <v>45673</v>
      </c>
      <c r="V8" s="168">
        <f t="shared" si="5"/>
        <v>45674</v>
      </c>
      <c r="W8" s="168">
        <f t="shared" si="5"/>
        <v>45677</v>
      </c>
      <c r="X8" s="168">
        <f t="shared" si="5"/>
        <v>45678</v>
      </c>
      <c r="Y8" s="168">
        <f t="shared" si="5"/>
        <v>45679</v>
      </c>
      <c r="Z8" s="168">
        <f t="shared" si="5"/>
        <v>45680</v>
      </c>
      <c r="AA8" s="168">
        <f t="shared" si="5"/>
        <v>45681</v>
      </c>
      <c r="AB8" s="168">
        <f t="shared" si="5"/>
        <v>45684</v>
      </c>
      <c r="AC8" s="168">
        <f t="shared" si="5"/>
        <v>45685</v>
      </c>
      <c r="AD8" s="168">
        <f t="shared" si="5"/>
        <v>45686</v>
      </c>
      <c r="AE8" s="168">
        <f t="shared" si="5"/>
        <v>45687</v>
      </c>
      <c r="AF8" s="168">
        <f t="shared" si="5"/>
        <v>45688</v>
      </c>
      <c r="AG8" s="168">
        <f t="shared" si="5"/>
        <v>45691</v>
      </c>
      <c r="AH8" s="168">
        <f t="shared" si="5"/>
        <v>45692</v>
      </c>
      <c r="AI8" s="168">
        <f t="shared" si="5"/>
        <v>45693</v>
      </c>
      <c r="AJ8" s="168">
        <f t="shared" si="5"/>
        <v>45694</v>
      </c>
      <c r="AK8" s="168">
        <f t="shared" ref="AK8:CQ8" si="6">WORKDAY(AJ8,1)</f>
        <v>45695</v>
      </c>
      <c r="AL8" s="168">
        <f t="shared" si="6"/>
        <v>45698</v>
      </c>
      <c r="AM8" s="168">
        <f t="shared" si="6"/>
        <v>45699</v>
      </c>
      <c r="AN8" s="168">
        <f t="shared" si="6"/>
        <v>45700</v>
      </c>
      <c r="AO8" s="168">
        <f t="shared" si="6"/>
        <v>45701</v>
      </c>
      <c r="AP8" s="168">
        <f t="shared" si="6"/>
        <v>45702</v>
      </c>
      <c r="AQ8" s="168">
        <f t="shared" si="6"/>
        <v>45705</v>
      </c>
      <c r="AR8" s="168">
        <f t="shared" si="6"/>
        <v>45706</v>
      </c>
      <c r="AS8" s="168">
        <f t="shared" si="6"/>
        <v>45707</v>
      </c>
      <c r="AT8" s="168">
        <f t="shared" si="6"/>
        <v>45708</v>
      </c>
      <c r="AU8" s="168">
        <f t="shared" si="6"/>
        <v>45709</v>
      </c>
      <c r="AV8" s="168">
        <f t="shared" si="6"/>
        <v>45712</v>
      </c>
      <c r="AW8" s="168">
        <f t="shared" si="6"/>
        <v>45713</v>
      </c>
      <c r="AX8" s="168">
        <f t="shared" si="6"/>
        <v>45714</v>
      </c>
      <c r="AY8" s="168">
        <f t="shared" si="6"/>
        <v>45715</v>
      </c>
      <c r="AZ8" s="168">
        <f t="shared" si="6"/>
        <v>45716</v>
      </c>
      <c r="BA8" s="168">
        <f t="shared" si="6"/>
        <v>45719</v>
      </c>
      <c r="BB8" s="168">
        <f t="shared" si="6"/>
        <v>45720</v>
      </c>
      <c r="BC8" s="168">
        <f t="shared" si="6"/>
        <v>45721</v>
      </c>
      <c r="BD8" s="168">
        <f t="shared" si="6"/>
        <v>45722</v>
      </c>
      <c r="BE8" s="168">
        <f t="shared" si="6"/>
        <v>45723</v>
      </c>
      <c r="BF8" s="168">
        <f t="shared" si="6"/>
        <v>45726</v>
      </c>
      <c r="BG8" s="168">
        <f t="shared" si="6"/>
        <v>45727</v>
      </c>
      <c r="BH8" s="168">
        <f t="shared" si="6"/>
        <v>45728</v>
      </c>
      <c r="BI8" s="168">
        <f t="shared" si="6"/>
        <v>45729</v>
      </c>
      <c r="BJ8" s="168">
        <f t="shared" si="6"/>
        <v>45730</v>
      </c>
      <c r="BK8" s="168">
        <f t="shared" si="6"/>
        <v>45733</v>
      </c>
      <c r="BL8" s="168">
        <f t="shared" si="6"/>
        <v>45734</v>
      </c>
      <c r="BM8" s="168">
        <f t="shared" si="6"/>
        <v>45735</v>
      </c>
      <c r="BN8" s="168">
        <f t="shared" si="6"/>
        <v>45736</v>
      </c>
      <c r="BO8" s="168">
        <f t="shared" si="6"/>
        <v>45737</v>
      </c>
      <c r="BP8" s="168">
        <f t="shared" si="6"/>
        <v>45740</v>
      </c>
      <c r="BQ8" s="168">
        <f t="shared" si="6"/>
        <v>45741</v>
      </c>
      <c r="BR8" s="168">
        <f t="shared" si="6"/>
        <v>45742</v>
      </c>
      <c r="BS8" s="168">
        <f t="shared" si="6"/>
        <v>45743</v>
      </c>
      <c r="BT8" s="168">
        <f t="shared" si="6"/>
        <v>45744</v>
      </c>
      <c r="BU8" s="168">
        <f t="shared" si="6"/>
        <v>45747</v>
      </c>
      <c r="BV8" s="168">
        <f t="shared" si="6"/>
        <v>45748</v>
      </c>
      <c r="BW8" s="168">
        <f t="shared" si="6"/>
        <v>45749</v>
      </c>
      <c r="BX8" s="168">
        <f t="shared" si="6"/>
        <v>45750</v>
      </c>
      <c r="BY8" s="168">
        <f t="shared" si="6"/>
        <v>45751</v>
      </c>
      <c r="BZ8" s="168">
        <f t="shared" si="6"/>
        <v>45754</v>
      </c>
      <c r="CA8" s="168">
        <f t="shared" si="6"/>
        <v>45755</v>
      </c>
      <c r="CB8" s="168">
        <f t="shared" si="6"/>
        <v>45756</v>
      </c>
      <c r="CC8" s="168">
        <f t="shared" si="6"/>
        <v>45757</v>
      </c>
      <c r="CD8" s="168">
        <f t="shared" si="6"/>
        <v>45758</v>
      </c>
      <c r="CE8" s="168">
        <f t="shared" si="6"/>
        <v>45761</v>
      </c>
      <c r="CF8" s="168">
        <f t="shared" si="6"/>
        <v>45762</v>
      </c>
      <c r="CG8" s="168">
        <f t="shared" si="6"/>
        <v>45763</v>
      </c>
      <c r="CH8" s="168">
        <f t="shared" si="6"/>
        <v>45764</v>
      </c>
      <c r="CI8" s="168">
        <f t="shared" si="6"/>
        <v>45765</v>
      </c>
      <c r="CJ8" s="168">
        <f t="shared" si="6"/>
        <v>45768</v>
      </c>
      <c r="CK8" s="168">
        <f t="shared" si="6"/>
        <v>45769</v>
      </c>
      <c r="CL8" s="168">
        <f t="shared" si="6"/>
        <v>45770</v>
      </c>
      <c r="CM8" s="168">
        <f t="shared" si="6"/>
        <v>45771</v>
      </c>
      <c r="CN8" s="168">
        <f t="shared" si="6"/>
        <v>45772</v>
      </c>
      <c r="CO8" s="168">
        <f t="shared" si="6"/>
        <v>45775</v>
      </c>
      <c r="CP8" s="168">
        <f t="shared" si="6"/>
        <v>45776</v>
      </c>
      <c r="CQ8" s="168">
        <f t="shared" si="6"/>
        <v>45777</v>
      </c>
    </row>
    <row r="9" spans="1:95" x14ac:dyDescent="0.25">
      <c r="G9" s="142"/>
      <c r="H9" s="185"/>
      <c r="J9" s="170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65"/>
      <c r="AZ9" s="165"/>
      <c r="BA9" s="165"/>
      <c r="BB9" s="170"/>
      <c r="BC9" s="165"/>
      <c r="BD9" s="165"/>
      <c r="BE9" s="165"/>
      <c r="BF9" s="165"/>
      <c r="BG9" s="165"/>
      <c r="BH9" s="165"/>
      <c r="BI9" s="165"/>
      <c r="BJ9" s="165"/>
      <c r="BK9" s="165"/>
      <c r="BL9" s="165"/>
      <c r="BM9" s="165"/>
      <c r="BN9" s="165"/>
      <c r="BO9" s="165"/>
      <c r="BP9" s="165"/>
      <c r="BQ9" s="165"/>
      <c r="BR9" s="165"/>
      <c r="BS9" s="165"/>
      <c r="BT9" s="165"/>
      <c r="BU9" s="165"/>
      <c r="BV9" s="165"/>
      <c r="BW9" s="165"/>
      <c r="BX9" s="165"/>
      <c r="BY9" s="165"/>
      <c r="BZ9" s="165"/>
      <c r="CA9" s="165"/>
      <c r="CB9" s="165"/>
      <c r="CC9" s="165"/>
      <c r="CD9" s="165"/>
      <c r="CE9" s="165"/>
      <c r="CF9" s="165"/>
      <c r="CG9" s="165"/>
      <c r="CH9" s="165"/>
      <c r="CI9" s="170"/>
      <c r="CJ9" s="165"/>
      <c r="CK9" s="165"/>
      <c r="CL9" s="165"/>
      <c r="CM9" s="165"/>
      <c r="CN9" s="170"/>
      <c r="CO9" s="165"/>
      <c r="CP9" s="165"/>
      <c r="CQ9" s="165"/>
    </row>
    <row r="10" spans="1:95" x14ac:dyDescent="0.25">
      <c r="C10" s="196" t="s">
        <v>1710</v>
      </c>
      <c r="D10" s="197"/>
      <c r="E10" s="198"/>
      <c r="F10" s="216" t="s">
        <v>1625</v>
      </c>
      <c r="G10" s="199">
        <f>H10*8*5</f>
        <v>0</v>
      </c>
      <c r="H10" s="200">
        <f>SUM(J10:M10)</f>
        <v>0</v>
      </c>
      <c r="I10" s="201"/>
      <c r="J10" s="170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70"/>
      <c r="BC10" s="194"/>
      <c r="BD10" s="194"/>
      <c r="BE10" s="194"/>
      <c r="BF10" s="194"/>
      <c r="BG10" s="194"/>
      <c r="BH10" s="194"/>
      <c r="BI10" s="194"/>
      <c r="BJ10" s="194"/>
      <c r="BK10" s="194"/>
      <c r="BL10" s="194"/>
      <c r="BM10" s="194"/>
      <c r="BN10" s="165"/>
      <c r="BO10" s="165"/>
      <c r="BP10" s="165"/>
      <c r="BQ10" s="165"/>
      <c r="BR10" s="165"/>
      <c r="BS10" s="165"/>
      <c r="BT10" s="165"/>
      <c r="BU10" s="165"/>
      <c r="BV10" s="165"/>
      <c r="BW10" s="165"/>
      <c r="BX10" s="165"/>
      <c r="BY10" s="165"/>
      <c r="BZ10" s="165"/>
      <c r="CA10" s="165"/>
      <c r="CB10" s="165"/>
      <c r="CC10" s="165"/>
      <c r="CD10" s="165"/>
      <c r="CE10" s="165"/>
      <c r="CF10" s="165"/>
      <c r="CG10" s="165"/>
      <c r="CH10" s="165"/>
      <c r="CI10" s="170"/>
      <c r="CJ10" s="165"/>
      <c r="CK10" s="165"/>
      <c r="CL10" s="165"/>
      <c r="CM10" s="165"/>
      <c r="CN10" s="170"/>
      <c r="CO10" s="165"/>
      <c r="CP10" s="165"/>
      <c r="CQ10" s="165"/>
    </row>
    <row r="11" spans="1:95" x14ac:dyDescent="0.25">
      <c r="C11" s="175" t="s">
        <v>1710</v>
      </c>
      <c r="E11" s="143"/>
      <c r="F11" s="173" t="s">
        <v>1625</v>
      </c>
      <c r="G11" s="142">
        <f>H11*8</f>
        <v>49.599999999999952</v>
      </c>
      <c r="H11" s="185">
        <f>SUM(J11:BU11)</f>
        <v>6.199999999999994</v>
      </c>
      <c r="I11" s="221">
        <f>SUM(J11:BU11)-H11</f>
        <v>0</v>
      </c>
      <c r="J11" s="170"/>
      <c r="K11" s="165">
        <v>0.1</v>
      </c>
      <c r="L11" s="165">
        <v>0.1</v>
      </c>
      <c r="M11" s="165">
        <v>0.1</v>
      </c>
      <c r="N11" s="165">
        <v>0.1</v>
      </c>
      <c r="O11" s="165">
        <v>0.1</v>
      </c>
      <c r="P11" s="165">
        <v>0.1</v>
      </c>
      <c r="Q11" s="165">
        <v>0.1</v>
      </c>
      <c r="R11" s="165">
        <v>0.1</v>
      </c>
      <c r="S11" s="165">
        <v>0.1</v>
      </c>
      <c r="T11" s="165">
        <v>0.1</v>
      </c>
      <c r="U11" s="165">
        <v>0.1</v>
      </c>
      <c r="V11" s="165">
        <v>0.1</v>
      </c>
      <c r="W11" s="165">
        <v>0.1</v>
      </c>
      <c r="X11" s="165">
        <v>0.1</v>
      </c>
      <c r="Y11" s="165">
        <v>0.1</v>
      </c>
      <c r="Z11" s="165">
        <v>0.1</v>
      </c>
      <c r="AA11" s="165">
        <v>0.1</v>
      </c>
      <c r="AB11" s="165">
        <v>0.1</v>
      </c>
      <c r="AC11" s="165">
        <v>0.1</v>
      </c>
      <c r="AD11" s="165">
        <v>0.1</v>
      </c>
      <c r="AE11" s="165">
        <v>0.1</v>
      </c>
      <c r="AF11" s="165">
        <v>0.1</v>
      </c>
      <c r="AG11" s="165">
        <v>0.1</v>
      </c>
      <c r="AH11" s="165">
        <v>0.1</v>
      </c>
      <c r="AI11" s="165">
        <v>0.1</v>
      </c>
      <c r="AJ11" s="165">
        <v>0.1</v>
      </c>
      <c r="AK11" s="165">
        <v>0.1</v>
      </c>
      <c r="AL11" s="165">
        <v>0.1</v>
      </c>
      <c r="AM11" s="165">
        <v>0.1</v>
      </c>
      <c r="AN11" s="165">
        <v>0.1</v>
      </c>
      <c r="AO11" s="165">
        <v>0.1</v>
      </c>
      <c r="AP11" s="165">
        <v>0.1</v>
      </c>
      <c r="AQ11" s="165">
        <v>0.1</v>
      </c>
      <c r="AR11" s="165">
        <v>0.1</v>
      </c>
      <c r="AS11" s="165">
        <v>0.1</v>
      </c>
      <c r="AT11" s="165">
        <v>0.1</v>
      </c>
      <c r="AU11" s="165">
        <v>0.1</v>
      </c>
      <c r="AV11" s="165">
        <v>0.1</v>
      </c>
      <c r="AW11" s="165">
        <v>0.1</v>
      </c>
      <c r="AX11" s="165">
        <v>0.1</v>
      </c>
      <c r="AY11" s="165">
        <v>0.1</v>
      </c>
      <c r="AZ11" s="165">
        <v>0.1</v>
      </c>
      <c r="BA11" s="165">
        <v>0.1</v>
      </c>
      <c r="BB11" s="170"/>
      <c r="BC11" s="165">
        <v>0.1</v>
      </c>
      <c r="BD11" s="165">
        <v>0.1</v>
      </c>
      <c r="BE11" s="165">
        <v>0.1</v>
      </c>
      <c r="BF11" s="165">
        <v>0.1</v>
      </c>
      <c r="BG11" s="165">
        <v>0.1</v>
      </c>
      <c r="BH11" s="165">
        <v>0.1</v>
      </c>
      <c r="BI11" s="165">
        <v>0.1</v>
      </c>
      <c r="BJ11" s="165">
        <v>0.1</v>
      </c>
      <c r="BK11" s="165">
        <v>0.1</v>
      </c>
      <c r="BL11" s="165">
        <v>0.1</v>
      </c>
      <c r="BM11" s="165">
        <v>0.1</v>
      </c>
      <c r="BN11" s="165">
        <v>0.1</v>
      </c>
      <c r="BO11" s="165">
        <v>0.1</v>
      </c>
      <c r="BP11" s="165">
        <v>0.1</v>
      </c>
      <c r="BQ11" s="165">
        <v>0.1</v>
      </c>
      <c r="BR11" s="165">
        <v>0.1</v>
      </c>
      <c r="BS11" s="165">
        <v>0.1</v>
      </c>
      <c r="BT11" s="165">
        <v>0.1</v>
      </c>
      <c r="BU11" s="165">
        <v>0.1</v>
      </c>
      <c r="BV11" s="165"/>
      <c r="BW11" s="165"/>
      <c r="BX11" s="165"/>
      <c r="BY11" s="165"/>
      <c r="BZ11" s="165"/>
      <c r="CA11" s="165"/>
      <c r="CB11" s="165"/>
      <c r="CC11" s="165"/>
      <c r="CD11" s="165"/>
      <c r="CE11" s="165"/>
      <c r="CF11" s="165"/>
      <c r="CG11" s="165"/>
      <c r="CH11" s="165"/>
      <c r="CI11" s="170"/>
      <c r="CJ11" s="165"/>
      <c r="CK11" s="165"/>
      <c r="CL11" s="165"/>
      <c r="CM11" s="165"/>
      <c r="CN11" s="170"/>
      <c r="CO11" s="165"/>
      <c r="CP11" s="165"/>
      <c r="CQ11" s="165"/>
    </row>
    <row r="12" spans="1:95" x14ac:dyDescent="0.25">
      <c r="C12" s="177" t="s">
        <v>1724</v>
      </c>
      <c r="D12" s="178"/>
      <c r="E12" s="179"/>
      <c r="F12" s="205"/>
      <c r="G12" s="180">
        <f>SUM(G13:G15)</f>
        <v>128</v>
      </c>
      <c r="H12" s="189">
        <f>ROUND(SUM(H13:H15),1)</f>
        <v>16</v>
      </c>
      <c r="I12" s="181"/>
      <c r="J12" s="170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65"/>
      <c r="AZ12" s="165"/>
      <c r="BA12" s="165"/>
      <c r="BB12" s="170"/>
      <c r="BC12" s="165"/>
      <c r="BD12" s="165"/>
      <c r="BE12" s="165"/>
      <c r="BF12" s="165"/>
      <c r="BG12" s="165"/>
      <c r="BH12" s="165"/>
      <c r="BI12" s="165"/>
      <c r="BJ12" s="165"/>
      <c r="BK12" s="165"/>
      <c r="BL12" s="165"/>
      <c r="BM12" s="165"/>
      <c r="BN12" s="165"/>
      <c r="BO12" s="165"/>
      <c r="BP12" s="165"/>
      <c r="BQ12" s="165"/>
      <c r="BR12" s="165"/>
      <c r="BS12" s="165"/>
      <c r="BT12" s="165"/>
      <c r="BU12" s="165"/>
      <c r="BV12" s="165"/>
      <c r="BW12" s="165"/>
      <c r="BX12" s="165"/>
      <c r="BY12" s="165"/>
      <c r="BZ12" s="165"/>
      <c r="CA12" s="165"/>
      <c r="CB12" s="165"/>
      <c r="CC12" s="165"/>
      <c r="CD12" s="165"/>
      <c r="CE12" s="165"/>
      <c r="CF12" s="165"/>
      <c r="CG12" s="165"/>
      <c r="CH12" s="165"/>
      <c r="CI12" s="170"/>
      <c r="CJ12" s="165"/>
      <c r="CK12" s="165"/>
      <c r="CL12" s="165"/>
      <c r="CM12" s="165"/>
      <c r="CN12" s="170"/>
      <c r="CO12" s="165"/>
      <c r="CP12" s="165"/>
      <c r="CQ12" s="165"/>
    </row>
    <row r="13" spans="1:95" hidden="1" outlineLevel="1" x14ac:dyDescent="0.25">
      <c r="B13" s="171"/>
      <c r="C13" s="183" t="s">
        <v>1726</v>
      </c>
      <c r="D13" s="182"/>
      <c r="E13" s="153"/>
      <c r="F13" s="172"/>
      <c r="G13" s="171">
        <v>16</v>
      </c>
      <c r="H13" s="190">
        <f>ROUNDUP(G13/8,1)</f>
        <v>2</v>
      </c>
      <c r="I13" s="193">
        <v>0</v>
      </c>
      <c r="J13" s="170"/>
      <c r="K13" s="165">
        <v>3</v>
      </c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65"/>
      <c r="AZ13" s="165"/>
      <c r="BA13" s="165"/>
      <c r="BB13" s="170"/>
      <c r="BC13" s="165"/>
      <c r="BD13" s="165"/>
      <c r="BE13" s="165"/>
      <c r="BF13" s="165"/>
      <c r="BG13" s="165"/>
      <c r="BH13" s="165"/>
      <c r="BI13" s="165"/>
      <c r="BJ13" s="165"/>
      <c r="BK13" s="165"/>
      <c r="BL13" s="165"/>
      <c r="BM13" s="165"/>
      <c r="BN13" s="165"/>
      <c r="BO13" s="165"/>
      <c r="BP13" s="165"/>
      <c r="BQ13" s="165"/>
      <c r="BR13" s="165"/>
      <c r="BS13" s="165"/>
      <c r="BT13" s="165"/>
      <c r="BU13" s="165"/>
      <c r="BV13" s="165"/>
      <c r="BW13" s="165"/>
      <c r="BX13" s="165"/>
      <c r="BY13" s="165"/>
      <c r="BZ13" s="165"/>
      <c r="CA13" s="165"/>
      <c r="CB13" s="165"/>
      <c r="CC13" s="165"/>
      <c r="CD13" s="165"/>
      <c r="CE13" s="165"/>
      <c r="CF13" s="165"/>
      <c r="CG13" s="165"/>
      <c r="CH13" s="165"/>
      <c r="CI13" s="170"/>
      <c r="CJ13" s="165"/>
      <c r="CK13" s="165"/>
      <c r="CL13" s="165"/>
      <c r="CM13" s="165"/>
      <c r="CN13" s="170"/>
      <c r="CO13" s="165"/>
      <c r="CP13" s="165"/>
      <c r="CQ13" s="165"/>
    </row>
    <row r="14" spans="1:95" hidden="1" outlineLevel="1" x14ac:dyDescent="0.25">
      <c r="B14" s="171"/>
      <c r="C14" s="183" t="s">
        <v>1727</v>
      </c>
      <c r="D14" s="182"/>
      <c r="E14" s="153"/>
      <c r="F14" s="172"/>
      <c r="G14" s="171">
        <v>16</v>
      </c>
      <c r="H14" s="190">
        <f>ROUNDUP(G14/8,1)</f>
        <v>2</v>
      </c>
      <c r="I14" s="193">
        <v>0</v>
      </c>
      <c r="J14" s="170"/>
      <c r="K14" s="165"/>
      <c r="L14" s="165">
        <v>3</v>
      </c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5"/>
      <c r="AX14" s="165"/>
      <c r="AY14" s="165"/>
      <c r="AZ14" s="165"/>
      <c r="BA14" s="165"/>
      <c r="BB14" s="170"/>
      <c r="BC14" s="165"/>
      <c r="BD14" s="165"/>
      <c r="BE14" s="165"/>
      <c r="BF14" s="165"/>
      <c r="BG14" s="165"/>
      <c r="BH14" s="165"/>
      <c r="BI14" s="165"/>
      <c r="BJ14" s="165"/>
      <c r="BK14" s="165"/>
      <c r="BL14" s="165"/>
      <c r="BM14" s="165"/>
      <c r="BN14" s="165"/>
      <c r="BO14" s="165"/>
      <c r="BP14" s="165"/>
      <c r="BQ14" s="165"/>
      <c r="BR14" s="165"/>
      <c r="BS14" s="165"/>
      <c r="BT14" s="165"/>
      <c r="BU14" s="165"/>
      <c r="BV14" s="165"/>
      <c r="BW14" s="165"/>
      <c r="BX14" s="165"/>
      <c r="BY14" s="165"/>
      <c r="BZ14" s="165"/>
      <c r="CA14" s="165"/>
      <c r="CB14" s="165"/>
      <c r="CC14" s="165"/>
      <c r="CD14" s="165"/>
      <c r="CE14" s="165"/>
      <c r="CF14" s="165"/>
      <c r="CG14" s="165"/>
      <c r="CH14" s="165"/>
      <c r="CI14" s="170"/>
      <c r="CJ14" s="165"/>
      <c r="CK14" s="165"/>
      <c r="CL14" s="165"/>
      <c r="CM14" s="165"/>
      <c r="CN14" s="170"/>
      <c r="CO14" s="165"/>
      <c r="CP14" s="165"/>
      <c r="CQ14" s="165"/>
    </row>
    <row r="15" spans="1:95" hidden="1" outlineLevel="1" x14ac:dyDescent="0.25">
      <c r="B15" s="171"/>
      <c r="C15" s="183" t="s">
        <v>1711</v>
      </c>
      <c r="D15" s="182"/>
      <c r="E15" s="153"/>
      <c r="F15" s="172"/>
      <c r="G15" s="171">
        <f>12*8</f>
        <v>96</v>
      </c>
      <c r="H15" s="190">
        <f>ROUNDUP(G15/8,1)</f>
        <v>12</v>
      </c>
      <c r="I15" s="193">
        <v>0</v>
      </c>
      <c r="J15" s="170"/>
      <c r="K15" s="165"/>
      <c r="L15" s="165"/>
      <c r="M15" s="195">
        <v>3</v>
      </c>
      <c r="N15" s="195">
        <v>3</v>
      </c>
      <c r="O15" s="195">
        <v>3</v>
      </c>
      <c r="P15" s="195">
        <v>3</v>
      </c>
      <c r="Q15" s="195">
        <v>3</v>
      </c>
      <c r="R15" s="195">
        <v>3</v>
      </c>
      <c r="S15" s="195">
        <v>3</v>
      </c>
      <c r="T15" s="195">
        <v>3</v>
      </c>
      <c r="U15" s="195">
        <v>3</v>
      </c>
      <c r="V15" s="195">
        <v>3</v>
      </c>
      <c r="W15" s="195">
        <v>3</v>
      </c>
      <c r="X15" s="195">
        <v>3</v>
      </c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5"/>
      <c r="AW15" s="165"/>
      <c r="AX15" s="165"/>
      <c r="AY15" s="165"/>
      <c r="AZ15" s="165"/>
      <c r="BA15" s="165"/>
      <c r="BB15" s="170"/>
      <c r="BC15" s="165"/>
      <c r="BD15" s="165"/>
      <c r="BE15" s="165"/>
      <c r="BF15" s="165"/>
      <c r="BG15" s="165"/>
      <c r="BH15" s="165"/>
      <c r="BI15" s="165"/>
      <c r="BJ15" s="165"/>
      <c r="BK15" s="165"/>
      <c r="BL15" s="165"/>
      <c r="BM15" s="165"/>
      <c r="BN15" s="165"/>
      <c r="BO15" s="165"/>
      <c r="BP15" s="165"/>
      <c r="BQ15" s="165"/>
      <c r="BR15" s="165"/>
      <c r="BS15" s="165"/>
      <c r="BT15" s="165"/>
      <c r="BU15" s="165"/>
      <c r="BV15" s="165"/>
      <c r="BW15" s="165"/>
      <c r="BX15" s="165"/>
      <c r="BY15" s="165"/>
      <c r="BZ15" s="165"/>
      <c r="CA15" s="165"/>
      <c r="CB15" s="165"/>
      <c r="CC15" s="165"/>
      <c r="CD15" s="165"/>
      <c r="CE15" s="165"/>
      <c r="CF15" s="165"/>
      <c r="CG15" s="165"/>
      <c r="CH15" s="165"/>
      <c r="CI15" s="170"/>
      <c r="CJ15" s="165"/>
      <c r="CK15" s="165"/>
      <c r="CL15" s="165"/>
      <c r="CM15" s="165"/>
      <c r="CN15" s="170"/>
      <c r="CO15" s="165"/>
      <c r="CP15" s="165"/>
      <c r="CQ15" s="165"/>
    </row>
    <row r="16" spans="1:95" collapsed="1" x14ac:dyDescent="0.25">
      <c r="C16" s="177" t="s">
        <v>1725</v>
      </c>
      <c r="D16" s="178"/>
      <c r="E16" s="179"/>
      <c r="F16" s="205">
        <f>F17+F66</f>
        <v>68</v>
      </c>
      <c r="G16" s="180">
        <f>G17+G66+G87+G156+G225</f>
        <v>367.5</v>
      </c>
      <c r="H16" s="180">
        <f>H17+H66+H87+H156+H225</f>
        <v>46.2</v>
      </c>
      <c r="I16" s="204"/>
      <c r="J16" s="170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  <c r="AU16" s="194"/>
      <c r="AV16" s="194"/>
      <c r="AW16" s="194"/>
      <c r="AX16" s="194"/>
      <c r="AY16" s="194"/>
      <c r="AZ16" s="194"/>
      <c r="BA16" s="194"/>
      <c r="BB16" s="170"/>
      <c r="BC16" s="194"/>
      <c r="BD16" s="194"/>
      <c r="BE16" s="194"/>
      <c r="BF16" s="194"/>
      <c r="BG16" s="194"/>
      <c r="BH16" s="194"/>
      <c r="BI16" s="194"/>
      <c r="BJ16" s="194"/>
      <c r="BK16" s="194"/>
      <c r="BL16" s="194"/>
      <c r="BM16" s="194"/>
      <c r="BN16" s="194"/>
      <c r="BO16" s="194"/>
      <c r="BP16" s="194"/>
      <c r="BQ16" s="194"/>
      <c r="BR16" s="194"/>
      <c r="BS16" s="194"/>
      <c r="BT16" s="194"/>
      <c r="BU16" s="194"/>
      <c r="BV16" s="165"/>
      <c r="BW16" s="165"/>
      <c r="BX16" s="165"/>
      <c r="BY16" s="165"/>
      <c r="BZ16" s="165"/>
      <c r="CA16" s="165"/>
      <c r="CB16" s="165"/>
      <c r="CC16" s="165"/>
      <c r="CD16" s="165"/>
      <c r="CE16" s="165"/>
      <c r="CF16" s="165"/>
      <c r="CG16" s="165"/>
      <c r="CH16" s="165"/>
      <c r="CI16" s="170"/>
      <c r="CJ16" s="165"/>
      <c r="CK16" s="165"/>
      <c r="CL16" s="165"/>
      <c r="CM16" s="165"/>
      <c r="CN16" s="170"/>
      <c r="CO16" s="165"/>
      <c r="CP16" s="165"/>
      <c r="CQ16" s="165"/>
    </row>
    <row r="17" spans="2:95" x14ac:dyDescent="0.25">
      <c r="B17" s="156"/>
      <c r="C17" s="212" t="s">
        <v>1720</v>
      </c>
      <c r="D17" s="178"/>
      <c r="E17" s="179"/>
      <c r="F17" s="205">
        <f>COUNTA(E18:E65)</f>
        <v>48</v>
      </c>
      <c r="G17" s="205">
        <f>SUM(G18:G65)</f>
        <v>112</v>
      </c>
      <c r="H17" s="208">
        <f>ROUND(SUM(H18:H65),1)</f>
        <v>14.2</v>
      </c>
      <c r="I17" s="222">
        <f>SUM(J17:CQ17)-H17</f>
        <v>6.9000000000000021</v>
      </c>
      <c r="J17" s="170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94">
        <v>3</v>
      </c>
      <c r="Z17" s="194">
        <v>3</v>
      </c>
      <c r="AA17" s="194">
        <v>3</v>
      </c>
      <c r="AB17" s="194">
        <v>3</v>
      </c>
      <c r="AC17" s="194">
        <v>3</v>
      </c>
      <c r="AD17" s="194">
        <v>3</v>
      </c>
      <c r="AE17" s="194">
        <v>3</v>
      </c>
      <c r="AF17" s="194">
        <v>0.1</v>
      </c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70"/>
      <c r="BC17" s="165"/>
      <c r="BD17" s="165"/>
      <c r="BE17" s="165"/>
      <c r="BF17" s="165"/>
      <c r="BG17" s="165"/>
      <c r="BH17" s="165"/>
      <c r="BI17" s="165"/>
      <c r="BJ17" s="165"/>
      <c r="BK17" s="165"/>
      <c r="BL17" s="165"/>
      <c r="BM17" s="165"/>
      <c r="BN17" s="165"/>
      <c r="BO17" s="165"/>
      <c r="BP17" s="165"/>
      <c r="BQ17" s="165"/>
      <c r="BR17" s="165"/>
      <c r="BS17" s="165"/>
      <c r="BT17" s="165"/>
      <c r="BU17" s="165"/>
      <c r="BV17" s="165"/>
      <c r="BW17" s="165"/>
      <c r="BX17" s="165"/>
      <c r="BY17" s="165"/>
      <c r="BZ17" s="165"/>
      <c r="CA17" s="165"/>
      <c r="CB17" s="165"/>
      <c r="CC17" s="165"/>
      <c r="CD17" s="165"/>
      <c r="CE17" s="165"/>
      <c r="CF17" s="165"/>
      <c r="CG17" s="165"/>
      <c r="CH17" s="165"/>
      <c r="CI17" s="170"/>
      <c r="CJ17" s="165"/>
      <c r="CK17" s="165"/>
      <c r="CL17" s="165"/>
      <c r="CM17" s="165"/>
      <c r="CN17" s="170"/>
      <c r="CO17" s="165"/>
      <c r="CP17" s="165"/>
      <c r="CQ17" s="165"/>
    </row>
    <row r="18" spans="2:95" hidden="1" outlineLevel="1" x14ac:dyDescent="0.25">
      <c r="B18" s="156" t="str">
        <f>Table1[[#Headers],[Especificação]]</f>
        <v>Especificação</v>
      </c>
      <c r="C18" s="184" t="str">
        <f t="shared" ref="C18:C81" si="7">D18&amp;"_"&amp;E18</f>
        <v>ENTITY_TXNMY_ELGBL_CAPEX_W</v>
      </c>
      <c r="D18" s="153" t="s">
        <v>10</v>
      </c>
      <c r="E18" s="153" t="s">
        <v>1402</v>
      </c>
      <c r="G18" s="172">
        <f>INDEX(Table1[[Especificação]:[Total Testes]],MATCH(Sheet1!C18,Table1[CONCAT],0),MATCH(Sheet1!B18,Table1[[#Headers],[Especificação]:[Total Testes]],0))</f>
        <v>8</v>
      </c>
      <c r="H18" s="191">
        <f>ROUND(G18/8,2)</f>
        <v>1</v>
      </c>
      <c r="I18" s="222"/>
      <c r="J18" s="170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165"/>
      <c r="AT18" s="165"/>
      <c r="AU18" s="165"/>
      <c r="AV18" s="165"/>
      <c r="AW18" s="165"/>
      <c r="AX18" s="165"/>
      <c r="AY18" s="165"/>
      <c r="AZ18" s="165"/>
      <c r="BA18" s="165"/>
      <c r="BB18" s="170"/>
      <c r="BC18" s="165"/>
      <c r="BD18" s="165"/>
      <c r="BE18" s="165"/>
      <c r="BF18" s="165"/>
      <c r="BG18" s="165"/>
      <c r="BH18" s="165"/>
      <c r="BI18" s="165"/>
      <c r="BJ18" s="165"/>
      <c r="BK18" s="165"/>
      <c r="BL18" s="165"/>
      <c r="BM18" s="165"/>
      <c r="BN18" s="165"/>
      <c r="BO18" s="165"/>
      <c r="BP18" s="165"/>
      <c r="BQ18" s="165"/>
      <c r="BR18" s="165"/>
      <c r="BS18" s="165"/>
      <c r="BT18" s="165"/>
      <c r="BU18" s="165"/>
      <c r="BV18" s="165"/>
      <c r="BW18" s="165"/>
      <c r="BX18" s="165"/>
      <c r="BY18" s="165"/>
      <c r="BZ18" s="165"/>
      <c r="CA18" s="165"/>
      <c r="CB18" s="165"/>
      <c r="CC18" s="165"/>
      <c r="CD18" s="165"/>
      <c r="CE18" s="165"/>
      <c r="CF18" s="165"/>
      <c r="CG18" s="165"/>
      <c r="CH18" s="165"/>
      <c r="CI18" s="170"/>
      <c r="CJ18" s="165"/>
      <c r="CK18" s="165"/>
      <c r="CL18" s="165"/>
      <c r="CM18" s="165"/>
      <c r="CN18" s="170"/>
      <c r="CO18" s="165"/>
      <c r="CP18" s="165"/>
      <c r="CQ18" s="165"/>
    </row>
    <row r="19" spans="2:95" hidden="1" outlineLevel="1" x14ac:dyDescent="0.25">
      <c r="B19" s="156" t="str">
        <f>Table1[[#Headers],[Especificação]]</f>
        <v>Especificação</v>
      </c>
      <c r="C19" s="184" t="str">
        <f t="shared" si="7"/>
        <v>ENTITY_TXNMY_ELGBL_TRNVR_W</v>
      </c>
      <c r="D19" s="153" t="s">
        <v>10</v>
      </c>
      <c r="E19" s="153" t="s">
        <v>1405</v>
      </c>
      <c r="G19" s="172">
        <f>INDEX(Table1[[Especificação]:[Total Testes]],MATCH(Sheet1!C19,Table1[CONCAT],0),MATCH(Sheet1!B19,Table1[[#Headers],[Especificação]:[Total Testes]],0))</f>
        <v>8</v>
      </c>
      <c r="H19" s="191">
        <f t="shared" ref="H19:H65" si="8">ROUND(G19/8,2)</f>
        <v>1</v>
      </c>
      <c r="I19" s="222"/>
      <c r="J19" s="170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65"/>
      <c r="AU19" s="165"/>
      <c r="AV19" s="165"/>
      <c r="AW19" s="165"/>
      <c r="AX19" s="165"/>
      <c r="AY19" s="165"/>
      <c r="AZ19" s="165"/>
      <c r="BA19" s="165"/>
      <c r="BB19" s="170"/>
      <c r="BC19" s="165"/>
      <c r="BD19" s="165"/>
      <c r="BE19" s="165"/>
      <c r="BF19" s="165"/>
      <c r="BG19" s="165"/>
      <c r="BH19" s="165"/>
      <c r="BI19" s="165"/>
      <c r="BJ19" s="165"/>
      <c r="BK19" s="165"/>
      <c r="BL19" s="165"/>
      <c r="BM19" s="165"/>
      <c r="BN19" s="165"/>
      <c r="BO19" s="165"/>
      <c r="BP19" s="165"/>
      <c r="BQ19" s="165"/>
      <c r="BR19" s="165"/>
      <c r="BS19" s="165"/>
      <c r="BT19" s="165"/>
      <c r="BU19" s="165"/>
      <c r="BV19" s="165"/>
      <c r="BW19" s="165"/>
      <c r="BX19" s="165"/>
      <c r="BY19" s="165"/>
      <c r="BZ19" s="165"/>
      <c r="CA19" s="165"/>
      <c r="CB19" s="165"/>
      <c r="CC19" s="165"/>
      <c r="CD19" s="165"/>
      <c r="CE19" s="165"/>
      <c r="CF19" s="165"/>
      <c r="CG19" s="165"/>
      <c r="CH19" s="165"/>
      <c r="CI19" s="170"/>
      <c r="CJ19" s="165"/>
      <c r="CK19" s="165"/>
      <c r="CL19" s="165"/>
      <c r="CM19" s="165"/>
      <c r="CN19" s="170"/>
      <c r="CO19" s="165"/>
      <c r="CP19" s="165"/>
      <c r="CQ19" s="165"/>
    </row>
    <row r="20" spans="2:95" hidden="1" outlineLevel="1" x14ac:dyDescent="0.25">
      <c r="B20" s="156" t="str">
        <f>Table1[[#Headers],[Especificação]]</f>
        <v>Especificação</v>
      </c>
      <c r="C20" s="184" t="str">
        <f t="shared" si="7"/>
        <v>ENTITY_TXNMY_ELGBL_CAPEX_P</v>
      </c>
      <c r="D20" s="153" t="s">
        <v>10</v>
      </c>
      <c r="E20" s="153" t="s">
        <v>1408</v>
      </c>
      <c r="G20" s="172">
        <f>INDEX(Table1[[Especificação]:[Total Testes]],MATCH(Sheet1!C20,Table1[CONCAT],0),MATCH(Sheet1!B20,Table1[[#Headers],[Especificação]:[Total Testes]],0))</f>
        <v>1</v>
      </c>
      <c r="H20" s="191">
        <f t="shared" si="8"/>
        <v>0.13</v>
      </c>
      <c r="I20" s="222"/>
      <c r="J20" s="170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70"/>
      <c r="BC20" s="165"/>
      <c r="BD20" s="165"/>
      <c r="BE20" s="165"/>
      <c r="BF20" s="165"/>
      <c r="BG20" s="165"/>
      <c r="BH20" s="165"/>
      <c r="BI20" s="165"/>
      <c r="BJ20" s="165"/>
      <c r="BK20" s="165"/>
      <c r="BL20" s="165"/>
      <c r="BM20" s="165"/>
      <c r="BN20" s="165"/>
      <c r="BO20" s="165"/>
      <c r="BP20" s="165"/>
      <c r="BQ20" s="165"/>
      <c r="BR20" s="165"/>
      <c r="BS20" s="165"/>
      <c r="BT20" s="165"/>
      <c r="BU20" s="165"/>
      <c r="BV20" s="165"/>
      <c r="BW20" s="165"/>
      <c r="BX20" s="165"/>
      <c r="BY20" s="165"/>
      <c r="BZ20" s="165"/>
      <c r="CA20" s="165"/>
      <c r="CB20" s="165"/>
      <c r="CC20" s="165"/>
      <c r="CD20" s="165"/>
      <c r="CE20" s="165"/>
      <c r="CF20" s="165"/>
      <c r="CG20" s="165"/>
      <c r="CH20" s="165"/>
      <c r="CI20" s="170"/>
      <c r="CJ20" s="165"/>
      <c r="CK20" s="165"/>
      <c r="CL20" s="165"/>
      <c r="CM20" s="165"/>
      <c r="CN20" s="170"/>
      <c r="CO20" s="165"/>
      <c r="CP20" s="165"/>
      <c r="CQ20" s="165"/>
    </row>
    <row r="21" spans="2:95" hidden="1" outlineLevel="1" x14ac:dyDescent="0.25">
      <c r="B21" s="156" t="str">
        <f>Table1[[#Headers],[Especificação]]</f>
        <v>Especificação</v>
      </c>
      <c r="C21" s="184" t="str">
        <f t="shared" si="7"/>
        <v>ENTITY_TXNMY_ELGBL_TRNVR_P</v>
      </c>
      <c r="D21" s="153" t="s">
        <v>10</v>
      </c>
      <c r="E21" s="153" t="s">
        <v>1411</v>
      </c>
      <c r="G21" s="172">
        <f>INDEX(Table1[[Especificação]:[Total Testes]],MATCH(Sheet1!C21,Table1[CONCAT],0),MATCH(Sheet1!B21,Table1[[#Headers],[Especificação]:[Total Testes]],0))</f>
        <v>1</v>
      </c>
      <c r="H21" s="191">
        <f t="shared" si="8"/>
        <v>0.13</v>
      </c>
      <c r="I21" s="222"/>
      <c r="J21" s="170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5"/>
      <c r="BB21" s="170"/>
      <c r="BC21" s="165"/>
      <c r="BD21" s="165"/>
      <c r="BE21" s="165"/>
      <c r="BF21" s="165"/>
      <c r="BG21" s="165"/>
      <c r="BH21" s="165"/>
      <c r="BI21" s="165"/>
      <c r="BJ21" s="165"/>
      <c r="BK21" s="165"/>
      <c r="BL21" s="165"/>
      <c r="BM21" s="165"/>
      <c r="BN21" s="165"/>
      <c r="BO21" s="165"/>
      <c r="BP21" s="165"/>
      <c r="BQ21" s="165"/>
      <c r="BR21" s="165"/>
      <c r="BS21" s="165"/>
      <c r="BT21" s="165"/>
      <c r="BU21" s="165"/>
      <c r="BV21" s="165"/>
      <c r="BW21" s="165"/>
      <c r="BX21" s="165"/>
      <c r="BY21" s="165"/>
      <c r="BZ21" s="165"/>
      <c r="CA21" s="165"/>
      <c r="CB21" s="165"/>
      <c r="CC21" s="165"/>
      <c r="CD21" s="165"/>
      <c r="CE21" s="165"/>
      <c r="CF21" s="165"/>
      <c r="CG21" s="165"/>
      <c r="CH21" s="165"/>
      <c r="CI21" s="170"/>
      <c r="CJ21" s="165"/>
      <c r="CK21" s="165"/>
      <c r="CL21" s="165"/>
      <c r="CM21" s="165"/>
      <c r="CN21" s="170"/>
      <c r="CO21" s="165"/>
      <c r="CP21" s="165"/>
      <c r="CQ21" s="165"/>
    </row>
    <row r="22" spans="2:95" hidden="1" outlineLevel="1" x14ac:dyDescent="0.25">
      <c r="B22" s="156" t="str">
        <f>Table1[[#Headers],[Especificação]]</f>
        <v>Especificação</v>
      </c>
      <c r="C22" s="184" t="str">
        <f t="shared" si="7"/>
        <v>ENTITY_TXNMY_ELGBL_CAPEX_B</v>
      </c>
      <c r="D22" s="153" t="s">
        <v>10</v>
      </c>
      <c r="E22" s="153" t="s">
        <v>1414</v>
      </c>
      <c r="G22" s="172">
        <f>INDEX(Table1[[Especificação]:[Total Testes]],MATCH(Sheet1!C22,Table1[CONCAT],0),MATCH(Sheet1!B22,Table1[[#Headers],[Especificação]:[Total Testes]],0))</f>
        <v>1</v>
      </c>
      <c r="H22" s="191">
        <f t="shared" si="8"/>
        <v>0.13</v>
      </c>
      <c r="I22" s="222"/>
      <c r="J22" s="170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  <c r="AD22" s="165"/>
      <c r="AE22" s="165"/>
      <c r="AF22" s="165"/>
      <c r="AG22" s="165"/>
      <c r="AH22" s="165"/>
      <c r="AI22" s="165"/>
      <c r="AJ22" s="165"/>
      <c r="AK22" s="165"/>
      <c r="AL22" s="165"/>
      <c r="AM22" s="165"/>
      <c r="AN22" s="165"/>
      <c r="AO22" s="165"/>
      <c r="AP22" s="165"/>
      <c r="AQ22" s="165"/>
      <c r="AR22" s="165"/>
      <c r="AS22" s="165"/>
      <c r="AT22" s="165"/>
      <c r="AU22" s="165"/>
      <c r="AV22" s="165"/>
      <c r="AW22" s="165"/>
      <c r="AX22" s="165"/>
      <c r="AY22" s="165"/>
      <c r="AZ22" s="165"/>
      <c r="BA22" s="165"/>
      <c r="BB22" s="170"/>
      <c r="BC22" s="165"/>
      <c r="BD22" s="165"/>
      <c r="BE22" s="165"/>
      <c r="BF22" s="165"/>
      <c r="BG22" s="165"/>
      <c r="BH22" s="165"/>
      <c r="BI22" s="165"/>
      <c r="BJ22" s="165"/>
      <c r="BK22" s="165"/>
      <c r="BL22" s="165"/>
      <c r="BM22" s="165"/>
      <c r="BN22" s="165"/>
      <c r="BO22" s="165"/>
      <c r="BP22" s="165"/>
      <c r="BQ22" s="165"/>
      <c r="BR22" s="165"/>
      <c r="BS22" s="165"/>
      <c r="BT22" s="165"/>
      <c r="BU22" s="165"/>
      <c r="BV22" s="165"/>
      <c r="BW22" s="165"/>
      <c r="BX22" s="165"/>
      <c r="BY22" s="165"/>
      <c r="BZ22" s="165"/>
      <c r="CA22" s="165"/>
      <c r="CB22" s="165"/>
      <c r="CC22" s="165"/>
      <c r="CD22" s="165"/>
      <c r="CE22" s="165"/>
      <c r="CF22" s="165"/>
      <c r="CG22" s="165"/>
      <c r="CH22" s="165"/>
      <c r="CI22" s="170"/>
      <c r="CJ22" s="165"/>
      <c r="CK22" s="165"/>
      <c r="CL22" s="165"/>
      <c r="CM22" s="165"/>
      <c r="CN22" s="170"/>
      <c r="CO22" s="165"/>
      <c r="CP22" s="165"/>
      <c r="CQ22" s="165"/>
    </row>
    <row r="23" spans="2:95" hidden="1" outlineLevel="1" x14ac:dyDescent="0.25">
      <c r="B23" s="156" t="str">
        <f>Table1[[#Headers],[Especificação]]</f>
        <v>Especificação</v>
      </c>
      <c r="C23" s="184" t="str">
        <f t="shared" si="7"/>
        <v>ENTITY_TXNMY_ELGBL_TRNVR_B</v>
      </c>
      <c r="D23" s="153" t="s">
        <v>10</v>
      </c>
      <c r="E23" s="153" t="s">
        <v>1417</v>
      </c>
      <c r="G23" s="172">
        <f>INDEX(Table1[[Especificação]:[Total Testes]],MATCH(Sheet1!C23,Table1[CONCAT],0),MATCH(Sheet1!B23,Table1[[#Headers],[Especificação]:[Total Testes]],0))</f>
        <v>1</v>
      </c>
      <c r="H23" s="191">
        <f t="shared" si="8"/>
        <v>0.13</v>
      </c>
      <c r="I23" s="222"/>
      <c r="J23" s="170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5"/>
      <c r="AO23" s="165"/>
      <c r="AP23" s="165"/>
      <c r="AQ23" s="165"/>
      <c r="AR23" s="165"/>
      <c r="AS23" s="165"/>
      <c r="AT23" s="165"/>
      <c r="AU23" s="165"/>
      <c r="AV23" s="165"/>
      <c r="AW23" s="165"/>
      <c r="AX23" s="165"/>
      <c r="AY23" s="165"/>
      <c r="AZ23" s="165"/>
      <c r="BA23" s="165"/>
      <c r="BB23" s="170"/>
      <c r="BC23" s="165"/>
      <c r="BD23" s="165"/>
      <c r="BE23" s="165"/>
      <c r="BF23" s="165"/>
      <c r="BG23" s="165"/>
      <c r="BH23" s="165"/>
      <c r="BI23" s="165"/>
      <c r="BJ23" s="165"/>
      <c r="BK23" s="165"/>
      <c r="BL23" s="165"/>
      <c r="BM23" s="165"/>
      <c r="BN23" s="165"/>
      <c r="BO23" s="165"/>
      <c r="BP23" s="165"/>
      <c r="BQ23" s="165"/>
      <c r="BR23" s="165"/>
      <c r="BS23" s="165"/>
      <c r="BT23" s="165"/>
      <c r="BU23" s="165"/>
      <c r="BV23" s="165"/>
      <c r="BW23" s="165"/>
      <c r="BX23" s="165"/>
      <c r="BY23" s="165"/>
      <c r="BZ23" s="165"/>
      <c r="CA23" s="165"/>
      <c r="CB23" s="165"/>
      <c r="CC23" s="165"/>
      <c r="CD23" s="165"/>
      <c r="CE23" s="165"/>
      <c r="CF23" s="165"/>
      <c r="CG23" s="165"/>
      <c r="CH23" s="165"/>
      <c r="CI23" s="170"/>
      <c r="CJ23" s="165"/>
      <c r="CK23" s="165"/>
      <c r="CL23" s="165"/>
      <c r="CM23" s="165"/>
      <c r="CN23" s="170"/>
      <c r="CO23" s="165"/>
      <c r="CP23" s="165"/>
      <c r="CQ23" s="165"/>
    </row>
    <row r="24" spans="2:95" hidden="1" outlineLevel="1" x14ac:dyDescent="0.25">
      <c r="B24" s="156" t="str">
        <f>Table1[[#Headers],[Especificação]]</f>
        <v>Especificação</v>
      </c>
      <c r="C24" s="184" t="str">
        <f t="shared" si="7"/>
        <v>ENTITY_TXNMY_ELGBL_CAPEX_CE</v>
      </c>
      <c r="D24" s="153" t="s">
        <v>10</v>
      </c>
      <c r="E24" s="153" t="s">
        <v>1420</v>
      </c>
      <c r="G24" s="172">
        <f>INDEX(Table1[[Especificação]:[Total Testes]],MATCH(Sheet1!C24,Table1[CONCAT],0),MATCH(Sheet1!B24,Table1[[#Headers],[Especificação]:[Total Testes]],0))</f>
        <v>1</v>
      </c>
      <c r="H24" s="191">
        <f t="shared" si="8"/>
        <v>0.13</v>
      </c>
      <c r="I24" s="222"/>
      <c r="J24" s="170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5"/>
      <c r="AX24" s="165"/>
      <c r="AY24" s="165"/>
      <c r="AZ24" s="165"/>
      <c r="BA24" s="165"/>
      <c r="BB24" s="170"/>
      <c r="BC24" s="165"/>
      <c r="BD24" s="165"/>
      <c r="BE24" s="165"/>
      <c r="BF24" s="165"/>
      <c r="BG24" s="165"/>
      <c r="BH24" s="165"/>
      <c r="BI24" s="165"/>
      <c r="BJ24" s="165"/>
      <c r="BK24" s="165"/>
      <c r="BL24" s="165"/>
      <c r="BM24" s="165"/>
      <c r="BN24" s="165"/>
      <c r="BO24" s="165"/>
      <c r="BP24" s="165"/>
      <c r="BQ24" s="165"/>
      <c r="BR24" s="165"/>
      <c r="BS24" s="165"/>
      <c r="BT24" s="165"/>
      <c r="BU24" s="165"/>
      <c r="BV24" s="165"/>
      <c r="BW24" s="165"/>
      <c r="BX24" s="165"/>
      <c r="BY24" s="165"/>
      <c r="BZ24" s="165"/>
      <c r="CA24" s="165"/>
      <c r="CB24" s="165"/>
      <c r="CC24" s="165"/>
      <c r="CD24" s="165"/>
      <c r="CE24" s="165"/>
      <c r="CF24" s="165"/>
      <c r="CG24" s="165"/>
      <c r="CH24" s="165"/>
      <c r="CI24" s="170"/>
      <c r="CJ24" s="165"/>
      <c r="CK24" s="165"/>
      <c r="CL24" s="165"/>
      <c r="CM24" s="165"/>
      <c r="CN24" s="170"/>
      <c r="CO24" s="165"/>
      <c r="CP24" s="165"/>
      <c r="CQ24" s="165"/>
    </row>
    <row r="25" spans="2:95" hidden="1" outlineLevel="1" x14ac:dyDescent="0.25">
      <c r="B25" s="156" t="str">
        <f>Table1[[#Headers],[Especificação]]</f>
        <v>Especificação</v>
      </c>
      <c r="C25" s="184" t="str">
        <f t="shared" si="7"/>
        <v>ENTITY_TXNMY_ELGBL_TRNVR_CE</v>
      </c>
      <c r="D25" s="153" t="s">
        <v>10</v>
      </c>
      <c r="E25" s="153" t="s">
        <v>1423</v>
      </c>
      <c r="G25" s="172">
        <f>INDEX(Table1[[Especificação]:[Total Testes]],MATCH(Sheet1!C25,Table1[CONCAT],0),MATCH(Sheet1!B25,Table1[[#Headers],[Especificação]:[Total Testes]],0))</f>
        <v>1</v>
      </c>
      <c r="H25" s="191">
        <f t="shared" si="8"/>
        <v>0.13</v>
      </c>
      <c r="I25" s="222"/>
      <c r="J25" s="170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  <c r="AO25" s="165"/>
      <c r="AP25" s="165"/>
      <c r="AQ25" s="165"/>
      <c r="AR25" s="165"/>
      <c r="AS25" s="165"/>
      <c r="AT25" s="165"/>
      <c r="AU25" s="165"/>
      <c r="AV25" s="165"/>
      <c r="AW25" s="165"/>
      <c r="AX25" s="165"/>
      <c r="AY25" s="165"/>
      <c r="AZ25" s="165"/>
      <c r="BA25" s="165"/>
      <c r="BB25" s="170"/>
      <c r="BC25" s="165"/>
      <c r="BD25" s="165"/>
      <c r="BE25" s="165"/>
      <c r="BF25" s="165"/>
      <c r="BG25" s="165"/>
      <c r="BH25" s="165"/>
      <c r="BI25" s="165"/>
      <c r="BJ25" s="165"/>
      <c r="BK25" s="165"/>
      <c r="BL25" s="165"/>
      <c r="BM25" s="165"/>
      <c r="BN25" s="165"/>
      <c r="BO25" s="165"/>
      <c r="BP25" s="165"/>
      <c r="BQ25" s="165"/>
      <c r="BR25" s="165"/>
      <c r="BS25" s="165"/>
      <c r="BT25" s="165"/>
      <c r="BU25" s="165"/>
      <c r="BV25" s="165"/>
      <c r="BW25" s="165"/>
      <c r="BX25" s="165"/>
      <c r="BY25" s="165"/>
      <c r="BZ25" s="165"/>
      <c r="CA25" s="165"/>
      <c r="CB25" s="165"/>
      <c r="CC25" s="165"/>
      <c r="CD25" s="165"/>
      <c r="CE25" s="165"/>
      <c r="CF25" s="165"/>
      <c r="CG25" s="165"/>
      <c r="CH25" s="165"/>
      <c r="CI25" s="170"/>
      <c r="CJ25" s="165"/>
      <c r="CK25" s="165"/>
      <c r="CL25" s="165"/>
      <c r="CM25" s="165"/>
      <c r="CN25" s="170"/>
      <c r="CO25" s="165"/>
      <c r="CP25" s="165"/>
      <c r="CQ25" s="165"/>
    </row>
    <row r="26" spans="2:95" hidden="1" outlineLevel="1" x14ac:dyDescent="0.25">
      <c r="B26" s="156" t="str">
        <f>Table1[[#Headers],[Especificação]]</f>
        <v>Especificação</v>
      </c>
      <c r="C26" s="184" t="str">
        <f t="shared" si="7"/>
        <v>ENTITY_PURE_CAPEX_P</v>
      </c>
      <c r="D26" s="153" t="s">
        <v>10</v>
      </c>
      <c r="E26" s="153" t="s">
        <v>1426</v>
      </c>
      <c r="G26" s="172">
        <f>INDEX(Table1[[Especificação]:[Total Testes]],MATCH(Sheet1!C26,Table1[CONCAT],0),MATCH(Sheet1!B26,Table1[[#Headers],[Especificação]:[Total Testes]],0))</f>
        <v>1</v>
      </c>
      <c r="H26" s="191">
        <f t="shared" si="8"/>
        <v>0.13</v>
      </c>
      <c r="I26" s="222"/>
      <c r="J26" s="170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5"/>
      <c r="BB26" s="170"/>
      <c r="BC26" s="165"/>
      <c r="BD26" s="165"/>
      <c r="BE26" s="165"/>
      <c r="BF26" s="165"/>
      <c r="BG26" s="165"/>
      <c r="BH26" s="165"/>
      <c r="BI26" s="165"/>
      <c r="BJ26" s="165"/>
      <c r="BK26" s="165"/>
      <c r="BL26" s="165"/>
      <c r="BM26" s="165"/>
      <c r="BN26" s="165"/>
      <c r="BO26" s="165"/>
      <c r="BP26" s="165"/>
      <c r="BQ26" s="165"/>
      <c r="BR26" s="165"/>
      <c r="BS26" s="165"/>
      <c r="BT26" s="165"/>
      <c r="BU26" s="165"/>
      <c r="BV26" s="165"/>
      <c r="BW26" s="165"/>
      <c r="BX26" s="165"/>
      <c r="BY26" s="165"/>
      <c r="BZ26" s="165"/>
      <c r="CA26" s="165"/>
      <c r="CB26" s="165"/>
      <c r="CC26" s="165"/>
      <c r="CD26" s="165"/>
      <c r="CE26" s="165"/>
      <c r="CF26" s="165"/>
      <c r="CG26" s="165"/>
      <c r="CH26" s="165"/>
      <c r="CI26" s="170"/>
      <c r="CJ26" s="165"/>
      <c r="CK26" s="165"/>
      <c r="CL26" s="165"/>
      <c r="CM26" s="165"/>
      <c r="CN26" s="170"/>
      <c r="CO26" s="165"/>
      <c r="CP26" s="165"/>
      <c r="CQ26" s="165"/>
    </row>
    <row r="27" spans="2:95" hidden="1" outlineLevel="1" x14ac:dyDescent="0.25">
      <c r="B27" s="156" t="str">
        <f>Table1[[#Headers],[Especificação]]</f>
        <v>Especificação</v>
      </c>
      <c r="C27" s="184" t="str">
        <f t="shared" si="7"/>
        <v>ENTITY_PURE_TRNVR_P</v>
      </c>
      <c r="D27" s="153" t="s">
        <v>10</v>
      </c>
      <c r="E27" s="153" t="s">
        <v>1429</v>
      </c>
      <c r="G27" s="172">
        <f>INDEX(Table1[[Especificação]:[Total Testes]],MATCH(Sheet1!C27,Table1[CONCAT],0),MATCH(Sheet1!B27,Table1[[#Headers],[Especificação]:[Total Testes]],0))</f>
        <v>1</v>
      </c>
      <c r="H27" s="191">
        <f t="shared" si="8"/>
        <v>0.13</v>
      </c>
      <c r="I27" s="222"/>
      <c r="J27" s="170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65"/>
      <c r="BA27" s="165"/>
      <c r="BB27" s="170"/>
      <c r="BC27" s="165"/>
      <c r="BD27" s="165"/>
      <c r="BE27" s="165"/>
      <c r="BF27" s="165"/>
      <c r="BG27" s="165"/>
      <c r="BH27" s="165"/>
      <c r="BI27" s="165"/>
      <c r="BJ27" s="165"/>
      <c r="BK27" s="165"/>
      <c r="BL27" s="165"/>
      <c r="BM27" s="165"/>
      <c r="BN27" s="165"/>
      <c r="BO27" s="165"/>
      <c r="BP27" s="165"/>
      <c r="BQ27" s="165"/>
      <c r="BR27" s="165"/>
      <c r="BS27" s="165"/>
      <c r="BT27" s="165"/>
      <c r="BU27" s="165"/>
      <c r="BV27" s="165"/>
      <c r="BW27" s="165"/>
      <c r="BX27" s="165"/>
      <c r="BY27" s="165"/>
      <c r="BZ27" s="165"/>
      <c r="CA27" s="165"/>
      <c r="CB27" s="165"/>
      <c r="CC27" s="165"/>
      <c r="CD27" s="165"/>
      <c r="CE27" s="165"/>
      <c r="CF27" s="165"/>
      <c r="CG27" s="165"/>
      <c r="CH27" s="165"/>
      <c r="CI27" s="170"/>
      <c r="CJ27" s="165"/>
      <c r="CK27" s="165"/>
      <c r="CL27" s="165"/>
      <c r="CM27" s="165"/>
      <c r="CN27" s="170"/>
      <c r="CO27" s="165"/>
      <c r="CP27" s="165"/>
      <c r="CQ27" s="165"/>
    </row>
    <row r="28" spans="2:95" hidden="1" outlineLevel="1" x14ac:dyDescent="0.25">
      <c r="B28" s="156" t="str">
        <f>Table1[[#Headers],[Especificação]]</f>
        <v>Especificação</v>
      </c>
      <c r="C28" s="184" t="str">
        <f t="shared" si="7"/>
        <v>ENTITY_PURE_CAPEX_B</v>
      </c>
      <c r="D28" s="153" t="s">
        <v>10</v>
      </c>
      <c r="E28" s="153" t="s">
        <v>1432</v>
      </c>
      <c r="G28" s="172">
        <f>INDEX(Table1[[Especificação]:[Total Testes]],MATCH(Sheet1!C28,Table1[CONCAT],0),MATCH(Sheet1!B28,Table1[[#Headers],[Especificação]:[Total Testes]],0))</f>
        <v>1</v>
      </c>
      <c r="H28" s="191">
        <f t="shared" si="8"/>
        <v>0.13</v>
      </c>
      <c r="I28" s="222"/>
      <c r="J28" s="170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5"/>
      <c r="BB28" s="170"/>
      <c r="BC28" s="165"/>
      <c r="BD28" s="165"/>
      <c r="BE28" s="165"/>
      <c r="BF28" s="165"/>
      <c r="BG28" s="165"/>
      <c r="BH28" s="165"/>
      <c r="BI28" s="165"/>
      <c r="BJ28" s="165"/>
      <c r="BK28" s="165"/>
      <c r="BL28" s="165"/>
      <c r="BM28" s="165"/>
      <c r="BN28" s="165"/>
      <c r="BO28" s="165"/>
      <c r="BP28" s="165"/>
      <c r="BQ28" s="165"/>
      <c r="BR28" s="165"/>
      <c r="BS28" s="165"/>
      <c r="BT28" s="165"/>
      <c r="BU28" s="165"/>
      <c r="BV28" s="165"/>
      <c r="BW28" s="165"/>
      <c r="BX28" s="165"/>
      <c r="BY28" s="165"/>
      <c r="BZ28" s="165"/>
      <c r="CA28" s="165"/>
      <c r="CB28" s="165"/>
      <c r="CC28" s="165"/>
      <c r="CD28" s="165"/>
      <c r="CE28" s="165"/>
      <c r="CF28" s="165"/>
      <c r="CG28" s="165"/>
      <c r="CH28" s="165"/>
      <c r="CI28" s="170"/>
      <c r="CJ28" s="165"/>
      <c r="CK28" s="165"/>
      <c r="CL28" s="165"/>
      <c r="CM28" s="165"/>
      <c r="CN28" s="170"/>
      <c r="CO28" s="165"/>
      <c r="CP28" s="165"/>
      <c r="CQ28" s="165"/>
    </row>
    <row r="29" spans="2:95" hidden="1" outlineLevel="1" x14ac:dyDescent="0.25">
      <c r="B29" s="156" t="str">
        <f>Table1[[#Headers],[Especificação]]</f>
        <v>Especificação</v>
      </c>
      <c r="C29" s="184" t="str">
        <f t="shared" si="7"/>
        <v>ENTITY_PURE_TRNVR_B</v>
      </c>
      <c r="D29" s="153" t="s">
        <v>10</v>
      </c>
      <c r="E29" s="153" t="s">
        <v>1435</v>
      </c>
      <c r="G29" s="172">
        <f>INDEX(Table1[[Especificação]:[Total Testes]],MATCH(Sheet1!C29,Table1[CONCAT],0),MATCH(Sheet1!B29,Table1[[#Headers],[Especificação]:[Total Testes]],0))</f>
        <v>1</v>
      </c>
      <c r="H29" s="191">
        <f t="shared" si="8"/>
        <v>0.13</v>
      </c>
      <c r="I29" s="222"/>
      <c r="J29" s="170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65"/>
      <c r="AY29" s="165"/>
      <c r="AZ29" s="165"/>
      <c r="BA29" s="165"/>
      <c r="BB29" s="170"/>
      <c r="BC29" s="165"/>
      <c r="BD29" s="165"/>
      <c r="BE29" s="165"/>
      <c r="BF29" s="165"/>
      <c r="BG29" s="165"/>
      <c r="BH29" s="165"/>
      <c r="BI29" s="165"/>
      <c r="BJ29" s="165"/>
      <c r="BK29" s="165"/>
      <c r="BL29" s="165"/>
      <c r="BM29" s="165"/>
      <c r="BN29" s="165"/>
      <c r="BO29" s="165"/>
      <c r="BP29" s="165"/>
      <c r="BQ29" s="165"/>
      <c r="BR29" s="165"/>
      <c r="BS29" s="165"/>
      <c r="BT29" s="165"/>
      <c r="BU29" s="165"/>
      <c r="BV29" s="165"/>
      <c r="BW29" s="165"/>
      <c r="BX29" s="165"/>
      <c r="BY29" s="165"/>
      <c r="BZ29" s="165"/>
      <c r="CA29" s="165"/>
      <c r="CB29" s="165"/>
      <c r="CC29" s="165"/>
      <c r="CD29" s="165"/>
      <c r="CE29" s="165"/>
      <c r="CF29" s="165"/>
      <c r="CG29" s="165"/>
      <c r="CH29" s="165"/>
      <c r="CI29" s="170"/>
      <c r="CJ29" s="165"/>
      <c r="CK29" s="165"/>
      <c r="CL29" s="165"/>
      <c r="CM29" s="165"/>
      <c r="CN29" s="170"/>
      <c r="CO29" s="165"/>
      <c r="CP29" s="165"/>
      <c r="CQ29" s="165"/>
    </row>
    <row r="30" spans="2:95" hidden="1" outlineLevel="1" x14ac:dyDescent="0.25">
      <c r="B30" s="156" t="str">
        <f>Table1[[#Headers],[Especificação]]</f>
        <v>Especificação</v>
      </c>
      <c r="C30" s="184" t="str">
        <f t="shared" si="7"/>
        <v>ENTITY_PURE_CAPEX_W</v>
      </c>
      <c r="D30" s="153" t="s">
        <v>10</v>
      </c>
      <c r="E30" s="153" t="s">
        <v>1438</v>
      </c>
      <c r="G30" s="172">
        <f>INDEX(Table1[[Especificação]:[Total Testes]],MATCH(Sheet1!C30,Table1[CONCAT],0),MATCH(Sheet1!B30,Table1[[#Headers],[Especificação]:[Total Testes]],0))</f>
        <v>1</v>
      </c>
      <c r="H30" s="191">
        <f t="shared" si="8"/>
        <v>0.13</v>
      </c>
      <c r="I30" s="222"/>
      <c r="J30" s="170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5"/>
      <c r="AY30" s="165"/>
      <c r="AZ30" s="165"/>
      <c r="BA30" s="165"/>
      <c r="BB30" s="170"/>
      <c r="BC30" s="165"/>
      <c r="BD30" s="165"/>
      <c r="BE30" s="165"/>
      <c r="BF30" s="165"/>
      <c r="BG30" s="165"/>
      <c r="BH30" s="165"/>
      <c r="BI30" s="165"/>
      <c r="BJ30" s="165"/>
      <c r="BK30" s="165"/>
      <c r="BL30" s="165"/>
      <c r="BM30" s="165"/>
      <c r="BN30" s="165"/>
      <c r="BO30" s="165"/>
      <c r="BP30" s="165"/>
      <c r="BQ30" s="165"/>
      <c r="BR30" s="165"/>
      <c r="BS30" s="165"/>
      <c r="BT30" s="165"/>
      <c r="BU30" s="165"/>
      <c r="BV30" s="165"/>
      <c r="BW30" s="165"/>
      <c r="BX30" s="165"/>
      <c r="BY30" s="165"/>
      <c r="BZ30" s="165"/>
      <c r="CA30" s="165"/>
      <c r="CB30" s="165"/>
      <c r="CC30" s="165"/>
      <c r="CD30" s="165"/>
      <c r="CE30" s="165"/>
      <c r="CF30" s="165"/>
      <c r="CG30" s="165"/>
      <c r="CH30" s="165"/>
      <c r="CI30" s="170"/>
      <c r="CJ30" s="165"/>
      <c r="CK30" s="165"/>
      <c r="CL30" s="165"/>
      <c r="CM30" s="165"/>
      <c r="CN30" s="170"/>
      <c r="CO30" s="165"/>
      <c r="CP30" s="165"/>
      <c r="CQ30" s="165"/>
    </row>
    <row r="31" spans="2:95" hidden="1" outlineLevel="1" x14ac:dyDescent="0.25">
      <c r="B31" s="156" t="str">
        <f>Table1[[#Headers],[Especificação]]</f>
        <v>Especificação</v>
      </c>
      <c r="C31" s="184" t="str">
        <f t="shared" si="7"/>
        <v>ENTITY_PURE_TRNVR_W</v>
      </c>
      <c r="D31" s="153" t="s">
        <v>10</v>
      </c>
      <c r="E31" s="153" t="s">
        <v>1441</v>
      </c>
      <c r="G31" s="172">
        <f>INDEX(Table1[[Especificação]:[Total Testes]],MATCH(Sheet1!C31,Table1[CONCAT],0),MATCH(Sheet1!B31,Table1[[#Headers],[Especificação]:[Total Testes]],0))</f>
        <v>1</v>
      </c>
      <c r="H31" s="191">
        <f t="shared" si="8"/>
        <v>0.13</v>
      </c>
      <c r="I31" s="222"/>
      <c r="J31" s="170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5"/>
      <c r="AZ31" s="165"/>
      <c r="BA31" s="165"/>
      <c r="BB31" s="170"/>
      <c r="BC31" s="165"/>
      <c r="BD31" s="165"/>
      <c r="BE31" s="165"/>
      <c r="BF31" s="165"/>
      <c r="BG31" s="165"/>
      <c r="BH31" s="165"/>
      <c r="BI31" s="165"/>
      <c r="BJ31" s="165"/>
      <c r="BK31" s="165"/>
      <c r="BL31" s="165"/>
      <c r="BM31" s="165"/>
      <c r="BN31" s="165"/>
      <c r="BO31" s="165"/>
      <c r="BP31" s="165"/>
      <c r="BQ31" s="165"/>
      <c r="BR31" s="165"/>
      <c r="BS31" s="165"/>
      <c r="BT31" s="165"/>
      <c r="BU31" s="165"/>
      <c r="BV31" s="165"/>
      <c r="BW31" s="165"/>
      <c r="BX31" s="165"/>
      <c r="BY31" s="165"/>
      <c r="BZ31" s="165"/>
      <c r="CA31" s="165"/>
      <c r="CB31" s="165"/>
      <c r="CC31" s="165"/>
      <c r="CD31" s="165"/>
      <c r="CE31" s="165"/>
      <c r="CF31" s="165"/>
      <c r="CG31" s="165"/>
      <c r="CH31" s="165"/>
      <c r="CI31" s="170"/>
      <c r="CJ31" s="165"/>
      <c r="CK31" s="165"/>
      <c r="CL31" s="165"/>
      <c r="CM31" s="165"/>
      <c r="CN31" s="170"/>
      <c r="CO31" s="165"/>
      <c r="CP31" s="165"/>
      <c r="CQ31" s="165"/>
    </row>
    <row r="32" spans="2:95" hidden="1" outlineLevel="1" x14ac:dyDescent="0.25">
      <c r="B32" s="156" t="str">
        <f>Table1[[#Headers],[Especificação]]</f>
        <v>Especificação</v>
      </c>
      <c r="C32" s="184" t="str">
        <f t="shared" si="7"/>
        <v>ENTITY_PURE_CAPEX_CE</v>
      </c>
      <c r="D32" s="153" t="s">
        <v>10</v>
      </c>
      <c r="E32" s="153" t="s">
        <v>1444</v>
      </c>
      <c r="G32" s="172">
        <f>INDEX(Table1[[Especificação]:[Total Testes]],MATCH(Sheet1!C32,Table1[CONCAT],0),MATCH(Sheet1!B32,Table1[[#Headers],[Especificação]:[Total Testes]],0))</f>
        <v>1</v>
      </c>
      <c r="H32" s="191">
        <f t="shared" si="8"/>
        <v>0.13</v>
      </c>
      <c r="I32" s="222"/>
      <c r="J32" s="170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70"/>
      <c r="BC32" s="165"/>
      <c r="BD32" s="165"/>
      <c r="BE32" s="165"/>
      <c r="BF32" s="165"/>
      <c r="BG32" s="165"/>
      <c r="BH32" s="165"/>
      <c r="BI32" s="165"/>
      <c r="BJ32" s="165"/>
      <c r="BK32" s="165"/>
      <c r="BL32" s="165"/>
      <c r="BM32" s="165"/>
      <c r="BN32" s="165"/>
      <c r="BO32" s="165"/>
      <c r="BP32" s="165"/>
      <c r="BQ32" s="165"/>
      <c r="BR32" s="165"/>
      <c r="BS32" s="165"/>
      <c r="BT32" s="165"/>
      <c r="BU32" s="165"/>
      <c r="BV32" s="165"/>
      <c r="BW32" s="165"/>
      <c r="BX32" s="165"/>
      <c r="BY32" s="165"/>
      <c r="BZ32" s="165"/>
      <c r="CA32" s="165"/>
      <c r="CB32" s="165"/>
      <c r="CC32" s="165"/>
      <c r="CD32" s="165"/>
      <c r="CE32" s="165"/>
      <c r="CF32" s="165"/>
      <c r="CG32" s="165"/>
      <c r="CH32" s="165"/>
      <c r="CI32" s="170"/>
      <c r="CJ32" s="165"/>
      <c r="CK32" s="165"/>
      <c r="CL32" s="165"/>
      <c r="CM32" s="165"/>
      <c r="CN32" s="170"/>
      <c r="CO32" s="165"/>
      <c r="CP32" s="165"/>
      <c r="CQ32" s="165"/>
    </row>
    <row r="33" spans="2:95" hidden="1" outlineLevel="1" x14ac:dyDescent="0.25">
      <c r="B33" s="156" t="str">
        <f>Table1[[#Headers],[Especificação]]</f>
        <v>Especificação</v>
      </c>
      <c r="C33" s="184" t="str">
        <f t="shared" si="7"/>
        <v>ENTITY_PURE_TRNVR_CE</v>
      </c>
      <c r="D33" s="153" t="s">
        <v>10</v>
      </c>
      <c r="E33" s="153" t="s">
        <v>1447</v>
      </c>
      <c r="G33" s="172">
        <f>INDEX(Table1[[Especificação]:[Total Testes]],MATCH(Sheet1!C33,Table1[CONCAT],0),MATCH(Sheet1!B33,Table1[[#Headers],[Especificação]:[Total Testes]],0))</f>
        <v>1</v>
      </c>
      <c r="H33" s="191">
        <f t="shared" si="8"/>
        <v>0.13</v>
      </c>
      <c r="I33" s="222"/>
      <c r="J33" s="170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5"/>
      <c r="AY33" s="165"/>
      <c r="AZ33" s="165"/>
      <c r="BA33" s="165"/>
      <c r="BB33" s="170"/>
      <c r="BC33" s="165"/>
      <c r="BD33" s="165"/>
      <c r="BE33" s="165"/>
      <c r="BF33" s="165"/>
      <c r="BG33" s="165"/>
      <c r="BH33" s="165"/>
      <c r="BI33" s="165"/>
      <c r="BJ33" s="165"/>
      <c r="BK33" s="165"/>
      <c r="BL33" s="165"/>
      <c r="BM33" s="165"/>
      <c r="BN33" s="165"/>
      <c r="BO33" s="165"/>
      <c r="BP33" s="165"/>
      <c r="BQ33" s="165"/>
      <c r="BR33" s="165"/>
      <c r="BS33" s="165"/>
      <c r="BT33" s="165"/>
      <c r="BU33" s="165"/>
      <c r="BV33" s="165"/>
      <c r="BW33" s="165"/>
      <c r="BX33" s="165"/>
      <c r="BY33" s="165"/>
      <c r="BZ33" s="165"/>
      <c r="CA33" s="165"/>
      <c r="CB33" s="165"/>
      <c r="CC33" s="165"/>
      <c r="CD33" s="165"/>
      <c r="CE33" s="165"/>
      <c r="CF33" s="165"/>
      <c r="CG33" s="165"/>
      <c r="CH33" s="165"/>
      <c r="CI33" s="170"/>
      <c r="CJ33" s="165"/>
      <c r="CK33" s="165"/>
      <c r="CL33" s="165"/>
      <c r="CM33" s="165"/>
      <c r="CN33" s="170"/>
      <c r="CO33" s="165"/>
      <c r="CP33" s="165"/>
      <c r="CQ33" s="165"/>
    </row>
    <row r="34" spans="2:95" hidden="1" outlineLevel="1" x14ac:dyDescent="0.25">
      <c r="B34" s="156" t="str">
        <f>Table1[[#Headers],[Especificação]]</f>
        <v>Especificação</v>
      </c>
      <c r="C34" s="184" t="str">
        <f t="shared" si="7"/>
        <v>ENTITY_ENBLNG_CAPEX_W</v>
      </c>
      <c r="D34" s="153" t="s">
        <v>10</v>
      </c>
      <c r="E34" s="153" t="s">
        <v>1450</v>
      </c>
      <c r="G34" s="172">
        <f>INDEX(Table1[[Especificação]:[Total Testes]],MATCH(Sheet1!C34,Table1[CONCAT],0),MATCH(Sheet1!B34,Table1[[#Headers],[Especificação]:[Total Testes]],0))</f>
        <v>1</v>
      </c>
      <c r="H34" s="191">
        <f t="shared" si="8"/>
        <v>0.13</v>
      </c>
      <c r="I34" s="222"/>
      <c r="J34" s="170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5"/>
      <c r="AW34" s="165"/>
      <c r="AX34" s="165"/>
      <c r="AY34" s="165"/>
      <c r="AZ34" s="165"/>
      <c r="BA34" s="165"/>
      <c r="BB34" s="170"/>
      <c r="BC34" s="165"/>
      <c r="BD34" s="165"/>
      <c r="BE34" s="165"/>
      <c r="BF34" s="165"/>
      <c r="BG34" s="165"/>
      <c r="BH34" s="165"/>
      <c r="BI34" s="165"/>
      <c r="BJ34" s="165"/>
      <c r="BK34" s="165"/>
      <c r="BL34" s="165"/>
      <c r="BM34" s="165"/>
      <c r="BN34" s="165"/>
      <c r="BO34" s="165"/>
      <c r="BP34" s="165"/>
      <c r="BQ34" s="165"/>
      <c r="BR34" s="165"/>
      <c r="BS34" s="165"/>
      <c r="BT34" s="165"/>
      <c r="BU34" s="165"/>
      <c r="BV34" s="165"/>
      <c r="BW34" s="165"/>
      <c r="BX34" s="165"/>
      <c r="BY34" s="165"/>
      <c r="BZ34" s="165"/>
      <c r="CA34" s="165"/>
      <c r="CB34" s="165"/>
      <c r="CC34" s="165"/>
      <c r="CD34" s="165"/>
      <c r="CE34" s="165"/>
      <c r="CF34" s="165"/>
      <c r="CG34" s="165"/>
      <c r="CH34" s="165"/>
      <c r="CI34" s="170"/>
      <c r="CJ34" s="165"/>
      <c r="CK34" s="165"/>
      <c r="CL34" s="165"/>
      <c r="CM34" s="165"/>
      <c r="CN34" s="170"/>
      <c r="CO34" s="165"/>
      <c r="CP34" s="165"/>
      <c r="CQ34" s="165"/>
    </row>
    <row r="35" spans="2:95" hidden="1" outlineLevel="1" x14ac:dyDescent="0.25">
      <c r="B35" s="156" t="str">
        <f>Table1[[#Headers],[Especificação]]</f>
        <v>Especificação</v>
      </c>
      <c r="C35" s="184" t="str">
        <f t="shared" si="7"/>
        <v>ENTITY_ENBLNG_TRNVR_W</v>
      </c>
      <c r="D35" s="153" t="s">
        <v>10</v>
      </c>
      <c r="E35" s="153" t="s">
        <v>1453</v>
      </c>
      <c r="G35" s="172">
        <f>INDEX(Table1[[Especificação]:[Total Testes]],MATCH(Sheet1!C35,Table1[CONCAT],0),MATCH(Sheet1!B35,Table1[[#Headers],[Especificação]:[Total Testes]],0))</f>
        <v>1</v>
      </c>
      <c r="H35" s="191">
        <f t="shared" si="8"/>
        <v>0.13</v>
      </c>
      <c r="I35" s="222"/>
      <c r="J35" s="170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5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70"/>
      <c r="BC35" s="165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65"/>
      <c r="BP35" s="165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65"/>
      <c r="CC35" s="165"/>
      <c r="CD35" s="165"/>
      <c r="CE35" s="165"/>
      <c r="CF35" s="165"/>
      <c r="CG35" s="165"/>
      <c r="CH35" s="165"/>
      <c r="CI35" s="170"/>
      <c r="CJ35" s="165"/>
      <c r="CK35" s="165"/>
      <c r="CL35" s="165"/>
      <c r="CM35" s="165"/>
      <c r="CN35" s="170"/>
      <c r="CO35" s="165"/>
      <c r="CP35" s="165"/>
      <c r="CQ35" s="165"/>
    </row>
    <row r="36" spans="2:95" hidden="1" outlineLevel="1" x14ac:dyDescent="0.25">
      <c r="B36" s="156" t="str">
        <f>Table1[[#Headers],[Especificação]]</f>
        <v>Especificação</v>
      </c>
      <c r="C36" s="184" t="str">
        <f t="shared" si="7"/>
        <v>ENTITY_ENBLNG_CAPEX_CE</v>
      </c>
      <c r="D36" s="153" t="s">
        <v>10</v>
      </c>
      <c r="E36" s="153" t="s">
        <v>1456</v>
      </c>
      <c r="G36" s="172">
        <f>INDEX(Table1[[Especificação]:[Total Testes]],MATCH(Sheet1!C36,Table1[CONCAT],0),MATCH(Sheet1!B36,Table1[[#Headers],[Especificação]:[Total Testes]],0))</f>
        <v>1</v>
      </c>
      <c r="H36" s="191">
        <f t="shared" si="8"/>
        <v>0.13</v>
      </c>
      <c r="I36" s="222"/>
      <c r="J36" s="170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5"/>
      <c r="AV36" s="165"/>
      <c r="AW36" s="165"/>
      <c r="AX36" s="165"/>
      <c r="AY36" s="165"/>
      <c r="AZ36" s="165"/>
      <c r="BA36" s="165"/>
      <c r="BB36" s="170"/>
      <c r="BC36" s="165"/>
      <c r="BD36" s="165"/>
      <c r="BE36" s="165"/>
      <c r="BF36" s="165"/>
      <c r="BG36" s="165"/>
      <c r="BH36" s="165"/>
      <c r="BI36" s="165"/>
      <c r="BJ36" s="165"/>
      <c r="BK36" s="165"/>
      <c r="BL36" s="165"/>
      <c r="BM36" s="165"/>
      <c r="BN36" s="165"/>
      <c r="BO36" s="165"/>
      <c r="BP36" s="165"/>
      <c r="BQ36" s="165"/>
      <c r="BR36" s="165"/>
      <c r="BS36" s="165"/>
      <c r="BT36" s="165"/>
      <c r="BU36" s="165"/>
      <c r="BV36" s="165"/>
      <c r="BW36" s="165"/>
      <c r="BX36" s="165"/>
      <c r="BY36" s="165"/>
      <c r="BZ36" s="165"/>
      <c r="CA36" s="165"/>
      <c r="CB36" s="165"/>
      <c r="CC36" s="165"/>
      <c r="CD36" s="165"/>
      <c r="CE36" s="165"/>
      <c r="CF36" s="165"/>
      <c r="CG36" s="165"/>
      <c r="CH36" s="165"/>
      <c r="CI36" s="170"/>
      <c r="CJ36" s="165"/>
      <c r="CK36" s="165"/>
      <c r="CL36" s="165"/>
      <c r="CM36" s="165"/>
      <c r="CN36" s="170"/>
      <c r="CO36" s="165"/>
      <c r="CP36" s="165"/>
      <c r="CQ36" s="165"/>
    </row>
    <row r="37" spans="2:95" hidden="1" outlineLevel="1" x14ac:dyDescent="0.25">
      <c r="B37" s="156" t="str">
        <f>Table1[[#Headers],[Especificação]]</f>
        <v>Especificação</v>
      </c>
      <c r="C37" s="184" t="str">
        <f t="shared" si="7"/>
        <v>ENTITY_ENBLNG_TRNVR_CE</v>
      </c>
      <c r="D37" s="153" t="s">
        <v>10</v>
      </c>
      <c r="E37" s="153" t="s">
        <v>1459</v>
      </c>
      <c r="G37" s="172">
        <f>INDEX(Table1[[Especificação]:[Total Testes]],MATCH(Sheet1!C37,Table1[CONCAT],0),MATCH(Sheet1!B37,Table1[[#Headers],[Especificação]:[Total Testes]],0))</f>
        <v>1</v>
      </c>
      <c r="H37" s="191">
        <f t="shared" si="8"/>
        <v>0.13</v>
      </c>
      <c r="I37" s="222"/>
      <c r="J37" s="170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5"/>
      <c r="AV37" s="165"/>
      <c r="AW37" s="165"/>
      <c r="AX37" s="165"/>
      <c r="AY37" s="165"/>
      <c r="AZ37" s="165"/>
      <c r="BA37" s="165"/>
      <c r="BB37" s="170"/>
      <c r="BC37" s="165"/>
      <c r="BD37" s="165"/>
      <c r="BE37" s="165"/>
      <c r="BF37" s="165"/>
      <c r="BG37" s="165"/>
      <c r="BH37" s="165"/>
      <c r="BI37" s="165"/>
      <c r="BJ37" s="165"/>
      <c r="BK37" s="165"/>
      <c r="BL37" s="165"/>
      <c r="BM37" s="165"/>
      <c r="BN37" s="165"/>
      <c r="BO37" s="165"/>
      <c r="BP37" s="165"/>
      <c r="BQ37" s="165"/>
      <c r="BR37" s="165"/>
      <c r="BS37" s="165"/>
      <c r="BT37" s="165"/>
      <c r="BU37" s="165"/>
      <c r="BV37" s="165"/>
      <c r="BW37" s="165"/>
      <c r="BX37" s="165"/>
      <c r="BY37" s="165"/>
      <c r="BZ37" s="165"/>
      <c r="CA37" s="165"/>
      <c r="CB37" s="165"/>
      <c r="CC37" s="165"/>
      <c r="CD37" s="165"/>
      <c r="CE37" s="165"/>
      <c r="CF37" s="165"/>
      <c r="CG37" s="165"/>
      <c r="CH37" s="165"/>
      <c r="CI37" s="170"/>
      <c r="CJ37" s="165"/>
      <c r="CK37" s="165"/>
      <c r="CL37" s="165"/>
      <c r="CM37" s="165"/>
      <c r="CN37" s="170"/>
      <c r="CO37" s="165"/>
      <c r="CP37" s="165"/>
      <c r="CQ37" s="165"/>
    </row>
    <row r="38" spans="2:95" hidden="1" outlineLevel="1" x14ac:dyDescent="0.25">
      <c r="B38" s="156" t="str">
        <f>Table1[[#Headers],[Especificação]]</f>
        <v>Especificação</v>
      </c>
      <c r="C38" s="184" t="str">
        <f t="shared" si="7"/>
        <v>INSTRUMENT_TYP_OFF_BLNC_PRDCT</v>
      </c>
      <c r="D38" s="153" t="s">
        <v>414</v>
      </c>
      <c r="E38" s="153" t="s">
        <v>1351</v>
      </c>
      <c r="G38" s="172">
        <f>INDEX(Table1[[Especificação]:[Total Testes]],MATCH(Sheet1!C38,Table1[CONCAT],0),MATCH(Sheet1!B38,Table1[[#Headers],[Especificação]:[Total Testes]],0))</f>
        <v>1</v>
      </c>
      <c r="H38" s="191">
        <f t="shared" si="8"/>
        <v>0.13</v>
      </c>
      <c r="I38" s="222"/>
      <c r="J38" s="170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5"/>
      <c r="AO38" s="165"/>
      <c r="AP38" s="165"/>
      <c r="AQ38" s="165"/>
      <c r="AR38" s="165"/>
      <c r="AS38" s="165"/>
      <c r="AT38" s="165"/>
      <c r="AU38" s="165"/>
      <c r="AV38" s="165"/>
      <c r="AW38" s="165"/>
      <c r="AX38" s="165"/>
      <c r="AY38" s="165"/>
      <c r="AZ38" s="165"/>
      <c r="BA38" s="165"/>
      <c r="BB38" s="170"/>
      <c r="BC38" s="165"/>
      <c r="BD38" s="165"/>
      <c r="BE38" s="165"/>
      <c r="BF38" s="165"/>
      <c r="BG38" s="165"/>
      <c r="BH38" s="165"/>
      <c r="BI38" s="165"/>
      <c r="BJ38" s="165"/>
      <c r="BK38" s="165"/>
      <c r="BL38" s="165"/>
      <c r="BM38" s="165"/>
      <c r="BN38" s="165"/>
      <c r="BO38" s="165"/>
      <c r="BP38" s="165"/>
      <c r="BQ38" s="165"/>
      <c r="BR38" s="165"/>
      <c r="BS38" s="165"/>
      <c r="BT38" s="165"/>
      <c r="BU38" s="165"/>
      <c r="BV38" s="165"/>
      <c r="BW38" s="165"/>
      <c r="BX38" s="165"/>
      <c r="BY38" s="165"/>
      <c r="BZ38" s="165"/>
      <c r="CA38" s="165"/>
      <c r="CB38" s="165"/>
      <c r="CC38" s="165"/>
      <c r="CD38" s="165"/>
      <c r="CE38" s="165"/>
      <c r="CF38" s="165"/>
      <c r="CG38" s="165"/>
      <c r="CH38" s="165"/>
      <c r="CI38" s="170"/>
      <c r="CJ38" s="165"/>
      <c r="CK38" s="165"/>
      <c r="CL38" s="165"/>
      <c r="CM38" s="165"/>
      <c r="CN38" s="170"/>
      <c r="CO38" s="165"/>
      <c r="CP38" s="165"/>
      <c r="CQ38" s="165"/>
    </row>
    <row r="39" spans="2:95" hidden="1" outlineLevel="1" x14ac:dyDescent="0.25">
      <c r="B39" s="156" t="str">
        <f>Table1[[#Headers],[Especificação]]</f>
        <v>Especificação</v>
      </c>
      <c r="C39" s="184" t="str">
        <f t="shared" si="7"/>
        <v>INSTRUMENT_FLG_MNMM_SFGRDS</v>
      </c>
      <c r="D39" s="153" t="s">
        <v>414</v>
      </c>
      <c r="E39" s="153" t="s">
        <v>1480</v>
      </c>
      <c r="G39" s="172">
        <f>INDEX(Table1[[Especificação]:[Total Testes]],MATCH(Sheet1!C39,Table1[CONCAT],0),MATCH(Sheet1!B39,Table1[[#Headers],[Especificação]:[Total Testes]],0))</f>
        <v>0</v>
      </c>
      <c r="H39" s="191">
        <f t="shared" si="8"/>
        <v>0</v>
      </c>
      <c r="I39" s="222"/>
      <c r="J39" s="170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  <c r="AK39" s="165"/>
      <c r="AL39" s="165"/>
      <c r="AM39" s="165"/>
      <c r="AN39" s="165"/>
      <c r="AO39" s="165"/>
      <c r="AP39" s="165"/>
      <c r="AQ39" s="165"/>
      <c r="AR39" s="165"/>
      <c r="AS39" s="165"/>
      <c r="AT39" s="165"/>
      <c r="AU39" s="165"/>
      <c r="AV39" s="165"/>
      <c r="AW39" s="165"/>
      <c r="AX39" s="165"/>
      <c r="AY39" s="165"/>
      <c r="AZ39" s="165"/>
      <c r="BA39" s="165"/>
      <c r="BB39" s="170"/>
      <c r="BC39" s="165"/>
      <c r="BD39" s="165"/>
      <c r="BE39" s="165"/>
      <c r="BF39" s="165"/>
      <c r="BG39" s="165"/>
      <c r="BH39" s="165"/>
      <c r="BI39" s="165"/>
      <c r="BJ39" s="165"/>
      <c r="BK39" s="165"/>
      <c r="BL39" s="165"/>
      <c r="BM39" s="165"/>
      <c r="BN39" s="165"/>
      <c r="BO39" s="165"/>
      <c r="BP39" s="165"/>
      <c r="BQ39" s="165"/>
      <c r="BR39" s="165"/>
      <c r="BS39" s="165"/>
      <c r="BT39" s="165"/>
      <c r="BU39" s="165"/>
      <c r="BV39" s="165"/>
      <c r="BW39" s="165"/>
      <c r="BX39" s="165"/>
      <c r="BY39" s="165"/>
      <c r="BZ39" s="165"/>
      <c r="CA39" s="165"/>
      <c r="CB39" s="165"/>
      <c r="CC39" s="165"/>
      <c r="CD39" s="165"/>
      <c r="CE39" s="165"/>
      <c r="CF39" s="165"/>
      <c r="CG39" s="165"/>
      <c r="CH39" s="165"/>
      <c r="CI39" s="170"/>
      <c r="CJ39" s="165"/>
      <c r="CK39" s="165"/>
      <c r="CL39" s="165"/>
      <c r="CM39" s="165"/>
      <c r="CN39" s="170"/>
      <c r="CO39" s="165"/>
      <c r="CP39" s="165"/>
      <c r="CQ39" s="165"/>
    </row>
    <row r="40" spans="2:95" hidden="1" outlineLevel="1" x14ac:dyDescent="0.25">
      <c r="B40" s="156" t="str">
        <f>Table1[[#Headers],[Especificação]]</f>
        <v>Especificação</v>
      </c>
      <c r="C40" s="184" t="str">
        <f t="shared" si="7"/>
        <v>INSTR_PROTECTION_TYP_RLTN</v>
      </c>
      <c r="D40" s="153" t="s">
        <v>1101</v>
      </c>
      <c r="E40" s="153" t="s">
        <v>1384</v>
      </c>
      <c r="G40" s="172">
        <f>INDEX(Table1[[Especificação]:[Total Testes]],MATCH(Sheet1!C40,Table1[CONCAT],0),MATCH(Sheet1!B40,Table1[[#Headers],[Especificação]:[Total Testes]],0))</f>
        <v>4</v>
      </c>
      <c r="H40" s="191">
        <f t="shared" si="8"/>
        <v>0.5</v>
      </c>
      <c r="I40" s="222"/>
      <c r="J40" s="170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  <c r="AF40" s="165"/>
      <c r="AG40" s="165"/>
      <c r="AH40" s="165"/>
      <c r="AI40" s="165"/>
      <c r="AJ40" s="165"/>
      <c r="AK40" s="165"/>
      <c r="AL40" s="165"/>
      <c r="AM40" s="165"/>
      <c r="AN40" s="165"/>
      <c r="AO40" s="165"/>
      <c r="AP40" s="165"/>
      <c r="AQ40" s="165"/>
      <c r="AR40" s="165"/>
      <c r="AS40" s="165"/>
      <c r="AT40" s="165"/>
      <c r="AU40" s="165"/>
      <c r="AV40" s="165"/>
      <c r="AW40" s="165"/>
      <c r="AX40" s="165"/>
      <c r="AY40" s="165"/>
      <c r="AZ40" s="165"/>
      <c r="BA40" s="165"/>
      <c r="BB40" s="170"/>
      <c r="BC40" s="165"/>
      <c r="BD40" s="165"/>
      <c r="BE40" s="165"/>
      <c r="BF40" s="165"/>
      <c r="BG40" s="165"/>
      <c r="BH40" s="165"/>
      <c r="BI40" s="165"/>
      <c r="BJ40" s="165"/>
      <c r="BK40" s="165"/>
      <c r="BL40" s="165"/>
      <c r="BM40" s="165"/>
      <c r="BN40" s="165"/>
      <c r="BO40" s="165"/>
      <c r="BP40" s="165"/>
      <c r="BQ40" s="165"/>
      <c r="BR40" s="165"/>
      <c r="BS40" s="165"/>
      <c r="BT40" s="165"/>
      <c r="BU40" s="165"/>
      <c r="BV40" s="165"/>
      <c r="BW40" s="165"/>
      <c r="BX40" s="165"/>
      <c r="BY40" s="165"/>
      <c r="BZ40" s="165"/>
      <c r="CA40" s="165"/>
      <c r="CB40" s="165"/>
      <c r="CC40" s="165"/>
      <c r="CD40" s="165"/>
      <c r="CE40" s="165"/>
      <c r="CF40" s="165"/>
      <c r="CG40" s="165"/>
      <c r="CH40" s="165"/>
      <c r="CI40" s="170"/>
      <c r="CJ40" s="165"/>
      <c r="CK40" s="165"/>
      <c r="CL40" s="165"/>
      <c r="CM40" s="165"/>
      <c r="CN40" s="170"/>
      <c r="CO40" s="165"/>
      <c r="CP40" s="165"/>
      <c r="CQ40" s="165"/>
    </row>
    <row r="41" spans="2:95" hidden="1" outlineLevel="1" x14ac:dyDescent="0.25">
      <c r="B41" s="156" t="str">
        <f>Table1[[#Headers],[Especificação]]</f>
        <v>Especificação</v>
      </c>
      <c r="C41" s="184" t="str">
        <f t="shared" si="7"/>
        <v>PROTECTION_BLDNG_AR</v>
      </c>
      <c r="D41" s="153" t="s">
        <v>1114</v>
      </c>
      <c r="E41" s="153" t="s">
        <v>1387</v>
      </c>
      <c r="G41" s="172">
        <f>INDEX(Table1[[Especificação]:[Total Testes]],MATCH(Sheet1!C41,Table1[CONCAT],0),MATCH(Sheet1!B41,Table1[[#Headers],[Especificação]:[Total Testes]],0))</f>
        <v>2</v>
      </c>
      <c r="H41" s="191">
        <f t="shared" si="8"/>
        <v>0.25</v>
      </c>
      <c r="I41" s="222"/>
      <c r="J41" s="170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5"/>
      <c r="AO41" s="165"/>
      <c r="AP41" s="165"/>
      <c r="AQ41" s="165"/>
      <c r="AR41" s="165"/>
      <c r="AS41" s="165"/>
      <c r="AT41" s="165"/>
      <c r="AU41" s="165"/>
      <c r="AV41" s="165"/>
      <c r="AW41" s="165"/>
      <c r="AX41" s="165"/>
      <c r="AY41" s="165"/>
      <c r="AZ41" s="165"/>
      <c r="BA41" s="165"/>
      <c r="BB41" s="170"/>
      <c r="BC41" s="165"/>
      <c r="BD41" s="165"/>
      <c r="BE41" s="165"/>
      <c r="BF41" s="165"/>
      <c r="BG41" s="165"/>
      <c r="BH41" s="165"/>
      <c r="BI41" s="165"/>
      <c r="BJ41" s="165"/>
      <c r="BK41" s="165"/>
      <c r="BL41" s="165"/>
      <c r="BM41" s="165"/>
      <c r="BN41" s="165"/>
      <c r="BO41" s="165"/>
      <c r="BP41" s="165"/>
      <c r="BQ41" s="165"/>
      <c r="BR41" s="165"/>
      <c r="BS41" s="165"/>
      <c r="BT41" s="165"/>
      <c r="BU41" s="165"/>
      <c r="BV41" s="165"/>
      <c r="BW41" s="165"/>
      <c r="BX41" s="165"/>
      <c r="BY41" s="165"/>
      <c r="BZ41" s="165"/>
      <c r="CA41" s="165"/>
      <c r="CB41" s="165"/>
      <c r="CC41" s="165"/>
      <c r="CD41" s="165"/>
      <c r="CE41" s="165"/>
      <c r="CF41" s="165"/>
      <c r="CG41" s="165"/>
      <c r="CH41" s="165"/>
      <c r="CI41" s="170"/>
      <c r="CJ41" s="165"/>
      <c r="CK41" s="165"/>
      <c r="CL41" s="165"/>
      <c r="CM41" s="165"/>
      <c r="CN41" s="170"/>
      <c r="CO41" s="165"/>
      <c r="CP41" s="165"/>
      <c r="CQ41" s="165"/>
    </row>
    <row r="42" spans="2:95" hidden="1" outlineLevel="1" x14ac:dyDescent="0.25">
      <c r="B42" s="156" t="str">
        <f>Table1[[#Headers],[Especificação]]</f>
        <v>Especificação</v>
      </c>
      <c r="C42" s="184" t="str">
        <f t="shared" si="7"/>
        <v>PROTECTION_RL_ESTT_CRTFCTN</v>
      </c>
      <c r="D42" s="153" t="s">
        <v>1114</v>
      </c>
      <c r="E42" s="153" t="s">
        <v>1512</v>
      </c>
      <c r="G42" s="172">
        <f>INDEX(Table1[[Especificação]:[Total Testes]],MATCH(Sheet1!C42,Table1[CONCAT],0),MATCH(Sheet1!B42,Table1[[#Headers],[Especificação]:[Total Testes]],0))</f>
        <v>0</v>
      </c>
      <c r="H42" s="191">
        <f t="shared" si="8"/>
        <v>0</v>
      </c>
      <c r="I42" s="222"/>
      <c r="J42" s="170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  <c r="AS42" s="165"/>
      <c r="AT42" s="165"/>
      <c r="AU42" s="165"/>
      <c r="AV42" s="165"/>
      <c r="AW42" s="165"/>
      <c r="AX42" s="165"/>
      <c r="AY42" s="165"/>
      <c r="AZ42" s="165"/>
      <c r="BA42" s="165"/>
      <c r="BB42" s="170"/>
      <c r="BC42" s="165"/>
      <c r="BD42" s="165"/>
      <c r="BE42" s="165"/>
      <c r="BF42" s="165"/>
      <c r="BG42" s="165"/>
      <c r="BH42" s="165"/>
      <c r="BI42" s="165"/>
      <c r="BJ42" s="165"/>
      <c r="BK42" s="165"/>
      <c r="BL42" s="165"/>
      <c r="BM42" s="165"/>
      <c r="BN42" s="165"/>
      <c r="BO42" s="165"/>
      <c r="BP42" s="165"/>
      <c r="BQ42" s="165"/>
      <c r="BR42" s="165"/>
      <c r="BS42" s="165"/>
      <c r="BT42" s="165"/>
      <c r="BU42" s="165"/>
      <c r="BV42" s="165"/>
      <c r="BW42" s="165"/>
      <c r="BX42" s="165"/>
      <c r="BY42" s="165"/>
      <c r="BZ42" s="165"/>
      <c r="CA42" s="165"/>
      <c r="CB42" s="165"/>
      <c r="CC42" s="165"/>
      <c r="CD42" s="165"/>
      <c r="CE42" s="165"/>
      <c r="CF42" s="165"/>
      <c r="CG42" s="165"/>
      <c r="CH42" s="165"/>
      <c r="CI42" s="170"/>
      <c r="CJ42" s="165"/>
      <c r="CK42" s="165"/>
      <c r="CL42" s="165"/>
      <c r="CM42" s="165"/>
      <c r="CN42" s="170"/>
      <c r="CO42" s="165"/>
      <c r="CP42" s="165"/>
      <c r="CQ42" s="165"/>
    </row>
    <row r="43" spans="2:95" hidden="1" outlineLevel="1" x14ac:dyDescent="0.25">
      <c r="B43" s="156" t="str">
        <f>Table1[[#Headers],[Especificação]]</f>
        <v>Especificação</v>
      </c>
      <c r="C43" s="184" t="str">
        <f t="shared" si="7"/>
        <v>PROTECTION_TYP_VHCL</v>
      </c>
      <c r="D43" s="153" t="s">
        <v>1114</v>
      </c>
      <c r="E43" s="153" t="s">
        <v>1515</v>
      </c>
      <c r="G43" s="172">
        <f>INDEX(Table1[[Especificação]:[Total Testes]],MATCH(Sheet1!C43,Table1[CONCAT],0),MATCH(Sheet1!B43,Table1[[#Headers],[Especificação]:[Total Testes]],0))</f>
        <v>0</v>
      </c>
      <c r="H43" s="191">
        <f t="shared" si="8"/>
        <v>0</v>
      </c>
      <c r="I43" s="222"/>
      <c r="J43" s="170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  <c r="AK43" s="165"/>
      <c r="AL43" s="165"/>
      <c r="AM43" s="165"/>
      <c r="AN43" s="165"/>
      <c r="AO43" s="165"/>
      <c r="AP43" s="165"/>
      <c r="AQ43" s="165"/>
      <c r="AR43" s="165"/>
      <c r="AS43" s="165"/>
      <c r="AT43" s="165"/>
      <c r="AU43" s="165"/>
      <c r="AV43" s="165"/>
      <c r="AW43" s="165"/>
      <c r="AX43" s="165"/>
      <c r="AY43" s="165"/>
      <c r="AZ43" s="165"/>
      <c r="BA43" s="165"/>
      <c r="BB43" s="170"/>
      <c r="BC43" s="165"/>
      <c r="BD43" s="165"/>
      <c r="BE43" s="165"/>
      <c r="BF43" s="165"/>
      <c r="BG43" s="165"/>
      <c r="BH43" s="165"/>
      <c r="BI43" s="165"/>
      <c r="BJ43" s="165"/>
      <c r="BK43" s="165"/>
      <c r="BL43" s="165"/>
      <c r="BM43" s="165"/>
      <c r="BN43" s="165"/>
      <c r="BO43" s="165"/>
      <c r="BP43" s="165"/>
      <c r="BQ43" s="165"/>
      <c r="BR43" s="165"/>
      <c r="BS43" s="165"/>
      <c r="BT43" s="165"/>
      <c r="BU43" s="165"/>
      <c r="BV43" s="165"/>
      <c r="BW43" s="165"/>
      <c r="BX43" s="165"/>
      <c r="BY43" s="165"/>
      <c r="BZ43" s="165"/>
      <c r="CA43" s="165"/>
      <c r="CB43" s="165"/>
      <c r="CC43" s="165"/>
      <c r="CD43" s="165"/>
      <c r="CE43" s="165"/>
      <c r="CF43" s="165"/>
      <c r="CG43" s="165"/>
      <c r="CH43" s="165"/>
      <c r="CI43" s="170"/>
      <c r="CJ43" s="165"/>
      <c r="CK43" s="165"/>
      <c r="CL43" s="165"/>
      <c r="CM43" s="165"/>
      <c r="CN43" s="170"/>
      <c r="CO43" s="165"/>
      <c r="CP43" s="165"/>
      <c r="CQ43" s="165"/>
    </row>
    <row r="44" spans="2:95" hidden="1" outlineLevel="1" x14ac:dyDescent="0.25">
      <c r="B44" s="156" t="str">
        <f>Table1[[#Headers],[Especificação]]</f>
        <v>Especificação</v>
      </c>
      <c r="C44" s="184" t="str">
        <f t="shared" si="7"/>
        <v>PROTECTION_DT_RGSTRTN</v>
      </c>
      <c r="D44" s="153" t="s">
        <v>1114</v>
      </c>
      <c r="E44" s="153" t="s">
        <v>1518</v>
      </c>
      <c r="G44" s="172">
        <f>INDEX(Table1[[Especificação]:[Total Testes]],MATCH(Sheet1!C44,Table1[CONCAT],0),MATCH(Sheet1!B44,Table1[[#Headers],[Especificação]:[Total Testes]],0))</f>
        <v>0</v>
      </c>
      <c r="H44" s="191">
        <f t="shared" si="8"/>
        <v>0</v>
      </c>
      <c r="I44" s="222"/>
      <c r="J44" s="170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5"/>
      <c r="AO44" s="165"/>
      <c r="AP44" s="165"/>
      <c r="AQ44" s="165"/>
      <c r="AR44" s="165"/>
      <c r="AS44" s="165"/>
      <c r="AT44" s="165"/>
      <c r="AU44" s="165"/>
      <c r="AV44" s="165"/>
      <c r="AW44" s="165"/>
      <c r="AX44" s="165"/>
      <c r="AY44" s="165"/>
      <c r="AZ44" s="165"/>
      <c r="BA44" s="165"/>
      <c r="BB44" s="170"/>
      <c r="BC44" s="165"/>
      <c r="BD44" s="165"/>
      <c r="BE44" s="165"/>
      <c r="BF44" s="165"/>
      <c r="BG44" s="165"/>
      <c r="BH44" s="165"/>
      <c r="BI44" s="165"/>
      <c r="BJ44" s="165"/>
      <c r="BK44" s="165"/>
      <c r="BL44" s="165"/>
      <c r="BM44" s="165"/>
      <c r="BN44" s="165"/>
      <c r="BO44" s="165"/>
      <c r="BP44" s="165"/>
      <c r="BQ44" s="165"/>
      <c r="BR44" s="165"/>
      <c r="BS44" s="165"/>
      <c r="BT44" s="165"/>
      <c r="BU44" s="165"/>
      <c r="BV44" s="165"/>
      <c r="BW44" s="165"/>
      <c r="BX44" s="165"/>
      <c r="BY44" s="165"/>
      <c r="BZ44" s="165"/>
      <c r="CA44" s="165"/>
      <c r="CB44" s="165"/>
      <c r="CC44" s="165"/>
      <c r="CD44" s="165"/>
      <c r="CE44" s="165"/>
      <c r="CF44" s="165"/>
      <c r="CG44" s="165"/>
      <c r="CH44" s="165"/>
      <c r="CI44" s="170"/>
      <c r="CJ44" s="165"/>
      <c r="CK44" s="165"/>
      <c r="CL44" s="165"/>
      <c r="CM44" s="165"/>
      <c r="CN44" s="170"/>
      <c r="CO44" s="165"/>
      <c r="CP44" s="165"/>
      <c r="CQ44" s="165"/>
    </row>
    <row r="45" spans="2:95" hidden="1" outlineLevel="1" x14ac:dyDescent="0.25">
      <c r="B45" s="156" t="str">
        <f>Table1[[#Headers],[Especificação]]</f>
        <v>Especificação</v>
      </c>
      <c r="C45" s="184" t="str">
        <f t="shared" si="7"/>
        <v>PROTECTION_PRMRY_ENRGY_DMND_NN_RNWBL</v>
      </c>
      <c r="D45" s="153" t="s">
        <v>1114</v>
      </c>
      <c r="E45" s="153" t="s">
        <v>1521</v>
      </c>
      <c r="G45" s="172">
        <f>INDEX(Table1[[Especificação]:[Total Testes]],MATCH(Sheet1!C45,Table1[CONCAT],0),MATCH(Sheet1!B45,Table1[[#Headers],[Especificação]:[Total Testes]],0))</f>
        <v>10</v>
      </c>
      <c r="H45" s="191">
        <f t="shared" si="8"/>
        <v>1.25</v>
      </c>
      <c r="I45" s="222"/>
      <c r="J45" s="170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  <c r="AK45" s="165"/>
      <c r="AL45" s="165"/>
      <c r="AM45" s="165"/>
      <c r="AN45" s="165"/>
      <c r="AO45" s="165"/>
      <c r="AP45" s="165"/>
      <c r="AQ45" s="165"/>
      <c r="AR45" s="165"/>
      <c r="AS45" s="165"/>
      <c r="AT45" s="165"/>
      <c r="AU45" s="165"/>
      <c r="AV45" s="165"/>
      <c r="AW45" s="165"/>
      <c r="AX45" s="165"/>
      <c r="AY45" s="165"/>
      <c r="AZ45" s="165"/>
      <c r="BA45" s="165"/>
      <c r="BB45" s="170"/>
      <c r="BC45" s="165"/>
      <c r="BD45" s="165"/>
      <c r="BE45" s="165"/>
      <c r="BF45" s="165"/>
      <c r="BG45" s="165"/>
      <c r="BH45" s="165"/>
      <c r="BI45" s="165"/>
      <c r="BJ45" s="165"/>
      <c r="BK45" s="165"/>
      <c r="BL45" s="165"/>
      <c r="BM45" s="165"/>
      <c r="BN45" s="165"/>
      <c r="BO45" s="165"/>
      <c r="BP45" s="165"/>
      <c r="BQ45" s="165"/>
      <c r="BR45" s="165"/>
      <c r="BS45" s="165"/>
      <c r="BT45" s="165"/>
      <c r="BU45" s="165"/>
      <c r="BV45" s="165"/>
      <c r="BW45" s="165"/>
      <c r="BX45" s="165"/>
      <c r="BY45" s="165"/>
      <c r="BZ45" s="165"/>
      <c r="CA45" s="165"/>
      <c r="CB45" s="165"/>
      <c r="CC45" s="165"/>
      <c r="CD45" s="165"/>
      <c r="CE45" s="165"/>
      <c r="CF45" s="165"/>
      <c r="CG45" s="165"/>
      <c r="CH45" s="165"/>
      <c r="CI45" s="170"/>
      <c r="CJ45" s="165"/>
      <c r="CK45" s="165"/>
      <c r="CL45" s="165"/>
      <c r="CM45" s="165"/>
      <c r="CN45" s="170"/>
      <c r="CO45" s="165"/>
      <c r="CP45" s="165"/>
      <c r="CQ45" s="165"/>
    </row>
    <row r="46" spans="2:95" hidden="1" outlineLevel="1" x14ac:dyDescent="0.25">
      <c r="B46" s="156" t="str">
        <f>Table1[[#Headers],[Especificação]]</f>
        <v>Especificação</v>
      </c>
      <c r="C46" s="184" t="str">
        <f t="shared" si="7"/>
        <v>PROTECTION_PRMRY_ENRGY_DMND_TTL</v>
      </c>
      <c r="D46" s="153" t="s">
        <v>1114</v>
      </c>
      <c r="E46" s="153" t="s">
        <v>1524</v>
      </c>
      <c r="G46" s="172">
        <f>INDEX(Table1[[Especificação]:[Total Testes]],MATCH(Sheet1!C46,Table1[CONCAT],0),MATCH(Sheet1!B46,Table1[[#Headers],[Especificação]:[Total Testes]],0))</f>
        <v>8</v>
      </c>
      <c r="H46" s="191">
        <f t="shared" si="8"/>
        <v>1</v>
      </c>
      <c r="I46" s="222"/>
      <c r="J46" s="170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  <c r="AF46" s="165"/>
      <c r="AG46" s="165"/>
      <c r="AH46" s="165"/>
      <c r="AI46" s="165"/>
      <c r="AJ46" s="165"/>
      <c r="AK46" s="165"/>
      <c r="AL46" s="165"/>
      <c r="AM46" s="165"/>
      <c r="AN46" s="165"/>
      <c r="AO46" s="165"/>
      <c r="AP46" s="165"/>
      <c r="AQ46" s="165"/>
      <c r="AR46" s="165"/>
      <c r="AS46" s="165"/>
      <c r="AT46" s="165"/>
      <c r="AU46" s="165"/>
      <c r="AV46" s="165"/>
      <c r="AW46" s="165"/>
      <c r="AX46" s="165"/>
      <c r="AY46" s="165"/>
      <c r="AZ46" s="165"/>
      <c r="BA46" s="165"/>
      <c r="BB46" s="170"/>
      <c r="BC46" s="165"/>
      <c r="BD46" s="165"/>
      <c r="BE46" s="165"/>
      <c r="BF46" s="165"/>
      <c r="BG46" s="165"/>
      <c r="BH46" s="165"/>
      <c r="BI46" s="165"/>
      <c r="BJ46" s="165"/>
      <c r="BK46" s="165"/>
      <c r="BL46" s="165"/>
      <c r="BM46" s="165"/>
      <c r="BN46" s="165"/>
      <c r="BO46" s="165"/>
      <c r="BP46" s="165"/>
      <c r="BQ46" s="165"/>
      <c r="BR46" s="165"/>
      <c r="BS46" s="165"/>
      <c r="BT46" s="165"/>
      <c r="BU46" s="165"/>
      <c r="BV46" s="165"/>
      <c r="BW46" s="165"/>
      <c r="BX46" s="165"/>
      <c r="BY46" s="165"/>
      <c r="BZ46" s="165"/>
      <c r="CA46" s="165"/>
      <c r="CB46" s="165"/>
      <c r="CC46" s="165"/>
      <c r="CD46" s="165"/>
      <c r="CE46" s="165"/>
      <c r="CF46" s="165"/>
      <c r="CG46" s="165"/>
      <c r="CH46" s="165"/>
      <c r="CI46" s="170"/>
      <c r="CJ46" s="165"/>
      <c r="CK46" s="165"/>
      <c r="CL46" s="165"/>
      <c r="CM46" s="165"/>
      <c r="CN46" s="170"/>
      <c r="CO46" s="165"/>
      <c r="CP46" s="165"/>
      <c r="CQ46" s="165"/>
    </row>
    <row r="47" spans="2:95" hidden="1" outlineLevel="1" x14ac:dyDescent="0.25">
      <c r="B47" s="156" t="str">
        <f>Table1[[#Headers],[Especificação]]</f>
        <v>Especificação</v>
      </c>
      <c r="C47" s="184" t="str">
        <f t="shared" si="7"/>
        <v>PROTECTION_PRMRY_ENRGY_DMND_RFRNC_VL</v>
      </c>
      <c r="D47" s="153" t="s">
        <v>1114</v>
      </c>
      <c r="E47" s="153" t="s">
        <v>1527</v>
      </c>
      <c r="G47" s="172">
        <f>INDEX(Table1[[Especificação]:[Total Testes]],MATCH(Sheet1!C47,Table1[CONCAT],0),MATCH(Sheet1!B47,Table1[[#Headers],[Especificação]:[Total Testes]],0))</f>
        <v>8</v>
      </c>
      <c r="H47" s="191">
        <f t="shared" si="8"/>
        <v>1</v>
      </c>
      <c r="I47" s="222"/>
      <c r="J47" s="170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5"/>
      <c r="AO47" s="165"/>
      <c r="AP47" s="165"/>
      <c r="AQ47" s="165"/>
      <c r="AR47" s="165"/>
      <c r="AS47" s="165"/>
      <c r="AT47" s="165"/>
      <c r="AU47" s="165"/>
      <c r="AV47" s="165"/>
      <c r="AW47" s="165"/>
      <c r="AX47" s="165"/>
      <c r="AY47" s="165"/>
      <c r="AZ47" s="165"/>
      <c r="BA47" s="165"/>
      <c r="BB47" s="170"/>
      <c r="BC47" s="165"/>
      <c r="BD47" s="165"/>
      <c r="BE47" s="165"/>
      <c r="BF47" s="165"/>
      <c r="BG47" s="165"/>
      <c r="BH47" s="165"/>
      <c r="BI47" s="165"/>
      <c r="BJ47" s="165"/>
      <c r="BK47" s="165"/>
      <c r="BL47" s="165"/>
      <c r="BM47" s="165"/>
      <c r="BN47" s="165"/>
      <c r="BO47" s="165"/>
      <c r="BP47" s="165"/>
      <c r="BQ47" s="165"/>
      <c r="BR47" s="165"/>
      <c r="BS47" s="165"/>
      <c r="BT47" s="165"/>
      <c r="BU47" s="165"/>
      <c r="BV47" s="165"/>
      <c r="BW47" s="165"/>
      <c r="BX47" s="165"/>
      <c r="BY47" s="165"/>
      <c r="BZ47" s="165"/>
      <c r="CA47" s="165"/>
      <c r="CB47" s="165"/>
      <c r="CC47" s="165"/>
      <c r="CD47" s="165"/>
      <c r="CE47" s="165"/>
      <c r="CF47" s="165"/>
      <c r="CG47" s="165"/>
      <c r="CH47" s="165"/>
      <c r="CI47" s="170"/>
      <c r="CJ47" s="165"/>
      <c r="CK47" s="165"/>
      <c r="CL47" s="165"/>
      <c r="CM47" s="165"/>
      <c r="CN47" s="170"/>
      <c r="CO47" s="165"/>
      <c r="CP47" s="165"/>
      <c r="CQ47" s="165"/>
    </row>
    <row r="48" spans="2:95" hidden="1" outlineLevel="1" x14ac:dyDescent="0.25">
      <c r="B48" s="156" t="str">
        <f>Table1[[#Headers],[Especificação]]</f>
        <v>Especificação</v>
      </c>
      <c r="C48" s="184" t="str">
        <f t="shared" si="7"/>
        <v>PROTECTION_RL_ESTT_CLMT_ZN</v>
      </c>
      <c r="D48" s="153" t="s">
        <v>1114</v>
      </c>
      <c r="E48" s="153" t="s">
        <v>1530</v>
      </c>
      <c r="G48" s="172">
        <f>INDEX(Table1[[Especificação]:[Total Testes]],MATCH(Sheet1!C48,Table1[CONCAT],0),MATCH(Sheet1!B48,Table1[[#Headers],[Especificação]:[Total Testes]],0))</f>
        <v>8</v>
      </c>
      <c r="H48" s="191">
        <f t="shared" si="8"/>
        <v>1</v>
      </c>
      <c r="I48" s="222"/>
      <c r="J48" s="170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  <c r="AC48" s="165"/>
      <c r="AD48" s="165"/>
      <c r="AE48" s="165"/>
      <c r="AF48" s="165"/>
      <c r="AG48" s="165"/>
      <c r="AH48" s="165"/>
      <c r="AI48" s="165"/>
      <c r="AJ48" s="165"/>
      <c r="AK48" s="165"/>
      <c r="AL48" s="165"/>
      <c r="AM48" s="165"/>
      <c r="AN48" s="165"/>
      <c r="AO48" s="165"/>
      <c r="AP48" s="165"/>
      <c r="AQ48" s="165"/>
      <c r="AR48" s="165"/>
      <c r="AS48" s="165"/>
      <c r="AT48" s="165"/>
      <c r="AU48" s="165"/>
      <c r="AV48" s="165"/>
      <c r="AW48" s="165"/>
      <c r="AX48" s="165"/>
      <c r="AY48" s="165"/>
      <c r="AZ48" s="165"/>
      <c r="BA48" s="165"/>
      <c r="BB48" s="170"/>
      <c r="BC48" s="165"/>
      <c r="BD48" s="165"/>
      <c r="BE48" s="165"/>
      <c r="BF48" s="165"/>
      <c r="BG48" s="165"/>
      <c r="BH48" s="165"/>
      <c r="BI48" s="165"/>
      <c r="BJ48" s="165"/>
      <c r="BK48" s="165"/>
      <c r="BL48" s="165"/>
      <c r="BM48" s="165"/>
      <c r="BN48" s="165"/>
      <c r="BO48" s="165"/>
      <c r="BP48" s="165"/>
      <c r="BQ48" s="165"/>
      <c r="BR48" s="165"/>
      <c r="BS48" s="165"/>
      <c r="BT48" s="165"/>
      <c r="BU48" s="165"/>
      <c r="BV48" s="165"/>
      <c r="BW48" s="165"/>
      <c r="BX48" s="165"/>
      <c r="BY48" s="165"/>
      <c r="BZ48" s="165"/>
      <c r="CA48" s="165"/>
      <c r="CB48" s="165"/>
      <c r="CC48" s="165"/>
      <c r="CD48" s="165"/>
      <c r="CE48" s="165"/>
      <c r="CF48" s="165"/>
      <c r="CG48" s="165"/>
      <c r="CH48" s="165"/>
      <c r="CI48" s="170"/>
      <c r="CJ48" s="165"/>
      <c r="CK48" s="165"/>
      <c r="CL48" s="165"/>
      <c r="CM48" s="165"/>
      <c r="CN48" s="170"/>
      <c r="CO48" s="165"/>
      <c r="CP48" s="165"/>
      <c r="CQ48" s="165"/>
    </row>
    <row r="49" spans="2:95" hidden="1" outlineLevel="1" x14ac:dyDescent="0.25">
      <c r="B49" s="156" t="str">
        <f>Table1[[#Headers],[Especificação]]</f>
        <v>Especificação</v>
      </c>
      <c r="C49" s="184" t="str">
        <f t="shared" si="7"/>
        <v>INSTR_ACTIVITY_COD_SOC</v>
      </c>
      <c r="D49" s="153" t="s">
        <v>1542</v>
      </c>
      <c r="E49" s="153" t="s">
        <v>12</v>
      </c>
      <c r="G49" s="172">
        <f>INDEX(Table1[[Especificação]:[Total Testes]],MATCH(Sheet1!C49,Table1[CONCAT],0),MATCH(Sheet1!B49,Table1[[#Headers],[Especificação]:[Total Testes]],0))</f>
        <v>1</v>
      </c>
      <c r="H49" s="191">
        <f t="shared" si="8"/>
        <v>0.13</v>
      </c>
      <c r="I49" s="222"/>
      <c r="J49" s="170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  <c r="AD49" s="165"/>
      <c r="AE49" s="165"/>
      <c r="AF49" s="165"/>
      <c r="AG49" s="165"/>
      <c r="AH49" s="165"/>
      <c r="AI49" s="165"/>
      <c r="AJ49" s="165"/>
      <c r="AK49" s="165"/>
      <c r="AL49" s="165"/>
      <c r="AM49" s="165"/>
      <c r="AN49" s="165"/>
      <c r="AO49" s="165"/>
      <c r="AP49" s="165"/>
      <c r="AQ49" s="165"/>
      <c r="AR49" s="165"/>
      <c r="AS49" s="165"/>
      <c r="AT49" s="165"/>
      <c r="AU49" s="165"/>
      <c r="AV49" s="165"/>
      <c r="AW49" s="165"/>
      <c r="AX49" s="165"/>
      <c r="AY49" s="165"/>
      <c r="AZ49" s="165"/>
      <c r="BA49" s="165"/>
      <c r="BB49" s="170"/>
      <c r="BC49" s="165"/>
      <c r="BD49" s="165"/>
      <c r="BE49" s="165"/>
      <c r="BF49" s="165"/>
      <c r="BG49" s="165"/>
      <c r="BH49" s="165"/>
      <c r="BI49" s="165"/>
      <c r="BJ49" s="165"/>
      <c r="BK49" s="165"/>
      <c r="BL49" s="165"/>
      <c r="BM49" s="165"/>
      <c r="BN49" s="165"/>
      <c r="BO49" s="165"/>
      <c r="BP49" s="165"/>
      <c r="BQ49" s="165"/>
      <c r="BR49" s="165"/>
      <c r="BS49" s="165"/>
      <c r="BT49" s="165"/>
      <c r="BU49" s="165"/>
      <c r="BV49" s="165"/>
      <c r="BW49" s="165"/>
      <c r="BX49" s="165"/>
      <c r="BY49" s="165"/>
      <c r="BZ49" s="165"/>
      <c r="CA49" s="165"/>
      <c r="CB49" s="165"/>
      <c r="CC49" s="165"/>
      <c r="CD49" s="165"/>
      <c r="CE49" s="165"/>
      <c r="CF49" s="165"/>
      <c r="CG49" s="165"/>
      <c r="CH49" s="165"/>
      <c r="CI49" s="170"/>
      <c r="CJ49" s="165"/>
      <c r="CK49" s="165"/>
      <c r="CL49" s="165"/>
      <c r="CM49" s="165"/>
      <c r="CN49" s="170"/>
      <c r="CO49" s="165"/>
      <c r="CP49" s="165"/>
      <c r="CQ49" s="165"/>
    </row>
    <row r="50" spans="2:95" hidden="1" outlineLevel="1" x14ac:dyDescent="0.25">
      <c r="B50" s="156" t="str">
        <f>Table1[[#Headers],[Especificação]]</f>
        <v>Especificação</v>
      </c>
      <c r="C50" s="184" t="str">
        <f t="shared" si="7"/>
        <v>INSTR_ACTIVITY_DT_RFRNC</v>
      </c>
      <c r="D50" s="153" t="s">
        <v>1542</v>
      </c>
      <c r="E50" s="153" t="s">
        <v>38</v>
      </c>
      <c r="G50" s="172">
        <f>INDEX(Table1[[Especificação]:[Total Testes]],MATCH(Sheet1!C50,Table1[CONCAT],0),MATCH(Sheet1!B50,Table1[[#Headers],[Especificação]:[Total Testes]],0))</f>
        <v>1</v>
      </c>
      <c r="H50" s="191">
        <f t="shared" si="8"/>
        <v>0.13</v>
      </c>
      <c r="I50" s="222"/>
      <c r="J50" s="170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5"/>
      <c r="AO50" s="165"/>
      <c r="AP50" s="165"/>
      <c r="AQ50" s="165"/>
      <c r="AR50" s="165"/>
      <c r="AS50" s="165"/>
      <c r="AT50" s="165"/>
      <c r="AU50" s="165"/>
      <c r="AV50" s="165"/>
      <c r="AW50" s="165"/>
      <c r="AX50" s="165"/>
      <c r="AY50" s="165"/>
      <c r="AZ50" s="165"/>
      <c r="BA50" s="165"/>
      <c r="BB50" s="170"/>
      <c r="BC50" s="165"/>
      <c r="BD50" s="165"/>
      <c r="BE50" s="165"/>
      <c r="BF50" s="165"/>
      <c r="BG50" s="165"/>
      <c r="BH50" s="165"/>
      <c r="BI50" s="165"/>
      <c r="BJ50" s="165"/>
      <c r="BK50" s="165"/>
      <c r="BL50" s="165"/>
      <c r="BM50" s="165"/>
      <c r="BN50" s="165"/>
      <c r="BO50" s="165"/>
      <c r="BP50" s="165"/>
      <c r="BQ50" s="165"/>
      <c r="BR50" s="165"/>
      <c r="BS50" s="165"/>
      <c r="BT50" s="165"/>
      <c r="BU50" s="165"/>
      <c r="BV50" s="165"/>
      <c r="BW50" s="165"/>
      <c r="BX50" s="165"/>
      <c r="BY50" s="165"/>
      <c r="BZ50" s="165"/>
      <c r="CA50" s="165"/>
      <c r="CB50" s="165"/>
      <c r="CC50" s="165"/>
      <c r="CD50" s="165"/>
      <c r="CE50" s="165"/>
      <c r="CF50" s="165"/>
      <c r="CG50" s="165"/>
      <c r="CH50" s="165"/>
      <c r="CI50" s="170"/>
      <c r="CJ50" s="165"/>
      <c r="CK50" s="165"/>
      <c r="CL50" s="165"/>
      <c r="CM50" s="165"/>
      <c r="CN50" s="170"/>
      <c r="CO50" s="165"/>
      <c r="CP50" s="165"/>
      <c r="CQ50" s="165"/>
    </row>
    <row r="51" spans="2:95" hidden="1" outlineLevel="1" x14ac:dyDescent="0.25">
      <c r="B51" s="156" t="str">
        <f>Table1[[#Headers],[Especificação]]</f>
        <v>Especificação</v>
      </c>
      <c r="C51" s="184" t="str">
        <f t="shared" si="7"/>
        <v>INSTR_ACTIVITY_INSTRMNT_ID</v>
      </c>
      <c r="D51" s="153" t="s">
        <v>1542</v>
      </c>
      <c r="E51" s="153" t="s">
        <v>405</v>
      </c>
      <c r="G51" s="172">
        <f>INDEX(Table1[[Especificação]:[Total Testes]],MATCH(Sheet1!C51,Table1[CONCAT],0),MATCH(Sheet1!B51,Table1[[#Headers],[Especificação]:[Total Testes]],0))</f>
        <v>1</v>
      </c>
      <c r="H51" s="191">
        <f t="shared" si="8"/>
        <v>0.13</v>
      </c>
      <c r="I51" s="222"/>
      <c r="J51" s="170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  <c r="AE51" s="165"/>
      <c r="AF51" s="165"/>
      <c r="AG51" s="165"/>
      <c r="AH51" s="165"/>
      <c r="AI51" s="165"/>
      <c r="AJ51" s="165"/>
      <c r="AK51" s="165"/>
      <c r="AL51" s="165"/>
      <c r="AM51" s="165"/>
      <c r="AN51" s="165"/>
      <c r="AO51" s="165"/>
      <c r="AP51" s="165"/>
      <c r="AQ51" s="165"/>
      <c r="AR51" s="165"/>
      <c r="AS51" s="165"/>
      <c r="AT51" s="165"/>
      <c r="AU51" s="165"/>
      <c r="AV51" s="165"/>
      <c r="AW51" s="165"/>
      <c r="AX51" s="165"/>
      <c r="AY51" s="165"/>
      <c r="AZ51" s="165"/>
      <c r="BA51" s="165"/>
      <c r="BB51" s="170"/>
      <c r="BC51" s="165"/>
      <c r="BD51" s="165"/>
      <c r="BE51" s="165"/>
      <c r="BF51" s="165"/>
      <c r="BG51" s="165"/>
      <c r="BH51" s="165"/>
      <c r="BI51" s="165"/>
      <c r="BJ51" s="165"/>
      <c r="BK51" s="165"/>
      <c r="BL51" s="165"/>
      <c r="BM51" s="165"/>
      <c r="BN51" s="165"/>
      <c r="BO51" s="165"/>
      <c r="BP51" s="165"/>
      <c r="BQ51" s="165"/>
      <c r="BR51" s="165"/>
      <c r="BS51" s="165"/>
      <c r="BT51" s="165"/>
      <c r="BU51" s="165"/>
      <c r="BV51" s="165"/>
      <c r="BW51" s="165"/>
      <c r="BX51" s="165"/>
      <c r="BY51" s="165"/>
      <c r="BZ51" s="165"/>
      <c r="CA51" s="165"/>
      <c r="CB51" s="165"/>
      <c r="CC51" s="165"/>
      <c r="CD51" s="165"/>
      <c r="CE51" s="165"/>
      <c r="CF51" s="165"/>
      <c r="CG51" s="165"/>
      <c r="CH51" s="165"/>
      <c r="CI51" s="170"/>
      <c r="CJ51" s="165"/>
      <c r="CK51" s="165"/>
      <c r="CL51" s="165"/>
      <c r="CM51" s="165"/>
      <c r="CN51" s="170"/>
      <c r="CO51" s="165"/>
      <c r="CP51" s="165"/>
      <c r="CQ51" s="165"/>
    </row>
    <row r="52" spans="2:95" hidden="1" outlineLevel="1" x14ac:dyDescent="0.25">
      <c r="B52" s="156" t="str">
        <f>Table1[[#Headers],[Especificação]]</f>
        <v>Especificação</v>
      </c>
      <c r="C52" s="184" t="str">
        <f t="shared" si="7"/>
        <v>INSTR_ACTIVITY_PRCNTG_ACTVTY</v>
      </c>
      <c r="D52" s="153" t="s">
        <v>1542</v>
      </c>
      <c r="E52" s="153" t="s">
        <v>1548</v>
      </c>
      <c r="G52" s="172">
        <f>INDEX(Table1[[Especificação]:[Total Testes]],MATCH(Sheet1!C52,Table1[CONCAT],0),MATCH(Sheet1!B52,Table1[[#Headers],[Especificação]:[Total Testes]],0))</f>
        <v>4</v>
      </c>
      <c r="H52" s="191">
        <f t="shared" si="8"/>
        <v>0.5</v>
      </c>
      <c r="I52" s="222"/>
      <c r="J52" s="170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5"/>
      <c r="AP52" s="165"/>
      <c r="AQ52" s="165"/>
      <c r="AR52" s="165"/>
      <c r="AS52" s="165"/>
      <c r="AT52" s="165"/>
      <c r="AU52" s="165"/>
      <c r="AV52" s="165"/>
      <c r="AW52" s="165"/>
      <c r="AX52" s="165"/>
      <c r="AY52" s="165"/>
      <c r="AZ52" s="165"/>
      <c r="BA52" s="165"/>
      <c r="BB52" s="170"/>
      <c r="BC52" s="165"/>
      <c r="BD52" s="165"/>
      <c r="BE52" s="165"/>
      <c r="BF52" s="165"/>
      <c r="BG52" s="165"/>
      <c r="BH52" s="165"/>
      <c r="BI52" s="165"/>
      <c r="BJ52" s="165"/>
      <c r="BK52" s="165"/>
      <c r="BL52" s="165"/>
      <c r="BM52" s="165"/>
      <c r="BN52" s="165"/>
      <c r="BO52" s="165"/>
      <c r="BP52" s="165"/>
      <c r="BQ52" s="165"/>
      <c r="BR52" s="165"/>
      <c r="BS52" s="165"/>
      <c r="BT52" s="165"/>
      <c r="BU52" s="165"/>
      <c r="BV52" s="165"/>
      <c r="BW52" s="165"/>
      <c r="BX52" s="165"/>
      <c r="BY52" s="165"/>
      <c r="BZ52" s="165"/>
      <c r="CA52" s="165"/>
      <c r="CB52" s="165"/>
      <c r="CC52" s="165"/>
      <c r="CD52" s="165"/>
      <c r="CE52" s="165"/>
      <c r="CF52" s="165"/>
      <c r="CG52" s="165"/>
      <c r="CH52" s="165"/>
      <c r="CI52" s="170"/>
      <c r="CJ52" s="165"/>
      <c r="CK52" s="165"/>
      <c r="CL52" s="165"/>
      <c r="CM52" s="165"/>
      <c r="CN52" s="170"/>
      <c r="CO52" s="165"/>
      <c r="CP52" s="165"/>
      <c r="CQ52" s="165"/>
    </row>
    <row r="53" spans="2:95" hidden="1" outlineLevel="1" x14ac:dyDescent="0.25">
      <c r="B53" s="156" t="str">
        <f>Table1[[#Headers],[Especificação]]</f>
        <v>Especificação</v>
      </c>
      <c r="C53" s="184" t="str">
        <f t="shared" si="7"/>
        <v>INSTR_ACTIVITY_FLG_SBSTNTL_CNTRBTN</v>
      </c>
      <c r="D53" s="153" t="s">
        <v>1542</v>
      </c>
      <c r="E53" s="153" t="s">
        <v>1554</v>
      </c>
      <c r="G53" s="172">
        <f>INDEX(Table1[[Especificação]:[Total Testes]],MATCH(Sheet1!C53,Table1[CONCAT],0),MATCH(Sheet1!B53,Table1[[#Headers],[Especificação]:[Total Testes]],0))</f>
        <v>4</v>
      </c>
      <c r="H53" s="191">
        <f t="shared" si="8"/>
        <v>0.5</v>
      </c>
      <c r="I53" s="222"/>
      <c r="J53" s="170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5"/>
      <c r="AO53" s="165"/>
      <c r="AP53" s="165"/>
      <c r="AQ53" s="165"/>
      <c r="AR53" s="165"/>
      <c r="AS53" s="165"/>
      <c r="AT53" s="165"/>
      <c r="AU53" s="165"/>
      <c r="AV53" s="165"/>
      <c r="AW53" s="165"/>
      <c r="AX53" s="165"/>
      <c r="AY53" s="165"/>
      <c r="AZ53" s="165"/>
      <c r="BA53" s="165"/>
      <c r="BB53" s="170"/>
      <c r="BC53" s="165"/>
      <c r="BD53" s="165"/>
      <c r="BE53" s="165"/>
      <c r="BF53" s="165"/>
      <c r="BG53" s="165"/>
      <c r="BH53" s="165"/>
      <c r="BI53" s="165"/>
      <c r="BJ53" s="165"/>
      <c r="BK53" s="165"/>
      <c r="BL53" s="165"/>
      <c r="BM53" s="165"/>
      <c r="BN53" s="165"/>
      <c r="BO53" s="165"/>
      <c r="BP53" s="165"/>
      <c r="BQ53" s="165"/>
      <c r="BR53" s="165"/>
      <c r="BS53" s="165"/>
      <c r="BT53" s="165"/>
      <c r="BU53" s="165"/>
      <c r="BV53" s="165"/>
      <c r="BW53" s="165"/>
      <c r="BX53" s="165"/>
      <c r="BY53" s="165"/>
      <c r="BZ53" s="165"/>
      <c r="CA53" s="165"/>
      <c r="CB53" s="165"/>
      <c r="CC53" s="165"/>
      <c r="CD53" s="165"/>
      <c r="CE53" s="165"/>
      <c r="CF53" s="165"/>
      <c r="CG53" s="165"/>
      <c r="CH53" s="165"/>
      <c r="CI53" s="170"/>
      <c r="CJ53" s="165"/>
      <c r="CK53" s="165"/>
      <c r="CL53" s="165"/>
      <c r="CM53" s="165"/>
      <c r="CN53" s="170"/>
      <c r="CO53" s="165"/>
      <c r="CP53" s="165"/>
      <c r="CQ53" s="165"/>
    </row>
    <row r="54" spans="2:95" hidden="1" outlineLevel="1" x14ac:dyDescent="0.25">
      <c r="B54" s="156" t="str">
        <f>Table1[[#Headers],[Especificação]]</f>
        <v>Especificação</v>
      </c>
      <c r="C54" s="184" t="str">
        <f t="shared" si="7"/>
        <v>INSTR_ACTIVITY_FLG_DNSH_CMPLNC</v>
      </c>
      <c r="D54" s="153" t="s">
        <v>1542</v>
      </c>
      <c r="E54" s="153" t="s">
        <v>1557</v>
      </c>
      <c r="G54" s="172">
        <f>INDEX(Table1[[Especificação]:[Total Testes]],MATCH(Sheet1!C54,Table1[CONCAT],0),MATCH(Sheet1!B54,Table1[[#Headers],[Especificação]:[Total Testes]],0))</f>
        <v>0</v>
      </c>
      <c r="H54" s="191">
        <f t="shared" si="8"/>
        <v>0</v>
      </c>
      <c r="I54" s="222"/>
      <c r="J54" s="170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65"/>
      <c r="AD54" s="165"/>
      <c r="AE54" s="165"/>
      <c r="AF54" s="165"/>
      <c r="AG54" s="165"/>
      <c r="AH54" s="165"/>
      <c r="AI54" s="165"/>
      <c r="AJ54" s="165"/>
      <c r="AK54" s="165"/>
      <c r="AL54" s="165"/>
      <c r="AM54" s="165"/>
      <c r="AN54" s="165"/>
      <c r="AO54" s="165"/>
      <c r="AP54" s="165"/>
      <c r="AQ54" s="165"/>
      <c r="AR54" s="165"/>
      <c r="AS54" s="165"/>
      <c r="AT54" s="165"/>
      <c r="AU54" s="165"/>
      <c r="AV54" s="165"/>
      <c r="AW54" s="165"/>
      <c r="AX54" s="165"/>
      <c r="AY54" s="165"/>
      <c r="AZ54" s="165"/>
      <c r="BA54" s="165"/>
      <c r="BB54" s="170"/>
      <c r="BC54" s="165"/>
      <c r="BD54" s="165"/>
      <c r="BE54" s="165"/>
      <c r="BF54" s="165"/>
      <c r="BG54" s="165"/>
      <c r="BH54" s="165"/>
      <c r="BI54" s="165"/>
      <c r="BJ54" s="165"/>
      <c r="BK54" s="165"/>
      <c r="BL54" s="165"/>
      <c r="BM54" s="165"/>
      <c r="BN54" s="165"/>
      <c r="BO54" s="165"/>
      <c r="BP54" s="165"/>
      <c r="BQ54" s="165"/>
      <c r="BR54" s="165"/>
      <c r="BS54" s="165"/>
      <c r="BT54" s="165"/>
      <c r="BU54" s="165"/>
      <c r="BV54" s="165"/>
      <c r="BW54" s="165"/>
      <c r="BX54" s="165"/>
      <c r="BY54" s="165"/>
      <c r="BZ54" s="165"/>
      <c r="CA54" s="165"/>
      <c r="CB54" s="165"/>
      <c r="CC54" s="165"/>
      <c r="CD54" s="165"/>
      <c r="CE54" s="165"/>
      <c r="CF54" s="165"/>
      <c r="CG54" s="165"/>
      <c r="CH54" s="165"/>
      <c r="CI54" s="170"/>
      <c r="CJ54" s="165"/>
      <c r="CK54" s="165"/>
      <c r="CL54" s="165"/>
      <c r="CM54" s="165"/>
      <c r="CN54" s="170"/>
      <c r="CO54" s="165"/>
      <c r="CP54" s="165"/>
      <c r="CQ54" s="165"/>
    </row>
    <row r="55" spans="2:95" hidden="1" outlineLevel="1" x14ac:dyDescent="0.25">
      <c r="B55" s="156" t="str">
        <f>Table1[[#Headers],[Especificação]]</f>
        <v>Especificação</v>
      </c>
      <c r="C55" s="184" t="str">
        <f t="shared" si="7"/>
        <v>INSTR_ACTIVITY_DNSH_DTL</v>
      </c>
      <c r="D55" s="153" t="s">
        <v>1542</v>
      </c>
      <c r="E55" s="153" t="s">
        <v>1560</v>
      </c>
      <c r="G55" s="172">
        <f>INDEX(Table1[[Especificação]:[Total Testes]],MATCH(Sheet1!C55,Table1[CONCAT],0),MATCH(Sheet1!B55,Table1[[#Headers],[Especificação]:[Total Testes]],0))</f>
        <v>0</v>
      </c>
      <c r="H55" s="191">
        <f t="shared" si="8"/>
        <v>0</v>
      </c>
      <c r="I55" s="222"/>
      <c r="J55" s="170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5"/>
      <c r="AD55" s="165"/>
      <c r="AE55" s="165"/>
      <c r="AF55" s="165"/>
      <c r="AG55" s="165"/>
      <c r="AH55" s="165"/>
      <c r="AI55" s="165"/>
      <c r="AJ55" s="165"/>
      <c r="AK55" s="165"/>
      <c r="AL55" s="165"/>
      <c r="AM55" s="165"/>
      <c r="AN55" s="165"/>
      <c r="AO55" s="165"/>
      <c r="AP55" s="165"/>
      <c r="AQ55" s="165"/>
      <c r="AR55" s="165"/>
      <c r="AS55" s="165"/>
      <c r="AT55" s="165"/>
      <c r="AU55" s="165"/>
      <c r="AV55" s="165"/>
      <c r="AW55" s="165"/>
      <c r="AX55" s="165"/>
      <c r="AY55" s="165"/>
      <c r="AZ55" s="165"/>
      <c r="BA55" s="165"/>
      <c r="BB55" s="170"/>
      <c r="BC55" s="165"/>
      <c r="BD55" s="165"/>
      <c r="BE55" s="165"/>
      <c r="BF55" s="165"/>
      <c r="BG55" s="165"/>
      <c r="BH55" s="165"/>
      <c r="BI55" s="165"/>
      <c r="BJ55" s="165"/>
      <c r="BK55" s="165"/>
      <c r="BL55" s="165"/>
      <c r="BM55" s="165"/>
      <c r="BN55" s="165"/>
      <c r="BO55" s="165"/>
      <c r="BP55" s="165"/>
      <c r="BQ55" s="165"/>
      <c r="BR55" s="165"/>
      <c r="BS55" s="165"/>
      <c r="BT55" s="165"/>
      <c r="BU55" s="165"/>
      <c r="BV55" s="165"/>
      <c r="BW55" s="165"/>
      <c r="BX55" s="165"/>
      <c r="BY55" s="165"/>
      <c r="BZ55" s="165"/>
      <c r="CA55" s="165"/>
      <c r="CB55" s="165"/>
      <c r="CC55" s="165"/>
      <c r="CD55" s="165"/>
      <c r="CE55" s="165"/>
      <c r="CF55" s="165"/>
      <c r="CG55" s="165"/>
      <c r="CH55" s="165"/>
      <c r="CI55" s="170"/>
      <c r="CJ55" s="165"/>
      <c r="CK55" s="165"/>
      <c r="CL55" s="165"/>
      <c r="CM55" s="165"/>
      <c r="CN55" s="170"/>
      <c r="CO55" s="165"/>
      <c r="CP55" s="165"/>
      <c r="CQ55" s="165"/>
    </row>
    <row r="56" spans="2:95" hidden="1" outlineLevel="1" x14ac:dyDescent="0.25">
      <c r="B56" s="156" t="str">
        <f>Table1[[#Headers],[Especificação]]</f>
        <v>Especificação</v>
      </c>
      <c r="C56" s="184" t="str">
        <f t="shared" si="7"/>
        <v>ENTITY_ENTTY_NM</v>
      </c>
      <c r="D56" s="153" t="s">
        <v>10</v>
      </c>
      <c r="E56" s="153" t="s">
        <v>59</v>
      </c>
      <c r="G56" s="172">
        <f>INDEX(Table1[[Especificação]:[Total Testes]],MATCH(Sheet1!C56,Table1[CONCAT],0),MATCH(Sheet1!B56,Table1[[#Headers],[Especificação]:[Total Testes]],0))</f>
        <v>1</v>
      </c>
      <c r="H56" s="191">
        <f t="shared" si="8"/>
        <v>0.13</v>
      </c>
      <c r="I56" s="222"/>
      <c r="J56" s="170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5"/>
      <c r="AO56" s="165"/>
      <c r="AP56" s="165"/>
      <c r="AQ56" s="165"/>
      <c r="AR56" s="165"/>
      <c r="AS56" s="165"/>
      <c r="AT56" s="165"/>
      <c r="AU56" s="165"/>
      <c r="AV56" s="165"/>
      <c r="AW56" s="165"/>
      <c r="AX56" s="165"/>
      <c r="AY56" s="165"/>
      <c r="AZ56" s="165"/>
      <c r="BA56" s="165"/>
      <c r="BB56" s="170"/>
      <c r="BC56" s="165"/>
      <c r="BD56" s="165"/>
      <c r="BE56" s="165"/>
      <c r="BF56" s="165"/>
      <c r="BG56" s="165"/>
      <c r="BH56" s="165"/>
      <c r="BI56" s="165"/>
      <c r="BJ56" s="165"/>
      <c r="BK56" s="165"/>
      <c r="BL56" s="165"/>
      <c r="BM56" s="165"/>
      <c r="BN56" s="165"/>
      <c r="BO56" s="165"/>
      <c r="BP56" s="165"/>
      <c r="BQ56" s="165"/>
      <c r="BR56" s="165"/>
      <c r="BS56" s="165"/>
      <c r="BT56" s="165"/>
      <c r="BU56" s="165"/>
      <c r="BV56" s="165"/>
      <c r="BW56" s="165"/>
      <c r="BX56" s="165"/>
      <c r="BY56" s="165"/>
      <c r="BZ56" s="165"/>
      <c r="CA56" s="165"/>
      <c r="CB56" s="165"/>
      <c r="CC56" s="165"/>
      <c r="CD56" s="165"/>
      <c r="CE56" s="165"/>
      <c r="CF56" s="165"/>
      <c r="CG56" s="165"/>
      <c r="CH56" s="165"/>
      <c r="CI56" s="170"/>
      <c r="CJ56" s="165"/>
      <c r="CK56" s="165"/>
      <c r="CL56" s="165"/>
      <c r="CM56" s="165"/>
      <c r="CN56" s="170"/>
      <c r="CO56" s="165"/>
      <c r="CP56" s="165"/>
      <c r="CQ56" s="165"/>
    </row>
    <row r="57" spans="2:95" hidden="1" outlineLevel="1" x14ac:dyDescent="0.25">
      <c r="B57" s="156" t="str">
        <f>Table1[[#Headers],[Especificação]]</f>
        <v>Especificação</v>
      </c>
      <c r="C57" s="184" t="str">
        <f t="shared" si="7"/>
        <v>ENTITY_EC_GRP_NM</v>
      </c>
      <c r="D57" s="153" t="s">
        <v>10</v>
      </c>
      <c r="E57" s="153" t="s">
        <v>284</v>
      </c>
      <c r="G57" s="172">
        <f>INDEX(Table1[[Especificação]:[Total Testes]],MATCH(Sheet1!C57,Table1[CONCAT],0),MATCH(Sheet1!B57,Table1[[#Headers],[Especificação]:[Total Testes]],0))</f>
        <v>1</v>
      </c>
      <c r="H57" s="191">
        <f t="shared" si="8"/>
        <v>0.13</v>
      </c>
      <c r="I57" s="222"/>
      <c r="J57" s="170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65"/>
      <c r="AD57" s="165"/>
      <c r="AE57" s="165"/>
      <c r="AF57" s="165"/>
      <c r="AG57" s="165"/>
      <c r="AH57" s="165"/>
      <c r="AI57" s="165"/>
      <c r="AJ57" s="165"/>
      <c r="AK57" s="165"/>
      <c r="AL57" s="165"/>
      <c r="AM57" s="165"/>
      <c r="AN57" s="165"/>
      <c r="AO57" s="165"/>
      <c r="AP57" s="165"/>
      <c r="AQ57" s="165"/>
      <c r="AR57" s="165"/>
      <c r="AS57" s="165"/>
      <c r="AT57" s="165"/>
      <c r="AU57" s="165"/>
      <c r="AV57" s="165"/>
      <c r="AW57" s="165"/>
      <c r="AX57" s="165"/>
      <c r="AY57" s="165"/>
      <c r="AZ57" s="165"/>
      <c r="BA57" s="165"/>
      <c r="BB57" s="170"/>
      <c r="BC57" s="165"/>
      <c r="BD57" s="165"/>
      <c r="BE57" s="165"/>
      <c r="BF57" s="165"/>
      <c r="BG57" s="165"/>
      <c r="BH57" s="165"/>
      <c r="BI57" s="165"/>
      <c r="BJ57" s="165"/>
      <c r="BK57" s="165"/>
      <c r="BL57" s="165"/>
      <c r="BM57" s="165"/>
      <c r="BN57" s="165"/>
      <c r="BO57" s="165"/>
      <c r="BP57" s="165"/>
      <c r="BQ57" s="165"/>
      <c r="BR57" s="165"/>
      <c r="BS57" s="165"/>
      <c r="BT57" s="165"/>
      <c r="BU57" s="165"/>
      <c r="BV57" s="165"/>
      <c r="BW57" s="165"/>
      <c r="BX57" s="165"/>
      <c r="BY57" s="165"/>
      <c r="BZ57" s="165"/>
      <c r="CA57" s="165"/>
      <c r="CB57" s="165"/>
      <c r="CC57" s="165"/>
      <c r="CD57" s="165"/>
      <c r="CE57" s="165"/>
      <c r="CF57" s="165"/>
      <c r="CG57" s="165"/>
      <c r="CH57" s="165"/>
      <c r="CI57" s="170"/>
      <c r="CJ57" s="165"/>
      <c r="CK57" s="165"/>
      <c r="CL57" s="165"/>
      <c r="CM57" s="165"/>
      <c r="CN57" s="170"/>
      <c r="CO57" s="165"/>
      <c r="CP57" s="165"/>
      <c r="CQ57" s="165"/>
    </row>
    <row r="58" spans="2:95" hidden="1" outlineLevel="1" x14ac:dyDescent="0.25">
      <c r="B58" s="156" t="str">
        <f>Table1[[#Headers],[Especificação]]</f>
        <v>Especificação</v>
      </c>
      <c r="C58" s="184" t="str">
        <f t="shared" si="7"/>
        <v>INSTRUMENT_FRBRNC_STTS_INSTRMNT</v>
      </c>
      <c r="D58" s="153" t="s">
        <v>414</v>
      </c>
      <c r="E58" s="153" t="s">
        <v>501</v>
      </c>
      <c r="G58" s="172">
        <f>INDEX(Table1[[Especificação]:[Total Testes]],MATCH(Sheet1!C58,Table1[CONCAT],0),MATCH(Sheet1!B58,Table1[[#Headers],[Especificação]:[Total Testes]],0))</f>
        <v>1</v>
      </c>
      <c r="H58" s="191">
        <f t="shared" si="8"/>
        <v>0.13</v>
      </c>
      <c r="I58" s="222"/>
      <c r="J58" s="170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  <c r="AK58" s="165"/>
      <c r="AL58" s="165"/>
      <c r="AM58" s="165"/>
      <c r="AN58" s="165"/>
      <c r="AO58" s="165"/>
      <c r="AP58" s="165"/>
      <c r="AQ58" s="165"/>
      <c r="AR58" s="165"/>
      <c r="AS58" s="165"/>
      <c r="AT58" s="165"/>
      <c r="AU58" s="165"/>
      <c r="AV58" s="165"/>
      <c r="AW58" s="165"/>
      <c r="AX58" s="165"/>
      <c r="AY58" s="165"/>
      <c r="AZ58" s="165"/>
      <c r="BA58" s="165"/>
      <c r="BB58" s="170"/>
      <c r="BC58" s="165"/>
      <c r="BD58" s="165"/>
      <c r="BE58" s="165"/>
      <c r="BF58" s="165"/>
      <c r="BG58" s="165"/>
      <c r="BH58" s="165"/>
      <c r="BI58" s="165"/>
      <c r="BJ58" s="165"/>
      <c r="BK58" s="165"/>
      <c r="BL58" s="165"/>
      <c r="BM58" s="165"/>
      <c r="BN58" s="165"/>
      <c r="BO58" s="165"/>
      <c r="BP58" s="165"/>
      <c r="BQ58" s="165"/>
      <c r="BR58" s="165"/>
      <c r="BS58" s="165"/>
      <c r="BT58" s="165"/>
      <c r="BU58" s="165"/>
      <c r="BV58" s="165"/>
      <c r="BW58" s="165"/>
      <c r="BX58" s="165"/>
      <c r="BY58" s="165"/>
      <c r="BZ58" s="165"/>
      <c r="CA58" s="165"/>
      <c r="CB58" s="165"/>
      <c r="CC58" s="165"/>
      <c r="CD58" s="165"/>
      <c r="CE58" s="165"/>
      <c r="CF58" s="165"/>
      <c r="CG58" s="165"/>
      <c r="CH58" s="165"/>
      <c r="CI58" s="170"/>
      <c r="CJ58" s="165"/>
      <c r="CK58" s="165"/>
      <c r="CL58" s="165"/>
      <c r="CM58" s="165"/>
      <c r="CN58" s="170"/>
      <c r="CO58" s="165"/>
      <c r="CP58" s="165"/>
      <c r="CQ58" s="165"/>
    </row>
    <row r="59" spans="2:95" hidden="1" outlineLevel="1" x14ac:dyDescent="0.25">
      <c r="B59" s="156" t="str">
        <f>Table1[[#Headers],[Especificação]]</f>
        <v>Especificação</v>
      </c>
      <c r="C59" s="184" t="str">
        <f t="shared" si="7"/>
        <v>INSTRUMENT_IFRS9_BHVRL_MTRTY</v>
      </c>
      <c r="D59" s="153" t="s">
        <v>414</v>
      </c>
      <c r="E59" s="153" t="s">
        <v>614</v>
      </c>
      <c r="G59" s="172">
        <f>INDEX(Table1[[Especificação]:[Total Testes]],MATCH(Sheet1!C59,Table1[CONCAT],0),MATCH(Sheet1!B59,Table1[[#Headers],[Especificação]:[Total Testes]],0))</f>
        <v>1</v>
      </c>
      <c r="H59" s="191">
        <f t="shared" si="8"/>
        <v>0.13</v>
      </c>
      <c r="I59" s="222"/>
      <c r="J59" s="170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65"/>
      <c r="AZ59" s="165"/>
      <c r="BA59" s="165"/>
      <c r="BB59" s="170"/>
      <c r="BC59" s="165"/>
      <c r="BD59" s="165"/>
      <c r="BE59" s="165"/>
      <c r="BF59" s="165"/>
      <c r="BG59" s="165"/>
      <c r="BH59" s="165"/>
      <c r="BI59" s="165"/>
      <c r="BJ59" s="165"/>
      <c r="BK59" s="165"/>
      <c r="BL59" s="165"/>
      <c r="BM59" s="165"/>
      <c r="BN59" s="165"/>
      <c r="BO59" s="165"/>
      <c r="BP59" s="165"/>
      <c r="BQ59" s="165"/>
      <c r="BR59" s="165"/>
      <c r="BS59" s="165"/>
      <c r="BT59" s="165"/>
      <c r="BU59" s="165"/>
      <c r="BV59" s="165"/>
      <c r="BW59" s="165"/>
      <c r="BX59" s="165"/>
      <c r="BY59" s="165"/>
      <c r="BZ59" s="165"/>
      <c r="CA59" s="165"/>
      <c r="CB59" s="165"/>
      <c r="CC59" s="165"/>
      <c r="CD59" s="165"/>
      <c r="CE59" s="165"/>
      <c r="CF59" s="165"/>
      <c r="CG59" s="165"/>
      <c r="CH59" s="165"/>
      <c r="CI59" s="170"/>
      <c r="CJ59" s="165"/>
      <c r="CK59" s="165"/>
      <c r="CL59" s="165"/>
      <c r="CM59" s="165"/>
      <c r="CN59" s="170"/>
      <c r="CO59" s="165"/>
      <c r="CP59" s="165"/>
      <c r="CQ59" s="165"/>
    </row>
    <row r="60" spans="2:95" hidden="1" outlineLevel="1" x14ac:dyDescent="0.25">
      <c r="B60" s="156" t="str">
        <f>Table1[[#Headers],[Especificação]]</f>
        <v>Especificação</v>
      </c>
      <c r="C60" s="184" t="str">
        <f t="shared" si="7"/>
        <v>INSTRUMENT_LTV</v>
      </c>
      <c r="D60" s="153" t="s">
        <v>414</v>
      </c>
      <c r="E60" s="153" t="s">
        <v>724</v>
      </c>
      <c r="G60" s="172">
        <f>INDEX(Table1[[Especificação]:[Total Testes]],MATCH(Sheet1!C60,Table1[CONCAT],0),MATCH(Sheet1!B60,Table1[[#Headers],[Especificação]:[Total Testes]],0))</f>
        <v>1</v>
      </c>
      <c r="H60" s="191">
        <f t="shared" si="8"/>
        <v>0.13</v>
      </c>
      <c r="I60" s="222"/>
      <c r="J60" s="170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5"/>
      <c r="AX60" s="165"/>
      <c r="AY60" s="165"/>
      <c r="AZ60" s="165"/>
      <c r="BA60" s="165"/>
      <c r="BB60" s="170"/>
      <c r="BC60" s="165"/>
      <c r="BD60" s="165"/>
      <c r="BE60" s="165"/>
      <c r="BF60" s="165"/>
      <c r="BG60" s="165"/>
      <c r="BH60" s="165"/>
      <c r="BI60" s="165"/>
      <c r="BJ60" s="165"/>
      <c r="BK60" s="165"/>
      <c r="BL60" s="165"/>
      <c r="BM60" s="165"/>
      <c r="BN60" s="165"/>
      <c r="BO60" s="165"/>
      <c r="BP60" s="165"/>
      <c r="BQ60" s="165"/>
      <c r="BR60" s="165"/>
      <c r="BS60" s="165"/>
      <c r="BT60" s="165"/>
      <c r="BU60" s="165"/>
      <c r="BV60" s="165"/>
      <c r="BW60" s="165"/>
      <c r="BX60" s="165"/>
      <c r="BY60" s="165"/>
      <c r="BZ60" s="165"/>
      <c r="CA60" s="165"/>
      <c r="CB60" s="165"/>
      <c r="CC60" s="165"/>
      <c r="CD60" s="165"/>
      <c r="CE60" s="165"/>
      <c r="CF60" s="165"/>
      <c r="CG60" s="165"/>
      <c r="CH60" s="165"/>
      <c r="CI60" s="170"/>
      <c r="CJ60" s="165"/>
      <c r="CK60" s="165"/>
      <c r="CL60" s="165"/>
      <c r="CM60" s="165"/>
      <c r="CN60" s="170"/>
      <c r="CO60" s="165"/>
      <c r="CP60" s="165"/>
      <c r="CQ60" s="165"/>
    </row>
    <row r="61" spans="2:95" hidden="1" outlineLevel="1" x14ac:dyDescent="0.25">
      <c r="B61" s="156" t="str">
        <f>Table1[[#Headers],[Especificação]]</f>
        <v>Especificação</v>
      </c>
      <c r="C61" s="184" t="str">
        <f t="shared" si="7"/>
        <v>INSTRUMENT_LTV_INCPTN</v>
      </c>
      <c r="D61" s="153" t="s">
        <v>414</v>
      </c>
      <c r="E61" s="153" t="s">
        <v>727</v>
      </c>
      <c r="G61" s="172">
        <f>INDEX(Table1[[Especificação]:[Total Testes]],MATCH(Sheet1!C61,Table1[CONCAT],0),MATCH(Sheet1!B61,Table1[[#Headers],[Especificação]:[Total Testes]],0))</f>
        <v>1</v>
      </c>
      <c r="H61" s="191">
        <f t="shared" si="8"/>
        <v>0.13</v>
      </c>
      <c r="I61" s="222"/>
      <c r="J61" s="170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65"/>
      <c r="AG61" s="165"/>
      <c r="AH61" s="165"/>
      <c r="AI61" s="165"/>
      <c r="AJ61" s="165"/>
      <c r="AK61" s="165"/>
      <c r="AL61" s="165"/>
      <c r="AM61" s="165"/>
      <c r="AN61" s="165"/>
      <c r="AO61" s="165"/>
      <c r="AP61" s="165"/>
      <c r="AQ61" s="165"/>
      <c r="AR61" s="165"/>
      <c r="AS61" s="165"/>
      <c r="AT61" s="165"/>
      <c r="AU61" s="165"/>
      <c r="AV61" s="165"/>
      <c r="AW61" s="165"/>
      <c r="AX61" s="165"/>
      <c r="AY61" s="165"/>
      <c r="AZ61" s="165"/>
      <c r="BA61" s="165"/>
      <c r="BB61" s="170"/>
      <c r="BC61" s="165"/>
      <c r="BD61" s="165"/>
      <c r="BE61" s="165"/>
      <c r="BF61" s="165"/>
      <c r="BG61" s="165"/>
      <c r="BH61" s="165"/>
      <c r="BI61" s="165"/>
      <c r="BJ61" s="165"/>
      <c r="BK61" s="165"/>
      <c r="BL61" s="165"/>
      <c r="BM61" s="165"/>
      <c r="BN61" s="165"/>
      <c r="BO61" s="165"/>
      <c r="BP61" s="165"/>
      <c r="BQ61" s="165"/>
      <c r="BR61" s="165"/>
      <c r="BS61" s="165"/>
      <c r="BT61" s="165"/>
      <c r="BU61" s="165"/>
      <c r="BV61" s="165"/>
      <c r="BW61" s="165"/>
      <c r="BX61" s="165"/>
      <c r="BY61" s="165"/>
      <c r="BZ61" s="165"/>
      <c r="CA61" s="165"/>
      <c r="CB61" s="165"/>
      <c r="CC61" s="165"/>
      <c r="CD61" s="165"/>
      <c r="CE61" s="165"/>
      <c r="CF61" s="165"/>
      <c r="CG61" s="165"/>
      <c r="CH61" s="165"/>
      <c r="CI61" s="170"/>
      <c r="CJ61" s="165"/>
      <c r="CK61" s="165"/>
      <c r="CL61" s="165"/>
      <c r="CM61" s="165"/>
      <c r="CN61" s="170"/>
      <c r="CO61" s="165"/>
      <c r="CP61" s="165"/>
      <c r="CQ61" s="165"/>
    </row>
    <row r="62" spans="2:95" hidden="1" outlineLevel="1" x14ac:dyDescent="0.25">
      <c r="B62" s="156" t="str">
        <f>Table1[[#Headers],[Especificação]]</f>
        <v>Especificação</v>
      </c>
      <c r="C62" s="184" t="str">
        <f t="shared" si="7"/>
        <v>INSTRUMENT_ANNLSD_AGRD_RT</v>
      </c>
      <c r="D62" s="153" t="s">
        <v>414</v>
      </c>
      <c r="E62" s="153" t="s">
        <v>757</v>
      </c>
      <c r="G62" s="172">
        <f>INDEX(Table1[[Especificação]:[Total Testes]],MATCH(Sheet1!C62,Table1[CONCAT],0),MATCH(Sheet1!B62,Table1[[#Headers],[Especificação]:[Total Testes]],0))</f>
        <v>1</v>
      </c>
      <c r="H62" s="191">
        <f t="shared" si="8"/>
        <v>0.13</v>
      </c>
      <c r="I62" s="222"/>
      <c r="J62" s="170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5"/>
      <c r="AO62" s="165"/>
      <c r="AP62" s="165"/>
      <c r="AQ62" s="165"/>
      <c r="AR62" s="165"/>
      <c r="AS62" s="165"/>
      <c r="AT62" s="165"/>
      <c r="AU62" s="165"/>
      <c r="AV62" s="165"/>
      <c r="AW62" s="165"/>
      <c r="AX62" s="165"/>
      <c r="AY62" s="165"/>
      <c r="AZ62" s="165"/>
      <c r="BA62" s="165"/>
      <c r="BB62" s="170"/>
      <c r="BC62" s="165"/>
      <c r="BD62" s="165"/>
      <c r="BE62" s="165"/>
      <c r="BF62" s="165"/>
      <c r="BG62" s="165"/>
      <c r="BH62" s="165"/>
      <c r="BI62" s="165"/>
      <c r="BJ62" s="165"/>
      <c r="BK62" s="165"/>
      <c r="BL62" s="165"/>
      <c r="BM62" s="165"/>
      <c r="BN62" s="165"/>
      <c r="BO62" s="165"/>
      <c r="BP62" s="165"/>
      <c r="BQ62" s="165"/>
      <c r="BR62" s="165"/>
      <c r="BS62" s="165"/>
      <c r="BT62" s="165"/>
      <c r="BU62" s="165"/>
      <c r="BV62" s="165"/>
      <c r="BW62" s="165"/>
      <c r="BX62" s="165"/>
      <c r="BY62" s="165"/>
      <c r="BZ62" s="165"/>
      <c r="CA62" s="165"/>
      <c r="CB62" s="165"/>
      <c r="CC62" s="165"/>
      <c r="CD62" s="165"/>
      <c r="CE62" s="165"/>
      <c r="CF62" s="165"/>
      <c r="CG62" s="165"/>
      <c r="CH62" s="165"/>
      <c r="CI62" s="170"/>
      <c r="CJ62" s="165"/>
      <c r="CK62" s="165"/>
      <c r="CL62" s="165"/>
      <c r="CM62" s="165"/>
      <c r="CN62" s="170"/>
      <c r="CO62" s="165"/>
      <c r="CP62" s="165"/>
      <c r="CQ62" s="165"/>
    </row>
    <row r="63" spans="2:95" hidden="1" outlineLevel="1" x14ac:dyDescent="0.25">
      <c r="B63" s="156" t="str">
        <f>Table1[[#Headers],[Especificação]]</f>
        <v>Especificação</v>
      </c>
      <c r="C63" s="184" t="str">
        <f t="shared" si="7"/>
        <v>INSTRUMENT_EIR_INCPTN</v>
      </c>
      <c r="D63" s="153" t="s">
        <v>414</v>
      </c>
      <c r="E63" s="153" t="s">
        <v>763</v>
      </c>
      <c r="G63" s="172">
        <f>INDEX(Table1[[Especificação]:[Total Testes]],MATCH(Sheet1!C63,Table1[CONCAT],0),MATCH(Sheet1!B63,Table1[[#Headers],[Especificação]:[Total Testes]],0))</f>
        <v>1</v>
      </c>
      <c r="H63" s="191">
        <f t="shared" si="8"/>
        <v>0.13</v>
      </c>
      <c r="I63" s="222"/>
      <c r="J63" s="170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  <c r="AK63" s="165"/>
      <c r="AL63" s="165"/>
      <c r="AM63" s="165"/>
      <c r="AN63" s="165"/>
      <c r="AO63" s="165"/>
      <c r="AP63" s="165"/>
      <c r="AQ63" s="165"/>
      <c r="AR63" s="165"/>
      <c r="AS63" s="165"/>
      <c r="AT63" s="165"/>
      <c r="AU63" s="165"/>
      <c r="AV63" s="165"/>
      <c r="AW63" s="165"/>
      <c r="AX63" s="165"/>
      <c r="AY63" s="165"/>
      <c r="AZ63" s="165"/>
      <c r="BA63" s="165"/>
      <c r="BB63" s="170"/>
      <c r="BC63" s="165"/>
      <c r="BD63" s="165"/>
      <c r="BE63" s="165"/>
      <c r="BF63" s="165"/>
      <c r="BG63" s="165"/>
      <c r="BH63" s="165"/>
      <c r="BI63" s="165"/>
      <c r="BJ63" s="165"/>
      <c r="BK63" s="165"/>
      <c r="BL63" s="165"/>
      <c r="BM63" s="165"/>
      <c r="BN63" s="165"/>
      <c r="BO63" s="165"/>
      <c r="BP63" s="165"/>
      <c r="BQ63" s="165"/>
      <c r="BR63" s="165"/>
      <c r="BS63" s="165"/>
      <c r="BT63" s="165"/>
      <c r="BU63" s="165"/>
      <c r="BV63" s="165"/>
      <c r="BW63" s="165"/>
      <c r="BX63" s="165"/>
      <c r="BY63" s="165"/>
      <c r="BZ63" s="165"/>
      <c r="CA63" s="165"/>
      <c r="CB63" s="165"/>
      <c r="CC63" s="165"/>
      <c r="CD63" s="165"/>
      <c r="CE63" s="165"/>
      <c r="CF63" s="165"/>
      <c r="CG63" s="165"/>
      <c r="CH63" s="165"/>
      <c r="CI63" s="170"/>
      <c r="CJ63" s="165"/>
      <c r="CK63" s="165"/>
      <c r="CL63" s="165"/>
      <c r="CM63" s="165"/>
      <c r="CN63" s="170"/>
      <c r="CO63" s="165"/>
      <c r="CP63" s="165"/>
      <c r="CQ63" s="165"/>
    </row>
    <row r="64" spans="2:95" hidden="1" outlineLevel="1" x14ac:dyDescent="0.25">
      <c r="B64" s="156" t="str">
        <f>Table1[[#Headers],[Especificação]]</f>
        <v>Especificação</v>
      </c>
      <c r="C64" s="184" t="str">
        <f t="shared" si="7"/>
        <v>INSTRUMENT_NW_BSNSS</v>
      </c>
      <c r="D64" s="153" t="s">
        <v>414</v>
      </c>
      <c r="E64" s="153" t="s">
        <v>973</v>
      </c>
      <c r="G64" s="172">
        <f>INDEX(Table1[[Especificação]:[Total Testes]],MATCH(Sheet1!C64,Table1[CONCAT],0),MATCH(Sheet1!B64,Table1[[#Headers],[Especificação]:[Total Testes]],0))</f>
        <v>10</v>
      </c>
      <c r="H64" s="191">
        <f t="shared" si="8"/>
        <v>1.25</v>
      </c>
      <c r="I64" s="222"/>
      <c r="J64" s="170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  <c r="AD64" s="165"/>
      <c r="AE64" s="165"/>
      <c r="AF64" s="165"/>
      <c r="AG64" s="165"/>
      <c r="AH64" s="165"/>
      <c r="AI64" s="165"/>
      <c r="AJ64" s="165"/>
      <c r="AK64" s="165"/>
      <c r="AL64" s="165"/>
      <c r="AM64" s="165"/>
      <c r="AN64" s="165"/>
      <c r="AO64" s="165"/>
      <c r="AP64" s="165"/>
      <c r="AQ64" s="165"/>
      <c r="AR64" s="165"/>
      <c r="AS64" s="165"/>
      <c r="AT64" s="165"/>
      <c r="AU64" s="165"/>
      <c r="AV64" s="165"/>
      <c r="AW64" s="165"/>
      <c r="AX64" s="165"/>
      <c r="AY64" s="165"/>
      <c r="AZ64" s="165"/>
      <c r="BA64" s="165"/>
      <c r="BB64" s="170"/>
      <c r="BC64" s="165"/>
      <c r="BD64" s="165"/>
      <c r="BE64" s="165"/>
      <c r="BF64" s="165"/>
      <c r="BG64" s="165"/>
      <c r="BH64" s="165"/>
      <c r="BI64" s="165"/>
      <c r="BJ64" s="165"/>
      <c r="BK64" s="165"/>
      <c r="BL64" s="165"/>
      <c r="BM64" s="165"/>
      <c r="BN64" s="165"/>
      <c r="BO64" s="165"/>
      <c r="BP64" s="165"/>
      <c r="BQ64" s="165"/>
      <c r="BR64" s="165"/>
      <c r="BS64" s="165"/>
      <c r="BT64" s="165"/>
      <c r="BU64" s="165"/>
      <c r="BV64" s="165"/>
      <c r="BW64" s="165"/>
      <c r="BX64" s="165"/>
      <c r="BY64" s="165"/>
      <c r="BZ64" s="165"/>
      <c r="CA64" s="165"/>
      <c r="CB64" s="165"/>
      <c r="CC64" s="165"/>
      <c r="CD64" s="165"/>
      <c r="CE64" s="165"/>
      <c r="CF64" s="165"/>
      <c r="CG64" s="165"/>
      <c r="CH64" s="165"/>
      <c r="CI64" s="170"/>
      <c r="CJ64" s="165"/>
      <c r="CK64" s="165"/>
      <c r="CL64" s="165"/>
      <c r="CM64" s="165"/>
      <c r="CN64" s="170"/>
      <c r="CO64" s="165"/>
      <c r="CP64" s="165"/>
      <c r="CQ64" s="165"/>
    </row>
    <row r="65" spans="2:95" hidden="1" outlineLevel="1" x14ac:dyDescent="0.25">
      <c r="B65" s="156" t="str">
        <f>Table1[[#Headers],[Especificação]]</f>
        <v>Especificação</v>
      </c>
      <c r="C65" s="184" t="str">
        <f t="shared" si="7"/>
        <v>PROTECTION_YR_CNSTRCTN</v>
      </c>
      <c r="D65" s="153" t="s">
        <v>1114</v>
      </c>
      <c r="E65" s="153" t="s">
        <v>1290</v>
      </c>
      <c r="G65" s="172">
        <f>INDEX(Table1[[Especificação]:[Total Testes]],MATCH(Sheet1!C65,Table1[CONCAT],0),MATCH(Sheet1!B65,Table1[[#Headers],[Especificação]:[Total Testes]],0))</f>
        <v>8</v>
      </c>
      <c r="H65" s="191">
        <f t="shared" si="8"/>
        <v>1</v>
      </c>
      <c r="I65" s="222"/>
      <c r="J65" s="170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  <c r="AF65" s="165"/>
      <c r="AG65" s="165"/>
      <c r="AH65" s="165"/>
      <c r="AI65" s="165"/>
      <c r="AJ65" s="165"/>
      <c r="AK65" s="165"/>
      <c r="AL65" s="165"/>
      <c r="AM65" s="165"/>
      <c r="AN65" s="165"/>
      <c r="AO65" s="165"/>
      <c r="AP65" s="165"/>
      <c r="AQ65" s="165"/>
      <c r="AR65" s="165"/>
      <c r="AS65" s="165"/>
      <c r="AT65" s="165"/>
      <c r="AU65" s="165"/>
      <c r="AV65" s="165"/>
      <c r="AW65" s="165"/>
      <c r="AX65" s="165"/>
      <c r="AY65" s="165"/>
      <c r="AZ65" s="165"/>
      <c r="BA65" s="165"/>
      <c r="BB65" s="170"/>
      <c r="BC65" s="165"/>
      <c r="BD65" s="165"/>
      <c r="BE65" s="165"/>
      <c r="BF65" s="165"/>
      <c r="BG65" s="165"/>
      <c r="BH65" s="165"/>
      <c r="BI65" s="165"/>
      <c r="BJ65" s="165"/>
      <c r="BK65" s="165"/>
      <c r="BL65" s="165"/>
      <c r="BM65" s="165"/>
      <c r="BN65" s="165"/>
      <c r="BO65" s="165"/>
      <c r="BP65" s="165"/>
      <c r="BQ65" s="165"/>
      <c r="BR65" s="165"/>
      <c r="BS65" s="165"/>
      <c r="BT65" s="165"/>
      <c r="BU65" s="165"/>
      <c r="BV65" s="165"/>
      <c r="BW65" s="165"/>
      <c r="BX65" s="165"/>
      <c r="BY65" s="165"/>
      <c r="BZ65" s="165"/>
      <c r="CA65" s="165"/>
      <c r="CB65" s="165"/>
      <c r="CC65" s="165"/>
      <c r="CD65" s="165"/>
      <c r="CE65" s="165"/>
      <c r="CF65" s="165"/>
      <c r="CG65" s="165"/>
      <c r="CH65" s="165"/>
      <c r="CI65" s="170"/>
      <c r="CJ65" s="165"/>
      <c r="CK65" s="165"/>
      <c r="CL65" s="165"/>
      <c r="CM65" s="165"/>
      <c r="CN65" s="170"/>
      <c r="CO65" s="165"/>
      <c r="CP65" s="165"/>
      <c r="CQ65" s="165"/>
    </row>
    <row r="66" spans="2:95" collapsed="1" x14ac:dyDescent="0.25">
      <c r="B66" s="156"/>
      <c r="C66" s="211" t="s">
        <v>1721</v>
      </c>
      <c r="D66" s="178"/>
      <c r="E66" s="179"/>
      <c r="F66" s="205">
        <f>+COUNTA(E67:E86)</f>
        <v>20</v>
      </c>
      <c r="G66" s="205">
        <f>SUM(G67:G86)</f>
        <v>25</v>
      </c>
      <c r="H66" s="208">
        <f>ROUND(SUM(H67:H86),1)</f>
        <v>3.1</v>
      </c>
      <c r="I66" s="222">
        <f t="shared" ref="I66:I87" si="9">SUM(J66:CQ66)-H66</f>
        <v>8.3000000000000007</v>
      </c>
      <c r="J66" s="170"/>
      <c r="K66" s="165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  <c r="AD66" s="165"/>
      <c r="AE66" s="165"/>
      <c r="AF66" s="165">
        <v>2.9</v>
      </c>
      <c r="AG66" s="165">
        <v>2</v>
      </c>
      <c r="AH66" s="165">
        <v>2</v>
      </c>
      <c r="AI66" s="165">
        <v>2</v>
      </c>
      <c r="AJ66" s="165">
        <v>2</v>
      </c>
      <c r="AK66" s="165">
        <v>0.5</v>
      </c>
      <c r="AL66" s="165"/>
      <c r="AM66" s="165"/>
      <c r="AN66" s="165"/>
      <c r="AO66" s="165"/>
      <c r="AP66" s="165"/>
      <c r="AQ66" s="165"/>
      <c r="AR66" s="165"/>
      <c r="AS66" s="165"/>
      <c r="AT66" s="165"/>
      <c r="AU66" s="165"/>
      <c r="AV66" s="165"/>
      <c r="AW66" s="165"/>
      <c r="AX66" s="165"/>
      <c r="AY66" s="165"/>
      <c r="AZ66" s="165"/>
      <c r="BA66" s="165"/>
      <c r="BB66" s="170"/>
      <c r="BC66" s="165"/>
      <c r="BD66" s="165"/>
      <c r="BE66" s="165"/>
      <c r="BF66" s="165"/>
      <c r="BG66" s="165"/>
      <c r="BH66" s="165"/>
      <c r="BI66" s="165"/>
      <c r="BJ66" s="165"/>
      <c r="BK66" s="165"/>
      <c r="BL66" s="165"/>
      <c r="BM66" s="165"/>
      <c r="BN66" s="165"/>
      <c r="BO66" s="165"/>
      <c r="BP66" s="165"/>
      <c r="BQ66" s="165"/>
      <c r="BR66" s="165"/>
      <c r="BS66" s="165"/>
      <c r="BT66" s="165"/>
      <c r="BU66" s="165"/>
      <c r="BV66" s="165"/>
      <c r="BW66" s="165"/>
      <c r="BX66" s="165"/>
      <c r="BY66" s="165"/>
      <c r="BZ66" s="165"/>
      <c r="CA66" s="165"/>
      <c r="CB66" s="165"/>
      <c r="CC66" s="165"/>
      <c r="CD66" s="165"/>
      <c r="CE66" s="165"/>
      <c r="CF66" s="165"/>
      <c r="CG66" s="165"/>
      <c r="CH66" s="165"/>
      <c r="CI66" s="170"/>
      <c r="CJ66" s="165"/>
      <c r="CK66" s="165"/>
      <c r="CL66" s="165"/>
      <c r="CM66" s="165"/>
      <c r="CN66" s="170"/>
      <c r="CO66" s="165"/>
      <c r="CP66" s="165"/>
      <c r="CQ66" s="165"/>
    </row>
    <row r="67" spans="2:95" hidden="1" outlineLevel="1" x14ac:dyDescent="0.25">
      <c r="B67" s="156" t="str">
        <f>Table1[[#Headers],[Especificação]]</f>
        <v>Especificação</v>
      </c>
      <c r="C67" s="154" t="str">
        <f t="shared" si="7"/>
        <v>ENTITY_GRP_ECNMC_ACTVTY</v>
      </c>
      <c r="D67" s="153" t="s">
        <v>10</v>
      </c>
      <c r="E67" s="153" t="s">
        <v>382</v>
      </c>
      <c r="G67" s="172">
        <f>INDEX(Table1[[Especificação]:[Total Testes]],MATCH(Sheet1!C67,Table1[CONCAT],0),MATCH(Sheet1!B67,Table1[[#Headers],[Especificação]:[Total Testes]],0))</f>
        <v>2</v>
      </c>
      <c r="H67" s="191">
        <f t="shared" ref="H67:H86" si="10">ROUND(G67/8,2)</f>
        <v>0.25</v>
      </c>
      <c r="I67" s="222"/>
      <c r="J67" s="170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  <c r="AD67" s="165"/>
      <c r="AE67" s="165"/>
      <c r="AF67" s="165"/>
      <c r="AG67" s="165"/>
      <c r="AH67" s="165"/>
      <c r="AI67" s="165"/>
      <c r="AJ67" s="165"/>
      <c r="AK67" s="165"/>
      <c r="AL67" s="165"/>
      <c r="AM67" s="165"/>
      <c r="AN67" s="165"/>
      <c r="AO67" s="165"/>
      <c r="AP67" s="165"/>
      <c r="AQ67" s="165"/>
      <c r="AR67" s="165"/>
      <c r="AS67" s="165"/>
      <c r="AT67" s="165"/>
      <c r="AU67" s="165"/>
      <c r="AV67" s="165"/>
      <c r="AW67" s="165"/>
      <c r="AX67" s="165"/>
      <c r="AY67" s="165"/>
      <c r="AZ67" s="165"/>
      <c r="BA67" s="165"/>
      <c r="BB67" s="170"/>
      <c r="BC67" s="165"/>
      <c r="BD67" s="165"/>
      <c r="BE67" s="165"/>
      <c r="BF67" s="165"/>
      <c r="BG67" s="165"/>
      <c r="BH67" s="165"/>
      <c r="BI67" s="165"/>
      <c r="BJ67" s="165"/>
      <c r="BK67" s="165"/>
      <c r="BL67" s="165"/>
      <c r="BM67" s="165"/>
      <c r="BN67" s="165"/>
      <c r="BO67" s="165"/>
      <c r="BP67" s="165"/>
      <c r="BQ67" s="165"/>
      <c r="BR67" s="165"/>
      <c r="BS67" s="165"/>
      <c r="BT67" s="165"/>
      <c r="BU67" s="165"/>
      <c r="BV67" s="165"/>
      <c r="BW67" s="165"/>
      <c r="BX67" s="165"/>
      <c r="BY67" s="165"/>
      <c r="BZ67" s="165"/>
      <c r="CA67" s="165"/>
      <c r="CB67" s="165"/>
      <c r="CC67" s="165"/>
      <c r="CD67" s="165"/>
      <c r="CE67" s="165"/>
      <c r="CF67" s="165"/>
      <c r="CG67" s="165"/>
      <c r="CH67" s="165"/>
      <c r="CI67" s="170"/>
      <c r="CJ67" s="165"/>
      <c r="CK67" s="165"/>
      <c r="CL67" s="165"/>
      <c r="CM67" s="165"/>
      <c r="CN67" s="170"/>
      <c r="CO67" s="165"/>
      <c r="CP67" s="165"/>
      <c r="CQ67" s="165"/>
    </row>
    <row r="68" spans="2:95" hidden="1" outlineLevel="1" x14ac:dyDescent="0.25">
      <c r="B68" s="156" t="str">
        <f>Table1[[#Headers],[Especificação]]</f>
        <v>Especificação</v>
      </c>
      <c r="C68" s="154" t="str">
        <f t="shared" si="7"/>
        <v>PROTECTION_TYP_EMSSNS_LBL</v>
      </c>
      <c r="D68" s="153" t="s">
        <v>1114</v>
      </c>
      <c r="E68" s="153" t="s">
        <v>1235</v>
      </c>
      <c r="G68" s="172">
        <f>INDEX(Table1[[Especificação]:[Total Testes]],MATCH(Sheet1!C68,Table1[CONCAT],0),MATCH(Sheet1!B68,Table1[[#Headers],[Especificação]:[Total Testes]],0))</f>
        <v>0</v>
      </c>
      <c r="H68" s="191">
        <f t="shared" si="10"/>
        <v>0</v>
      </c>
      <c r="I68" s="222"/>
      <c r="J68" s="170"/>
      <c r="K68" s="165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  <c r="AF68" s="165"/>
      <c r="AG68" s="165"/>
      <c r="AH68" s="165"/>
      <c r="AI68" s="165"/>
      <c r="AJ68" s="165"/>
      <c r="AK68" s="165"/>
      <c r="AL68" s="165"/>
      <c r="AM68" s="165"/>
      <c r="AN68" s="165"/>
      <c r="AO68" s="165"/>
      <c r="AP68" s="165"/>
      <c r="AQ68" s="165"/>
      <c r="AR68" s="165"/>
      <c r="AS68" s="165"/>
      <c r="AT68" s="165"/>
      <c r="AU68" s="165"/>
      <c r="AV68" s="165"/>
      <c r="AW68" s="165"/>
      <c r="AX68" s="165"/>
      <c r="AY68" s="165"/>
      <c r="AZ68" s="165"/>
      <c r="BA68" s="165"/>
      <c r="BB68" s="170"/>
      <c r="BC68" s="165"/>
      <c r="BD68" s="165"/>
      <c r="BE68" s="165"/>
      <c r="BF68" s="165"/>
      <c r="BG68" s="165"/>
      <c r="BH68" s="165"/>
      <c r="BI68" s="165"/>
      <c r="BJ68" s="165"/>
      <c r="BK68" s="165"/>
      <c r="BL68" s="165"/>
      <c r="BM68" s="165"/>
      <c r="BN68" s="165"/>
      <c r="BO68" s="165"/>
      <c r="BP68" s="165"/>
      <c r="BQ68" s="165"/>
      <c r="BR68" s="165"/>
      <c r="BS68" s="165"/>
      <c r="BT68" s="165"/>
      <c r="BU68" s="165"/>
      <c r="BV68" s="165"/>
      <c r="BW68" s="165"/>
      <c r="BX68" s="165"/>
      <c r="BY68" s="165"/>
      <c r="BZ68" s="165"/>
      <c r="CA68" s="165"/>
      <c r="CB68" s="165"/>
      <c r="CC68" s="165"/>
      <c r="CD68" s="165"/>
      <c r="CE68" s="165"/>
      <c r="CF68" s="165"/>
      <c r="CG68" s="165"/>
      <c r="CH68" s="165"/>
      <c r="CI68" s="170"/>
      <c r="CJ68" s="165"/>
      <c r="CK68" s="165"/>
      <c r="CL68" s="165"/>
      <c r="CM68" s="165"/>
      <c r="CN68" s="170"/>
      <c r="CO68" s="165"/>
      <c r="CP68" s="165"/>
      <c r="CQ68" s="165"/>
    </row>
    <row r="69" spans="2:95" hidden="1" outlineLevel="1" x14ac:dyDescent="0.25">
      <c r="B69" s="156" t="str">
        <f>Table1[[#Headers],[Especificação]]</f>
        <v>Especificação</v>
      </c>
      <c r="C69" s="154" t="str">
        <f t="shared" si="7"/>
        <v>PROTECTION_EPC_EMSSNS_LBL</v>
      </c>
      <c r="D69" s="153" t="s">
        <v>1114</v>
      </c>
      <c r="E69" s="153" t="s">
        <v>1238</v>
      </c>
      <c r="G69" s="172">
        <f>INDEX(Table1[[Especificação]:[Total Testes]],MATCH(Sheet1!C69,Table1[CONCAT],0),MATCH(Sheet1!B69,Table1[[#Headers],[Especificação]:[Total Testes]],0))</f>
        <v>2</v>
      </c>
      <c r="H69" s="191">
        <f t="shared" si="10"/>
        <v>0.25</v>
      </c>
      <c r="I69" s="222"/>
      <c r="J69" s="170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165"/>
      <c r="AH69" s="165"/>
      <c r="AI69" s="165"/>
      <c r="AJ69" s="165"/>
      <c r="AK69" s="165"/>
      <c r="AL69" s="165"/>
      <c r="AM69" s="165"/>
      <c r="AN69" s="165"/>
      <c r="AO69" s="165"/>
      <c r="AP69" s="165"/>
      <c r="AQ69" s="165"/>
      <c r="AR69" s="165"/>
      <c r="AS69" s="165"/>
      <c r="AT69" s="165"/>
      <c r="AU69" s="165"/>
      <c r="AV69" s="165"/>
      <c r="AW69" s="165"/>
      <c r="AX69" s="165"/>
      <c r="AY69" s="165"/>
      <c r="AZ69" s="165"/>
      <c r="BA69" s="165"/>
      <c r="BB69" s="170"/>
      <c r="BC69" s="165"/>
      <c r="BD69" s="165"/>
      <c r="BE69" s="165"/>
      <c r="BF69" s="165"/>
      <c r="BG69" s="165"/>
      <c r="BH69" s="165"/>
      <c r="BI69" s="165"/>
      <c r="BJ69" s="165"/>
      <c r="BK69" s="165"/>
      <c r="BL69" s="165"/>
      <c r="BM69" s="165"/>
      <c r="BN69" s="165"/>
      <c r="BO69" s="165"/>
      <c r="BP69" s="165"/>
      <c r="BQ69" s="165"/>
      <c r="BR69" s="165"/>
      <c r="BS69" s="165"/>
      <c r="BT69" s="165"/>
      <c r="BU69" s="165"/>
      <c r="BV69" s="165"/>
      <c r="BW69" s="165"/>
      <c r="BX69" s="165"/>
      <c r="BY69" s="165"/>
      <c r="BZ69" s="165"/>
      <c r="CA69" s="165"/>
      <c r="CB69" s="165"/>
      <c r="CC69" s="165"/>
      <c r="CD69" s="165"/>
      <c r="CE69" s="165"/>
      <c r="CF69" s="165"/>
      <c r="CG69" s="165"/>
      <c r="CH69" s="165"/>
      <c r="CI69" s="170"/>
      <c r="CJ69" s="165"/>
      <c r="CK69" s="165"/>
      <c r="CL69" s="165"/>
      <c r="CM69" s="165"/>
      <c r="CN69" s="170"/>
      <c r="CO69" s="165"/>
      <c r="CP69" s="165"/>
      <c r="CQ69" s="165"/>
    </row>
    <row r="70" spans="2:95" hidden="1" outlineLevel="1" x14ac:dyDescent="0.25">
      <c r="B70" s="156" t="str">
        <f>Table1[[#Headers],[Especificação]]</f>
        <v>Especificação</v>
      </c>
      <c r="C70" s="154" t="str">
        <f t="shared" si="7"/>
        <v>PROTECTION_VHCL_EMSSNS_LBL</v>
      </c>
      <c r="D70" s="153" t="s">
        <v>1114</v>
      </c>
      <c r="E70" s="153" t="s">
        <v>1241</v>
      </c>
      <c r="G70" s="172">
        <f>INDEX(Table1[[Especificação]:[Total Testes]],MATCH(Sheet1!C70,Table1[CONCAT],0),MATCH(Sheet1!B70,Table1[[#Headers],[Especificação]:[Total Testes]],0))</f>
        <v>0</v>
      </c>
      <c r="H70" s="191">
        <f t="shared" si="10"/>
        <v>0</v>
      </c>
      <c r="I70" s="222"/>
      <c r="J70" s="170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  <c r="AK70" s="165"/>
      <c r="AL70" s="165"/>
      <c r="AM70" s="165"/>
      <c r="AN70" s="165"/>
      <c r="AO70" s="165"/>
      <c r="AP70" s="165"/>
      <c r="AQ70" s="165"/>
      <c r="AR70" s="165"/>
      <c r="AS70" s="165"/>
      <c r="AT70" s="165"/>
      <c r="AU70" s="165"/>
      <c r="AV70" s="165"/>
      <c r="AW70" s="165"/>
      <c r="AX70" s="165"/>
      <c r="AY70" s="165"/>
      <c r="AZ70" s="165"/>
      <c r="BA70" s="165"/>
      <c r="BB70" s="170"/>
      <c r="BC70" s="165"/>
      <c r="BD70" s="165"/>
      <c r="BE70" s="165"/>
      <c r="BF70" s="165"/>
      <c r="BG70" s="165"/>
      <c r="BH70" s="165"/>
      <c r="BI70" s="165"/>
      <c r="BJ70" s="165"/>
      <c r="BK70" s="165"/>
      <c r="BL70" s="165"/>
      <c r="BM70" s="165"/>
      <c r="BN70" s="165"/>
      <c r="BO70" s="165"/>
      <c r="BP70" s="165"/>
      <c r="BQ70" s="165"/>
      <c r="BR70" s="165"/>
      <c r="BS70" s="165"/>
      <c r="BT70" s="165"/>
      <c r="BU70" s="165"/>
      <c r="BV70" s="165"/>
      <c r="BW70" s="165"/>
      <c r="BX70" s="165"/>
      <c r="BY70" s="165"/>
      <c r="BZ70" s="165"/>
      <c r="CA70" s="165"/>
      <c r="CB70" s="165"/>
      <c r="CC70" s="165"/>
      <c r="CD70" s="165"/>
      <c r="CE70" s="165"/>
      <c r="CF70" s="165"/>
      <c r="CG70" s="165"/>
      <c r="CH70" s="165"/>
      <c r="CI70" s="170"/>
      <c r="CJ70" s="165"/>
      <c r="CK70" s="165"/>
      <c r="CL70" s="165"/>
      <c r="CM70" s="165"/>
      <c r="CN70" s="170"/>
      <c r="CO70" s="165"/>
      <c r="CP70" s="165"/>
      <c r="CQ70" s="165"/>
    </row>
    <row r="71" spans="2:95" hidden="1" outlineLevel="1" x14ac:dyDescent="0.25">
      <c r="B71" s="156" t="str">
        <f>Table1[[#Headers],[Especificação]]</f>
        <v>Especificação</v>
      </c>
      <c r="C71" s="154" t="str">
        <f t="shared" si="7"/>
        <v>PROTECTION_TYP_EMSSNS_SCR</v>
      </c>
      <c r="D71" s="153" t="s">
        <v>1114</v>
      </c>
      <c r="E71" s="153" t="s">
        <v>1244</v>
      </c>
      <c r="G71" s="172">
        <f>INDEX(Table1[[Especificação]:[Total Testes]],MATCH(Sheet1!C71,Table1[CONCAT],0),MATCH(Sheet1!B71,Table1[[#Headers],[Especificação]:[Total Testes]],0))</f>
        <v>2</v>
      </c>
      <c r="H71" s="191">
        <f t="shared" si="10"/>
        <v>0.25</v>
      </c>
      <c r="I71" s="222"/>
      <c r="J71" s="170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5"/>
      <c r="AL71" s="165"/>
      <c r="AM71" s="165"/>
      <c r="AN71" s="165"/>
      <c r="AO71" s="165"/>
      <c r="AP71" s="165"/>
      <c r="AQ71" s="165"/>
      <c r="AR71" s="165"/>
      <c r="AS71" s="165"/>
      <c r="AT71" s="165"/>
      <c r="AU71" s="165"/>
      <c r="AV71" s="165"/>
      <c r="AW71" s="165"/>
      <c r="AX71" s="165"/>
      <c r="AY71" s="165"/>
      <c r="AZ71" s="165"/>
      <c r="BA71" s="165"/>
      <c r="BB71" s="170"/>
      <c r="BC71" s="165"/>
      <c r="BD71" s="165"/>
      <c r="BE71" s="165"/>
      <c r="BF71" s="165"/>
      <c r="BG71" s="165"/>
      <c r="BH71" s="165"/>
      <c r="BI71" s="165"/>
      <c r="BJ71" s="165"/>
      <c r="BK71" s="165"/>
      <c r="BL71" s="165"/>
      <c r="BM71" s="165"/>
      <c r="BN71" s="165"/>
      <c r="BO71" s="165"/>
      <c r="BP71" s="165"/>
      <c r="BQ71" s="165"/>
      <c r="BR71" s="165"/>
      <c r="BS71" s="165"/>
      <c r="BT71" s="165"/>
      <c r="BU71" s="165"/>
      <c r="BV71" s="165"/>
      <c r="BW71" s="165"/>
      <c r="BX71" s="165"/>
      <c r="BY71" s="165"/>
      <c r="BZ71" s="165"/>
      <c r="CA71" s="165"/>
      <c r="CB71" s="165"/>
      <c r="CC71" s="165"/>
      <c r="CD71" s="165"/>
      <c r="CE71" s="165"/>
      <c r="CF71" s="165"/>
      <c r="CG71" s="165"/>
      <c r="CH71" s="165"/>
      <c r="CI71" s="170"/>
      <c r="CJ71" s="165"/>
      <c r="CK71" s="165"/>
      <c r="CL71" s="165"/>
      <c r="CM71" s="165"/>
      <c r="CN71" s="170"/>
      <c r="CO71" s="165"/>
      <c r="CP71" s="165"/>
      <c r="CQ71" s="165"/>
    </row>
    <row r="72" spans="2:95" hidden="1" outlineLevel="1" x14ac:dyDescent="0.25">
      <c r="B72" s="156" t="str">
        <f>Table1[[#Headers],[Especificação]]</f>
        <v>Especificação</v>
      </c>
      <c r="C72" s="154" t="str">
        <f t="shared" si="7"/>
        <v>PROTECTION_EPC_EMSSNS_SCR</v>
      </c>
      <c r="D72" s="153" t="s">
        <v>1114</v>
      </c>
      <c r="E72" s="153" t="s">
        <v>1247</v>
      </c>
      <c r="G72" s="172">
        <f>INDEX(Table1[[Especificação]:[Total Testes]],MATCH(Sheet1!C72,Table1[CONCAT],0),MATCH(Sheet1!B72,Table1[[#Headers],[Especificação]:[Total Testes]],0))</f>
        <v>4</v>
      </c>
      <c r="H72" s="191">
        <f t="shared" si="10"/>
        <v>0.5</v>
      </c>
      <c r="I72" s="222"/>
      <c r="J72" s="170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5"/>
      <c r="AE72" s="165"/>
      <c r="AF72" s="165"/>
      <c r="AG72" s="165"/>
      <c r="AH72" s="165"/>
      <c r="AI72" s="165"/>
      <c r="AJ72" s="165"/>
      <c r="AK72" s="165"/>
      <c r="AL72" s="165"/>
      <c r="AM72" s="165"/>
      <c r="AN72" s="165"/>
      <c r="AO72" s="165"/>
      <c r="AP72" s="165"/>
      <c r="AQ72" s="165"/>
      <c r="AR72" s="165"/>
      <c r="AS72" s="165"/>
      <c r="AT72" s="165"/>
      <c r="AU72" s="165"/>
      <c r="AV72" s="165"/>
      <c r="AW72" s="165"/>
      <c r="AX72" s="165"/>
      <c r="AY72" s="165"/>
      <c r="AZ72" s="165"/>
      <c r="BA72" s="165"/>
      <c r="BB72" s="170"/>
      <c r="BC72" s="165"/>
      <c r="BD72" s="165"/>
      <c r="BE72" s="165"/>
      <c r="BF72" s="165"/>
      <c r="BG72" s="165"/>
      <c r="BH72" s="165"/>
      <c r="BI72" s="165"/>
      <c r="BJ72" s="165"/>
      <c r="BK72" s="165"/>
      <c r="BL72" s="165"/>
      <c r="BM72" s="165"/>
      <c r="BN72" s="165"/>
      <c r="BO72" s="165"/>
      <c r="BP72" s="165"/>
      <c r="BQ72" s="165"/>
      <c r="BR72" s="165"/>
      <c r="BS72" s="165"/>
      <c r="BT72" s="165"/>
      <c r="BU72" s="165"/>
      <c r="BV72" s="165"/>
      <c r="BW72" s="165"/>
      <c r="BX72" s="165"/>
      <c r="BY72" s="165"/>
      <c r="BZ72" s="165"/>
      <c r="CA72" s="165"/>
      <c r="CB72" s="165"/>
      <c r="CC72" s="165"/>
      <c r="CD72" s="165"/>
      <c r="CE72" s="165"/>
      <c r="CF72" s="165"/>
      <c r="CG72" s="165"/>
      <c r="CH72" s="165"/>
      <c r="CI72" s="170"/>
      <c r="CJ72" s="165"/>
      <c r="CK72" s="165"/>
      <c r="CL72" s="165"/>
      <c r="CM72" s="165"/>
      <c r="CN72" s="170"/>
      <c r="CO72" s="165"/>
      <c r="CP72" s="165"/>
      <c r="CQ72" s="165"/>
    </row>
    <row r="73" spans="2:95" hidden="1" outlineLevel="1" x14ac:dyDescent="0.25">
      <c r="B73" s="156" t="str">
        <f>Table1[[#Headers],[Especificação]]</f>
        <v>Especificação</v>
      </c>
      <c r="C73" s="154" t="str">
        <f t="shared" si="7"/>
        <v>PROTECTION_VHCL_EMSSNS_SCR</v>
      </c>
      <c r="D73" s="153" t="s">
        <v>1114</v>
      </c>
      <c r="E73" s="153" t="s">
        <v>1250</v>
      </c>
      <c r="G73" s="172">
        <f>INDEX(Table1[[Especificação]:[Total Testes]],MATCH(Sheet1!C73,Table1[CONCAT],0),MATCH(Sheet1!B73,Table1[[#Headers],[Especificação]:[Total Testes]],0))</f>
        <v>0</v>
      </c>
      <c r="H73" s="191">
        <f t="shared" si="10"/>
        <v>0</v>
      </c>
      <c r="I73" s="222"/>
      <c r="J73" s="170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5"/>
      <c r="AE73" s="165"/>
      <c r="AF73" s="165"/>
      <c r="AG73" s="165"/>
      <c r="AH73" s="165"/>
      <c r="AI73" s="165"/>
      <c r="AJ73" s="165"/>
      <c r="AK73" s="165"/>
      <c r="AL73" s="165"/>
      <c r="AM73" s="165"/>
      <c r="AN73" s="165"/>
      <c r="AO73" s="165"/>
      <c r="AP73" s="165"/>
      <c r="AQ73" s="165"/>
      <c r="AR73" s="165"/>
      <c r="AS73" s="165"/>
      <c r="AT73" s="165"/>
      <c r="AU73" s="165"/>
      <c r="AV73" s="165"/>
      <c r="AW73" s="165"/>
      <c r="AX73" s="165"/>
      <c r="AY73" s="165"/>
      <c r="AZ73" s="165"/>
      <c r="BA73" s="165"/>
      <c r="BB73" s="170"/>
      <c r="BC73" s="165"/>
      <c r="BD73" s="165"/>
      <c r="BE73" s="165"/>
      <c r="BF73" s="165"/>
      <c r="BG73" s="165"/>
      <c r="BH73" s="165"/>
      <c r="BI73" s="165"/>
      <c r="BJ73" s="165"/>
      <c r="BK73" s="165"/>
      <c r="BL73" s="165"/>
      <c r="BM73" s="165"/>
      <c r="BN73" s="165"/>
      <c r="BO73" s="165"/>
      <c r="BP73" s="165"/>
      <c r="BQ73" s="165"/>
      <c r="BR73" s="165"/>
      <c r="BS73" s="165"/>
      <c r="BT73" s="165"/>
      <c r="BU73" s="165"/>
      <c r="BV73" s="165"/>
      <c r="BW73" s="165"/>
      <c r="BX73" s="165"/>
      <c r="BY73" s="165"/>
      <c r="BZ73" s="165"/>
      <c r="CA73" s="165"/>
      <c r="CB73" s="165"/>
      <c r="CC73" s="165"/>
      <c r="CD73" s="165"/>
      <c r="CE73" s="165"/>
      <c r="CF73" s="165"/>
      <c r="CG73" s="165"/>
      <c r="CH73" s="165"/>
      <c r="CI73" s="170"/>
      <c r="CJ73" s="165"/>
      <c r="CK73" s="165"/>
      <c r="CL73" s="165"/>
      <c r="CM73" s="165"/>
      <c r="CN73" s="170"/>
      <c r="CO73" s="165"/>
      <c r="CP73" s="165"/>
      <c r="CQ73" s="165"/>
    </row>
    <row r="74" spans="2:95" hidden="1" outlineLevel="1" x14ac:dyDescent="0.25">
      <c r="B74" s="156" t="str">
        <f>Table1[[#Headers],[Especificação]]</f>
        <v>Especificação</v>
      </c>
      <c r="C74" s="154" t="str">
        <f t="shared" si="7"/>
        <v>PROTECTION_INSRNC_ID</v>
      </c>
      <c r="D74" s="153" t="s">
        <v>1114</v>
      </c>
      <c r="E74" s="153" t="s">
        <v>1275</v>
      </c>
      <c r="G74" s="172">
        <f>INDEX(Table1[[Especificação]:[Total Testes]],MATCH(Sheet1!C74,Table1[CONCAT],0),MATCH(Sheet1!B74,Table1[[#Headers],[Especificação]:[Total Testes]],0))</f>
        <v>0</v>
      </c>
      <c r="H74" s="191">
        <f t="shared" si="10"/>
        <v>0</v>
      </c>
      <c r="I74" s="222"/>
      <c r="J74" s="170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  <c r="AD74" s="165"/>
      <c r="AE74" s="165"/>
      <c r="AF74" s="165"/>
      <c r="AG74" s="165"/>
      <c r="AH74" s="165"/>
      <c r="AI74" s="165"/>
      <c r="AJ74" s="165"/>
      <c r="AK74" s="165"/>
      <c r="AL74" s="165"/>
      <c r="AM74" s="165"/>
      <c r="AN74" s="165"/>
      <c r="AO74" s="165"/>
      <c r="AP74" s="165"/>
      <c r="AQ74" s="165"/>
      <c r="AR74" s="165"/>
      <c r="AS74" s="165"/>
      <c r="AT74" s="165"/>
      <c r="AU74" s="165"/>
      <c r="AV74" s="165"/>
      <c r="AW74" s="165"/>
      <c r="AX74" s="165"/>
      <c r="AY74" s="165"/>
      <c r="AZ74" s="165"/>
      <c r="BA74" s="165"/>
      <c r="BB74" s="170"/>
      <c r="BC74" s="165"/>
      <c r="BD74" s="165"/>
      <c r="BE74" s="165"/>
      <c r="BF74" s="165"/>
      <c r="BG74" s="165"/>
      <c r="BH74" s="165"/>
      <c r="BI74" s="165"/>
      <c r="BJ74" s="165"/>
      <c r="BK74" s="165"/>
      <c r="BL74" s="165"/>
      <c r="BM74" s="165"/>
      <c r="BN74" s="165"/>
      <c r="BO74" s="165"/>
      <c r="BP74" s="165"/>
      <c r="BQ74" s="165"/>
      <c r="BR74" s="165"/>
      <c r="BS74" s="165"/>
      <c r="BT74" s="165"/>
      <c r="BU74" s="165"/>
      <c r="BV74" s="165"/>
      <c r="BW74" s="165"/>
      <c r="BX74" s="165"/>
      <c r="BY74" s="165"/>
      <c r="BZ74" s="165"/>
      <c r="CA74" s="165"/>
      <c r="CB74" s="165"/>
      <c r="CC74" s="165"/>
      <c r="CD74" s="165"/>
      <c r="CE74" s="165"/>
      <c r="CF74" s="165"/>
      <c r="CG74" s="165"/>
      <c r="CH74" s="165"/>
      <c r="CI74" s="170"/>
      <c r="CJ74" s="165"/>
      <c r="CK74" s="165"/>
      <c r="CL74" s="165"/>
      <c r="CM74" s="165"/>
      <c r="CN74" s="170"/>
      <c r="CO74" s="165"/>
      <c r="CP74" s="165"/>
      <c r="CQ74" s="165"/>
    </row>
    <row r="75" spans="2:95" hidden="1" outlineLevel="1" x14ac:dyDescent="0.25">
      <c r="B75" s="156" t="str">
        <f>Table1[[#Headers],[Especificação]]</f>
        <v>Especificação</v>
      </c>
      <c r="C75" s="154" t="str">
        <f t="shared" si="7"/>
        <v>PROTECTION_TYP_HZRDS_INSRD</v>
      </c>
      <c r="D75" s="153" t="s">
        <v>1114</v>
      </c>
      <c r="E75" s="153" t="s">
        <v>1278</v>
      </c>
      <c r="G75" s="172">
        <f>INDEX(Table1[[Especificação]:[Total Testes]],MATCH(Sheet1!C75,Table1[CONCAT],0),MATCH(Sheet1!B75,Table1[[#Headers],[Especificação]:[Total Testes]],0))</f>
        <v>0</v>
      </c>
      <c r="H75" s="191">
        <f t="shared" si="10"/>
        <v>0</v>
      </c>
      <c r="I75" s="222"/>
      <c r="J75" s="170"/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  <c r="AA75" s="165"/>
      <c r="AB75" s="165"/>
      <c r="AC75" s="165"/>
      <c r="AD75" s="165"/>
      <c r="AE75" s="165"/>
      <c r="AF75" s="165"/>
      <c r="AG75" s="165"/>
      <c r="AH75" s="165"/>
      <c r="AI75" s="165"/>
      <c r="AJ75" s="165"/>
      <c r="AK75" s="165"/>
      <c r="AL75" s="165"/>
      <c r="AM75" s="165"/>
      <c r="AN75" s="165"/>
      <c r="AO75" s="165"/>
      <c r="AP75" s="165"/>
      <c r="AQ75" s="165"/>
      <c r="AR75" s="165"/>
      <c r="AS75" s="165"/>
      <c r="AT75" s="165"/>
      <c r="AU75" s="165"/>
      <c r="AV75" s="165"/>
      <c r="AW75" s="165"/>
      <c r="AX75" s="165"/>
      <c r="AY75" s="165"/>
      <c r="AZ75" s="165"/>
      <c r="BA75" s="165"/>
      <c r="BB75" s="170"/>
      <c r="BC75" s="165"/>
      <c r="BD75" s="165"/>
      <c r="BE75" s="165"/>
      <c r="BF75" s="165"/>
      <c r="BG75" s="165"/>
      <c r="BH75" s="165"/>
      <c r="BI75" s="165"/>
      <c r="BJ75" s="165"/>
      <c r="BK75" s="165"/>
      <c r="BL75" s="165"/>
      <c r="BM75" s="165"/>
      <c r="BN75" s="165"/>
      <c r="BO75" s="165"/>
      <c r="BP75" s="165"/>
      <c r="BQ75" s="165"/>
      <c r="BR75" s="165"/>
      <c r="BS75" s="165"/>
      <c r="BT75" s="165"/>
      <c r="BU75" s="165"/>
      <c r="BV75" s="165"/>
      <c r="BW75" s="165"/>
      <c r="BX75" s="165"/>
      <c r="BY75" s="165"/>
      <c r="BZ75" s="165"/>
      <c r="CA75" s="165"/>
      <c r="CB75" s="165"/>
      <c r="CC75" s="165"/>
      <c r="CD75" s="165"/>
      <c r="CE75" s="165"/>
      <c r="CF75" s="165"/>
      <c r="CG75" s="165"/>
      <c r="CH75" s="165"/>
      <c r="CI75" s="170"/>
      <c r="CJ75" s="165"/>
      <c r="CK75" s="165"/>
      <c r="CL75" s="165"/>
      <c r="CM75" s="165"/>
      <c r="CN75" s="170"/>
      <c r="CO75" s="165"/>
      <c r="CP75" s="165"/>
      <c r="CQ75" s="165"/>
    </row>
    <row r="76" spans="2:95" hidden="1" outlineLevel="1" x14ac:dyDescent="0.25">
      <c r="B76" s="156" t="str">
        <f>Table1[[#Headers],[Especificação]]</f>
        <v>Especificação</v>
      </c>
      <c r="C76" s="154" t="str">
        <f t="shared" si="7"/>
        <v>PROTECTION_AMNT_CVRD_INSRNC</v>
      </c>
      <c r="D76" s="153" t="s">
        <v>1114</v>
      </c>
      <c r="E76" s="153" t="s">
        <v>1281</v>
      </c>
      <c r="G76" s="172">
        <f>INDEX(Table1[[Especificação]:[Total Testes]],MATCH(Sheet1!C76,Table1[CONCAT],0),MATCH(Sheet1!B76,Table1[[#Headers],[Especificação]:[Total Testes]],0))</f>
        <v>0</v>
      </c>
      <c r="H76" s="191">
        <f t="shared" si="10"/>
        <v>0</v>
      </c>
      <c r="I76" s="222"/>
      <c r="J76" s="170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  <c r="AK76" s="165"/>
      <c r="AL76" s="165"/>
      <c r="AM76" s="165"/>
      <c r="AN76" s="165"/>
      <c r="AO76" s="165"/>
      <c r="AP76" s="165"/>
      <c r="AQ76" s="165"/>
      <c r="AR76" s="165"/>
      <c r="AS76" s="165"/>
      <c r="AT76" s="165"/>
      <c r="AU76" s="165"/>
      <c r="AV76" s="165"/>
      <c r="AW76" s="165"/>
      <c r="AX76" s="165"/>
      <c r="AY76" s="165"/>
      <c r="AZ76" s="165"/>
      <c r="BA76" s="165"/>
      <c r="BB76" s="170"/>
      <c r="BC76" s="165"/>
      <c r="BD76" s="165"/>
      <c r="BE76" s="165"/>
      <c r="BF76" s="165"/>
      <c r="BG76" s="165"/>
      <c r="BH76" s="165"/>
      <c r="BI76" s="165"/>
      <c r="BJ76" s="165"/>
      <c r="BK76" s="165"/>
      <c r="BL76" s="165"/>
      <c r="BM76" s="165"/>
      <c r="BN76" s="165"/>
      <c r="BO76" s="165"/>
      <c r="BP76" s="165"/>
      <c r="BQ76" s="165"/>
      <c r="BR76" s="165"/>
      <c r="BS76" s="165"/>
      <c r="BT76" s="165"/>
      <c r="BU76" s="165"/>
      <c r="BV76" s="165"/>
      <c r="BW76" s="165"/>
      <c r="BX76" s="165"/>
      <c r="BY76" s="165"/>
      <c r="BZ76" s="165"/>
      <c r="CA76" s="165"/>
      <c r="CB76" s="165"/>
      <c r="CC76" s="165"/>
      <c r="CD76" s="165"/>
      <c r="CE76" s="165"/>
      <c r="CF76" s="165"/>
      <c r="CG76" s="165"/>
      <c r="CH76" s="165"/>
      <c r="CI76" s="170"/>
      <c r="CJ76" s="165"/>
      <c r="CK76" s="165"/>
      <c r="CL76" s="165"/>
      <c r="CM76" s="165"/>
      <c r="CN76" s="170"/>
      <c r="CO76" s="165"/>
      <c r="CP76" s="165"/>
      <c r="CQ76" s="165"/>
    </row>
    <row r="77" spans="2:95" hidden="1" outlineLevel="1" x14ac:dyDescent="0.25">
      <c r="B77" s="156" t="str">
        <f>Table1[[#Headers],[Especificação]]</f>
        <v>Especificação</v>
      </c>
      <c r="C77" s="154" t="str">
        <f t="shared" si="7"/>
        <v>PROTECTION_DT_MTRTY_INSRNC</v>
      </c>
      <c r="D77" s="153" t="s">
        <v>1114</v>
      </c>
      <c r="E77" s="153" t="s">
        <v>1284</v>
      </c>
      <c r="G77" s="172">
        <f>INDEX(Table1[[Especificação]:[Total Testes]],MATCH(Sheet1!C77,Table1[CONCAT],0),MATCH(Sheet1!B77,Table1[[#Headers],[Especificação]:[Total Testes]],0))</f>
        <v>0</v>
      </c>
      <c r="H77" s="191">
        <f t="shared" si="10"/>
        <v>0</v>
      </c>
      <c r="I77" s="222"/>
      <c r="J77" s="170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  <c r="AA77" s="165"/>
      <c r="AB77" s="165"/>
      <c r="AC77" s="165"/>
      <c r="AD77" s="165"/>
      <c r="AE77" s="165"/>
      <c r="AF77" s="165"/>
      <c r="AG77" s="165"/>
      <c r="AH77" s="165"/>
      <c r="AI77" s="165"/>
      <c r="AJ77" s="165"/>
      <c r="AK77" s="165"/>
      <c r="AL77" s="165"/>
      <c r="AM77" s="165"/>
      <c r="AN77" s="165"/>
      <c r="AO77" s="165"/>
      <c r="AP77" s="165"/>
      <c r="AQ77" s="165"/>
      <c r="AR77" s="165"/>
      <c r="AS77" s="165"/>
      <c r="AT77" s="165"/>
      <c r="AU77" s="165"/>
      <c r="AV77" s="165"/>
      <c r="AW77" s="165"/>
      <c r="AX77" s="165"/>
      <c r="AY77" s="165"/>
      <c r="AZ77" s="165"/>
      <c r="BA77" s="165"/>
      <c r="BB77" s="170"/>
      <c r="BC77" s="165"/>
      <c r="BD77" s="165"/>
      <c r="BE77" s="165"/>
      <c r="BF77" s="165"/>
      <c r="BG77" s="165"/>
      <c r="BH77" s="165"/>
      <c r="BI77" s="165"/>
      <c r="BJ77" s="165"/>
      <c r="BK77" s="165"/>
      <c r="BL77" s="165"/>
      <c r="BM77" s="165"/>
      <c r="BN77" s="165"/>
      <c r="BO77" s="165"/>
      <c r="BP77" s="165"/>
      <c r="BQ77" s="165"/>
      <c r="BR77" s="165"/>
      <c r="BS77" s="165"/>
      <c r="BT77" s="165"/>
      <c r="BU77" s="165"/>
      <c r="BV77" s="165"/>
      <c r="BW77" s="165"/>
      <c r="BX77" s="165"/>
      <c r="BY77" s="165"/>
      <c r="BZ77" s="165"/>
      <c r="CA77" s="165"/>
      <c r="CB77" s="165"/>
      <c r="CC77" s="165"/>
      <c r="CD77" s="165"/>
      <c r="CE77" s="165"/>
      <c r="CF77" s="165"/>
      <c r="CG77" s="165"/>
      <c r="CH77" s="165"/>
      <c r="CI77" s="170"/>
      <c r="CJ77" s="165"/>
      <c r="CK77" s="165"/>
      <c r="CL77" s="165"/>
      <c r="CM77" s="165"/>
      <c r="CN77" s="170"/>
      <c r="CO77" s="165"/>
      <c r="CP77" s="165"/>
      <c r="CQ77" s="165"/>
    </row>
    <row r="78" spans="2:95" hidden="1" outlineLevel="1" x14ac:dyDescent="0.25">
      <c r="B78" s="156" t="str">
        <f>Table1[[#Headers],[Especificação]]</f>
        <v>Especificação</v>
      </c>
      <c r="C78" s="154" t="str">
        <f t="shared" si="7"/>
        <v>PROTECTION_FLG_FRST_HM</v>
      </c>
      <c r="D78" s="153" t="s">
        <v>1114</v>
      </c>
      <c r="E78" s="153" t="s">
        <v>1287</v>
      </c>
      <c r="G78" s="172">
        <f>INDEX(Table1[[Especificação]:[Total Testes]],MATCH(Sheet1!C78,Table1[CONCAT],0),MATCH(Sheet1!B78,Table1[[#Headers],[Especificação]:[Total Testes]],0))</f>
        <v>0</v>
      </c>
      <c r="H78" s="191">
        <f t="shared" si="10"/>
        <v>0</v>
      </c>
      <c r="I78" s="222"/>
      <c r="J78" s="170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  <c r="AA78" s="165"/>
      <c r="AB78" s="165"/>
      <c r="AC78" s="165"/>
      <c r="AD78" s="165"/>
      <c r="AE78" s="165"/>
      <c r="AF78" s="165"/>
      <c r="AG78" s="165"/>
      <c r="AH78" s="165"/>
      <c r="AI78" s="165"/>
      <c r="AJ78" s="165"/>
      <c r="AK78" s="165"/>
      <c r="AL78" s="165"/>
      <c r="AM78" s="165"/>
      <c r="AN78" s="165"/>
      <c r="AO78" s="165"/>
      <c r="AP78" s="165"/>
      <c r="AQ78" s="165"/>
      <c r="AR78" s="165"/>
      <c r="AS78" s="165"/>
      <c r="AT78" s="165"/>
      <c r="AU78" s="165"/>
      <c r="AV78" s="165"/>
      <c r="AW78" s="165"/>
      <c r="AX78" s="165"/>
      <c r="AY78" s="165"/>
      <c r="AZ78" s="165"/>
      <c r="BA78" s="165"/>
      <c r="BB78" s="170"/>
      <c r="BC78" s="165"/>
      <c r="BD78" s="165"/>
      <c r="BE78" s="165"/>
      <c r="BF78" s="165"/>
      <c r="BG78" s="165"/>
      <c r="BH78" s="165"/>
      <c r="BI78" s="165"/>
      <c r="BJ78" s="165"/>
      <c r="BK78" s="165"/>
      <c r="BL78" s="165"/>
      <c r="BM78" s="165"/>
      <c r="BN78" s="165"/>
      <c r="BO78" s="165"/>
      <c r="BP78" s="165"/>
      <c r="BQ78" s="165"/>
      <c r="BR78" s="165"/>
      <c r="BS78" s="165"/>
      <c r="BT78" s="165"/>
      <c r="BU78" s="165"/>
      <c r="BV78" s="165"/>
      <c r="BW78" s="165"/>
      <c r="BX78" s="165"/>
      <c r="BY78" s="165"/>
      <c r="BZ78" s="165"/>
      <c r="CA78" s="165"/>
      <c r="CB78" s="165"/>
      <c r="CC78" s="165"/>
      <c r="CD78" s="165"/>
      <c r="CE78" s="165"/>
      <c r="CF78" s="165"/>
      <c r="CG78" s="165"/>
      <c r="CH78" s="165"/>
      <c r="CI78" s="170"/>
      <c r="CJ78" s="165"/>
      <c r="CK78" s="165"/>
      <c r="CL78" s="165"/>
      <c r="CM78" s="165"/>
      <c r="CN78" s="170"/>
      <c r="CO78" s="165"/>
      <c r="CP78" s="165"/>
      <c r="CQ78" s="165"/>
    </row>
    <row r="79" spans="2:95" hidden="1" outlineLevel="1" x14ac:dyDescent="0.25">
      <c r="B79" s="156" t="str">
        <f>Table1[[#Headers],[Especificação]]</f>
        <v>Especificação</v>
      </c>
      <c r="C79" s="154" t="str">
        <f t="shared" si="7"/>
        <v>INSTRUMENT_INTRNL_SGMNT</v>
      </c>
      <c r="D79" s="153" t="s">
        <v>414</v>
      </c>
      <c r="E79" s="153" t="s">
        <v>50</v>
      </c>
      <c r="G79" s="172">
        <f>INDEX(Table1[[Especificação]:[Total Testes]],MATCH(Sheet1!C79,Table1[CONCAT],0),MATCH(Sheet1!B79,Table1[[#Headers],[Especificação]:[Total Testes]],0))</f>
        <v>2</v>
      </c>
      <c r="H79" s="191">
        <f t="shared" si="10"/>
        <v>0.25</v>
      </c>
      <c r="I79" s="222"/>
      <c r="J79" s="170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  <c r="AA79" s="165"/>
      <c r="AB79" s="165"/>
      <c r="AC79" s="165"/>
      <c r="AD79" s="165"/>
      <c r="AE79" s="165"/>
      <c r="AF79" s="165"/>
      <c r="AG79" s="165"/>
      <c r="AH79" s="165"/>
      <c r="AI79" s="165"/>
      <c r="AJ79" s="165"/>
      <c r="AK79" s="165"/>
      <c r="AL79" s="165"/>
      <c r="AM79" s="165"/>
      <c r="AN79" s="165"/>
      <c r="AO79" s="165"/>
      <c r="AP79" s="165"/>
      <c r="AQ79" s="165"/>
      <c r="AR79" s="165"/>
      <c r="AS79" s="165"/>
      <c r="AT79" s="165"/>
      <c r="AU79" s="165"/>
      <c r="AV79" s="165"/>
      <c r="AW79" s="165"/>
      <c r="AX79" s="165"/>
      <c r="AY79" s="165"/>
      <c r="AZ79" s="165"/>
      <c r="BA79" s="165"/>
      <c r="BB79" s="170"/>
      <c r="BC79" s="165"/>
      <c r="BD79" s="165"/>
      <c r="BE79" s="165"/>
      <c r="BF79" s="165"/>
      <c r="BG79" s="165"/>
      <c r="BH79" s="165"/>
      <c r="BI79" s="165"/>
      <c r="BJ79" s="165"/>
      <c r="BK79" s="165"/>
      <c r="BL79" s="165"/>
      <c r="BM79" s="165"/>
      <c r="BN79" s="165"/>
      <c r="BO79" s="165"/>
      <c r="BP79" s="165"/>
      <c r="BQ79" s="165"/>
      <c r="BR79" s="165"/>
      <c r="BS79" s="165"/>
      <c r="BT79" s="165"/>
      <c r="BU79" s="165"/>
      <c r="BV79" s="165"/>
      <c r="BW79" s="165"/>
      <c r="BX79" s="165"/>
      <c r="BY79" s="165"/>
      <c r="BZ79" s="165"/>
      <c r="CA79" s="165"/>
      <c r="CB79" s="165"/>
      <c r="CC79" s="165"/>
      <c r="CD79" s="165"/>
      <c r="CE79" s="165"/>
      <c r="CF79" s="165"/>
      <c r="CG79" s="165"/>
      <c r="CH79" s="165"/>
      <c r="CI79" s="170"/>
      <c r="CJ79" s="165"/>
      <c r="CK79" s="165"/>
      <c r="CL79" s="165"/>
      <c r="CM79" s="165"/>
      <c r="CN79" s="170"/>
      <c r="CO79" s="165"/>
      <c r="CP79" s="165"/>
      <c r="CQ79" s="165"/>
    </row>
    <row r="80" spans="2:95" hidden="1" outlineLevel="1" x14ac:dyDescent="0.25">
      <c r="B80" s="156" t="str">
        <f>Table1[[#Headers],[Especificação]]</f>
        <v>Especificação</v>
      </c>
      <c r="C80" s="154" t="str">
        <f t="shared" si="7"/>
        <v>INSTRUMENT_EAD</v>
      </c>
      <c r="D80" s="153" t="s">
        <v>414</v>
      </c>
      <c r="E80" s="153" t="s">
        <v>617</v>
      </c>
      <c r="G80" s="172">
        <f>INDEX(Table1[[Especificação]:[Total Testes]],MATCH(Sheet1!C80,Table1[CONCAT],0),MATCH(Sheet1!B80,Table1[[#Headers],[Especificação]:[Total Testes]],0))</f>
        <v>1</v>
      </c>
      <c r="H80" s="191">
        <f t="shared" si="10"/>
        <v>0.13</v>
      </c>
      <c r="I80" s="222"/>
      <c r="J80" s="170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  <c r="AD80" s="165"/>
      <c r="AE80" s="165"/>
      <c r="AF80" s="165"/>
      <c r="AG80" s="165"/>
      <c r="AH80" s="165"/>
      <c r="AI80" s="165"/>
      <c r="AJ80" s="165"/>
      <c r="AK80" s="165"/>
      <c r="AL80" s="165"/>
      <c r="AM80" s="165"/>
      <c r="AN80" s="165"/>
      <c r="AO80" s="165"/>
      <c r="AP80" s="165"/>
      <c r="AQ80" s="165"/>
      <c r="AR80" s="165"/>
      <c r="AS80" s="165"/>
      <c r="AT80" s="165"/>
      <c r="AU80" s="165"/>
      <c r="AV80" s="165"/>
      <c r="AW80" s="165"/>
      <c r="AX80" s="165"/>
      <c r="AY80" s="165"/>
      <c r="AZ80" s="165"/>
      <c r="BA80" s="165"/>
      <c r="BB80" s="170"/>
      <c r="BC80" s="165"/>
      <c r="BD80" s="165"/>
      <c r="BE80" s="165"/>
      <c r="BF80" s="165"/>
      <c r="BG80" s="165"/>
      <c r="BH80" s="165"/>
      <c r="BI80" s="165"/>
      <c r="BJ80" s="165"/>
      <c r="BK80" s="165"/>
      <c r="BL80" s="165"/>
      <c r="BM80" s="165"/>
      <c r="BN80" s="165"/>
      <c r="BO80" s="165"/>
      <c r="BP80" s="165"/>
      <c r="BQ80" s="165"/>
      <c r="BR80" s="165"/>
      <c r="BS80" s="165"/>
      <c r="BT80" s="165"/>
      <c r="BU80" s="165"/>
      <c r="BV80" s="165"/>
      <c r="BW80" s="165"/>
      <c r="BX80" s="165"/>
      <c r="BY80" s="165"/>
      <c r="BZ80" s="165"/>
      <c r="CA80" s="165"/>
      <c r="CB80" s="165"/>
      <c r="CC80" s="165"/>
      <c r="CD80" s="165"/>
      <c r="CE80" s="165"/>
      <c r="CF80" s="165"/>
      <c r="CG80" s="165"/>
      <c r="CH80" s="165"/>
      <c r="CI80" s="170"/>
      <c r="CJ80" s="165"/>
      <c r="CK80" s="165"/>
      <c r="CL80" s="165"/>
      <c r="CM80" s="165"/>
      <c r="CN80" s="170"/>
      <c r="CO80" s="165"/>
      <c r="CP80" s="165"/>
      <c r="CQ80" s="165"/>
    </row>
    <row r="81" spans="2:95" hidden="1" outlineLevel="1" x14ac:dyDescent="0.25">
      <c r="B81" s="156" t="str">
        <f>Table1[[#Headers],[Especificação]]</f>
        <v>Especificação</v>
      </c>
      <c r="C81" s="154" t="str">
        <f t="shared" si="7"/>
        <v>INSTRUMENT_OFF_BLNC_SHT_AMNT_INSTRMNT</v>
      </c>
      <c r="D81" s="153" t="s">
        <v>414</v>
      </c>
      <c r="E81" s="153" t="s">
        <v>629</v>
      </c>
      <c r="G81" s="172">
        <f>INDEX(Table1[[Especificação]:[Total Testes]],MATCH(Sheet1!C81,Table1[CONCAT],0),MATCH(Sheet1!B81,Table1[[#Headers],[Especificação]:[Total Testes]],0))</f>
        <v>2</v>
      </c>
      <c r="H81" s="191">
        <f t="shared" si="10"/>
        <v>0.25</v>
      </c>
      <c r="I81" s="222"/>
      <c r="J81" s="170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  <c r="AD81" s="165"/>
      <c r="AE81" s="165"/>
      <c r="AF81" s="165"/>
      <c r="AG81" s="165"/>
      <c r="AH81" s="165"/>
      <c r="AI81" s="165"/>
      <c r="AJ81" s="165"/>
      <c r="AK81" s="165"/>
      <c r="AL81" s="165"/>
      <c r="AM81" s="165"/>
      <c r="AN81" s="165"/>
      <c r="AO81" s="165"/>
      <c r="AP81" s="165"/>
      <c r="AQ81" s="165"/>
      <c r="AR81" s="165"/>
      <c r="AS81" s="165"/>
      <c r="AT81" s="165"/>
      <c r="AU81" s="165"/>
      <c r="AV81" s="165"/>
      <c r="AW81" s="165"/>
      <c r="AX81" s="165"/>
      <c r="AY81" s="165"/>
      <c r="AZ81" s="165"/>
      <c r="BA81" s="165"/>
      <c r="BB81" s="170"/>
      <c r="BC81" s="165"/>
      <c r="BD81" s="165"/>
      <c r="BE81" s="165"/>
      <c r="BF81" s="165"/>
      <c r="BG81" s="165"/>
      <c r="BH81" s="165"/>
      <c r="BI81" s="165"/>
      <c r="BJ81" s="165"/>
      <c r="BK81" s="165"/>
      <c r="BL81" s="165"/>
      <c r="BM81" s="165"/>
      <c r="BN81" s="165"/>
      <c r="BO81" s="165"/>
      <c r="BP81" s="165"/>
      <c r="BQ81" s="165"/>
      <c r="BR81" s="165"/>
      <c r="BS81" s="165"/>
      <c r="BT81" s="165"/>
      <c r="BU81" s="165"/>
      <c r="BV81" s="165"/>
      <c r="BW81" s="165"/>
      <c r="BX81" s="165"/>
      <c r="BY81" s="165"/>
      <c r="BZ81" s="165"/>
      <c r="CA81" s="165"/>
      <c r="CB81" s="165"/>
      <c r="CC81" s="165"/>
      <c r="CD81" s="165"/>
      <c r="CE81" s="165"/>
      <c r="CF81" s="165"/>
      <c r="CG81" s="165"/>
      <c r="CH81" s="165"/>
      <c r="CI81" s="170"/>
      <c r="CJ81" s="165"/>
      <c r="CK81" s="165"/>
      <c r="CL81" s="165"/>
      <c r="CM81" s="165"/>
      <c r="CN81" s="170"/>
      <c r="CO81" s="165"/>
      <c r="CP81" s="165"/>
      <c r="CQ81" s="165"/>
    </row>
    <row r="82" spans="2:95" hidden="1" outlineLevel="1" x14ac:dyDescent="0.25">
      <c r="B82" s="156" t="str">
        <f>Table1[[#Headers],[Especificação]]</f>
        <v>Especificação</v>
      </c>
      <c r="C82" s="154" t="str">
        <f t="shared" ref="C82:C86" si="11">D82&amp;"_"&amp;E82</f>
        <v>INSTRUMENT_INTRNL_SGMNT_CAT_MSTA</v>
      </c>
      <c r="D82" s="153" t="s">
        <v>414</v>
      </c>
      <c r="E82" s="153" t="s">
        <v>943</v>
      </c>
      <c r="G82" s="172">
        <f>INDEX(Table1[[Especificação]:[Total Testes]],MATCH(Sheet1!C82,Table1[CONCAT],0),MATCH(Sheet1!B82,Table1[[#Headers],[Especificação]:[Total Testes]],0))</f>
        <v>2</v>
      </c>
      <c r="H82" s="191">
        <f t="shared" si="10"/>
        <v>0.25</v>
      </c>
      <c r="I82" s="222"/>
      <c r="J82" s="170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  <c r="AA82" s="165"/>
      <c r="AB82" s="165"/>
      <c r="AC82" s="165"/>
      <c r="AD82" s="165"/>
      <c r="AE82" s="165"/>
      <c r="AF82" s="165"/>
      <c r="AG82" s="165"/>
      <c r="AH82" s="165"/>
      <c r="AI82" s="165"/>
      <c r="AJ82" s="165"/>
      <c r="AK82" s="165"/>
      <c r="AL82" s="165"/>
      <c r="AM82" s="165"/>
      <c r="AN82" s="165"/>
      <c r="AO82" s="165"/>
      <c r="AP82" s="165"/>
      <c r="AQ82" s="165"/>
      <c r="AR82" s="165"/>
      <c r="AS82" s="165"/>
      <c r="AT82" s="165"/>
      <c r="AU82" s="165"/>
      <c r="AV82" s="165"/>
      <c r="AW82" s="165"/>
      <c r="AX82" s="165"/>
      <c r="AY82" s="165"/>
      <c r="AZ82" s="165"/>
      <c r="BA82" s="165"/>
      <c r="BB82" s="170"/>
      <c r="BC82" s="165"/>
      <c r="BD82" s="165"/>
      <c r="BE82" s="165"/>
      <c r="BF82" s="165"/>
      <c r="BG82" s="165"/>
      <c r="BH82" s="165"/>
      <c r="BI82" s="165"/>
      <c r="BJ82" s="165"/>
      <c r="BK82" s="165"/>
      <c r="BL82" s="165"/>
      <c r="BM82" s="165"/>
      <c r="BN82" s="165"/>
      <c r="BO82" s="165"/>
      <c r="BP82" s="165"/>
      <c r="BQ82" s="165"/>
      <c r="BR82" s="165"/>
      <c r="BS82" s="165"/>
      <c r="BT82" s="165"/>
      <c r="BU82" s="165"/>
      <c r="BV82" s="165"/>
      <c r="BW82" s="165"/>
      <c r="BX82" s="165"/>
      <c r="BY82" s="165"/>
      <c r="BZ82" s="165"/>
      <c r="CA82" s="165"/>
      <c r="CB82" s="165"/>
      <c r="CC82" s="165"/>
      <c r="CD82" s="165"/>
      <c r="CE82" s="165"/>
      <c r="CF82" s="165"/>
      <c r="CG82" s="165"/>
      <c r="CH82" s="165"/>
      <c r="CI82" s="170"/>
      <c r="CJ82" s="165"/>
      <c r="CK82" s="165"/>
      <c r="CL82" s="165"/>
      <c r="CM82" s="165"/>
      <c r="CN82" s="170"/>
      <c r="CO82" s="165"/>
      <c r="CP82" s="165"/>
      <c r="CQ82" s="165"/>
    </row>
    <row r="83" spans="2:95" hidden="1" outlineLevel="1" x14ac:dyDescent="0.25">
      <c r="B83" s="156" t="str">
        <f>Table1[[#Headers],[Especificação]]</f>
        <v>Especificação</v>
      </c>
      <c r="C83" s="154" t="str">
        <f t="shared" si="11"/>
        <v>INSTRUMENT_INTRNL_SGMNT_CATGSUB</v>
      </c>
      <c r="D83" s="153" t="s">
        <v>414</v>
      </c>
      <c r="E83" s="153" t="s">
        <v>946</v>
      </c>
      <c r="G83" s="172">
        <f>INDEX(Table1[[Especificação]:[Total Testes]],MATCH(Sheet1!C83,Table1[CONCAT],0),MATCH(Sheet1!B83,Table1[[#Headers],[Especificação]:[Total Testes]],0))</f>
        <v>2</v>
      </c>
      <c r="H83" s="191">
        <f t="shared" si="10"/>
        <v>0.25</v>
      </c>
      <c r="I83" s="222"/>
      <c r="J83" s="170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  <c r="AK83" s="165"/>
      <c r="AL83" s="165"/>
      <c r="AM83" s="165"/>
      <c r="AN83" s="165"/>
      <c r="AO83" s="165"/>
      <c r="AP83" s="165"/>
      <c r="AQ83" s="165"/>
      <c r="AR83" s="165"/>
      <c r="AS83" s="165"/>
      <c r="AT83" s="165"/>
      <c r="AU83" s="165"/>
      <c r="AV83" s="165"/>
      <c r="AW83" s="165"/>
      <c r="AX83" s="165"/>
      <c r="AY83" s="165"/>
      <c r="AZ83" s="165"/>
      <c r="BA83" s="165"/>
      <c r="BB83" s="170"/>
      <c r="BC83" s="165"/>
      <c r="BD83" s="165"/>
      <c r="BE83" s="165"/>
      <c r="BF83" s="165"/>
      <c r="BG83" s="165"/>
      <c r="BH83" s="165"/>
      <c r="BI83" s="165"/>
      <c r="BJ83" s="165"/>
      <c r="BK83" s="165"/>
      <c r="BL83" s="165"/>
      <c r="BM83" s="165"/>
      <c r="BN83" s="165"/>
      <c r="BO83" s="165"/>
      <c r="BP83" s="165"/>
      <c r="BQ83" s="165"/>
      <c r="BR83" s="165"/>
      <c r="BS83" s="165"/>
      <c r="BT83" s="165"/>
      <c r="BU83" s="165"/>
      <c r="BV83" s="165"/>
      <c r="BW83" s="165"/>
      <c r="BX83" s="165"/>
      <c r="BY83" s="165"/>
      <c r="BZ83" s="165"/>
      <c r="CA83" s="165"/>
      <c r="CB83" s="165"/>
      <c r="CC83" s="165"/>
      <c r="CD83" s="165"/>
      <c r="CE83" s="165"/>
      <c r="CF83" s="165"/>
      <c r="CG83" s="165"/>
      <c r="CH83" s="165"/>
      <c r="CI83" s="170"/>
      <c r="CJ83" s="165"/>
      <c r="CK83" s="165"/>
      <c r="CL83" s="165"/>
      <c r="CM83" s="165"/>
      <c r="CN83" s="170"/>
      <c r="CO83" s="165"/>
      <c r="CP83" s="165"/>
      <c r="CQ83" s="165"/>
    </row>
    <row r="84" spans="2:95" hidden="1" outlineLevel="1" x14ac:dyDescent="0.25">
      <c r="B84" s="156" t="str">
        <f>Table1[[#Headers],[Especificação]]</f>
        <v>Especificação</v>
      </c>
      <c r="C84" s="154" t="str">
        <f t="shared" si="11"/>
        <v>PROTECTION_RL_ESTT_ADDRSS</v>
      </c>
      <c r="D84" s="153" t="s">
        <v>1114</v>
      </c>
      <c r="E84" s="153" t="s">
        <v>1127</v>
      </c>
      <c r="G84" s="172">
        <f>INDEX(Table1[[Especificação]:[Total Testes]],MATCH(Sheet1!C84,Table1[CONCAT],0),MATCH(Sheet1!B84,Table1[[#Headers],[Especificação]:[Total Testes]],0))</f>
        <v>2</v>
      </c>
      <c r="H84" s="191">
        <f t="shared" si="10"/>
        <v>0.25</v>
      </c>
      <c r="I84" s="222"/>
      <c r="J84" s="170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  <c r="AA84" s="165"/>
      <c r="AB84" s="165"/>
      <c r="AC84" s="165"/>
      <c r="AD84" s="165"/>
      <c r="AE84" s="165"/>
      <c r="AF84" s="165"/>
      <c r="AG84" s="165"/>
      <c r="AH84" s="165"/>
      <c r="AI84" s="165"/>
      <c r="AJ84" s="165"/>
      <c r="AK84" s="165"/>
      <c r="AL84" s="165"/>
      <c r="AM84" s="165"/>
      <c r="AN84" s="165"/>
      <c r="AO84" s="165"/>
      <c r="AP84" s="165"/>
      <c r="AQ84" s="165"/>
      <c r="AR84" s="165"/>
      <c r="AS84" s="165"/>
      <c r="AT84" s="165"/>
      <c r="AU84" s="165"/>
      <c r="AV84" s="165"/>
      <c r="AW84" s="165"/>
      <c r="AX84" s="165"/>
      <c r="AY84" s="165"/>
      <c r="AZ84" s="165"/>
      <c r="BA84" s="165"/>
      <c r="BB84" s="170"/>
      <c r="BC84" s="165"/>
      <c r="BD84" s="165"/>
      <c r="BE84" s="165"/>
      <c r="BF84" s="165"/>
      <c r="BG84" s="165"/>
      <c r="BH84" s="165"/>
      <c r="BI84" s="165"/>
      <c r="BJ84" s="165"/>
      <c r="BK84" s="165"/>
      <c r="BL84" s="165"/>
      <c r="BM84" s="165"/>
      <c r="BN84" s="165"/>
      <c r="BO84" s="165"/>
      <c r="BP84" s="165"/>
      <c r="BQ84" s="165"/>
      <c r="BR84" s="165"/>
      <c r="BS84" s="165"/>
      <c r="BT84" s="165"/>
      <c r="BU84" s="165"/>
      <c r="BV84" s="165"/>
      <c r="BW84" s="165"/>
      <c r="BX84" s="165"/>
      <c r="BY84" s="165"/>
      <c r="BZ84" s="165"/>
      <c r="CA84" s="165"/>
      <c r="CB84" s="165"/>
      <c r="CC84" s="165"/>
      <c r="CD84" s="165"/>
      <c r="CE84" s="165"/>
      <c r="CF84" s="165"/>
      <c r="CG84" s="165"/>
      <c r="CH84" s="165"/>
      <c r="CI84" s="170"/>
      <c r="CJ84" s="165"/>
      <c r="CK84" s="165"/>
      <c r="CL84" s="165"/>
      <c r="CM84" s="165"/>
      <c r="CN84" s="170"/>
      <c r="CO84" s="165"/>
      <c r="CP84" s="165"/>
      <c r="CQ84" s="165"/>
    </row>
    <row r="85" spans="2:95" hidden="1" outlineLevel="1" x14ac:dyDescent="0.25">
      <c r="B85" s="156" t="str">
        <f>Table1[[#Headers],[Especificação]]</f>
        <v>Especificação</v>
      </c>
      <c r="C85" s="154" t="str">
        <f t="shared" si="11"/>
        <v>PROTECTION_RL_ESTT_CLLTRL_LCTN_INT</v>
      </c>
      <c r="D85" s="153" t="s">
        <v>1114</v>
      </c>
      <c r="E85" s="153" t="s">
        <v>1133</v>
      </c>
      <c r="G85" s="172">
        <f>INDEX(Table1[[Especificação]:[Total Testes]],MATCH(Sheet1!C85,Table1[CONCAT],0),MATCH(Sheet1!B85,Table1[[#Headers],[Especificação]:[Total Testes]],0))</f>
        <v>2</v>
      </c>
      <c r="H85" s="191">
        <f t="shared" si="10"/>
        <v>0.25</v>
      </c>
      <c r="I85" s="222"/>
      <c r="J85" s="170"/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  <c r="AA85" s="165"/>
      <c r="AB85" s="165"/>
      <c r="AC85" s="165"/>
      <c r="AD85" s="165"/>
      <c r="AE85" s="165"/>
      <c r="AF85" s="165"/>
      <c r="AG85" s="165"/>
      <c r="AH85" s="165"/>
      <c r="AI85" s="165"/>
      <c r="AJ85" s="165"/>
      <c r="AK85" s="165"/>
      <c r="AL85" s="165"/>
      <c r="AM85" s="165"/>
      <c r="AN85" s="165"/>
      <c r="AO85" s="165"/>
      <c r="AP85" s="165"/>
      <c r="AQ85" s="165"/>
      <c r="AR85" s="165"/>
      <c r="AS85" s="165"/>
      <c r="AT85" s="165"/>
      <c r="AU85" s="165"/>
      <c r="AV85" s="165"/>
      <c r="AW85" s="165"/>
      <c r="AX85" s="165"/>
      <c r="AY85" s="165"/>
      <c r="AZ85" s="165"/>
      <c r="BA85" s="165"/>
      <c r="BB85" s="170"/>
      <c r="BC85" s="165"/>
      <c r="BD85" s="165"/>
      <c r="BE85" s="165"/>
      <c r="BF85" s="165"/>
      <c r="BG85" s="165"/>
      <c r="BH85" s="165"/>
      <c r="BI85" s="165"/>
      <c r="BJ85" s="165"/>
      <c r="BK85" s="165"/>
      <c r="BL85" s="165"/>
      <c r="BM85" s="165"/>
      <c r="BN85" s="165"/>
      <c r="BO85" s="165"/>
      <c r="BP85" s="165"/>
      <c r="BQ85" s="165"/>
      <c r="BR85" s="165"/>
      <c r="BS85" s="165"/>
      <c r="BT85" s="165"/>
      <c r="BU85" s="165"/>
      <c r="BV85" s="165"/>
      <c r="BW85" s="165"/>
      <c r="BX85" s="165"/>
      <c r="BY85" s="165"/>
      <c r="BZ85" s="165"/>
      <c r="CA85" s="165"/>
      <c r="CB85" s="165"/>
      <c r="CC85" s="165"/>
      <c r="CD85" s="165"/>
      <c r="CE85" s="165"/>
      <c r="CF85" s="165"/>
      <c r="CG85" s="165"/>
      <c r="CH85" s="165"/>
      <c r="CI85" s="170"/>
      <c r="CJ85" s="165"/>
      <c r="CK85" s="165"/>
      <c r="CL85" s="165"/>
      <c r="CM85" s="165"/>
      <c r="CN85" s="170"/>
      <c r="CO85" s="165"/>
      <c r="CP85" s="165"/>
      <c r="CQ85" s="165"/>
    </row>
    <row r="86" spans="2:95" hidden="1" outlineLevel="1" x14ac:dyDescent="0.25">
      <c r="B86" s="156" t="str">
        <f>Table1[[#Headers],[Especificação]]</f>
        <v>Especificação</v>
      </c>
      <c r="C86" s="154" t="str">
        <f t="shared" si="11"/>
        <v>PROTECTION_RL_ESTT_CTY</v>
      </c>
      <c r="D86" s="153" t="s">
        <v>1114</v>
      </c>
      <c r="E86" s="153" t="s">
        <v>1136</v>
      </c>
      <c r="G86" s="172">
        <f>INDEX(Table1[[Especificação]:[Total Testes]],MATCH(Sheet1!C86,Table1[CONCAT],0),MATCH(Sheet1!B86,Table1[[#Headers],[Especificação]:[Total Testes]],0))</f>
        <v>2</v>
      </c>
      <c r="H86" s="191">
        <f t="shared" si="10"/>
        <v>0.25</v>
      </c>
      <c r="I86" s="222"/>
      <c r="J86" s="170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  <c r="AA86" s="165"/>
      <c r="AB86" s="165"/>
      <c r="AC86" s="165"/>
      <c r="AD86" s="165"/>
      <c r="AE86" s="165"/>
      <c r="AF86" s="165"/>
      <c r="AG86" s="165"/>
      <c r="AH86" s="165"/>
      <c r="AI86" s="165"/>
      <c r="AJ86" s="165"/>
      <c r="AK86" s="165"/>
      <c r="AL86" s="165"/>
      <c r="AM86" s="165"/>
      <c r="AN86" s="165"/>
      <c r="AO86" s="165"/>
      <c r="AP86" s="165"/>
      <c r="AQ86" s="165"/>
      <c r="AR86" s="165"/>
      <c r="AS86" s="165"/>
      <c r="AT86" s="165"/>
      <c r="AU86" s="165"/>
      <c r="AV86" s="165"/>
      <c r="AW86" s="165"/>
      <c r="AX86" s="165"/>
      <c r="AY86" s="165"/>
      <c r="AZ86" s="165"/>
      <c r="BA86" s="165"/>
      <c r="BB86" s="170"/>
      <c r="BC86" s="165"/>
      <c r="BD86" s="165"/>
      <c r="BE86" s="165"/>
      <c r="BF86" s="165"/>
      <c r="BG86" s="165"/>
      <c r="BH86" s="165"/>
      <c r="BI86" s="165"/>
      <c r="BJ86" s="165"/>
      <c r="BK86" s="165"/>
      <c r="BL86" s="165"/>
      <c r="BM86" s="165"/>
      <c r="BN86" s="165"/>
      <c r="BO86" s="165"/>
      <c r="BP86" s="165"/>
      <c r="BQ86" s="165"/>
      <c r="BR86" s="165"/>
      <c r="BS86" s="165"/>
      <c r="BT86" s="165"/>
      <c r="BU86" s="165"/>
      <c r="BV86" s="165"/>
      <c r="BW86" s="165"/>
      <c r="BX86" s="165"/>
      <c r="BY86" s="165"/>
      <c r="BZ86" s="165"/>
      <c r="CA86" s="165"/>
      <c r="CB86" s="165"/>
      <c r="CC86" s="165"/>
      <c r="CD86" s="165"/>
      <c r="CE86" s="165"/>
      <c r="CF86" s="165"/>
      <c r="CG86" s="165"/>
      <c r="CH86" s="165"/>
      <c r="CI86" s="170"/>
      <c r="CJ86" s="165"/>
      <c r="CK86" s="165"/>
      <c r="CL86" s="165"/>
      <c r="CM86" s="165"/>
      <c r="CN86" s="170"/>
      <c r="CO86" s="165"/>
      <c r="CP86" s="165"/>
      <c r="CQ86" s="165"/>
    </row>
    <row r="87" spans="2:95" collapsed="1" x14ac:dyDescent="0.25">
      <c r="B87" s="156"/>
      <c r="C87" s="211" t="s">
        <v>1722</v>
      </c>
      <c r="D87" s="178"/>
      <c r="E87" s="179"/>
      <c r="F87" s="205">
        <f>COUNTA(E88:E155)</f>
        <v>68</v>
      </c>
      <c r="G87" s="205">
        <f>SUM(G88:G155)</f>
        <v>77.5</v>
      </c>
      <c r="H87" s="208">
        <f>ROUND(SUM(H88:H155),1)</f>
        <v>9.8000000000000007</v>
      </c>
      <c r="I87" s="222">
        <f t="shared" si="9"/>
        <v>16</v>
      </c>
      <c r="J87" s="170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  <c r="AD87" s="165"/>
      <c r="AE87" s="165"/>
      <c r="AF87" s="165"/>
      <c r="AG87" s="165"/>
      <c r="AH87" s="165"/>
      <c r="AI87" s="165"/>
      <c r="AJ87" s="165"/>
      <c r="AK87" s="165">
        <v>1.5</v>
      </c>
      <c r="AL87" s="165">
        <v>2</v>
      </c>
      <c r="AM87" s="165">
        <v>2</v>
      </c>
      <c r="AN87" s="165">
        <v>2</v>
      </c>
      <c r="AO87" s="165">
        <v>2</v>
      </c>
      <c r="AP87" s="165">
        <v>2</v>
      </c>
      <c r="AQ87" s="165">
        <v>2</v>
      </c>
      <c r="AR87" s="165">
        <v>2</v>
      </c>
      <c r="AS87" s="165">
        <v>2</v>
      </c>
      <c r="AT87" s="165">
        <v>2</v>
      </c>
      <c r="AU87" s="165">
        <v>2</v>
      </c>
      <c r="AV87" s="165">
        <v>2</v>
      </c>
      <c r="AW87" s="165">
        <v>2</v>
      </c>
      <c r="AX87" s="165">
        <v>0.3</v>
      </c>
      <c r="AY87" s="165"/>
      <c r="AZ87" s="165"/>
      <c r="BA87" s="165"/>
      <c r="BB87" s="170"/>
      <c r="BC87" s="165"/>
      <c r="BD87" s="165"/>
      <c r="BE87" s="165"/>
      <c r="BF87" s="165"/>
      <c r="BG87" s="165"/>
      <c r="BH87" s="165"/>
      <c r="BI87" s="165"/>
      <c r="BJ87" s="165"/>
      <c r="BK87" s="165"/>
      <c r="BL87" s="165"/>
      <c r="BM87" s="165"/>
      <c r="BN87" s="165"/>
      <c r="BO87" s="165"/>
      <c r="BP87" s="165"/>
      <c r="BQ87" s="165"/>
      <c r="BR87" s="165"/>
      <c r="BS87" s="165"/>
      <c r="BT87" s="165"/>
      <c r="BU87" s="165"/>
      <c r="BV87" s="165"/>
      <c r="BW87" s="165"/>
      <c r="BX87" s="165"/>
      <c r="BY87" s="165"/>
      <c r="BZ87" s="165"/>
      <c r="CA87" s="165"/>
      <c r="CB87" s="165"/>
      <c r="CC87" s="165"/>
      <c r="CD87" s="165"/>
      <c r="CE87" s="165"/>
      <c r="CF87" s="165"/>
      <c r="CG87" s="165"/>
      <c r="CH87" s="165"/>
      <c r="CI87" s="170"/>
      <c r="CJ87" s="165"/>
      <c r="CK87" s="165"/>
      <c r="CL87" s="165"/>
      <c r="CM87" s="165"/>
      <c r="CN87" s="170"/>
      <c r="CO87" s="165"/>
      <c r="CP87" s="165"/>
      <c r="CQ87" s="165"/>
    </row>
    <row r="88" spans="2:95" hidden="1" outlineLevel="1" x14ac:dyDescent="0.25">
      <c r="B88" s="156" t="str">
        <f>Table1[[#Headers],[Simulação]]</f>
        <v>Simulação</v>
      </c>
      <c r="C88" s="154" t="str">
        <f t="shared" ref="C88:C151" si="12">D88&amp;"_"&amp;E88</f>
        <v>ENTITY_TXNMY_ELGBL_CAPEX_W</v>
      </c>
      <c r="D88" s="153" t="s">
        <v>10</v>
      </c>
      <c r="E88" s="153" t="s">
        <v>1402</v>
      </c>
      <c r="G88" s="172">
        <f>INDEX(Table1[[Especificação]:[Total Testes]],MATCH(Sheet1!C88,Table1[CONCAT],0),MATCH(Sheet1!B88,Table1[[#Headers],[Especificação]:[Total Testes]],0))</f>
        <v>6</v>
      </c>
      <c r="H88" s="191">
        <f t="shared" ref="H88:H151" si="13">ROUND(G88/8,2)</f>
        <v>0.75</v>
      </c>
      <c r="I88" s="222"/>
      <c r="J88" s="170"/>
      <c r="K88" s="165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165"/>
      <c r="AF88" s="165"/>
      <c r="AG88" s="165"/>
      <c r="AH88" s="165"/>
      <c r="AI88" s="165"/>
      <c r="AJ88" s="165"/>
      <c r="AK88" s="165"/>
      <c r="AL88" s="165"/>
      <c r="AM88" s="165"/>
      <c r="AN88" s="165"/>
      <c r="AO88" s="165"/>
      <c r="AP88" s="165"/>
      <c r="AQ88" s="165"/>
      <c r="AR88" s="165"/>
      <c r="AS88" s="165"/>
      <c r="AT88" s="165"/>
      <c r="AU88" s="165"/>
      <c r="AV88" s="165"/>
      <c r="AW88" s="165"/>
      <c r="AX88" s="165"/>
      <c r="AY88" s="165"/>
      <c r="AZ88" s="165"/>
      <c r="BA88" s="165"/>
      <c r="BB88" s="170"/>
      <c r="BC88" s="165"/>
      <c r="BD88" s="165"/>
      <c r="BE88" s="165"/>
      <c r="BF88" s="165"/>
      <c r="BG88" s="165"/>
      <c r="BH88" s="165"/>
      <c r="BI88" s="165"/>
      <c r="BJ88" s="165"/>
      <c r="BK88" s="165"/>
      <c r="BL88" s="165"/>
      <c r="BM88" s="165"/>
      <c r="BN88" s="165"/>
      <c r="BO88" s="165"/>
      <c r="BP88" s="165"/>
      <c r="BQ88" s="165"/>
      <c r="BR88" s="165"/>
      <c r="BS88" s="165"/>
      <c r="BT88" s="165"/>
      <c r="BU88" s="165"/>
      <c r="BV88" s="165"/>
      <c r="BW88" s="165"/>
      <c r="BX88" s="165"/>
      <c r="BY88" s="165"/>
      <c r="BZ88" s="165"/>
      <c r="CA88" s="165"/>
      <c r="CB88" s="165"/>
      <c r="CC88" s="165"/>
      <c r="CD88" s="165"/>
      <c r="CE88" s="165"/>
      <c r="CF88" s="165"/>
      <c r="CG88" s="165"/>
      <c r="CH88" s="165"/>
      <c r="CI88" s="170"/>
      <c r="CJ88" s="165"/>
      <c r="CK88" s="165"/>
      <c r="CL88" s="165"/>
      <c r="CM88" s="165"/>
      <c r="CN88" s="170"/>
      <c r="CO88" s="165"/>
      <c r="CP88" s="165"/>
      <c r="CQ88" s="165"/>
    </row>
    <row r="89" spans="2:95" hidden="1" outlineLevel="1" x14ac:dyDescent="0.25">
      <c r="B89" s="156" t="str">
        <f>Table1[[#Headers],[Simulação]]</f>
        <v>Simulação</v>
      </c>
      <c r="C89" s="154" t="str">
        <f t="shared" si="12"/>
        <v>ENTITY_TXNMY_ELGBL_TRNVR_W</v>
      </c>
      <c r="D89" s="153" t="s">
        <v>10</v>
      </c>
      <c r="E89" s="153" t="s">
        <v>1405</v>
      </c>
      <c r="G89" s="172">
        <f>INDEX(Table1[[Especificação]:[Total Testes]],MATCH(Sheet1!C89,Table1[CONCAT],0),MATCH(Sheet1!B89,Table1[[#Headers],[Especificação]:[Total Testes]],0))</f>
        <v>6</v>
      </c>
      <c r="H89" s="191">
        <f t="shared" si="13"/>
        <v>0.75</v>
      </c>
      <c r="I89" s="222"/>
      <c r="J89" s="170"/>
      <c r="K89" s="165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  <c r="AD89" s="165"/>
      <c r="AE89" s="165"/>
      <c r="AF89" s="165"/>
      <c r="AG89" s="165"/>
      <c r="AH89" s="165"/>
      <c r="AI89" s="165"/>
      <c r="AJ89" s="165"/>
      <c r="AK89" s="165"/>
      <c r="AL89" s="165"/>
      <c r="AM89" s="165"/>
      <c r="AN89" s="165"/>
      <c r="AO89" s="165"/>
      <c r="AP89" s="165"/>
      <c r="AQ89" s="165"/>
      <c r="AR89" s="165"/>
      <c r="AS89" s="165"/>
      <c r="AT89" s="165"/>
      <c r="AU89" s="165"/>
      <c r="AV89" s="165"/>
      <c r="AW89" s="165"/>
      <c r="AX89" s="165"/>
      <c r="AY89" s="165"/>
      <c r="AZ89" s="165"/>
      <c r="BA89" s="165"/>
      <c r="BB89" s="170"/>
      <c r="BC89" s="165"/>
      <c r="BD89" s="165"/>
      <c r="BE89" s="165"/>
      <c r="BF89" s="165"/>
      <c r="BG89" s="165"/>
      <c r="BH89" s="165"/>
      <c r="BI89" s="165"/>
      <c r="BJ89" s="165"/>
      <c r="BK89" s="165"/>
      <c r="BL89" s="165"/>
      <c r="BM89" s="165"/>
      <c r="BN89" s="165"/>
      <c r="BO89" s="165"/>
      <c r="BP89" s="165"/>
      <c r="BQ89" s="165"/>
      <c r="BR89" s="165"/>
      <c r="BS89" s="165"/>
      <c r="BT89" s="165"/>
      <c r="BU89" s="165"/>
      <c r="BV89" s="165"/>
      <c r="BW89" s="165"/>
      <c r="BX89" s="165"/>
      <c r="BY89" s="165"/>
      <c r="BZ89" s="165"/>
      <c r="CA89" s="165"/>
      <c r="CB89" s="165"/>
      <c r="CC89" s="165"/>
      <c r="CD89" s="165"/>
      <c r="CE89" s="165"/>
      <c r="CF89" s="165"/>
      <c r="CG89" s="165"/>
      <c r="CH89" s="165"/>
      <c r="CI89" s="170"/>
      <c r="CJ89" s="165"/>
      <c r="CK89" s="165"/>
      <c r="CL89" s="165"/>
      <c r="CM89" s="165"/>
      <c r="CN89" s="170"/>
      <c r="CO89" s="165"/>
      <c r="CP89" s="165"/>
      <c r="CQ89" s="165"/>
    </row>
    <row r="90" spans="2:95" hidden="1" outlineLevel="1" x14ac:dyDescent="0.25">
      <c r="B90" s="156" t="str">
        <f>Table1[[#Headers],[Simulação]]</f>
        <v>Simulação</v>
      </c>
      <c r="C90" s="154" t="str">
        <f t="shared" si="12"/>
        <v>ENTITY_TXNMY_ELGBL_CAPEX_P</v>
      </c>
      <c r="D90" s="153" t="s">
        <v>10</v>
      </c>
      <c r="E90" s="153" t="s">
        <v>1408</v>
      </c>
      <c r="G90" s="172">
        <f>INDEX(Table1[[Especificação]:[Total Testes]],MATCH(Sheet1!C90,Table1[CONCAT],0),MATCH(Sheet1!B90,Table1[[#Headers],[Especificação]:[Total Testes]],0))</f>
        <v>1</v>
      </c>
      <c r="H90" s="191">
        <f t="shared" si="13"/>
        <v>0.13</v>
      </c>
      <c r="I90" s="222"/>
      <c r="J90" s="170"/>
      <c r="K90" s="165"/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  <c r="AD90" s="165"/>
      <c r="AE90" s="165"/>
      <c r="AF90" s="165"/>
      <c r="AG90" s="165"/>
      <c r="AH90" s="165"/>
      <c r="AI90" s="165"/>
      <c r="AJ90" s="165"/>
      <c r="AK90" s="165"/>
      <c r="AL90" s="203"/>
      <c r="AM90" s="165"/>
      <c r="AN90" s="165"/>
      <c r="AO90" s="165"/>
      <c r="AP90" s="165"/>
      <c r="AQ90" s="165"/>
      <c r="AR90" s="165"/>
      <c r="AS90" s="165"/>
      <c r="AT90" s="165"/>
      <c r="AU90" s="165"/>
      <c r="AV90" s="165"/>
      <c r="AW90" s="165"/>
      <c r="AX90" s="165"/>
      <c r="AY90" s="165"/>
      <c r="AZ90" s="165"/>
      <c r="BA90" s="165"/>
      <c r="BB90" s="170"/>
      <c r="BC90" s="165"/>
      <c r="BD90" s="165"/>
      <c r="BE90" s="165"/>
      <c r="BF90" s="165"/>
      <c r="BG90" s="165"/>
      <c r="BH90" s="165"/>
      <c r="BI90" s="165"/>
      <c r="BJ90" s="165"/>
      <c r="BK90" s="165"/>
      <c r="BL90" s="165"/>
      <c r="BM90" s="165"/>
      <c r="BN90" s="165"/>
      <c r="BO90" s="165"/>
      <c r="BP90" s="165"/>
      <c r="BQ90" s="165"/>
      <c r="BR90" s="165"/>
      <c r="BS90" s="165"/>
      <c r="BT90" s="165"/>
      <c r="BU90" s="165"/>
      <c r="BV90" s="165"/>
      <c r="BW90" s="165"/>
      <c r="BX90" s="165"/>
      <c r="BY90" s="165"/>
      <c r="BZ90" s="165"/>
      <c r="CA90" s="165"/>
      <c r="CB90" s="165"/>
      <c r="CC90" s="165"/>
      <c r="CD90" s="165"/>
      <c r="CE90" s="165"/>
      <c r="CF90" s="165"/>
      <c r="CG90" s="165"/>
      <c r="CH90" s="165"/>
      <c r="CI90" s="170"/>
      <c r="CJ90" s="165"/>
      <c r="CK90" s="165"/>
      <c r="CL90" s="165"/>
      <c r="CM90" s="165"/>
      <c r="CN90" s="170"/>
      <c r="CO90" s="165"/>
      <c r="CP90" s="165"/>
      <c r="CQ90" s="165"/>
    </row>
    <row r="91" spans="2:95" hidden="1" outlineLevel="1" x14ac:dyDescent="0.25">
      <c r="B91" s="156" t="str">
        <f>Table1[[#Headers],[Simulação]]</f>
        <v>Simulação</v>
      </c>
      <c r="C91" s="154" t="str">
        <f t="shared" si="12"/>
        <v>ENTITY_TXNMY_ELGBL_TRNVR_P</v>
      </c>
      <c r="D91" s="153" t="s">
        <v>10</v>
      </c>
      <c r="E91" s="153" t="s">
        <v>1411</v>
      </c>
      <c r="G91" s="172">
        <f>INDEX(Table1[[Especificação]:[Total Testes]],MATCH(Sheet1!C91,Table1[CONCAT],0),MATCH(Sheet1!B91,Table1[[#Headers],[Especificação]:[Total Testes]],0))</f>
        <v>1</v>
      </c>
      <c r="H91" s="191">
        <f t="shared" si="13"/>
        <v>0.13</v>
      </c>
      <c r="I91" s="222"/>
      <c r="J91" s="170"/>
      <c r="K91" s="165"/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  <c r="AA91" s="165"/>
      <c r="AB91" s="165"/>
      <c r="AC91" s="165"/>
      <c r="AD91" s="165"/>
      <c r="AE91" s="165"/>
      <c r="AF91" s="165"/>
      <c r="AG91" s="165"/>
      <c r="AH91" s="165"/>
      <c r="AI91" s="165"/>
      <c r="AJ91" s="165"/>
      <c r="AK91" s="165"/>
      <c r="AL91" s="165"/>
      <c r="AM91" s="165"/>
      <c r="AN91" s="165"/>
      <c r="AO91" s="165"/>
      <c r="AP91" s="165"/>
      <c r="AQ91" s="165"/>
      <c r="AR91" s="165"/>
      <c r="AS91" s="165"/>
      <c r="AT91" s="165"/>
      <c r="AU91" s="165"/>
      <c r="AV91" s="165"/>
      <c r="AW91" s="165"/>
      <c r="AX91" s="165"/>
      <c r="AY91" s="165"/>
      <c r="AZ91" s="165"/>
      <c r="BA91" s="165"/>
      <c r="BB91" s="170"/>
      <c r="BC91" s="165"/>
      <c r="BD91" s="165"/>
      <c r="BE91" s="165"/>
      <c r="BF91" s="165"/>
      <c r="BG91" s="165"/>
      <c r="BH91" s="165"/>
      <c r="BI91" s="165"/>
      <c r="BJ91" s="165"/>
      <c r="BK91" s="165"/>
      <c r="BL91" s="165"/>
      <c r="BM91" s="165"/>
      <c r="BN91" s="165"/>
      <c r="BO91" s="165"/>
      <c r="BP91" s="165"/>
      <c r="BQ91" s="165"/>
      <c r="BR91" s="165"/>
      <c r="BS91" s="165"/>
      <c r="BT91" s="165"/>
      <c r="BU91" s="165"/>
      <c r="BV91" s="165"/>
      <c r="BW91" s="165"/>
      <c r="BX91" s="165"/>
      <c r="BY91" s="165"/>
      <c r="BZ91" s="165"/>
      <c r="CA91" s="165"/>
      <c r="CB91" s="165"/>
      <c r="CC91" s="165"/>
      <c r="CD91" s="165"/>
      <c r="CE91" s="165"/>
      <c r="CF91" s="165"/>
      <c r="CG91" s="165"/>
      <c r="CH91" s="165"/>
      <c r="CI91" s="170"/>
      <c r="CJ91" s="165"/>
      <c r="CK91" s="165"/>
      <c r="CL91" s="165"/>
      <c r="CM91" s="165"/>
      <c r="CN91" s="170"/>
      <c r="CO91" s="165"/>
      <c r="CP91" s="165"/>
      <c r="CQ91" s="165"/>
    </row>
    <row r="92" spans="2:95" hidden="1" outlineLevel="1" x14ac:dyDescent="0.25">
      <c r="B92" s="156" t="str">
        <f>Table1[[#Headers],[Simulação]]</f>
        <v>Simulação</v>
      </c>
      <c r="C92" s="154" t="str">
        <f t="shared" si="12"/>
        <v>ENTITY_TXNMY_ELGBL_CAPEX_B</v>
      </c>
      <c r="D92" s="153" t="s">
        <v>10</v>
      </c>
      <c r="E92" s="153" t="s">
        <v>1414</v>
      </c>
      <c r="G92" s="172">
        <f>INDEX(Table1[[Especificação]:[Total Testes]],MATCH(Sheet1!C92,Table1[CONCAT],0),MATCH(Sheet1!B92,Table1[[#Headers],[Especificação]:[Total Testes]],0))</f>
        <v>1</v>
      </c>
      <c r="H92" s="191">
        <f t="shared" si="13"/>
        <v>0.13</v>
      </c>
      <c r="I92" s="222"/>
      <c r="J92" s="170"/>
      <c r="K92" s="165"/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  <c r="AA92" s="165"/>
      <c r="AB92" s="165"/>
      <c r="AC92" s="165"/>
      <c r="AD92" s="165"/>
      <c r="AE92" s="165"/>
      <c r="AF92" s="165"/>
      <c r="AG92" s="165"/>
      <c r="AH92" s="165"/>
      <c r="AI92" s="165"/>
      <c r="AJ92" s="165"/>
      <c r="AK92" s="165"/>
      <c r="AL92" s="165"/>
      <c r="AM92" s="165"/>
      <c r="AN92" s="165"/>
      <c r="AO92" s="165"/>
      <c r="AP92" s="165"/>
      <c r="AQ92" s="165"/>
      <c r="AR92" s="165"/>
      <c r="AS92" s="165"/>
      <c r="AT92" s="165"/>
      <c r="AU92" s="165"/>
      <c r="AV92" s="165"/>
      <c r="AW92" s="165"/>
      <c r="AX92" s="165"/>
      <c r="AY92" s="165"/>
      <c r="AZ92" s="165"/>
      <c r="BA92" s="165"/>
      <c r="BB92" s="170"/>
      <c r="BC92" s="165"/>
      <c r="BD92" s="165"/>
      <c r="BE92" s="165"/>
      <c r="BF92" s="165"/>
      <c r="BG92" s="165"/>
      <c r="BH92" s="165"/>
      <c r="BI92" s="165"/>
      <c r="BJ92" s="165"/>
      <c r="BK92" s="165"/>
      <c r="BL92" s="165"/>
      <c r="BM92" s="165"/>
      <c r="BN92" s="165"/>
      <c r="BO92" s="165"/>
      <c r="BP92" s="165"/>
      <c r="BQ92" s="165"/>
      <c r="BR92" s="165"/>
      <c r="BS92" s="165"/>
      <c r="BT92" s="165"/>
      <c r="BU92" s="165"/>
      <c r="BV92" s="165"/>
      <c r="BW92" s="165"/>
      <c r="BX92" s="165"/>
      <c r="BY92" s="165"/>
      <c r="BZ92" s="165"/>
      <c r="CA92" s="165"/>
      <c r="CB92" s="165"/>
      <c r="CC92" s="165"/>
      <c r="CD92" s="165"/>
      <c r="CE92" s="165"/>
      <c r="CF92" s="165"/>
      <c r="CG92" s="165"/>
      <c r="CH92" s="165"/>
      <c r="CI92" s="170"/>
      <c r="CJ92" s="165"/>
      <c r="CK92" s="165"/>
      <c r="CL92" s="165"/>
      <c r="CM92" s="165"/>
      <c r="CN92" s="170"/>
      <c r="CO92" s="165"/>
      <c r="CP92" s="165"/>
      <c r="CQ92" s="165"/>
    </row>
    <row r="93" spans="2:95" hidden="1" outlineLevel="1" x14ac:dyDescent="0.25">
      <c r="B93" s="156" t="str">
        <f>Table1[[#Headers],[Simulação]]</f>
        <v>Simulação</v>
      </c>
      <c r="C93" s="154" t="str">
        <f t="shared" si="12"/>
        <v>ENTITY_TXNMY_ELGBL_TRNVR_B</v>
      </c>
      <c r="D93" s="153" t="s">
        <v>10</v>
      </c>
      <c r="E93" s="153" t="s">
        <v>1417</v>
      </c>
      <c r="G93" s="172">
        <f>INDEX(Table1[[Especificação]:[Total Testes]],MATCH(Sheet1!C93,Table1[CONCAT],0),MATCH(Sheet1!B93,Table1[[#Headers],[Especificação]:[Total Testes]],0))</f>
        <v>1</v>
      </c>
      <c r="H93" s="191">
        <f t="shared" si="13"/>
        <v>0.13</v>
      </c>
      <c r="I93" s="222"/>
      <c r="J93" s="170"/>
      <c r="K93" s="165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  <c r="AA93" s="165"/>
      <c r="AB93" s="165"/>
      <c r="AC93" s="165"/>
      <c r="AD93" s="165"/>
      <c r="AE93" s="165"/>
      <c r="AF93" s="165"/>
      <c r="AG93" s="165"/>
      <c r="AH93" s="165"/>
      <c r="AI93" s="165"/>
      <c r="AJ93" s="165"/>
      <c r="AK93" s="165"/>
      <c r="AL93" s="165"/>
      <c r="AM93" s="165"/>
      <c r="AN93" s="165"/>
      <c r="AO93" s="165"/>
      <c r="AP93" s="165"/>
      <c r="AQ93" s="165"/>
      <c r="AR93" s="165"/>
      <c r="AS93" s="165"/>
      <c r="AT93" s="165"/>
      <c r="AU93" s="165"/>
      <c r="AV93" s="165"/>
      <c r="AW93" s="165"/>
      <c r="AX93" s="165"/>
      <c r="AY93" s="165"/>
      <c r="AZ93" s="165"/>
      <c r="BA93" s="165"/>
      <c r="BB93" s="170"/>
      <c r="BC93" s="165"/>
      <c r="BD93" s="165"/>
      <c r="BE93" s="165"/>
      <c r="BF93" s="165"/>
      <c r="BG93" s="165"/>
      <c r="BH93" s="165"/>
      <c r="BI93" s="165"/>
      <c r="BJ93" s="165"/>
      <c r="BK93" s="165"/>
      <c r="BL93" s="165"/>
      <c r="BM93" s="165"/>
      <c r="BN93" s="165"/>
      <c r="BO93" s="165"/>
      <c r="BP93" s="165"/>
      <c r="BQ93" s="165"/>
      <c r="BR93" s="165"/>
      <c r="BS93" s="165"/>
      <c r="BT93" s="165"/>
      <c r="BU93" s="165"/>
      <c r="BV93" s="165"/>
      <c r="BW93" s="165"/>
      <c r="BX93" s="165"/>
      <c r="BY93" s="165"/>
      <c r="BZ93" s="165"/>
      <c r="CA93" s="165"/>
      <c r="CB93" s="165"/>
      <c r="CC93" s="165"/>
      <c r="CD93" s="165"/>
      <c r="CE93" s="165"/>
      <c r="CF93" s="165"/>
      <c r="CG93" s="165"/>
      <c r="CH93" s="165"/>
      <c r="CI93" s="170"/>
      <c r="CJ93" s="165"/>
      <c r="CK93" s="165"/>
      <c r="CL93" s="165"/>
      <c r="CM93" s="165"/>
      <c r="CN93" s="170"/>
      <c r="CO93" s="165"/>
      <c r="CP93" s="165"/>
      <c r="CQ93" s="165"/>
    </row>
    <row r="94" spans="2:95" hidden="1" outlineLevel="1" x14ac:dyDescent="0.25">
      <c r="B94" s="156" t="str">
        <f>Table1[[#Headers],[Simulação]]</f>
        <v>Simulação</v>
      </c>
      <c r="C94" s="154" t="str">
        <f t="shared" si="12"/>
        <v>ENTITY_TXNMY_ELGBL_CAPEX_CE</v>
      </c>
      <c r="D94" s="153" t="s">
        <v>10</v>
      </c>
      <c r="E94" s="153" t="s">
        <v>1420</v>
      </c>
      <c r="G94" s="172">
        <f>INDEX(Table1[[Especificação]:[Total Testes]],MATCH(Sheet1!C94,Table1[CONCAT],0),MATCH(Sheet1!B94,Table1[[#Headers],[Especificação]:[Total Testes]],0))</f>
        <v>1</v>
      </c>
      <c r="H94" s="191">
        <f t="shared" si="13"/>
        <v>0.13</v>
      </c>
      <c r="I94" s="222"/>
      <c r="J94" s="170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  <c r="AD94" s="165"/>
      <c r="AE94" s="165"/>
      <c r="AF94" s="165"/>
      <c r="AG94" s="165"/>
      <c r="AH94" s="165"/>
      <c r="AI94" s="165"/>
      <c r="AJ94" s="165"/>
      <c r="AK94" s="165"/>
      <c r="AL94" s="165"/>
      <c r="AM94" s="165"/>
      <c r="AN94" s="165"/>
      <c r="AO94" s="165"/>
      <c r="AP94" s="165"/>
      <c r="AQ94" s="165"/>
      <c r="AR94" s="165"/>
      <c r="AS94" s="165"/>
      <c r="AT94" s="165"/>
      <c r="AU94" s="165"/>
      <c r="AV94" s="165"/>
      <c r="AW94" s="165"/>
      <c r="AX94" s="165"/>
      <c r="AY94" s="165"/>
      <c r="AZ94" s="165"/>
      <c r="BA94" s="165"/>
      <c r="BB94" s="170"/>
      <c r="BC94" s="165"/>
      <c r="BD94" s="165"/>
      <c r="BE94" s="165"/>
      <c r="BF94" s="165"/>
      <c r="BG94" s="165"/>
      <c r="BH94" s="165"/>
      <c r="BI94" s="165"/>
      <c r="BJ94" s="165"/>
      <c r="BK94" s="165"/>
      <c r="BL94" s="165"/>
      <c r="BM94" s="165"/>
      <c r="BN94" s="165"/>
      <c r="BO94" s="165"/>
      <c r="BP94" s="165"/>
      <c r="BQ94" s="165"/>
      <c r="BR94" s="165"/>
      <c r="BS94" s="165"/>
      <c r="BT94" s="165"/>
      <c r="BU94" s="165"/>
      <c r="BV94" s="165"/>
      <c r="BW94" s="165"/>
      <c r="BX94" s="165"/>
      <c r="BY94" s="165"/>
      <c r="BZ94" s="165"/>
      <c r="CA94" s="165"/>
      <c r="CB94" s="165"/>
      <c r="CC94" s="165"/>
      <c r="CD94" s="165"/>
      <c r="CE94" s="165"/>
      <c r="CF94" s="165"/>
      <c r="CG94" s="165"/>
      <c r="CH94" s="165"/>
      <c r="CI94" s="170"/>
      <c r="CJ94" s="165"/>
      <c r="CK94" s="165"/>
      <c r="CL94" s="165"/>
      <c r="CM94" s="165"/>
      <c r="CN94" s="170"/>
      <c r="CO94" s="165"/>
      <c r="CP94" s="165"/>
      <c r="CQ94" s="165"/>
    </row>
    <row r="95" spans="2:95" hidden="1" outlineLevel="1" x14ac:dyDescent="0.25">
      <c r="B95" s="156" t="str">
        <f>Table1[[#Headers],[Simulação]]</f>
        <v>Simulação</v>
      </c>
      <c r="C95" s="154" t="str">
        <f t="shared" si="12"/>
        <v>ENTITY_TXNMY_ELGBL_TRNVR_CE</v>
      </c>
      <c r="D95" s="153" t="s">
        <v>10</v>
      </c>
      <c r="E95" s="155" t="s">
        <v>1423</v>
      </c>
      <c r="G95" s="172">
        <f>INDEX(Table1[[Especificação]:[Total Testes]],MATCH(Sheet1!C95,Table1[CONCAT],0),MATCH(Sheet1!B95,Table1[[#Headers],[Especificação]:[Total Testes]],0))</f>
        <v>1</v>
      </c>
      <c r="H95" s="191">
        <f t="shared" si="13"/>
        <v>0.13</v>
      </c>
      <c r="I95" s="222"/>
      <c r="J95" s="170"/>
      <c r="K95" s="165"/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  <c r="AA95" s="165"/>
      <c r="AB95" s="165"/>
      <c r="AC95" s="165"/>
      <c r="AD95" s="165"/>
      <c r="AE95" s="165"/>
      <c r="AF95" s="165"/>
      <c r="AG95" s="165"/>
      <c r="AH95" s="165"/>
      <c r="AI95" s="165"/>
      <c r="AJ95" s="165"/>
      <c r="AK95" s="165"/>
      <c r="AL95" s="165"/>
      <c r="AM95" s="165"/>
      <c r="AN95" s="165"/>
      <c r="AO95" s="165"/>
      <c r="AP95" s="165"/>
      <c r="AQ95" s="165"/>
      <c r="AR95" s="165"/>
      <c r="AS95" s="165"/>
      <c r="AT95" s="165"/>
      <c r="AU95" s="165"/>
      <c r="AV95" s="165"/>
      <c r="AW95" s="165"/>
      <c r="AX95" s="165"/>
      <c r="AY95" s="165"/>
      <c r="AZ95" s="165"/>
      <c r="BA95" s="165"/>
      <c r="BB95" s="170"/>
      <c r="BC95" s="165"/>
      <c r="BD95" s="165"/>
      <c r="BE95" s="165"/>
      <c r="BF95" s="165"/>
      <c r="BG95" s="165"/>
      <c r="BH95" s="165"/>
      <c r="BI95" s="165"/>
      <c r="BJ95" s="165"/>
      <c r="BK95" s="165"/>
      <c r="BL95" s="165"/>
      <c r="BM95" s="165"/>
      <c r="BN95" s="165"/>
      <c r="BO95" s="165"/>
      <c r="BP95" s="165"/>
      <c r="BQ95" s="165"/>
      <c r="BR95" s="165"/>
      <c r="BS95" s="165"/>
      <c r="BT95" s="165"/>
      <c r="BU95" s="165"/>
      <c r="BV95" s="165"/>
      <c r="BW95" s="165"/>
      <c r="BX95" s="165"/>
      <c r="BY95" s="165"/>
      <c r="BZ95" s="165"/>
      <c r="CA95" s="165"/>
      <c r="CB95" s="165"/>
      <c r="CC95" s="165"/>
      <c r="CD95" s="165"/>
      <c r="CE95" s="165"/>
      <c r="CF95" s="165"/>
      <c r="CG95" s="165"/>
      <c r="CH95" s="165"/>
      <c r="CI95" s="170"/>
      <c r="CJ95" s="165"/>
      <c r="CK95" s="165"/>
      <c r="CL95" s="165"/>
      <c r="CM95" s="165"/>
      <c r="CN95" s="170"/>
      <c r="CO95" s="165"/>
      <c r="CP95" s="165"/>
      <c r="CQ95" s="165"/>
    </row>
    <row r="96" spans="2:95" hidden="1" outlineLevel="1" x14ac:dyDescent="0.25">
      <c r="B96" s="156" t="str">
        <f>Table1[[#Headers],[Simulação]]</f>
        <v>Simulação</v>
      </c>
      <c r="C96" s="154" t="str">
        <f t="shared" si="12"/>
        <v>ENTITY_PURE_CAPEX_P</v>
      </c>
      <c r="D96" s="153" t="s">
        <v>10</v>
      </c>
      <c r="E96" s="153" t="s">
        <v>1426</v>
      </c>
      <c r="G96" s="172">
        <f>INDEX(Table1[[Especificação]:[Total Testes]],MATCH(Sheet1!C96,Table1[CONCAT],0),MATCH(Sheet1!B96,Table1[[#Headers],[Especificação]:[Total Testes]],0))</f>
        <v>1</v>
      </c>
      <c r="H96" s="191">
        <f t="shared" si="13"/>
        <v>0.13</v>
      </c>
      <c r="I96" s="222"/>
      <c r="J96" s="170"/>
      <c r="K96" s="165"/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  <c r="AE96" s="165"/>
      <c r="AF96" s="165"/>
      <c r="AG96" s="165"/>
      <c r="AH96" s="165"/>
      <c r="AI96" s="165"/>
      <c r="AJ96" s="165"/>
      <c r="AK96" s="165"/>
      <c r="AL96" s="165"/>
      <c r="AM96" s="165"/>
      <c r="AN96" s="165"/>
      <c r="AO96" s="165"/>
      <c r="AP96" s="165"/>
      <c r="AQ96" s="165"/>
      <c r="AR96" s="165"/>
      <c r="AS96" s="165"/>
      <c r="AT96" s="165"/>
      <c r="AU96" s="165"/>
      <c r="AV96" s="165"/>
      <c r="AW96" s="165"/>
      <c r="AX96" s="165"/>
      <c r="AY96" s="165"/>
      <c r="AZ96" s="165"/>
      <c r="BA96" s="165"/>
      <c r="BB96" s="170"/>
      <c r="BC96" s="165"/>
      <c r="BD96" s="165"/>
      <c r="BE96" s="165"/>
      <c r="BF96" s="165"/>
      <c r="BG96" s="165"/>
      <c r="BH96" s="165"/>
      <c r="BI96" s="165"/>
      <c r="BJ96" s="165"/>
      <c r="BK96" s="165"/>
      <c r="BL96" s="165"/>
      <c r="BM96" s="165"/>
      <c r="BN96" s="165"/>
      <c r="BO96" s="165"/>
      <c r="BP96" s="165"/>
      <c r="BQ96" s="165"/>
      <c r="BR96" s="165"/>
      <c r="BS96" s="165"/>
      <c r="BT96" s="165"/>
      <c r="BU96" s="165"/>
      <c r="BV96" s="165"/>
      <c r="BW96" s="165"/>
      <c r="BX96" s="165"/>
      <c r="BY96" s="165"/>
      <c r="BZ96" s="165"/>
      <c r="CA96" s="165"/>
      <c r="CB96" s="165"/>
      <c r="CC96" s="165"/>
      <c r="CD96" s="165"/>
      <c r="CE96" s="165"/>
      <c r="CF96" s="165"/>
      <c r="CG96" s="165"/>
      <c r="CH96" s="165"/>
      <c r="CI96" s="170"/>
      <c r="CJ96" s="165"/>
      <c r="CK96" s="165"/>
      <c r="CL96" s="165"/>
      <c r="CM96" s="165"/>
      <c r="CN96" s="170"/>
      <c r="CO96" s="165"/>
      <c r="CP96" s="165"/>
      <c r="CQ96" s="165"/>
    </row>
    <row r="97" spans="2:95" hidden="1" outlineLevel="1" x14ac:dyDescent="0.25">
      <c r="B97" s="156" t="str">
        <f>Table1[[#Headers],[Simulação]]</f>
        <v>Simulação</v>
      </c>
      <c r="C97" s="154" t="str">
        <f t="shared" si="12"/>
        <v>ENTITY_PURE_TRNVR_P</v>
      </c>
      <c r="D97" s="153" t="s">
        <v>10</v>
      </c>
      <c r="E97" s="153" t="s">
        <v>1429</v>
      </c>
      <c r="G97" s="172">
        <f>INDEX(Table1[[Especificação]:[Total Testes]],MATCH(Sheet1!C97,Table1[CONCAT],0),MATCH(Sheet1!B97,Table1[[#Headers],[Especificação]:[Total Testes]],0))</f>
        <v>1</v>
      </c>
      <c r="H97" s="191">
        <f t="shared" si="13"/>
        <v>0.13</v>
      </c>
      <c r="I97" s="222"/>
      <c r="J97" s="170"/>
      <c r="K97" s="165"/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  <c r="AA97" s="165"/>
      <c r="AB97" s="165"/>
      <c r="AC97" s="165"/>
      <c r="AD97" s="165"/>
      <c r="AE97" s="165"/>
      <c r="AF97" s="165"/>
      <c r="AG97" s="165"/>
      <c r="AH97" s="165"/>
      <c r="AI97" s="165"/>
      <c r="AJ97" s="165"/>
      <c r="AK97" s="165"/>
      <c r="AL97" s="165"/>
      <c r="AM97" s="165"/>
      <c r="AN97" s="165"/>
      <c r="AO97" s="165"/>
      <c r="AP97" s="165"/>
      <c r="AQ97" s="165"/>
      <c r="AR97" s="165"/>
      <c r="AS97" s="165"/>
      <c r="AT97" s="165"/>
      <c r="AU97" s="165"/>
      <c r="AV97" s="165"/>
      <c r="AW97" s="165"/>
      <c r="AX97" s="165"/>
      <c r="AY97" s="165"/>
      <c r="AZ97" s="165"/>
      <c r="BA97" s="165"/>
      <c r="BB97" s="170"/>
      <c r="BC97" s="165"/>
      <c r="BD97" s="165"/>
      <c r="BE97" s="165"/>
      <c r="BF97" s="165"/>
      <c r="BG97" s="165"/>
      <c r="BH97" s="165"/>
      <c r="BI97" s="165"/>
      <c r="BJ97" s="165"/>
      <c r="BK97" s="165"/>
      <c r="BL97" s="165"/>
      <c r="BM97" s="165"/>
      <c r="BN97" s="165"/>
      <c r="BO97" s="165"/>
      <c r="BP97" s="165"/>
      <c r="BQ97" s="165"/>
      <c r="BR97" s="165"/>
      <c r="BS97" s="165"/>
      <c r="BT97" s="165"/>
      <c r="BU97" s="165"/>
      <c r="BV97" s="165"/>
      <c r="BW97" s="165"/>
      <c r="BX97" s="165"/>
      <c r="BY97" s="165"/>
      <c r="BZ97" s="165"/>
      <c r="CA97" s="165"/>
      <c r="CB97" s="165"/>
      <c r="CC97" s="165"/>
      <c r="CD97" s="165"/>
      <c r="CE97" s="165"/>
      <c r="CF97" s="165"/>
      <c r="CG97" s="165"/>
      <c r="CH97" s="165"/>
      <c r="CI97" s="170"/>
      <c r="CJ97" s="165"/>
      <c r="CK97" s="165"/>
      <c r="CL97" s="165"/>
      <c r="CM97" s="165"/>
      <c r="CN97" s="170"/>
      <c r="CO97" s="165"/>
      <c r="CP97" s="165"/>
      <c r="CQ97" s="165"/>
    </row>
    <row r="98" spans="2:95" hidden="1" outlineLevel="1" x14ac:dyDescent="0.25">
      <c r="B98" s="156" t="str">
        <f>Table1[[#Headers],[Simulação]]</f>
        <v>Simulação</v>
      </c>
      <c r="C98" s="154" t="str">
        <f t="shared" si="12"/>
        <v>ENTITY_PURE_CAPEX_B</v>
      </c>
      <c r="D98" s="153" t="s">
        <v>10</v>
      </c>
      <c r="E98" s="153" t="s">
        <v>1432</v>
      </c>
      <c r="G98" s="172">
        <f>INDEX(Table1[[Especificação]:[Total Testes]],MATCH(Sheet1!C98,Table1[CONCAT],0),MATCH(Sheet1!B98,Table1[[#Headers],[Especificação]:[Total Testes]],0))</f>
        <v>1</v>
      </c>
      <c r="H98" s="191">
        <f t="shared" si="13"/>
        <v>0.13</v>
      </c>
      <c r="I98" s="222"/>
      <c r="J98" s="170"/>
      <c r="K98" s="165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  <c r="AD98" s="165"/>
      <c r="AE98" s="165"/>
      <c r="AF98" s="165"/>
      <c r="AG98" s="165"/>
      <c r="AH98" s="165"/>
      <c r="AI98" s="165"/>
      <c r="AJ98" s="165"/>
      <c r="AK98" s="165"/>
      <c r="AL98" s="165"/>
      <c r="AM98" s="165"/>
      <c r="AN98" s="165"/>
      <c r="AO98" s="165"/>
      <c r="AP98" s="165"/>
      <c r="AQ98" s="165"/>
      <c r="AR98" s="165"/>
      <c r="AS98" s="165"/>
      <c r="AT98" s="165"/>
      <c r="AU98" s="165"/>
      <c r="AV98" s="165"/>
      <c r="AW98" s="165"/>
      <c r="AX98" s="165"/>
      <c r="AY98" s="165"/>
      <c r="AZ98" s="165"/>
      <c r="BA98" s="165"/>
      <c r="BB98" s="170"/>
      <c r="BC98" s="165"/>
      <c r="BD98" s="165"/>
      <c r="BE98" s="165"/>
      <c r="BF98" s="165"/>
      <c r="BG98" s="165"/>
      <c r="BH98" s="165"/>
      <c r="BI98" s="165"/>
      <c r="BJ98" s="165"/>
      <c r="BK98" s="165"/>
      <c r="BL98" s="165"/>
      <c r="BM98" s="165"/>
      <c r="BN98" s="165"/>
      <c r="BO98" s="165"/>
      <c r="BP98" s="165"/>
      <c r="BQ98" s="165"/>
      <c r="BR98" s="165"/>
      <c r="BS98" s="165"/>
      <c r="BT98" s="165"/>
      <c r="BU98" s="165"/>
      <c r="BV98" s="165"/>
      <c r="BW98" s="165"/>
      <c r="BX98" s="165"/>
      <c r="BY98" s="165"/>
      <c r="BZ98" s="165"/>
      <c r="CA98" s="165"/>
      <c r="CB98" s="165"/>
      <c r="CC98" s="165"/>
      <c r="CD98" s="165"/>
      <c r="CE98" s="165"/>
      <c r="CF98" s="165"/>
      <c r="CG98" s="165"/>
      <c r="CH98" s="165"/>
      <c r="CI98" s="170"/>
      <c r="CJ98" s="165"/>
      <c r="CK98" s="165"/>
      <c r="CL98" s="165"/>
      <c r="CM98" s="165"/>
      <c r="CN98" s="170"/>
      <c r="CO98" s="165"/>
      <c r="CP98" s="165"/>
      <c r="CQ98" s="165"/>
    </row>
    <row r="99" spans="2:95" hidden="1" outlineLevel="1" x14ac:dyDescent="0.25">
      <c r="B99" s="156" t="str">
        <f>Table1[[#Headers],[Simulação]]</f>
        <v>Simulação</v>
      </c>
      <c r="C99" s="154" t="str">
        <f t="shared" si="12"/>
        <v>ENTITY_PURE_TRNVR_B</v>
      </c>
      <c r="D99" s="153" t="s">
        <v>10</v>
      </c>
      <c r="E99" s="153" t="s">
        <v>1435</v>
      </c>
      <c r="G99" s="172">
        <f>INDEX(Table1[[Especificação]:[Total Testes]],MATCH(Sheet1!C99,Table1[CONCAT],0),MATCH(Sheet1!B99,Table1[[#Headers],[Especificação]:[Total Testes]],0))</f>
        <v>1</v>
      </c>
      <c r="H99" s="191">
        <f t="shared" si="13"/>
        <v>0.13</v>
      </c>
      <c r="I99" s="222"/>
      <c r="J99" s="170"/>
      <c r="K99" s="165"/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  <c r="AA99" s="165"/>
      <c r="AB99" s="165"/>
      <c r="AC99" s="165"/>
      <c r="AD99" s="165"/>
      <c r="AE99" s="165"/>
      <c r="AF99" s="165"/>
      <c r="AG99" s="165"/>
      <c r="AH99" s="165"/>
      <c r="AI99" s="165"/>
      <c r="AJ99" s="165"/>
      <c r="AK99" s="165"/>
      <c r="AL99" s="165"/>
      <c r="AM99" s="165"/>
      <c r="AN99" s="165"/>
      <c r="AO99" s="165"/>
      <c r="AP99" s="165"/>
      <c r="AQ99" s="165"/>
      <c r="AR99" s="165"/>
      <c r="AS99" s="165"/>
      <c r="AT99" s="165"/>
      <c r="AU99" s="165"/>
      <c r="AV99" s="165"/>
      <c r="AW99" s="165"/>
      <c r="AX99" s="165"/>
      <c r="AY99" s="165"/>
      <c r="AZ99" s="165"/>
      <c r="BA99" s="165"/>
      <c r="BB99" s="170"/>
      <c r="BC99" s="165"/>
      <c r="BD99" s="165"/>
      <c r="BE99" s="165"/>
      <c r="BF99" s="165"/>
      <c r="BG99" s="165"/>
      <c r="BH99" s="165"/>
      <c r="BI99" s="165"/>
      <c r="BJ99" s="165"/>
      <c r="BK99" s="165"/>
      <c r="BL99" s="165"/>
      <c r="BM99" s="165"/>
      <c r="BN99" s="165"/>
      <c r="BO99" s="165"/>
      <c r="BP99" s="165"/>
      <c r="BQ99" s="165"/>
      <c r="BR99" s="165"/>
      <c r="BS99" s="165"/>
      <c r="BT99" s="165"/>
      <c r="BU99" s="165"/>
      <c r="BV99" s="165"/>
      <c r="BW99" s="165"/>
      <c r="BX99" s="165"/>
      <c r="BY99" s="165"/>
      <c r="BZ99" s="165"/>
      <c r="CA99" s="165"/>
      <c r="CB99" s="165"/>
      <c r="CC99" s="165"/>
      <c r="CD99" s="165"/>
      <c r="CE99" s="165"/>
      <c r="CF99" s="165"/>
      <c r="CG99" s="165"/>
      <c r="CH99" s="165"/>
      <c r="CI99" s="170"/>
      <c r="CJ99" s="165"/>
      <c r="CK99" s="165"/>
      <c r="CL99" s="165"/>
      <c r="CM99" s="165"/>
      <c r="CN99" s="170"/>
      <c r="CO99" s="165"/>
      <c r="CP99" s="165"/>
      <c r="CQ99" s="165"/>
    </row>
    <row r="100" spans="2:95" hidden="1" outlineLevel="1" x14ac:dyDescent="0.25">
      <c r="B100" s="156" t="str">
        <f>Table1[[#Headers],[Simulação]]</f>
        <v>Simulação</v>
      </c>
      <c r="C100" s="154" t="str">
        <f t="shared" si="12"/>
        <v>ENTITY_PURE_CAPEX_W</v>
      </c>
      <c r="D100" s="153" t="s">
        <v>10</v>
      </c>
      <c r="E100" s="153" t="s">
        <v>1438</v>
      </c>
      <c r="G100" s="172">
        <f>INDEX(Table1[[Especificação]:[Total Testes]],MATCH(Sheet1!C100,Table1[CONCAT],0),MATCH(Sheet1!B100,Table1[[#Headers],[Especificação]:[Total Testes]],0))</f>
        <v>1</v>
      </c>
      <c r="H100" s="191">
        <f t="shared" si="13"/>
        <v>0.13</v>
      </c>
      <c r="I100" s="222"/>
      <c r="J100" s="170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  <c r="AC100" s="165"/>
      <c r="AD100" s="165"/>
      <c r="AE100" s="165"/>
      <c r="AF100" s="165"/>
      <c r="AG100" s="165"/>
      <c r="AH100" s="165"/>
      <c r="AI100" s="165"/>
      <c r="AJ100" s="165"/>
      <c r="AK100" s="165"/>
      <c r="AL100" s="165"/>
      <c r="AM100" s="165"/>
      <c r="AN100" s="165"/>
      <c r="AO100" s="165"/>
      <c r="AP100" s="165"/>
      <c r="AQ100" s="165"/>
      <c r="AR100" s="165"/>
      <c r="AS100" s="165"/>
      <c r="AT100" s="165"/>
      <c r="AU100" s="165"/>
      <c r="AV100" s="165"/>
      <c r="AW100" s="165"/>
      <c r="AX100" s="165"/>
      <c r="AY100" s="165"/>
      <c r="AZ100" s="165"/>
      <c r="BA100" s="165"/>
      <c r="BB100" s="170"/>
      <c r="BC100" s="165"/>
      <c r="BD100" s="165"/>
      <c r="BE100" s="165"/>
      <c r="BF100" s="165"/>
      <c r="BG100" s="165"/>
      <c r="BH100" s="165"/>
      <c r="BI100" s="165"/>
      <c r="BJ100" s="165"/>
      <c r="BK100" s="165"/>
      <c r="BL100" s="165"/>
      <c r="BM100" s="165"/>
      <c r="BN100" s="165"/>
      <c r="BO100" s="165"/>
      <c r="BP100" s="165"/>
      <c r="BQ100" s="165"/>
      <c r="BR100" s="165"/>
      <c r="BS100" s="165"/>
      <c r="BT100" s="165"/>
      <c r="BU100" s="165"/>
      <c r="BV100" s="165"/>
      <c r="BW100" s="165"/>
      <c r="BX100" s="165"/>
      <c r="BY100" s="165"/>
      <c r="BZ100" s="165"/>
      <c r="CA100" s="165"/>
      <c r="CB100" s="165"/>
      <c r="CC100" s="165"/>
      <c r="CD100" s="165"/>
      <c r="CE100" s="165"/>
      <c r="CF100" s="165"/>
      <c r="CG100" s="165"/>
      <c r="CH100" s="165"/>
      <c r="CI100" s="170"/>
      <c r="CJ100" s="165"/>
      <c r="CK100" s="165"/>
      <c r="CL100" s="165"/>
      <c r="CM100" s="165"/>
      <c r="CN100" s="170"/>
      <c r="CO100" s="165"/>
      <c r="CP100" s="165"/>
      <c r="CQ100" s="165"/>
    </row>
    <row r="101" spans="2:95" hidden="1" outlineLevel="1" x14ac:dyDescent="0.25">
      <c r="B101" s="156" t="str">
        <f>Table1[[#Headers],[Simulação]]</f>
        <v>Simulação</v>
      </c>
      <c r="C101" s="154" t="str">
        <f t="shared" si="12"/>
        <v>ENTITY_PURE_TRNVR_W</v>
      </c>
      <c r="D101" s="153" t="s">
        <v>10</v>
      </c>
      <c r="E101" s="153" t="s">
        <v>1441</v>
      </c>
      <c r="G101" s="172">
        <f>INDEX(Table1[[Especificação]:[Total Testes]],MATCH(Sheet1!C101,Table1[CONCAT],0),MATCH(Sheet1!B101,Table1[[#Headers],[Especificação]:[Total Testes]],0))</f>
        <v>1</v>
      </c>
      <c r="H101" s="191">
        <f t="shared" si="13"/>
        <v>0.13</v>
      </c>
      <c r="I101" s="222"/>
      <c r="J101" s="170"/>
      <c r="K101" s="165"/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  <c r="AA101" s="165"/>
      <c r="AB101" s="165"/>
      <c r="AC101" s="165"/>
      <c r="AD101" s="165"/>
      <c r="AE101" s="165"/>
      <c r="AF101" s="165"/>
      <c r="AG101" s="165"/>
      <c r="AH101" s="165"/>
      <c r="AI101" s="165"/>
      <c r="AJ101" s="165"/>
      <c r="AK101" s="165"/>
      <c r="AL101" s="165"/>
      <c r="AM101" s="165"/>
      <c r="AN101" s="165"/>
      <c r="AO101" s="165"/>
      <c r="AP101" s="165"/>
      <c r="AQ101" s="165"/>
      <c r="AR101" s="165"/>
      <c r="AS101" s="165"/>
      <c r="AT101" s="165"/>
      <c r="AU101" s="165"/>
      <c r="AV101" s="165"/>
      <c r="AW101" s="165"/>
      <c r="AX101" s="165"/>
      <c r="AY101" s="165"/>
      <c r="AZ101" s="165"/>
      <c r="BA101" s="165"/>
      <c r="BB101" s="170"/>
      <c r="BC101" s="165"/>
      <c r="BD101" s="165"/>
      <c r="BE101" s="165"/>
      <c r="BF101" s="165"/>
      <c r="BG101" s="165"/>
      <c r="BH101" s="165"/>
      <c r="BI101" s="165"/>
      <c r="BJ101" s="165"/>
      <c r="BK101" s="165"/>
      <c r="BL101" s="165"/>
      <c r="BM101" s="165"/>
      <c r="BN101" s="165"/>
      <c r="BO101" s="165"/>
      <c r="BP101" s="165"/>
      <c r="BQ101" s="165"/>
      <c r="BR101" s="165"/>
      <c r="BS101" s="165"/>
      <c r="BT101" s="165"/>
      <c r="BU101" s="165"/>
      <c r="BV101" s="165"/>
      <c r="BW101" s="165"/>
      <c r="BX101" s="165"/>
      <c r="BY101" s="165"/>
      <c r="BZ101" s="165"/>
      <c r="CA101" s="165"/>
      <c r="CB101" s="165"/>
      <c r="CC101" s="165"/>
      <c r="CD101" s="165"/>
      <c r="CE101" s="165"/>
      <c r="CF101" s="165"/>
      <c r="CG101" s="165"/>
      <c r="CH101" s="165"/>
      <c r="CI101" s="170"/>
      <c r="CJ101" s="165"/>
      <c r="CK101" s="165"/>
      <c r="CL101" s="165"/>
      <c r="CM101" s="165"/>
      <c r="CN101" s="170"/>
      <c r="CO101" s="165"/>
      <c r="CP101" s="165"/>
      <c r="CQ101" s="165"/>
    </row>
    <row r="102" spans="2:95" hidden="1" outlineLevel="1" x14ac:dyDescent="0.25">
      <c r="B102" s="156" t="str">
        <f>Table1[[#Headers],[Simulação]]</f>
        <v>Simulação</v>
      </c>
      <c r="C102" s="154" t="str">
        <f t="shared" si="12"/>
        <v>ENTITY_PURE_CAPEX_CE</v>
      </c>
      <c r="D102" s="153" t="s">
        <v>10</v>
      </c>
      <c r="E102" s="153" t="s">
        <v>1444</v>
      </c>
      <c r="G102" s="172">
        <f>INDEX(Table1[[Especificação]:[Total Testes]],MATCH(Sheet1!C102,Table1[CONCAT],0),MATCH(Sheet1!B102,Table1[[#Headers],[Especificação]:[Total Testes]],0))</f>
        <v>1</v>
      </c>
      <c r="H102" s="191">
        <f t="shared" si="13"/>
        <v>0.13</v>
      </c>
      <c r="I102" s="222"/>
      <c r="J102" s="170"/>
      <c r="K102" s="165"/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  <c r="AC102" s="165"/>
      <c r="AD102" s="165"/>
      <c r="AE102" s="165"/>
      <c r="AF102" s="165"/>
      <c r="AG102" s="165"/>
      <c r="AH102" s="165"/>
      <c r="AI102" s="165"/>
      <c r="AJ102" s="165"/>
      <c r="AK102" s="165"/>
      <c r="AL102" s="165"/>
      <c r="AM102" s="165"/>
      <c r="AN102" s="165"/>
      <c r="AO102" s="165"/>
      <c r="AP102" s="165"/>
      <c r="AQ102" s="165"/>
      <c r="AR102" s="165"/>
      <c r="AS102" s="165"/>
      <c r="AT102" s="165"/>
      <c r="AU102" s="165"/>
      <c r="AV102" s="165"/>
      <c r="AW102" s="165"/>
      <c r="AX102" s="165"/>
      <c r="AY102" s="165"/>
      <c r="AZ102" s="165"/>
      <c r="BA102" s="165"/>
      <c r="BB102" s="170"/>
      <c r="BC102" s="165"/>
      <c r="BD102" s="165"/>
      <c r="BE102" s="165"/>
      <c r="BF102" s="165"/>
      <c r="BG102" s="165"/>
      <c r="BH102" s="165"/>
      <c r="BI102" s="165"/>
      <c r="BJ102" s="165"/>
      <c r="BK102" s="165"/>
      <c r="BL102" s="165"/>
      <c r="BM102" s="165"/>
      <c r="BN102" s="165"/>
      <c r="BO102" s="165"/>
      <c r="BP102" s="165"/>
      <c r="BQ102" s="165"/>
      <c r="BR102" s="165"/>
      <c r="BS102" s="165"/>
      <c r="BT102" s="165"/>
      <c r="BU102" s="165"/>
      <c r="BV102" s="165"/>
      <c r="BW102" s="165"/>
      <c r="BX102" s="165"/>
      <c r="BY102" s="165"/>
      <c r="BZ102" s="165"/>
      <c r="CA102" s="165"/>
      <c r="CB102" s="165"/>
      <c r="CC102" s="165"/>
      <c r="CD102" s="165"/>
      <c r="CE102" s="165"/>
      <c r="CF102" s="165"/>
      <c r="CG102" s="165"/>
      <c r="CH102" s="165"/>
      <c r="CI102" s="170"/>
      <c r="CJ102" s="165"/>
      <c r="CK102" s="165"/>
      <c r="CL102" s="165"/>
      <c r="CM102" s="165"/>
      <c r="CN102" s="170"/>
      <c r="CO102" s="165"/>
      <c r="CP102" s="165"/>
      <c r="CQ102" s="165"/>
    </row>
    <row r="103" spans="2:95" hidden="1" outlineLevel="1" x14ac:dyDescent="0.25">
      <c r="B103" s="156" t="str">
        <f>Table1[[#Headers],[Simulação]]</f>
        <v>Simulação</v>
      </c>
      <c r="C103" s="154" t="str">
        <f t="shared" si="12"/>
        <v>ENTITY_PURE_TRNVR_CE</v>
      </c>
      <c r="D103" s="153" t="s">
        <v>10</v>
      </c>
      <c r="E103" s="153" t="s">
        <v>1447</v>
      </c>
      <c r="G103" s="172">
        <f>INDEX(Table1[[Especificação]:[Total Testes]],MATCH(Sheet1!C103,Table1[CONCAT],0),MATCH(Sheet1!B103,Table1[[#Headers],[Especificação]:[Total Testes]],0))</f>
        <v>1</v>
      </c>
      <c r="H103" s="191">
        <f t="shared" si="13"/>
        <v>0.13</v>
      </c>
      <c r="I103" s="222"/>
      <c r="J103" s="170"/>
      <c r="K103" s="165"/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  <c r="AA103" s="165"/>
      <c r="AB103" s="165"/>
      <c r="AC103" s="165"/>
      <c r="AD103" s="165"/>
      <c r="AE103" s="165"/>
      <c r="AF103" s="165"/>
      <c r="AG103" s="165"/>
      <c r="AH103" s="165"/>
      <c r="AI103" s="165"/>
      <c r="AJ103" s="165"/>
      <c r="AK103" s="165"/>
      <c r="AL103" s="165"/>
      <c r="AM103" s="165"/>
      <c r="AN103" s="165"/>
      <c r="AO103" s="165"/>
      <c r="AP103" s="165"/>
      <c r="AQ103" s="165"/>
      <c r="AR103" s="165"/>
      <c r="AS103" s="165"/>
      <c r="AT103" s="165"/>
      <c r="AU103" s="165"/>
      <c r="AV103" s="165"/>
      <c r="AW103" s="165"/>
      <c r="AX103" s="165"/>
      <c r="AY103" s="165"/>
      <c r="AZ103" s="165"/>
      <c r="BA103" s="165"/>
      <c r="BB103" s="170"/>
      <c r="BC103" s="165"/>
      <c r="BD103" s="165"/>
      <c r="BE103" s="165"/>
      <c r="BF103" s="165"/>
      <c r="BG103" s="165"/>
      <c r="BH103" s="165"/>
      <c r="BI103" s="165"/>
      <c r="BJ103" s="165"/>
      <c r="BK103" s="165"/>
      <c r="BL103" s="165"/>
      <c r="BM103" s="165"/>
      <c r="BN103" s="165"/>
      <c r="BO103" s="165"/>
      <c r="BP103" s="165"/>
      <c r="BQ103" s="165"/>
      <c r="BR103" s="165"/>
      <c r="BS103" s="165"/>
      <c r="BT103" s="165"/>
      <c r="BU103" s="165"/>
      <c r="BV103" s="165"/>
      <c r="BW103" s="165"/>
      <c r="BX103" s="165"/>
      <c r="BY103" s="165"/>
      <c r="BZ103" s="165"/>
      <c r="CA103" s="165"/>
      <c r="CB103" s="165"/>
      <c r="CC103" s="165"/>
      <c r="CD103" s="165"/>
      <c r="CE103" s="165"/>
      <c r="CF103" s="165"/>
      <c r="CG103" s="165"/>
      <c r="CH103" s="165"/>
      <c r="CI103" s="170"/>
      <c r="CJ103" s="165"/>
      <c r="CK103" s="165"/>
      <c r="CL103" s="165"/>
      <c r="CM103" s="165"/>
      <c r="CN103" s="170"/>
      <c r="CO103" s="165"/>
      <c r="CP103" s="165"/>
      <c r="CQ103" s="165"/>
    </row>
    <row r="104" spans="2:95" hidden="1" outlineLevel="1" x14ac:dyDescent="0.25">
      <c r="B104" s="156" t="str">
        <f>Table1[[#Headers],[Simulação]]</f>
        <v>Simulação</v>
      </c>
      <c r="C104" s="154" t="str">
        <f t="shared" si="12"/>
        <v>ENTITY_ENBLNG_CAPEX_W</v>
      </c>
      <c r="D104" s="153" t="s">
        <v>10</v>
      </c>
      <c r="E104" s="153" t="s">
        <v>1450</v>
      </c>
      <c r="G104" s="172">
        <f>INDEX(Table1[[Especificação]:[Total Testes]],MATCH(Sheet1!C104,Table1[CONCAT],0),MATCH(Sheet1!B104,Table1[[#Headers],[Especificação]:[Total Testes]],0))</f>
        <v>1</v>
      </c>
      <c r="H104" s="191">
        <f t="shared" si="13"/>
        <v>0.13</v>
      </c>
      <c r="I104" s="222"/>
      <c r="J104" s="170"/>
      <c r="K104" s="165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  <c r="AC104" s="165"/>
      <c r="AD104" s="165"/>
      <c r="AE104" s="165"/>
      <c r="AF104" s="165"/>
      <c r="AG104" s="165"/>
      <c r="AH104" s="165"/>
      <c r="AI104" s="165"/>
      <c r="AJ104" s="165"/>
      <c r="AK104" s="165"/>
      <c r="AL104" s="165"/>
      <c r="AM104" s="165"/>
      <c r="AN104" s="165"/>
      <c r="AO104" s="165"/>
      <c r="AP104" s="165"/>
      <c r="AQ104" s="165"/>
      <c r="AR104" s="165"/>
      <c r="AS104" s="165"/>
      <c r="AT104" s="165"/>
      <c r="AU104" s="165"/>
      <c r="AV104" s="165"/>
      <c r="AW104" s="165"/>
      <c r="AX104" s="165"/>
      <c r="AY104" s="165"/>
      <c r="AZ104" s="165"/>
      <c r="BA104" s="165"/>
      <c r="BB104" s="170"/>
      <c r="BC104" s="165"/>
      <c r="BD104" s="165"/>
      <c r="BE104" s="165"/>
      <c r="BF104" s="165"/>
      <c r="BG104" s="165"/>
      <c r="BH104" s="165"/>
      <c r="BI104" s="165"/>
      <c r="BJ104" s="165"/>
      <c r="BK104" s="165"/>
      <c r="BL104" s="165"/>
      <c r="BM104" s="165"/>
      <c r="BN104" s="165"/>
      <c r="BO104" s="165"/>
      <c r="BP104" s="165"/>
      <c r="BQ104" s="165"/>
      <c r="BR104" s="165"/>
      <c r="BS104" s="165"/>
      <c r="BT104" s="165"/>
      <c r="BU104" s="165"/>
      <c r="BV104" s="165"/>
      <c r="BW104" s="165"/>
      <c r="BX104" s="165"/>
      <c r="BY104" s="165"/>
      <c r="BZ104" s="165"/>
      <c r="CA104" s="165"/>
      <c r="CB104" s="165"/>
      <c r="CC104" s="165"/>
      <c r="CD104" s="165"/>
      <c r="CE104" s="165"/>
      <c r="CF104" s="165"/>
      <c r="CG104" s="165"/>
      <c r="CH104" s="165"/>
      <c r="CI104" s="170"/>
      <c r="CJ104" s="165"/>
      <c r="CK104" s="165"/>
      <c r="CL104" s="165"/>
      <c r="CM104" s="165"/>
      <c r="CN104" s="170"/>
      <c r="CO104" s="165"/>
      <c r="CP104" s="165"/>
      <c r="CQ104" s="165"/>
    </row>
    <row r="105" spans="2:95" hidden="1" outlineLevel="1" x14ac:dyDescent="0.25">
      <c r="B105" s="156" t="str">
        <f>Table1[[#Headers],[Simulação]]</f>
        <v>Simulação</v>
      </c>
      <c r="C105" s="154" t="str">
        <f t="shared" si="12"/>
        <v>ENTITY_ENBLNG_TRNVR_W</v>
      </c>
      <c r="D105" s="153" t="s">
        <v>10</v>
      </c>
      <c r="E105" s="153" t="s">
        <v>1453</v>
      </c>
      <c r="G105" s="172">
        <f>INDEX(Table1[[Especificação]:[Total Testes]],MATCH(Sheet1!C105,Table1[CONCAT],0),MATCH(Sheet1!B105,Table1[[#Headers],[Especificação]:[Total Testes]],0))</f>
        <v>1</v>
      </c>
      <c r="H105" s="191">
        <f t="shared" si="13"/>
        <v>0.13</v>
      </c>
      <c r="I105" s="222"/>
      <c r="J105" s="170"/>
      <c r="K105" s="165"/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  <c r="AA105" s="165"/>
      <c r="AB105" s="165"/>
      <c r="AC105" s="165"/>
      <c r="AD105" s="165"/>
      <c r="AE105" s="165"/>
      <c r="AF105" s="165"/>
      <c r="AG105" s="165"/>
      <c r="AH105" s="165"/>
      <c r="AI105" s="165"/>
      <c r="AJ105" s="165"/>
      <c r="AK105" s="165"/>
      <c r="AL105" s="165"/>
      <c r="AM105" s="165"/>
      <c r="AN105" s="165"/>
      <c r="AO105" s="165"/>
      <c r="AP105" s="165"/>
      <c r="AQ105" s="165"/>
      <c r="AR105" s="165"/>
      <c r="AS105" s="165"/>
      <c r="AT105" s="165"/>
      <c r="AU105" s="165"/>
      <c r="AV105" s="165"/>
      <c r="AW105" s="165"/>
      <c r="AX105" s="165"/>
      <c r="AY105" s="165"/>
      <c r="AZ105" s="165"/>
      <c r="BA105" s="165"/>
      <c r="BB105" s="170"/>
      <c r="BC105" s="165"/>
      <c r="BD105" s="165"/>
      <c r="BE105" s="165"/>
      <c r="BF105" s="165"/>
      <c r="BG105" s="165"/>
      <c r="BH105" s="165"/>
      <c r="BI105" s="165"/>
      <c r="BJ105" s="165"/>
      <c r="BK105" s="165"/>
      <c r="BL105" s="165"/>
      <c r="BM105" s="165"/>
      <c r="BN105" s="165"/>
      <c r="BO105" s="165"/>
      <c r="BP105" s="165"/>
      <c r="BQ105" s="165"/>
      <c r="BR105" s="165"/>
      <c r="BS105" s="165"/>
      <c r="BT105" s="165"/>
      <c r="BU105" s="165"/>
      <c r="BV105" s="165"/>
      <c r="BW105" s="165"/>
      <c r="BX105" s="165"/>
      <c r="BY105" s="165"/>
      <c r="BZ105" s="165"/>
      <c r="CA105" s="165"/>
      <c r="CB105" s="165"/>
      <c r="CC105" s="165"/>
      <c r="CD105" s="165"/>
      <c r="CE105" s="165"/>
      <c r="CF105" s="165"/>
      <c r="CG105" s="165"/>
      <c r="CH105" s="165"/>
      <c r="CI105" s="170"/>
      <c r="CJ105" s="165"/>
      <c r="CK105" s="165"/>
      <c r="CL105" s="165"/>
      <c r="CM105" s="165"/>
      <c r="CN105" s="170"/>
      <c r="CO105" s="165"/>
      <c r="CP105" s="165"/>
      <c r="CQ105" s="165"/>
    </row>
    <row r="106" spans="2:95" hidden="1" outlineLevel="1" x14ac:dyDescent="0.25">
      <c r="B106" s="156" t="str">
        <f>Table1[[#Headers],[Simulação]]</f>
        <v>Simulação</v>
      </c>
      <c r="C106" s="154" t="str">
        <f t="shared" si="12"/>
        <v>ENTITY_ENBLNG_CAPEX_CE</v>
      </c>
      <c r="D106" s="153" t="s">
        <v>10</v>
      </c>
      <c r="E106" s="153" t="s">
        <v>1456</v>
      </c>
      <c r="G106" s="172">
        <f>INDEX(Table1[[Especificação]:[Total Testes]],MATCH(Sheet1!C106,Table1[CONCAT],0),MATCH(Sheet1!B106,Table1[[#Headers],[Especificação]:[Total Testes]],0))</f>
        <v>1</v>
      </c>
      <c r="H106" s="191">
        <f t="shared" si="13"/>
        <v>0.13</v>
      </c>
      <c r="I106" s="222"/>
      <c r="J106" s="170"/>
      <c r="K106" s="165"/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5"/>
      <c r="AJ106" s="165"/>
      <c r="AK106" s="165"/>
      <c r="AL106" s="165"/>
      <c r="AM106" s="165"/>
      <c r="AN106" s="165"/>
      <c r="AO106" s="165"/>
      <c r="AP106" s="165"/>
      <c r="AQ106" s="165"/>
      <c r="AR106" s="165"/>
      <c r="AS106" s="165"/>
      <c r="AT106" s="165"/>
      <c r="AU106" s="165"/>
      <c r="AV106" s="165"/>
      <c r="AW106" s="165"/>
      <c r="AX106" s="165"/>
      <c r="AY106" s="165"/>
      <c r="AZ106" s="165"/>
      <c r="BA106" s="165"/>
      <c r="BB106" s="170"/>
      <c r="BC106" s="165"/>
      <c r="BD106" s="165"/>
      <c r="BE106" s="165"/>
      <c r="BF106" s="165"/>
      <c r="BG106" s="165"/>
      <c r="BH106" s="165"/>
      <c r="BI106" s="165"/>
      <c r="BJ106" s="165"/>
      <c r="BK106" s="165"/>
      <c r="BL106" s="165"/>
      <c r="BM106" s="165"/>
      <c r="BN106" s="165"/>
      <c r="BO106" s="165"/>
      <c r="BP106" s="165"/>
      <c r="BQ106" s="165"/>
      <c r="BR106" s="165"/>
      <c r="BS106" s="165"/>
      <c r="BT106" s="165"/>
      <c r="BU106" s="165"/>
      <c r="BV106" s="165"/>
      <c r="BW106" s="165"/>
      <c r="BX106" s="165"/>
      <c r="BY106" s="165"/>
      <c r="BZ106" s="165"/>
      <c r="CA106" s="165"/>
      <c r="CB106" s="165"/>
      <c r="CC106" s="165"/>
      <c r="CD106" s="165"/>
      <c r="CE106" s="165"/>
      <c r="CF106" s="165"/>
      <c r="CG106" s="165"/>
      <c r="CH106" s="165"/>
      <c r="CI106" s="170"/>
      <c r="CJ106" s="165"/>
      <c r="CK106" s="165"/>
      <c r="CL106" s="165"/>
      <c r="CM106" s="165"/>
      <c r="CN106" s="170"/>
      <c r="CO106" s="165"/>
      <c r="CP106" s="165"/>
      <c r="CQ106" s="165"/>
    </row>
    <row r="107" spans="2:95" hidden="1" outlineLevel="1" x14ac:dyDescent="0.25">
      <c r="B107" s="156" t="str">
        <f>Table1[[#Headers],[Simulação]]</f>
        <v>Simulação</v>
      </c>
      <c r="C107" s="154" t="str">
        <f t="shared" si="12"/>
        <v>ENTITY_ENBLNG_TRNVR_CE</v>
      </c>
      <c r="D107" s="153" t="s">
        <v>10</v>
      </c>
      <c r="E107" s="153" t="s">
        <v>1459</v>
      </c>
      <c r="G107" s="172">
        <f>INDEX(Table1[[Especificação]:[Total Testes]],MATCH(Sheet1!C107,Table1[CONCAT],0),MATCH(Sheet1!B107,Table1[[#Headers],[Especificação]:[Total Testes]],0))</f>
        <v>1</v>
      </c>
      <c r="H107" s="191">
        <f t="shared" si="13"/>
        <v>0.13</v>
      </c>
      <c r="I107" s="222"/>
      <c r="J107" s="170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5"/>
      <c r="AJ107" s="165"/>
      <c r="AK107" s="165"/>
      <c r="AL107" s="165"/>
      <c r="AM107" s="165"/>
      <c r="AN107" s="165"/>
      <c r="AO107" s="165"/>
      <c r="AP107" s="165"/>
      <c r="AQ107" s="165"/>
      <c r="AR107" s="165"/>
      <c r="AS107" s="165"/>
      <c r="AT107" s="165"/>
      <c r="AU107" s="165"/>
      <c r="AV107" s="165"/>
      <c r="AW107" s="165"/>
      <c r="AX107" s="165"/>
      <c r="AY107" s="165"/>
      <c r="AZ107" s="165"/>
      <c r="BA107" s="165"/>
      <c r="BB107" s="170"/>
      <c r="BC107" s="165"/>
      <c r="BD107" s="165"/>
      <c r="BE107" s="165"/>
      <c r="BF107" s="165"/>
      <c r="BG107" s="165"/>
      <c r="BH107" s="165"/>
      <c r="BI107" s="165"/>
      <c r="BJ107" s="165"/>
      <c r="BK107" s="165"/>
      <c r="BL107" s="165"/>
      <c r="BM107" s="165"/>
      <c r="BN107" s="165"/>
      <c r="BO107" s="165"/>
      <c r="BP107" s="165"/>
      <c r="BQ107" s="165"/>
      <c r="BR107" s="165"/>
      <c r="BS107" s="165"/>
      <c r="BT107" s="165"/>
      <c r="BU107" s="165"/>
      <c r="BV107" s="165"/>
      <c r="BW107" s="165"/>
      <c r="BX107" s="165"/>
      <c r="BY107" s="165"/>
      <c r="BZ107" s="165"/>
      <c r="CA107" s="165"/>
      <c r="CB107" s="165"/>
      <c r="CC107" s="165"/>
      <c r="CD107" s="165"/>
      <c r="CE107" s="165"/>
      <c r="CF107" s="165"/>
      <c r="CG107" s="165"/>
      <c r="CH107" s="165"/>
      <c r="CI107" s="170"/>
      <c r="CJ107" s="165"/>
      <c r="CK107" s="165"/>
      <c r="CL107" s="165"/>
      <c r="CM107" s="165"/>
      <c r="CN107" s="170"/>
      <c r="CO107" s="165"/>
      <c r="CP107" s="165"/>
      <c r="CQ107" s="165"/>
    </row>
    <row r="108" spans="2:95" hidden="1" outlineLevel="1" x14ac:dyDescent="0.25">
      <c r="B108" s="156" t="str">
        <f>Table1[[#Headers],[Simulação]]</f>
        <v>Simulação</v>
      </c>
      <c r="C108" s="154" t="str">
        <f t="shared" si="12"/>
        <v>INSTRUMENT_TYP_OFF_BLNC_PRDCT</v>
      </c>
      <c r="D108" s="153" t="s">
        <v>414</v>
      </c>
      <c r="E108" s="153" t="s">
        <v>1351</v>
      </c>
      <c r="G108" s="172">
        <f>INDEX(Table1[[Especificação]:[Total Testes]],MATCH(Sheet1!C108,Table1[CONCAT],0),MATCH(Sheet1!B108,Table1[[#Headers],[Especificação]:[Total Testes]],0))</f>
        <v>0</v>
      </c>
      <c r="H108" s="191">
        <f t="shared" si="13"/>
        <v>0</v>
      </c>
      <c r="I108" s="222"/>
      <c r="J108" s="170"/>
      <c r="K108" s="165"/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  <c r="AE108" s="165"/>
      <c r="AF108" s="165"/>
      <c r="AG108" s="165"/>
      <c r="AH108" s="165"/>
      <c r="AI108" s="165"/>
      <c r="AJ108" s="165"/>
      <c r="AK108" s="165"/>
      <c r="AL108" s="165"/>
      <c r="AM108" s="165"/>
      <c r="AN108" s="165"/>
      <c r="AO108" s="165"/>
      <c r="AP108" s="165"/>
      <c r="AQ108" s="165"/>
      <c r="AR108" s="165"/>
      <c r="AS108" s="165"/>
      <c r="AT108" s="165"/>
      <c r="AU108" s="165"/>
      <c r="AV108" s="165"/>
      <c r="AW108" s="165"/>
      <c r="AX108" s="165"/>
      <c r="AY108" s="165"/>
      <c r="AZ108" s="165"/>
      <c r="BA108" s="165"/>
      <c r="BB108" s="170"/>
      <c r="BC108" s="165"/>
      <c r="BD108" s="165"/>
      <c r="BE108" s="165"/>
      <c r="BF108" s="165"/>
      <c r="BG108" s="165"/>
      <c r="BH108" s="165"/>
      <c r="BI108" s="165"/>
      <c r="BJ108" s="165"/>
      <c r="BK108" s="165"/>
      <c r="BL108" s="165"/>
      <c r="BM108" s="165"/>
      <c r="BN108" s="165"/>
      <c r="BO108" s="165"/>
      <c r="BP108" s="165"/>
      <c r="BQ108" s="165"/>
      <c r="BR108" s="165"/>
      <c r="BS108" s="165"/>
      <c r="BT108" s="165"/>
      <c r="BU108" s="165"/>
      <c r="BV108" s="165"/>
      <c r="BW108" s="165"/>
      <c r="BX108" s="165"/>
      <c r="BY108" s="165"/>
      <c r="BZ108" s="165"/>
      <c r="CA108" s="165"/>
      <c r="CB108" s="165"/>
      <c r="CC108" s="165"/>
      <c r="CD108" s="165"/>
      <c r="CE108" s="165"/>
      <c r="CF108" s="165"/>
      <c r="CG108" s="165"/>
      <c r="CH108" s="165"/>
      <c r="CI108" s="170"/>
      <c r="CJ108" s="165"/>
      <c r="CK108" s="165"/>
      <c r="CL108" s="165"/>
      <c r="CM108" s="165"/>
      <c r="CN108" s="170"/>
      <c r="CO108" s="165"/>
      <c r="CP108" s="165"/>
      <c r="CQ108" s="165"/>
    </row>
    <row r="109" spans="2:95" hidden="1" outlineLevel="1" x14ac:dyDescent="0.25">
      <c r="B109" s="156" t="str">
        <f>Table1[[#Headers],[Simulação]]</f>
        <v>Simulação</v>
      </c>
      <c r="C109" s="154" t="str">
        <f t="shared" si="12"/>
        <v>INSTRUMENT_FLG_MNMM_SFGRDS</v>
      </c>
      <c r="D109" s="153" t="s">
        <v>414</v>
      </c>
      <c r="E109" s="153" t="s">
        <v>1480</v>
      </c>
      <c r="G109" s="172">
        <f>INDEX(Table1[[Especificação]:[Total Testes]],MATCH(Sheet1!C109,Table1[CONCAT],0),MATCH(Sheet1!B109,Table1[[#Headers],[Especificação]:[Total Testes]],0))</f>
        <v>0</v>
      </c>
      <c r="H109" s="191">
        <f t="shared" si="13"/>
        <v>0</v>
      </c>
      <c r="I109" s="222"/>
      <c r="J109" s="170"/>
      <c r="K109" s="165"/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  <c r="AA109" s="165"/>
      <c r="AB109" s="165"/>
      <c r="AC109" s="165"/>
      <c r="AD109" s="165"/>
      <c r="AE109" s="165"/>
      <c r="AF109" s="165"/>
      <c r="AG109" s="165"/>
      <c r="AH109" s="165"/>
      <c r="AI109" s="165"/>
      <c r="AJ109" s="165"/>
      <c r="AK109" s="165"/>
      <c r="AL109" s="165"/>
      <c r="AM109" s="165"/>
      <c r="AN109" s="165"/>
      <c r="AO109" s="165"/>
      <c r="AP109" s="165"/>
      <c r="AQ109" s="165"/>
      <c r="AR109" s="165"/>
      <c r="AS109" s="165"/>
      <c r="AT109" s="165"/>
      <c r="AU109" s="165"/>
      <c r="AV109" s="165"/>
      <c r="AW109" s="165"/>
      <c r="AX109" s="165"/>
      <c r="AY109" s="165"/>
      <c r="AZ109" s="165"/>
      <c r="BA109" s="165"/>
      <c r="BB109" s="170"/>
      <c r="BC109" s="165"/>
      <c r="BD109" s="165"/>
      <c r="BE109" s="165"/>
      <c r="BF109" s="165"/>
      <c r="BG109" s="165"/>
      <c r="BH109" s="165"/>
      <c r="BI109" s="165"/>
      <c r="BJ109" s="165"/>
      <c r="BK109" s="165"/>
      <c r="BL109" s="165"/>
      <c r="BM109" s="165"/>
      <c r="BN109" s="165"/>
      <c r="BO109" s="165"/>
      <c r="BP109" s="165"/>
      <c r="BQ109" s="165"/>
      <c r="BR109" s="165"/>
      <c r="BS109" s="165"/>
      <c r="BT109" s="165"/>
      <c r="BU109" s="165"/>
      <c r="BV109" s="165"/>
      <c r="BW109" s="165"/>
      <c r="BX109" s="165"/>
      <c r="BY109" s="165"/>
      <c r="BZ109" s="165"/>
      <c r="CA109" s="165"/>
      <c r="CB109" s="165"/>
      <c r="CC109" s="165"/>
      <c r="CD109" s="165"/>
      <c r="CE109" s="165"/>
      <c r="CF109" s="165"/>
      <c r="CG109" s="165"/>
      <c r="CH109" s="165"/>
      <c r="CI109" s="170"/>
      <c r="CJ109" s="165"/>
      <c r="CK109" s="165"/>
      <c r="CL109" s="165"/>
      <c r="CM109" s="165"/>
      <c r="CN109" s="170"/>
      <c r="CO109" s="165"/>
      <c r="CP109" s="165"/>
      <c r="CQ109" s="165"/>
    </row>
    <row r="110" spans="2:95" hidden="1" outlineLevel="1" x14ac:dyDescent="0.25">
      <c r="B110" s="156" t="str">
        <f>Table1[[#Headers],[Simulação]]</f>
        <v>Simulação</v>
      </c>
      <c r="C110" s="154" t="str">
        <f t="shared" si="12"/>
        <v>INSTR_PROTECTION_TYP_RLTN</v>
      </c>
      <c r="D110" s="153" t="s">
        <v>1101</v>
      </c>
      <c r="E110" s="153" t="s">
        <v>1384</v>
      </c>
      <c r="G110" s="172">
        <f>INDEX(Table1[[Especificação]:[Total Testes]],MATCH(Sheet1!C110,Table1[CONCAT],0),MATCH(Sheet1!B110,Table1[[#Headers],[Especificação]:[Total Testes]],0))</f>
        <v>3</v>
      </c>
      <c r="H110" s="191">
        <f t="shared" si="13"/>
        <v>0.38</v>
      </c>
      <c r="I110" s="222"/>
      <c r="J110" s="170"/>
      <c r="K110" s="165"/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165"/>
      <c r="AD110" s="165"/>
      <c r="AE110" s="165"/>
      <c r="AF110" s="165"/>
      <c r="AG110" s="165"/>
      <c r="AH110" s="165"/>
      <c r="AI110" s="165"/>
      <c r="AJ110" s="165"/>
      <c r="AK110" s="165"/>
      <c r="AL110" s="165"/>
      <c r="AM110" s="165"/>
      <c r="AN110" s="165"/>
      <c r="AO110" s="165"/>
      <c r="AP110" s="165"/>
      <c r="AQ110" s="165"/>
      <c r="AR110" s="165"/>
      <c r="AS110" s="165"/>
      <c r="AT110" s="165"/>
      <c r="AU110" s="165"/>
      <c r="AV110" s="165"/>
      <c r="AW110" s="165"/>
      <c r="AX110" s="165"/>
      <c r="AY110" s="165"/>
      <c r="AZ110" s="165"/>
      <c r="BA110" s="165"/>
      <c r="BB110" s="170"/>
      <c r="BC110" s="165"/>
      <c r="BD110" s="165"/>
      <c r="BE110" s="165"/>
      <c r="BF110" s="165"/>
      <c r="BG110" s="165"/>
      <c r="BH110" s="165"/>
      <c r="BI110" s="165"/>
      <c r="BJ110" s="165"/>
      <c r="BK110" s="165"/>
      <c r="BL110" s="165"/>
      <c r="BM110" s="165"/>
      <c r="BN110" s="165"/>
      <c r="BO110" s="165"/>
      <c r="BP110" s="165"/>
      <c r="BQ110" s="165"/>
      <c r="BR110" s="165"/>
      <c r="BS110" s="165"/>
      <c r="BT110" s="165"/>
      <c r="BU110" s="165"/>
      <c r="BV110" s="165"/>
      <c r="BW110" s="165"/>
      <c r="BX110" s="165"/>
      <c r="BY110" s="165"/>
      <c r="BZ110" s="165"/>
      <c r="CA110" s="165"/>
      <c r="CB110" s="165"/>
      <c r="CC110" s="165"/>
      <c r="CD110" s="165"/>
      <c r="CE110" s="165"/>
      <c r="CF110" s="165"/>
      <c r="CG110" s="165"/>
      <c r="CH110" s="165"/>
      <c r="CI110" s="170"/>
      <c r="CJ110" s="165"/>
      <c r="CK110" s="165"/>
      <c r="CL110" s="165"/>
      <c r="CM110" s="165"/>
      <c r="CN110" s="170"/>
      <c r="CO110" s="165"/>
      <c r="CP110" s="165"/>
      <c r="CQ110" s="165"/>
    </row>
    <row r="111" spans="2:95" hidden="1" outlineLevel="1" x14ac:dyDescent="0.25">
      <c r="B111" s="156" t="str">
        <f>Table1[[#Headers],[Simulação]]</f>
        <v>Simulação</v>
      </c>
      <c r="C111" s="154" t="str">
        <f t="shared" si="12"/>
        <v>PROTECTION_BLDNG_AR</v>
      </c>
      <c r="D111" s="153" t="s">
        <v>1114</v>
      </c>
      <c r="E111" s="153" t="s">
        <v>1387</v>
      </c>
      <c r="G111" s="172">
        <f>INDEX(Table1[[Especificação]:[Total Testes]],MATCH(Sheet1!C111,Table1[CONCAT],0),MATCH(Sheet1!B111,Table1[[#Headers],[Especificação]:[Total Testes]],0))</f>
        <v>0</v>
      </c>
      <c r="H111" s="191">
        <f t="shared" si="13"/>
        <v>0</v>
      </c>
      <c r="I111" s="222"/>
      <c r="J111" s="170"/>
      <c r="K111" s="165"/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  <c r="AC111" s="165"/>
      <c r="AD111" s="165"/>
      <c r="AE111" s="165"/>
      <c r="AF111" s="165"/>
      <c r="AG111" s="165"/>
      <c r="AH111" s="165"/>
      <c r="AI111" s="165"/>
      <c r="AJ111" s="165"/>
      <c r="AK111" s="165"/>
      <c r="AL111" s="165"/>
      <c r="AM111" s="165"/>
      <c r="AN111" s="165"/>
      <c r="AO111" s="165"/>
      <c r="AP111" s="165"/>
      <c r="AQ111" s="165"/>
      <c r="AR111" s="165"/>
      <c r="AS111" s="165"/>
      <c r="AT111" s="165"/>
      <c r="AU111" s="165"/>
      <c r="AV111" s="165"/>
      <c r="AW111" s="165"/>
      <c r="AX111" s="165"/>
      <c r="AY111" s="165"/>
      <c r="AZ111" s="165"/>
      <c r="BA111" s="165"/>
      <c r="BB111" s="170"/>
      <c r="BC111" s="165"/>
      <c r="BD111" s="165"/>
      <c r="BE111" s="165"/>
      <c r="BF111" s="165"/>
      <c r="BG111" s="165"/>
      <c r="BH111" s="165"/>
      <c r="BI111" s="165"/>
      <c r="BJ111" s="165"/>
      <c r="BK111" s="165"/>
      <c r="BL111" s="165"/>
      <c r="BM111" s="165"/>
      <c r="BN111" s="165"/>
      <c r="BO111" s="165"/>
      <c r="BP111" s="165"/>
      <c r="BQ111" s="165"/>
      <c r="BR111" s="165"/>
      <c r="BS111" s="165"/>
      <c r="BT111" s="165"/>
      <c r="BU111" s="165"/>
      <c r="BV111" s="165"/>
      <c r="BW111" s="165"/>
      <c r="BX111" s="165"/>
      <c r="BY111" s="165"/>
      <c r="BZ111" s="165"/>
      <c r="CA111" s="165"/>
      <c r="CB111" s="165"/>
      <c r="CC111" s="165"/>
      <c r="CD111" s="165"/>
      <c r="CE111" s="165"/>
      <c r="CF111" s="165"/>
      <c r="CG111" s="165"/>
      <c r="CH111" s="165"/>
      <c r="CI111" s="170"/>
      <c r="CJ111" s="165"/>
      <c r="CK111" s="165"/>
      <c r="CL111" s="165"/>
      <c r="CM111" s="165"/>
      <c r="CN111" s="170"/>
      <c r="CO111" s="165"/>
      <c r="CP111" s="165"/>
      <c r="CQ111" s="165"/>
    </row>
    <row r="112" spans="2:95" hidden="1" outlineLevel="1" x14ac:dyDescent="0.25">
      <c r="B112" s="156" t="str">
        <f>Table1[[#Headers],[Simulação]]</f>
        <v>Simulação</v>
      </c>
      <c r="C112" s="154" t="str">
        <f t="shared" si="12"/>
        <v>PROTECTION_RL_ESTT_CRTFCTN</v>
      </c>
      <c r="D112" s="153" t="s">
        <v>1114</v>
      </c>
      <c r="E112" s="153" t="s">
        <v>1512</v>
      </c>
      <c r="G112" s="172">
        <f>INDEX(Table1[[Especificação]:[Total Testes]],MATCH(Sheet1!C112,Table1[CONCAT],0),MATCH(Sheet1!B112,Table1[[#Headers],[Especificação]:[Total Testes]],0))</f>
        <v>0</v>
      </c>
      <c r="H112" s="191">
        <f t="shared" si="13"/>
        <v>0</v>
      </c>
      <c r="I112" s="222"/>
      <c r="J112" s="170"/>
      <c r="K112" s="165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  <c r="AA112" s="165"/>
      <c r="AB112" s="165"/>
      <c r="AC112" s="165"/>
      <c r="AD112" s="165"/>
      <c r="AE112" s="165"/>
      <c r="AF112" s="165"/>
      <c r="AG112" s="165"/>
      <c r="AH112" s="165"/>
      <c r="AI112" s="165"/>
      <c r="AJ112" s="165"/>
      <c r="AK112" s="165"/>
      <c r="AL112" s="165"/>
      <c r="AM112" s="165"/>
      <c r="AN112" s="165"/>
      <c r="AO112" s="165"/>
      <c r="AP112" s="165"/>
      <c r="AQ112" s="165"/>
      <c r="AR112" s="165"/>
      <c r="AS112" s="165"/>
      <c r="AT112" s="165"/>
      <c r="AU112" s="165"/>
      <c r="AV112" s="165"/>
      <c r="AW112" s="165"/>
      <c r="AX112" s="165"/>
      <c r="AY112" s="165"/>
      <c r="AZ112" s="165"/>
      <c r="BA112" s="165"/>
      <c r="BB112" s="170"/>
      <c r="BC112" s="165"/>
      <c r="BD112" s="165"/>
      <c r="BE112" s="165"/>
      <c r="BF112" s="165"/>
      <c r="BG112" s="165"/>
      <c r="BH112" s="165"/>
      <c r="BI112" s="165"/>
      <c r="BJ112" s="165"/>
      <c r="BK112" s="165"/>
      <c r="BL112" s="165"/>
      <c r="BM112" s="165"/>
      <c r="BN112" s="165"/>
      <c r="BO112" s="165"/>
      <c r="BP112" s="165"/>
      <c r="BQ112" s="165"/>
      <c r="BR112" s="165"/>
      <c r="BS112" s="165"/>
      <c r="BT112" s="165"/>
      <c r="BU112" s="165"/>
      <c r="BV112" s="165"/>
      <c r="BW112" s="165"/>
      <c r="BX112" s="165"/>
      <c r="BY112" s="165"/>
      <c r="BZ112" s="165"/>
      <c r="CA112" s="165"/>
      <c r="CB112" s="165"/>
      <c r="CC112" s="165"/>
      <c r="CD112" s="165"/>
      <c r="CE112" s="165"/>
      <c r="CF112" s="165"/>
      <c r="CG112" s="165"/>
      <c r="CH112" s="165"/>
      <c r="CI112" s="170"/>
      <c r="CJ112" s="165"/>
      <c r="CK112" s="165"/>
      <c r="CL112" s="165"/>
      <c r="CM112" s="165"/>
      <c r="CN112" s="170"/>
      <c r="CO112" s="165"/>
      <c r="CP112" s="165"/>
      <c r="CQ112" s="165"/>
    </row>
    <row r="113" spans="2:95" hidden="1" outlineLevel="1" x14ac:dyDescent="0.25">
      <c r="B113" s="156" t="str">
        <f>Table1[[#Headers],[Simulação]]</f>
        <v>Simulação</v>
      </c>
      <c r="C113" s="154" t="str">
        <f t="shared" si="12"/>
        <v>PROTECTION_TYP_VHCL</v>
      </c>
      <c r="D113" s="153" t="s">
        <v>1114</v>
      </c>
      <c r="E113" s="153" t="s">
        <v>1515</v>
      </c>
      <c r="G113" s="172">
        <f>INDEX(Table1[[Especificação]:[Total Testes]],MATCH(Sheet1!C113,Table1[CONCAT],0),MATCH(Sheet1!B113,Table1[[#Headers],[Especificação]:[Total Testes]],0))</f>
        <v>0</v>
      </c>
      <c r="H113" s="191">
        <f t="shared" si="13"/>
        <v>0</v>
      </c>
      <c r="I113" s="222"/>
      <c r="J113" s="170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  <c r="AM113" s="165"/>
      <c r="AN113" s="165"/>
      <c r="AO113" s="165"/>
      <c r="AP113" s="165"/>
      <c r="AQ113" s="165"/>
      <c r="AR113" s="165"/>
      <c r="AS113" s="165"/>
      <c r="AT113" s="165"/>
      <c r="AU113" s="165"/>
      <c r="AV113" s="165"/>
      <c r="AW113" s="165"/>
      <c r="AX113" s="165"/>
      <c r="AY113" s="165"/>
      <c r="AZ113" s="165"/>
      <c r="BA113" s="165"/>
      <c r="BB113" s="170"/>
      <c r="BC113" s="165"/>
      <c r="BD113" s="165"/>
      <c r="BE113" s="165"/>
      <c r="BF113" s="165"/>
      <c r="BG113" s="165"/>
      <c r="BH113" s="165"/>
      <c r="BI113" s="165"/>
      <c r="BJ113" s="165"/>
      <c r="BK113" s="165"/>
      <c r="BL113" s="165"/>
      <c r="BM113" s="165"/>
      <c r="BN113" s="165"/>
      <c r="BO113" s="165"/>
      <c r="BP113" s="165"/>
      <c r="BQ113" s="165"/>
      <c r="BR113" s="165"/>
      <c r="BS113" s="165"/>
      <c r="BT113" s="165"/>
      <c r="BU113" s="165"/>
      <c r="BV113" s="165"/>
      <c r="BW113" s="165"/>
      <c r="BX113" s="165"/>
      <c r="BY113" s="165"/>
      <c r="BZ113" s="165"/>
      <c r="CA113" s="165"/>
      <c r="CB113" s="165"/>
      <c r="CC113" s="165"/>
      <c r="CD113" s="165"/>
      <c r="CE113" s="165"/>
      <c r="CF113" s="165"/>
      <c r="CG113" s="165"/>
      <c r="CH113" s="165"/>
      <c r="CI113" s="170"/>
      <c r="CJ113" s="165"/>
      <c r="CK113" s="165"/>
      <c r="CL113" s="165"/>
      <c r="CM113" s="165"/>
      <c r="CN113" s="170"/>
      <c r="CO113" s="165"/>
      <c r="CP113" s="165"/>
      <c r="CQ113" s="165"/>
    </row>
    <row r="114" spans="2:95" hidden="1" outlineLevel="1" x14ac:dyDescent="0.25">
      <c r="B114" s="156" t="str">
        <f>Table1[[#Headers],[Simulação]]</f>
        <v>Simulação</v>
      </c>
      <c r="C114" s="154" t="str">
        <f t="shared" si="12"/>
        <v>PROTECTION_DT_RGSTRTN</v>
      </c>
      <c r="D114" s="153" t="s">
        <v>1114</v>
      </c>
      <c r="E114" s="153" t="s">
        <v>1518</v>
      </c>
      <c r="G114" s="172">
        <f>INDEX(Table1[[Especificação]:[Total Testes]],MATCH(Sheet1!C114,Table1[CONCAT],0),MATCH(Sheet1!B114,Table1[[#Headers],[Especificação]:[Total Testes]],0))</f>
        <v>0</v>
      </c>
      <c r="H114" s="191">
        <f t="shared" si="13"/>
        <v>0</v>
      </c>
      <c r="I114" s="222"/>
      <c r="J114" s="170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  <c r="AA114" s="165"/>
      <c r="AB114" s="165"/>
      <c r="AC114" s="165"/>
      <c r="AD114" s="165"/>
      <c r="AE114" s="165"/>
      <c r="AF114" s="165"/>
      <c r="AG114" s="165"/>
      <c r="AH114" s="165"/>
      <c r="AI114" s="165"/>
      <c r="AJ114" s="165"/>
      <c r="AK114" s="165"/>
      <c r="AL114" s="165"/>
      <c r="AM114" s="165"/>
      <c r="AN114" s="165"/>
      <c r="AO114" s="165"/>
      <c r="AP114" s="165"/>
      <c r="AQ114" s="165"/>
      <c r="AR114" s="165"/>
      <c r="AS114" s="165"/>
      <c r="AT114" s="165"/>
      <c r="AU114" s="165"/>
      <c r="AV114" s="165"/>
      <c r="AW114" s="165"/>
      <c r="AX114" s="165"/>
      <c r="AY114" s="165"/>
      <c r="AZ114" s="165"/>
      <c r="BA114" s="165"/>
      <c r="BB114" s="170"/>
      <c r="BC114" s="165"/>
      <c r="BD114" s="165"/>
      <c r="BE114" s="165"/>
      <c r="BF114" s="165"/>
      <c r="BG114" s="165"/>
      <c r="BH114" s="165"/>
      <c r="BI114" s="165"/>
      <c r="BJ114" s="165"/>
      <c r="BK114" s="165"/>
      <c r="BL114" s="165"/>
      <c r="BM114" s="165"/>
      <c r="BN114" s="165"/>
      <c r="BO114" s="165"/>
      <c r="BP114" s="165"/>
      <c r="BQ114" s="165"/>
      <c r="BR114" s="165"/>
      <c r="BS114" s="165"/>
      <c r="BT114" s="165"/>
      <c r="BU114" s="165"/>
      <c r="BV114" s="165"/>
      <c r="BW114" s="165"/>
      <c r="BX114" s="165"/>
      <c r="BY114" s="165"/>
      <c r="BZ114" s="165"/>
      <c r="CA114" s="165"/>
      <c r="CB114" s="165"/>
      <c r="CC114" s="165"/>
      <c r="CD114" s="165"/>
      <c r="CE114" s="165"/>
      <c r="CF114" s="165"/>
      <c r="CG114" s="165"/>
      <c r="CH114" s="165"/>
      <c r="CI114" s="170"/>
      <c r="CJ114" s="165"/>
      <c r="CK114" s="165"/>
      <c r="CL114" s="165"/>
      <c r="CM114" s="165"/>
      <c r="CN114" s="170"/>
      <c r="CO114" s="165"/>
      <c r="CP114" s="165"/>
      <c r="CQ114" s="165"/>
    </row>
    <row r="115" spans="2:95" hidden="1" outlineLevel="1" x14ac:dyDescent="0.25">
      <c r="B115" s="156" t="str">
        <f>Table1[[#Headers],[Simulação]]</f>
        <v>Simulação</v>
      </c>
      <c r="C115" s="154" t="str">
        <f t="shared" si="12"/>
        <v>PROTECTION_PRMRY_ENRGY_DMND_NN_RNWBL</v>
      </c>
      <c r="D115" s="153" t="s">
        <v>1114</v>
      </c>
      <c r="E115" s="153" t="s">
        <v>1521</v>
      </c>
      <c r="G115" s="172">
        <f>INDEX(Table1[[Especificação]:[Total Testes]],MATCH(Sheet1!C115,Table1[CONCAT],0),MATCH(Sheet1!B115,Table1[[#Headers],[Especificação]:[Total Testes]],0))</f>
        <v>8</v>
      </c>
      <c r="H115" s="191">
        <f t="shared" si="13"/>
        <v>1</v>
      </c>
      <c r="I115" s="222"/>
      <c r="J115" s="170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  <c r="AA115" s="165"/>
      <c r="AB115" s="165"/>
      <c r="AC115" s="165"/>
      <c r="AD115" s="165"/>
      <c r="AE115" s="165"/>
      <c r="AF115" s="165"/>
      <c r="AG115" s="165"/>
      <c r="AH115" s="165"/>
      <c r="AI115" s="165"/>
      <c r="AJ115" s="165"/>
      <c r="AK115" s="165"/>
      <c r="AL115" s="165"/>
      <c r="AM115" s="165"/>
      <c r="AN115" s="165"/>
      <c r="AO115" s="165"/>
      <c r="AP115" s="165"/>
      <c r="AQ115" s="165"/>
      <c r="AR115" s="165"/>
      <c r="AS115" s="165"/>
      <c r="AT115" s="165"/>
      <c r="AU115" s="165"/>
      <c r="AV115" s="165"/>
      <c r="AW115" s="165"/>
      <c r="AX115" s="165"/>
      <c r="AY115" s="165"/>
      <c r="AZ115" s="165"/>
      <c r="BA115" s="165"/>
      <c r="BB115" s="170"/>
      <c r="BC115" s="165"/>
      <c r="BD115" s="165"/>
      <c r="BE115" s="165"/>
      <c r="BF115" s="165"/>
      <c r="BG115" s="165"/>
      <c r="BH115" s="165"/>
      <c r="BI115" s="165"/>
      <c r="BJ115" s="165"/>
      <c r="BK115" s="165"/>
      <c r="BL115" s="165"/>
      <c r="BM115" s="165"/>
      <c r="BN115" s="165"/>
      <c r="BO115" s="165"/>
      <c r="BP115" s="165"/>
      <c r="BQ115" s="165"/>
      <c r="BR115" s="165"/>
      <c r="BS115" s="165"/>
      <c r="BT115" s="165"/>
      <c r="BU115" s="165"/>
      <c r="BV115" s="165"/>
      <c r="BW115" s="165"/>
      <c r="BX115" s="165"/>
      <c r="BY115" s="165"/>
      <c r="BZ115" s="165"/>
      <c r="CA115" s="165"/>
      <c r="CB115" s="165"/>
      <c r="CC115" s="165"/>
      <c r="CD115" s="165"/>
      <c r="CE115" s="165"/>
      <c r="CF115" s="165"/>
      <c r="CG115" s="165"/>
      <c r="CH115" s="165"/>
      <c r="CI115" s="170"/>
      <c r="CJ115" s="165"/>
      <c r="CK115" s="165"/>
      <c r="CL115" s="165"/>
      <c r="CM115" s="165"/>
      <c r="CN115" s="170"/>
      <c r="CO115" s="165"/>
      <c r="CP115" s="165"/>
      <c r="CQ115" s="165"/>
    </row>
    <row r="116" spans="2:95" hidden="1" outlineLevel="1" x14ac:dyDescent="0.25">
      <c r="B116" s="156" t="str">
        <f>Table1[[#Headers],[Simulação]]</f>
        <v>Simulação</v>
      </c>
      <c r="C116" s="154" t="str">
        <f t="shared" si="12"/>
        <v>PROTECTION_PRMRY_ENRGY_DMND_TTL</v>
      </c>
      <c r="D116" s="153" t="s">
        <v>1114</v>
      </c>
      <c r="E116" s="153" t="s">
        <v>1524</v>
      </c>
      <c r="G116" s="172">
        <f>INDEX(Table1[[Especificação]:[Total Testes]],MATCH(Sheet1!C116,Table1[CONCAT],0),MATCH(Sheet1!B116,Table1[[#Headers],[Especificação]:[Total Testes]],0))</f>
        <v>6</v>
      </c>
      <c r="H116" s="191">
        <f t="shared" si="13"/>
        <v>0.75</v>
      </c>
      <c r="I116" s="222"/>
      <c r="J116" s="170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  <c r="AC116" s="165"/>
      <c r="AD116" s="165"/>
      <c r="AE116" s="165"/>
      <c r="AF116" s="165"/>
      <c r="AG116" s="165"/>
      <c r="AH116" s="165"/>
      <c r="AI116" s="165"/>
      <c r="AJ116" s="165"/>
      <c r="AK116" s="165"/>
      <c r="AL116" s="165"/>
      <c r="AM116" s="165"/>
      <c r="AN116" s="165"/>
      <c r="AO116" s="165"/>
      <c r="AP116" s="165"/>
      <c r="AQ116" s="165"/>
      <c r="AR116" s="165"/>
      <c r="AS116" s="165"/>
      <c r="AT116" s="165"/>
      <c r="AU116" s="165"/>
      <c r="AV116" s="165"/>
      <c r="AW116" s="165"/>
      <c r="AX116" s="165"/>
      <c r="AY116" s="165"/>
      <c r="AZ116" s="165"/>
      <c r="BA116" s="165"/>
      <c r="BB116" s="170"/>
      <c r="BC116" s="165"/>
      <c r="BD116" s="165"/>
      <c r="BE116" s="165"/>
      <c r="BF116" s="165"/>
      <c r="BG116" s="165"/>
      <c r="BH116" s="165"/>
      <c r="BI116" s="165"/>
      <c r="BJ116" s="165"/>
      <c r="BK116" s="165"/>
      <c r="BL116" s="165"/>
      <c r="BM116" s="165"/>
      <c r="BN116" s="165"/>
      <c r="BO116" s="165"/>
      <c r="BP116" s="165"/>
      <c r="BQ116" s="165"/>
      <c r="BR116" s="165"/>
      <c r="BS116" s="165"/>
      <c r="BT116" s="165"/>
      <c r="BU116" s="165"/>
      <c r="BV116" s="165"/>
      <c r="BW116" s="165"/>
      <c r="BX116" s="165"/>
      <c r="BY116" s="165"/>
      <c r="BZ116" s="165"/>
      <c r="CA116" s="165"/>
      <c r="CB116" s="165"/>
      <c r="CC116" s="165"/>
      <c r="CD116" s="165"/>
      <c r="CE116" s="165"/>
      <c r="CF116" s="165"/>
      <c r="CG116" s="165"/>
      <c r="CH116" s="165"/>
      <c r="CI116" s="170"/>
      <c r="CJ116" s="165"/>
      <c r="CK116" s="165"/>
      <c r="CL116" s="165"/>
      <c r="CM116" s="165"/>
      <c r="CN116" s="170"/>
      <c r="CO116" s="165"/>
      <c r="CP116" s="165"/>
      <c r="CQ116" s="165"/>
    </row>
    <row r="117" spans="2:95" hidden="1" outlineLevel="1" x14ac:dyDescent="0.25">
      <c r="B117" s="156" t="str">
        <f>Table1[[#Headers],[Simulação]]</f>
        <v>Simulação</v>
      </c>
      <c r="C117" s="154" t="str">
        <f t="shared" si="12"/>
        <v>PROTECTION_PRMRY_ENRGY_DMND_RFRNC_VL</v>
      </c>
      <c r="D117" s="153" t="s">
        <v>1114</v>
      </c>
      <c r="E117" s="153" t="s">
        <v>1527</v>
      </c>
      <c r="G117" s="172">
        <f>INDEX(Table1[[Especificação]:[Total Testes]],MATCH(Sheet1!C117,Table1[CONCAT],0),MATCH(Sheet1!B117,Table1[[#Headers],[Especificação]:[Total Testes]],0))</f>
        <v>6</v>
      </c>
      <c r="H117" s="191">
        <f t="shared" si="13"/>
        <v>0.75</v>
      </c>
      <c r="I117" s="222"/>
      <c r="J117" s="170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  <c r="AA117" s="165"/>
      <c r="AB117" s="165"/>
      <c r="AC117" s="165"/>
      <c r="AD117" s="165"/>
      <c r="AE117" s="165"/>
      <c r="AF117" s="165"/>
      <c r="AG117" s="165"/>
      <c r="AH117" s="165"/>
      <c r="AI117" s="165"/>
      <c r="AJ117" s="165"/>
      <c r="AK117" s="165"/>
      <c r="AL117" s="165"/>
      <c r="AM117" s="165"/>
      <c r="AN117" s="165"/>
      <c r="AO117" s="165"/>
      <c r="AP117" s="165"/>
      <c r="AQ117" s="165"/>
      <c r="AR117" s="165"/>
      <c r="AS117" s="165"/>
      <c r="AT117" s="165"/>
      <c r="AU117" s="165"/>
      <c r="AV117" s="165"/>
      <c r="AW117" s="165"/>
      <c r="AX117" s="165"/>
      <c r="AY117" s="165"/>
      <c r="AZ117" s="165"/>
      <c r="BA117" s="165"/>
      <c r="BB117" s="170"/>
      <c r="BC117" s="165"/>
      <c r="BD117" s="165"/>
      <c r="BE117" s="165"/>
      <c r="BF117" s="165"/>
      <c r="BG117" s="165"/>
      <c r="BH117" s="165"/>
      <c r="BI117" s="165"/>
      <c r="BJ117" s="165"/>
      <c r="BK117" s="165"/>
      <c r="BL117" s="165"/>
      <c r="BM117" s="165"/>
      <c r="BN117" s="165"/>
      <c r="BO117" s="165"/>
      <c r="BP117" s="165"/>
      <c r="BQ117" s="165"/>
      <c r="BR117" s="165"/>
      <c r="BS117" s="165"/>
      <c r="BT117" s="165"/>
      <c r="BU117" s="165"/>
      <c r="BV117" s="165"/>
      <c r="BW117" s="165"/>
      <c r="BX117" s="165"/>
      <c r="BY117" s="165"/>
      <c r="BZ117" s="165"/>
      <c r="CA117" s="165"/>
      <c r="CB117" s="165"/>
      <c r="CC117" s="165"/>
      <c r="CD117" s="165"/>
      <c r="CE117" s="165"/>
      <c r="CF117" s="165"/>
      <c r="CG117" s="165"/>
      <c r="CH117" s="165"/>
      <c r="CI117" s="170"/>
      <c r="CJ117" s="165"/>
      <c r="CK117" s="165"/>
      <c r="CL117" s="165"/>
      <c r="CM117" s="165"/>
      <c r="CN117" s="170"/>
      <c r="CO117" s="165"/>
      <c r="CP117" s="165"/>
      <c r="CQ117" s="165"/>
    </row>
    <row r="118" spans="2:95" hidden="1" outlineLevel="1" x14ac:dyDescent="0.25">
      <c r="B118" s="156" t="str">
        <f>Table1[[#Headers],[Simulação]]</f>
        <v>Simulação</v>
      </c>
      <c r="C118" s="154" t="str">
        <f t="shared" si="12"/>
        <v>PROTECTION_RL_ESTT_CLMT_ZN</v>
      </c>
      <c r="D118" s="153" t="s">
        <v>1114</v>
      </c>
      <c r="E118" s="153" t="s">
        <v>1530</v>
      </c>
      <c r="G118" s="172">
        <f>INDEX(Table1[[Especificação]:[Total Testes]],MATCH(Sheet1!C118,Table1[CONCAT],0),MATCH(Sheet1!B118,Table1[[#Headers],[Especificação]:[Total Testes]],0))</f>
        <v>6</v>
      </c>
      <c r="H118" s="191">
        <f t="shared" si="13"/>
        <v>0.75</v>
      </c>
      <c r="I118" s="222"/>
      <c r="J118" s="170"/>
      <c r="K118" s="165"/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  <c r="AA118" s="165"/>
      <c r="AB118" s="165"/>
      <c r="AC118" s="165"/>
      <c r="AD118" s="165"/>
      <c r="AE118" s="165"/>
      <c r="AF118" s="165"/>
      <c r="AG118" s="165"/>
      <c r="AH118" s="165"/>
      <c r="AI118" s="165"/>
      <c r="AJ118" s="165"/>
      <c r="AK118" s="165"/>
      <c r="AL118" s="165"/>
      <c r="AM118" s="165"/>
      <c r="AN118" s="165"/>
      <c r="AO118" s="165"/>
      <c r="AP118" s="165"/>
      <c r="AQ118" s="165"/>
      <c r="AR118" s="165"/>
      <c r="AS118" s="165"/>
      <c r="AT118" s="165"/>
      <c r="AU118" s="165"/>
      <c r="AV118" s="165"/>
      <c r="AW118" s="165"/>
      <c r="AX118" s="165"/>
      <c r="AY118" s="165"/>
      <c r="AZ118" s="165"/>
      <c r="BA118" s="165"/>
      <c r="BB118" s="170"/>
      <c r="BC118" s="165"/>
      <c r="BD118" s="165"/>
      <c r="BE118" s="165"/>
      <c r="BF118" s="165"/>
      <c r="BG118" s="165"/>
      <c r="BH118" s="165"/>
      <c r="BI118" s="165"/>
      <c r="BJ118" s="165"/>
      <c r="BK118" s="165"/>
      <c r="BL118" s="165"/>
      <c r="BM118" s="165"/>
      <c r="BN118" s="165"/>
      <c r="BO118" s="165"/>
      <c r="BP118" s="165"/>
      <c r="BQ118" s="165"/>
      <c r="BR118" s="165"/>
      <c r="BS118" s="165"/>
      <c r="BT118" s="165"/>
      <c r="BU118" s="165"/>
      <c r="BV118" s="165"/>
      <c r="BW118" s="165"/>
      <c r="BX118" s="165"/>
      <c r="BY118" s="165"/>
      <c r="BZ118" s="165"/>
      <c r="CA118" s="165"/>
      <c r="CB118" s="165"/>
      <c r="CC118" s="165"/>
      <c r="CD118" s="165"/>
      <c r="CE118" s="165"/>
      <c r="CF118" s="165"/>
      <c r="CG118" s="165"/>
      <c r="CH118" s="165"/>
      <c r="CI118" s="170"/>
      <c r="CJ118" s="165"/>
      <c r="CK118" s="165"/>
      <c r="CL118" s="165"/>
      <c r="CM118" s="165"/>
      <c r="CN118" s="170"/>
      <c r="CO118" s="165"/>
      <c r="CP118" s="165"/>
      <c r="CQ118" s="165"/>
    </row>
    <row r="119" spans="2:95" hidden="1" outlineLevel="1" x14ac:dyDescent="0.25">
      <c r="B119" s="156" t="str">
        <f>Table1[[#Headers],[Simulação]]</f>
        <v>Simulação</v>
      </c>
      <c r="C119" s="154" t="str">
        <f t="shared" si="12"/>
        <v>INSTR_ACTIVITY_COD_SOC</v>
      </c>
      <c r="D119" s="153" t="s">
        <v>1542</v>
      </c>
      <c r="E119" s="153" t="s">
        <v>12</v>
      </c>
      <c r="G119" s="172">
        <f>INDEX(Table1[[Especificação]:[Total Testes]],MATCH(Sheet1!C119,Table1[CONCAT],0),MATCH(Sheet1!B119,Table1[[#Headers],[Especificação]:[Total Testes]],0))</f>
        <v>1</v>
      </c>
      <c r="H119" s="191">
        <f t="shared" si="13"/>
        <v>0.13</v>
      </c>
      <c r="I119" s="222"/>
      <c r="J119" s="170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  <c r="AA119" s="165"/>
      <c r="AB119" s="165"/>
      <c r="AC119" s="165"/>
      <c r="AD119" s="165"/>
      <c r="AE119" s="165"/>
      <c r="AF119" s="165"/>
      <c r="AG119" s="165"/>
      <c r="AH119" s="165"/>
      <c r="AI119" s="165"/>
      <c r="AJ119" s="165"/>
      <c r="AK119" s="165"/>
      <c r="AL119" s="165"/>
      <c r="AM119" s="165"/>
      <c r="AN119" s="165"/>
      <c r="AO119" s="165"/>
      <c r="AP119" s="165"/>
      <c r="AQ119" s="165"/>
      <c r="AR119" s="165"/>
      <c r="AS119" s="165"/>
      <c r="AT119" s="165"/>
      <c r="AU119" s="165"/>
      <c r="AV119" s="165"/>
      <c r="AW119" s="165"/>
      <c r="AX119" s="165"/>
      <c r="AY119" s="165"/>
      <c r="AZ119" s="165"/>
      <c r="BA119" s="165"/>
      <c r="BB119" s="170"/>
      <c r="BC119" s="165"/>
      <c r="BD119" s="165"/>
      <c r="BE119" s="165"/>
      <c r="BF119" s="165"/>
      <c r="BG119" s="165"/>
      <c r="BH119" s="165"/>
      <c r="BI119" s="165"/>
      <c r="BJ119" s="165"/>
      <c r="BK119" s="165"/>
      <c r="BL119" s="165"/>
      <c r="BM119" s="165"/>
      <c r="BN119" s="165"/>
      <c r="BO119" s="165"/>
      <c r="BP119" s="165"/>
      <c r="BQ119" s="165"/>
      <c r="BR119" s="165"/>
      <c r="BS119" s="165"/>
      <c r="BT119" s="165"/>
      <c r="BU119" s="165"/>
      <c r="BV119" s="165"/>
      <c r="BW119" s="165"/>
      <c r="BX119" s="165"/>
      <c r="BY119" s="165"/>
      <c r="BZ119" s="165"/>
      <c r="CA119" s="165"/>
      <c r="CB119" s="165"/>
      <c r="CC119" s="165"/>
      <c r="CD119" s="165"/>
      <c r="CE119" s="165"/>
      <c r="CF119" s="165"/>
      <c r="CG119" s="165"/>
      <c r="CH119" s="165"/>
      <c r="CI119" s="170"/>
      <c r="CJ119" s="165"/>
      <c r="CK119" s="165"/>
      <c r="CL119" s="165"/>
      <c r="CM119" s="165"/>
      <c r="CN119" s="170"/>
      <c r="CO119" s="165"/>
      <c r="CP119" s="165"/>
      <c r="CQ119" s="165"/>
    </row>
    <row r="120" spans="2:95" hidden="1" outlineLevel="1" x14ac:dyDescent="0.25">
      <c r="B120" s="156" t="str">
        <f>Table1[[#Headers],[Simulação]]</f>
        <v>Simulação</v>
      </c>
      <c r="C120" s="154" t="str">
        <f t="shared" si="12"/>
        <v>INSTR_ACTIVITY_DT_RFRNC</v>
      </c>
      <c r="D120" s="153" t="s">
        <v>1542</v>
      </c>
      <c r="E120" s="153" t="s">
        <v>38</v>
      </c>
      <c r="G120" s="172">
        <f>INDEX(Table1[[Especificação]:[Total Testes]],MATCH(Sheet1!C120,Table1[CONCAT],0),MATCH(Sheet1!B120,Table1[[#Headers],[Especificação]:[Total Testes]],0))</f>
        <v>1</v>
      </c>
      <c r="H120" s="191">
        <f t="shared" si="13"/>
        <v>0.13</v>
      </c>
      <c r="I120" s="222"/>
      <c r="J120" s="170"/>
      <c r="K120" s="165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  <c r="AA120" s="165"/>
      <c r="AB120" s="165"/>
      <c r="AC120" s="165"/>
      <c r="AD120" s="165"/>
      <c r="AE120" s="165"/>
      <c r="AF120" s="165"/>
      <c r="AG120" s="165"/>
      <c r="AH120" s="165"/>
      <c r="AI120" s="165"/>
      <c r="AJ120" s="165"/>
      <c r="AK120" s="165"/>
      <c r="AL120" s="165"/>
      <c r="AM120" s="165"/>
      <c r="AN120" s="165"/>
      <c r="AO120" s="165"/>
      <c r="AP120" s="165"/>
      <c r="AQ120" s="165"/>
      <c r="AR120" s="165"/>
      <c r="AS120" s="165"/>
      <c r="AT120" s="165"/>
      <c r="AU120" s="165"/>
      <c r="AV120" s="165"/>
      <c r="AW120" s="165"/>
      <c r="AX120" s="165"/>
      <c r="AY120" s="165"/>
      <c r="AZ120" s="165"/>
      <c r="BA120" s="165"/>
      <c r="BB120" s="170"/>
      <c r="BC120" s="165"/>
      <c r="BD120" s="165"/>
      <c r="BE120" s="165"/>
      <c r="BF120" s="165"/>
      <c r="BG120" s="165"/>
      <c r="BH120" s="165"/>
      <c r="BI120" s="165"/>
      <c r="BJ120" s="165"/>
      <c r="BK120" s="165"/>
      <c r="BL120" s="165"/>
      <c r="BM120" s="165"/>
      <c r="BN120" s="165"/>
      <c r="BO120" s="165"/>
      <c r="BP120" s="165"/>
      <c r="BQ120" s="165"/>
      <c r="BR120" s="165"/>
      <c r="BS120" s="165"/>
      <c r="BT120" s="165"/>
      <c r="BU120" s="165"/>
      <c r="BV120" s="165"/>
      <c r="BW120" s="165"/>
      <c r="BX120" s="165"/>
      <c r="BY120" s="165"/>
      <c r="BZ120" s="165"/>
      <c r="CA120" s="165"/>
      <c r="CB120" s="165"/>
      <c r="CC120" s="165"/>
      <c r="CD120" s="165"/>
      <c r="CE120" s="165"/>
      <c r="CF120" s="165"/>
      <c r="CG120" s="165"/>
      <c r="CH120" s="165"/>
      <c r="CI120" s="170"/>
      <c r="CJ120" s="165"/>
      <c r="CK120" s="165"/>
      <c r="CL120" s="165"/>
      <c r="CM120" s="165"/>
      <c r="CN120" s="170"/>
      <c r="CO120" s="165"/>
      <c r="CP120" s="165"/>
      <c r="CQ120" s="165"/>
    </row>
    <row r="121" spans="2:95" hidden="1" outlineLevel="1" x14ac:dyDescent="0.25">
      <c r="B121" s="156" t="str">
        <f>Table1[[#Headers],[Simulação]]</f>
        <v>Simulação</v>
      </c>
      <c r="C121" s="154" t="str">
        <f t="shared" si="12"/>
        <v>INSTR_ACTIVITY_INSTRMNT_ID</v>
      </c>
      <c r="D121" s="153" t="s">
        <v>1542</v>
      </c>
      <c r="E121" s="153" t="s">
        <v>405</v>
      </c>
      <c r="G121" s="172">
        <f>INDEX(Table1[[Especificação]:[Total Testes]],MATCH(Sheet1!C121,Table1[CONCAT],0),MATCH(Sheet1!B121,Table1[[#Headers],[Especificação]:[Total Testes]],0))</f>
        <v>1</v>
      </c>
      <c r="H121" s="191">
        <f t="shared" si="13"/>
        <v>0.13</v>
      </c>
      <c r="I121" s="222"/>
      <c r="J121" s="170"/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  <c r="AA121" s="165"/>
      <c r="AB121" s="165"/>
      <c r="AC121" s="165"/>
      <c r="AD121" s="165"/>
      <c r="AE121" s="165"/>
      <c r="AF121" s="165"/>
      <c r="AG121" s="165"/>
      <c r="AH121" s="165"/>
      <c r="AI121" s="165"/>
      <c r="AJ121" s="165"/>
      <c r="AK121" s="165"/>
      <c r="AL121" s="165"/>
      <c r="AM121" s="165"/>
      <c r="AN121" s="165"/>
      <c r="AO121" s="165"/>
      <c r="AP121" s="165"/>
      <c r="AQ121" s="165"/>
      <c r="AR121" s="165"/>
      <c r="AS121" s="165"/>
      <c r="AT121" s="165"/>
      <c r="AU121" s="165"/>
      <c r="AV121" s="165"/>
      <c r="AW121" s="165"/>
      <c r="AX121" s="165"/>
      <c r="AY121" s="165"/>
      <c r="AZ121" s="165"/>
      <c r="BA121" s="165"/>
      <c r="BB121" s="170"/>
      <c r="BC121" s="165"/>
      <c r="BD121" s="165"/>
      <c r="BE121" s="165"/>
      <c r="BF121" s="165"/>
      <c r="BG121" s="165"/>
      <c r="BH121" s="165"/>
      <c r="BI121" s="165"/>
      <c r="BJ121" s="165"/>
      <c r="BK121" s="165"/>
      <c r="BL121" s="165"/>
      <c r="BM121" s="165"/>
      <c r="BN121" s="165"/>
      <c r="BO121" s="165"/>
      <c r="BP121" s="165"/>
      <c r="BQ121" s="165"/>
      <c r="BR121" s="165"/>
      <c r="BS121" s="165"/>
      <c r="BT121" s="165"/>
      <c r="BU121" s="165"/>
      <c r="BV121" s="165"/>
      <c r="BW121" s="165"/>
      <c r="BX121" s="165"/>
      <c r="BY121" s="165"/>
      <c r="BZ121" s="165"/>
      <c r="CA121" s="165"/>
      <c r="CB121" s="165"/>
      <c r="CC121" s="165"/>
      <c r="CD121" s="165"/>
      <c r="CE121" s="165"/>
      <c r="CF121" s="165"/>
      <c r="CG121" s="165"/>
      <c r="CH121" s="165"/>
      <c r="CI121" s="170"/>
      <c r="CJ121" s="165"/>
      <c r="CK121" s="165"/>
      <c r="CL121" s="165"/>
      <c r="CM121" s="165"/>
      <c r="CN121" s="170"/>
      <c r="CO121" s="165"/>
      <c r="CP121" s="165"/>
      <c r="CQ121" s="165"/>
    </row>
    <row r="122" spans="2:95" hidden="1" outlineLevel="1" x14ac:dyDescent="0.25">
      <c r="B122" s="156" t="str">
        <f>Table1[[#Headers],[Simulação]]</f>
        <v>Simulação</v>
      </c>
      <c r="C122" s="154" t="str">
        <f t="shared" si="12"/>
        <v>INSTR_ACTIVITY_PRCNTG_ACTVTY</v>
      </c>
      <c r="D122" s="153" t="s">
        <v>1542</v>
      </c>
      <c r="E122" s="153" t="s">
        <v>1548</v>
      </c>
      <c r="G122" s="172">
        <f>INDEX(Table1[[Especificação]:[Total Testes]],MATCH(Sheet1!C122,Table1[CONCAT],0),MATCH(Sheet1!B122,Table1[[#Headers],[Especificação]:[Total Testes]],0))</f>
        <v>3</v>
      </c>
      <c r="H122" s="191">
        <f t="shared" si="13"/>
        <v>0.38</v>
      </c>
      <c r="I122" s="222"/>
      <c r="J122" s="170"/>
      <c r="K122" s="165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  <c r="AA122" s="165"/>
      <c r="AB122" s="165"/>
      <c r="AC122" s="165"/>
      <c r="AD122" s="165"/>
      <c r="AE122" s="165"/>
      <c r="AF122" s="165"/>
      <c r="AG122" s="165"/>
      <c r="AH122" s="165"/>
      <c r="AI122" s="165"/>
      <c r="AJ122" s="165"/>
      <c r="AK122" s="165"/>
      <c r="AL122" s="165"/>
      <c r="AM122" s="165"/>
      <c r="AN122" s="165"/>
      <c r="AO122" s="165"/>
      <c r="AP122" s="165"/>
      <c r="AQ122" s="165"/>
      <c r="AR122" s="165"/>
      <c r="AS122" s="165"/>
      <c r="AT122" s="165"/>
      <c r="AU122" s="165"/>
      <c r="AV122" s="165"/>
      <c r="AW122" s="165"/>
      <c r="AX122" s="165"/>
      <c r="AY122" s="165"/>
      <c r="AZ122" s="165"/>
      <c r="BA122" s="165"/>
      <c r="BB122" s="170"/>
      <c r="BC122" s="165"/>
      <c r="BD122" s="165"/>
      <c r="BE122" s="165"/>
      <c r="BF122" s="165"/>
      <c r="BG122" s="165"/>
      <c r="BH122" s="165"/>
      <c r="BI122" s="165"/>
      <c r="BJ122" s="165"/>
      <c r="BK122" s="165"/>
      <c r="BL122" s="165"/>
      <c r="BM122" s="165"/>
      <c r="BN122" s="165"/>
      <c r="BO122" s="165"/>
      <c r="BP122" s="165"/>
      <c r="BQ122" s="165"/>
      <c r="BR122" s="165"/>
      <c r="BS122" s="165"/>
      <c r="BT122" s="165"/>
      <c r="BU122" s="165"/>
      <c r="BV122" s="165"/>
      <c r="BW122" s="165"/>
      <c r="BX122" s="165"/>
      <c r="BY122" s="165"/>
      <c r="BZ122" s="165"/>
      <c r="CA122" s="165"/>
      <c r="CB122" s="165"/>
      <c r="CC122" s="165"/>
      <c r="CD122" s="165"/>
      <c r="CE122" s="165"/>
      <c r="CF122" s="165"/>
      <c r="CG122" s="165"/>
      <c r="CH122" s="165"/>
      <c r="CI122" s="170"/>
      <c r="CJ122" s="165"/>
      <c r="CK122" s="165"/>
      <c r="CL122" s="165"/>
      <c r="CM122" s="165"/>
      <c r="CN122" s="170"/>
      <c r="CO122" s="165"/>
      <c r="CP122" s="165"/>
      <c r="CQ122" s="165"/>
    </row>
    <row r="123" spans="2:95" hidden="1" outlineLevel="1" x14ac:dyDescent="0.25">
      <c r="B123" s="156" t="str">
        <f>Table1[[#Headers],[Simulação]]</f>
        <v>Simulação</v>
      </c>
      <c r="C123" s="154" t="str">
        <f t="shared" si="12"/>
        <v>INSTR_ACTIVITY_FLG_SBSTNTL_CNTRBTN</v>
      </c>
      <c r="D123" s="153" t="s">
        <v>1542</v>
      </c>
      <c r="E123" s="153" t="s">
        <v>1554</v>
      </c>
      <c r="G123" s="172">
        <f>INDEX(Table1[[Especificação]:[Total Testes]],MATCH(Sheet1!C123,Table1[CONCAT],0),MATCH(Sheet1!B123,Table1[[#Headers],[Especificação]:[Total Testes]],0))</f>
        <v>3</v>
      </c>
      <c r="H123" s="191">
        <f t="shared" si="13"/>
        <v>0.38</v>
      </c>
      <c r="I123" s="222"/>
      <c r="J123" s="170"/>
      <c r="K123" s="165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  <c r="AA123" s="165"/>
      <c r="AB123" s="165"/>
      <c r="AC123" s="165"/>
      <c r="AD123" s="165"/>
      <c r="AE123" s="165"/>
      <c r="AF123" s="165"/>
      <c r="AG123" s="165"/>
      <c r="AH123" s="165"/>
      <c r="AI123" s="165"/>
      <c r="AJ123" s="165"/>
      <c r="AK123" s="165"/>
      <c r="AL123" s="165"/>
      <c r="AM123" s="165"/>
      <c r="AN123" s="165"/>
      <c r="AO123" s="165"/>
      <c r="AP123" s="165"/>
      <c r="AQ123" s="165"/>
      <c r="AR123" s="165"/>
      <c r="AS123" s="165"/>
      <c r="AT123" s="165"/>
      <c r="AU123" s="165"/>
      <c r="AV123" s="165"/>
      <c r="AW123" s="165"/>
      <c r="AX123" s="165"/>
      <c r="AY123" s="165"/>
      <c r="AZ123" s="165"/>
      <c r="BA123" s="165"/>
      <c r="BB123" s="170"/>
      <c r="BC123" s="165"/>
      <c r="BD123" s="165"/>
      <c r="BE123" s="165"/>
      <c r="BF123" s="165"/>
      <c r="BG123" s="165"/>
      <c r="BH123" s="165"/>
      <c r="BI123" s="165"/>
      <c r="BJ123" s="165"/>
      <c r="BK123" s="165"/>
      <c r="BL123" s="165"/>
      <c r="BM123" s="165"/>
      <c r="BN123" s="165"/>
      <c r="BO123" s="165"/>
      <c r="BP123" s="165"/>
      <c r="BQ123" s="165"/>
      <c r="BR123" s="165"/>
      <c r="BS123" s="165"/>
      <c r="BT123" s="165"/>
      <c r="BU123" s="165"/>
      <c r="BV123" s="165"/>
      <c r="BW123" s="165"/>
      <c r="BX123" s="165"/>
      <c r="BY123" s="165"/>
      <c r="BZ123" s="165"/>
      <c r="CA123" s="165"/>
      <c r="CB123" s="165"/>
      <c r="CC123" s="165"/>
      <c r="CD123" s="165"/>
      <c r="CE123" s="165"/>
      <c r="CF123" s="165"/>
      <c r="CG123" s="165"/>
      <c r="CH123" s="165"/>
      <c r="CI123" s="170"/>
      <c r="CJ123" s="165"/>
      <c r="CK123" s="165"/>
      <c r="CL123" s="165"/>
      <c r="CM123" s="165"/>
      <c r="CN123" s="170"/>
      <c r="CO123" s="165"/>
      <c r="CP123" s="165"/>
      <c r="CQ123" s="165"/>
    </row>
    <row r="124" spans="2:95" hidden="1" outlineLevel="1" x14ac:dyDescent="0.25">
      <c r="B124" s="156" t="str">
        <f>Table1[[#Headers],[Simulação]]</f>
        <v>Simulação</v>
      </c>
      <c r="C124" s="154" t="str">
        <f t="shared" si="12"/>
        <v>INSTR_ACTIVITY_FLG_DNSH_CMPLNC</v>
      </c>
      <c r="D124" s="153" t="s">
        <v>1542</v>
      </c>
      <c r="E124" s="153" t="s">
        <v>1557</v>
      </c>
      <c r="G124" s="172">
        <f>INDEX(Table1[[Especificação]:[Total Testes]],MATCH(Sheet1!C124,Table1[CONCAT],0),MATCH(Sheet1!B124,Table1[[#Headers],[Especificação]:[Total Testes]],0))</f>
        <v>0</v>
      </c>
      <c r="H124" s="191">
        <f t="shared" si="13"/>
        <v>0</v>
      </c>
      <c r="I124" s="222"/>
      <c r="J124" s="170"/>
      <c r="K124" s="165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  <c r="AA124" s="165"/>
      <c r="AB124" s="165"/>
      <c r="AC124" s="165"/>
      <c r="AD124" s="165"/>
      <c r="AE124" s="165"/>
      <c r="AF124" s="165"/>
      <c r="AG124" s="165"/>
      <c r="AH124" s="165"/>
      <c r="AI124" s="165"/>
      <c r="AJ124" s="165"/>
      <c r="AK124" s="165"/>
      <c r="AL124" s="165"/>
      <c r="AM124" s="165"/>
      <c r="AN124" s="165"/>
      <c r="AO124" s="165"/>
      <c r="AP124" s="165"/>
      <c r="AQ124" s="165"/>
      <c r="AR124" s="165"/>
      <c r="AS124" s="165"/>
      <c r="AT124" s="165"/>
      <c r="AU124" s="165"/>
      <c r="AV124" s="165"/>
      <c r="AW124" s="165"/>
      <c r="AX124" s="165"/>
      <c r="AY124" s="165"/>
      <c r="AZ124" s="165"/>
      <c r="BA124" s="165"/>
      <c r="BB124" s="170"/>
      <c r="BC124" s="165"/>
      <c r="BD124" s="165"/>
      <c r="BE124" s="165"/>
      <c r="BF124" s="165"/>
      <c r="BG124" s="165"/>
      <c r="BH124" s="165"/>
      <c r="BI124" s="165"/>
      <c r="BJ124" s="165"/>
      <c r="BK124" s="165"/>
      <c r="BL124" s="165"/>
      <c r="BM124" s="165"/>
      <c r="BN124" s="165"/>
      <c r="BO124" s="165"/>
      <c r="BP124" s="165"/>
      <c r="BQ124" s="165"/>
      <c r="BR124" s="165"/>
      <c r="BS124" s="165"/>
      <c r="BT124" s="165"/>
      <c r="BU124" s="165"/>
      <c r="BV124" s="165"/>
      <c r="BW124" s="165"/>
      <c r="BX124" s="165"/>
      <c r="BY124" s="165"/>
      <c r="BZ124" s="165"/>
      <c r="CA124" s="165"/>
      <c r="CB124" s="165"/>
      <c r="CC124" s="165"/>
      <c r="CD124" s="165"/>
      <c r="CE124" s="165"/>
      <c r="CF124" s="165"/>
      <c r="CG124" s="165"/>
      <c r="CH124" s="165"/>
      <c r="CI124" s="170"/>
      <c r="CJ124" s="165"/>
      <c r="CK124" s="165"/>
      <c r="CL124" s="165"/>
      <c r="CM124" s="165"/>
      <c r="CN124" s="170"/>
      <c r="CO124" s="165"/>
      <c r="CP124" s="165"/>
      <c r="CQ124" s="165"/>
    </row>
    <row r="125" spans="2:95" hidden="1" outlineLevel="1" x14ac:dyDescent="0.25">
      <c r="B125" s="156" t="str">
        <f>Table1[[#Headers],[Simulação]]</f>
        <v>Simulação</v>
      </c>
      <c r="C125" s="154" t="str">
        <f t="shared" si="12"/>
        <v>INSTR_ACTIVITY_DNSH_DTL</v>
      </c>
      <c r="D125" s="153" t="s">
        <v>1542</v>
      </c>
      <c r="E125" s="153" t="s">
        <v>1560</v>
      </c>
      <c r="G125" s="172">
        <f>INDEX(Table1[[Especificação]:[Total Testes]],MATCH(Sheet1!C125,Table1[CONCAT],0),MATCH(Sheet1!B125,Table1[[#Headers],[Especificação]:[Total Testes]],0))</f>
        <v>0</v>
      </c>
      <c r="H125" s="191">
        <f t="shared" si="13"/>
        <v>0</v>
      </c>
      <c r="I125" s="222"/>
      <c r="J125" s="170"/>
      <c r="K125" s="165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  <c r="AE125" s="165"/>
      <c r="AF125" s="165"/>
      <c r="AG125" s="165"/>
      <c r="AH125" s="165"/>
      <c r="AI125" s="165"/>
      <c r="AJ125" s="165"/>
      <c r="AK125" s="165"/>
      <c r="AL125" s="165"/>
      <c r="AM125" s="165"/>
      <c r="AN125" s="165"/>
      <c r="AO125" s="165"/>
      <c r="AP125" s="165"/>
      <c r="AQ125" s="165"/>
      <c r="AR125" s="165"/>
      <c r="AS125" s="165"/>
      <c r="AT125" s="165"/>
      <c r="AU125" s="165"/>
      <c r="AV125" s="165"/>
      <c r="AW125" s="165"/>
      <c r="AX125" s="165"/>
      <c r="AY125" s="165"/>
      <c r="AZ125" s="165"/>
      <c r="BA125" s="165"/>
      <c r="BB125" s="170"/>
      <c r="BC125" s="165"/>
      <c r="BD125" s="165"/>
      <c r="BE125" s="165"/>
      <c r="BF125" s="165"/>
      <c r="BG125" s="165"/>
      <c r="BH125" s="165"/>
      <c r="BI125" s="165"/>
      <c r="BJ125" s="165"/>
      <c r="BK125" s="165"/>
      <c r="BL125" s="165"/>
      <c r="BM125" s="165"/>
      <c r="BN125" s="165"/>
      <c r="BO125" s="165"/>
      <c r="BP125" s="165"/>
      <c r="BQ125" s="165"/>
      <c r="BR125" s="165"/>
      <c r="BS125" s="165"/>
      <c r="BT125" s="165"/>
      <c r="BU125" s="165"/>
      <c r="BV125" s="165"/>
      <c r="BW125" s="165"/>
      <c r="BX125" s="165"/>
      <c r="BY125" s="165"/>
      <c r="BZ125" s="165"/>
      <c r="CA125" s="165"/>
      <c r="CB125" s="165"/>
      <c r="CC125" s="165"/>
      <c r="CD125" s="165"/>
      <c r="CE125" s="165"/>
      <c r="CF125" s="165"/>
      <c r="CG125" s="165"/>
      <c r="CH125" s="165"/>
      <c r="CI125" s="170"/>
      <c r="CJ125" s="165"/>
      <c r="CK125" s="165"/>
      <c r="CL125" s="165"/>
      <c r="CM125" s="165"/>
      <c r="CN125" s="170"/>
      <c r="CO125" s="165"/>
      <c r="CP125" s="165"/>
      <c r="CQ125" s="165"/>
    </row>
    <row r="126" spans="2:95" hidden="1" outlineLevel="1" x14ac:dyDescent="0.25">
      <c r="B126" s="156" t="str">
        <f>Table1[[#Headers],[Simulação]]</f>
        <v>Simulação</v>
      </c>
      <c r="C126" s="154" t="str">
        <f t="shared" si="12"/>
        <v>ENTITY_GRP_ECNMC_ACTVTY</v>
      </c>
      <c r="D126" s="153" t="s">
        <v>10</v>
      </c>
      <c r="E126" s="153" t="s">
        <v>382</v>
      </c>
      <c r="G126" s="172">
        <f>INDEX(Table1[[Especificação]:[Total Testes]],MATCH(Sheet1!C126,Table1[CONCAT],0),MATCH(Sheet1!B126,Table1[[#Headers],[Especificação]:[Total Testes]],0))</f>
        <v>1.5</v>
      </c>
      <c r="H126" s="191">
        <f t="shared" si="13"/>
        <v>0.19</v>
      </c>
      <c r="I126" s="222"/>
      <c r="J126" s="170"/>
      <c r="K126" s="165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  <c r="AA126" s="165"/>
      <c r="AB126" s="165"/>
      <c r="AC126" s="165"/>
      <c r="AD126" s="165"/>
      <c r="AE126" s="165"/>
      <c r="AF126" s="165"/>
      <c r="AG126" s="165"/>
      <c r="AH126" s="165"/>
      <c r="AI126" s="165"/>
      <c r="AJ126" s="165"/>
      <c r="AK126" s="165"/>
      <c r="AL126" s="165"/>
      <c r="AM126" s="165"/>
      <c r="AN126" s="165"/>
      <c r="AO126" s="165"/>
      <c r="AP126" s="165"/>
      <c r="AQ126" s="165"/>
      <c r="AR126" s="165"/>
      <c r="AS126" s="165"/>
      <c r="AT126" s="165"/>
      <c r="AU126" s="165"/>
      <c r="AV126" s="165"/>
      <c r="AW126" s="165"/>
      <c r="AX126" s="165"/>
      <c r="AY126" s="165"/>
      <c r="AZ126" s="165"/>
      <c r="BA126" s="165"/>
      <c r="BB126" s="170"/>
      <c r="BC126" s="165"/>
      <c r="BD126" s="165"/>
      <c r="BE126" s="165"/>
      <c r="BF126" s="165"/>
      <c r="BG126" s="165"/>
      <c r="BH126" s="165"/>
      <c r="BI126" s="165"/>
      <c r="BJ126" s="165"/>
      <c r="BK126" s="165"/>
      <c r="BL126" s="165"/>
      <c r="BM126" s="165"/>
      <c r="BN126" s="165"/>
      <c r="BO126" s="165"/>
      <c r="BP126" s="165"/>
      <c r="BQ126" s="165"/>
      <c r="BR126" s="165"/>
      <c r="BS126" s="165"/>
      <c r="BT126" s="165"/>
      <c r="BU126" s="165"/>
      <c r="BV126" s="165"/>
      <c r="BW126" s="165"/>
      <c r="BX126" s="165"/>
      <c r="BY126" s="165"/>
      <c r="BZ126" s="165"/>
      <c r="CA126" s="165"/>
      <c r="CB126" s="165"/>
      <c r="CC126" s="165"/>
      <c r="CD126" s="165"/>
      <c r="CE126" s="165"/>
      <c r="CF126" s="165"/>
      <c r="CG126" s="165"/>
      <c r="CH126" s="165"/>
      <c r="CI126" s="170"/>
      <c r="CJ126" s="165"/>
      <c r="CK126" s="165"/>
      <c r="CL126" s="165"/>
      <c r="CM126" s="165"/>
      <c r="CN126" s="170"/>
      <c r="CO126" s="165"/>
      <c r="CP126" s="165"/>
      <c r="CQ126" s="165"/>
    </row>
    <row r="127" spans="2:95" hidden="1" outlineLevel="1" x14ac:dyDescent="0.25">
      <c r="B127" s="156" t="str">
        <f>Table1[[#Headers],[Simulação]]</f>
        <v>Simulação</v>
      </c>
      <c r="C127" s="154" t="str">
        <f t="shared" si="12"/>
        <v>PROTECTION_TYP_EMSSNS_LBL</v>
      </c>
      <c r="D127" s="153" t="s">
        <v>1114</v>
      </c>
      <c r="E127" s="153" t="s">
        <v>1235</v>
      </c>
      <c r="G127" s="172">
        <f>INDEX(Table1[[Especificação]:[Total Testes]],MATCH(Sheet1!C127,Table1[CONCAT],0),MATCH(Sheet1!B127,Table1[[#Headers],[Especificação]:[Total Testes]],0))</f>
        <v>0</v>
      </c>
      <c r="H127" s="191">
        <f t="shared" si="13"/>
        <v>0</v>
      </c>
      <c r="I127" s="222"/>
      <c r="J127" s="170"/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  <c r="AA127" s="165"/>
      <c r="AB127" s="165"/>
      <c r="AC127" s="165"/>
      <c r="AD127" s="165"/>
      <c r="AE127" s="165"/>
      <c r="AF127" s="165"/>
      <c r="AG127" s="165"/>
      <c r="AH127" s="165"/>
      <c r="AI127" s="165"/>
      <c r="AJ127" s="165"/>
      <c r="AK127" s="165"/>
      <c r="AL127" s="165"/>
      <c r="AM127" s="165"/>
      <c r="AN127" s="165"/>
      <c r="AO127" s="165"/>
      <c r="AP127" s="165"/>
      <c r="AQ127" s="165"/>
      <c r="AR127" s="165"/>
      <c r="AS127" s="165"/>
      <c r="AT127" s="165"/>
      <c r="AU127" s="165"/>
      <c r="AV127" s="165"/>
      <c r="AW127" s="165"/>
      <c r="AX127" s="165"/>
      <c r="AY127" s="165"/>
      <c r="AZ127" s="165"/>
      <c r="BA127" s="165"/>
      <c r="BB127" s="170"/>
      <c r="BC127" s="165"/>
      <c r="BD127" s="165"/>
      <c r="BE127" s="165"/>
      <c r="BF127" s="165"/>
      <c r="BG127" s="165"/>
      <c r="BH127" s="165"/>
      <c r="BI127" s="165"/>
      <c r="BJ127" s="165"/>
      <c r="BK127" s="165"/>
      <c r="BL127" s="165"/>
      <c r="BM127" s="165"/>
      <c r="BN127" s="165"/>
      <c r="BO127" s="165"/>
      <c r="BP127" s="165"/>
      <c r="BQ127" s="165"/>
      <c r="BR127" s="165"/>
      <c r="BS127" s="165"/>
      <c r="BT127" s="165"/>
      <c r="BU127" s="165"/>
      <c r="BV127" s="165"/>
      <c r="BW127" s="165"/>
      <c r="BX127" s="165"/>
      <c r="BY127" s="165"/>
      <c r="BZ127" s="165"/>
      <c r="CA127" s="165"/>
      <c r="CB127" s="165"/>
      <c r="CC127" s="165"/>
      <c r="CD127" s="165"/>
      <c r="CE127" s="165"/>
      <c r="CF127" s="165"/>
      <c r="CG127" s="165"/>
      <c r="CH127" s="165"/>
      <c r="CI127" s="170"/>
      <c r="CJ127" s="165"/>
      <c r="CK127" s="165"/>
      <c r="CL127" s="165"/>
      <c r="CM127" s="165"/>
      <c r="CN127" s="170"/>
      <c r="CO127" s="165"/>
      <c r="CP127" s="165"/>
      <c r="CQ127" s="165"/>
    </row>
    <row r="128" spans="2:95" hidden="1" outlineLevel="1" x14ac:dyDescent="0.25">
      <c r="B128" s="156" t="str">
        <f>Table1[[#Headers],[Simulação]]</f>
        <v>Simulação</v>
      </c>
      <c r="C128" s="154" t="str">
        <f t="shared" si="12"/>
        <v>PROTECTION_EPC_EMSSNS_LBL</v>
      </c>
      <c r="D128" s="153" t="s">
        <v>1114</v>
      </c>
      <c r="E128" s="153" t="s">
        <v>1238</v>
      </c>
      <c r="G128" s="172">
        <f>INDEX(Table1[[Especificação]:[Total Testes]],MATCH(Sheet1!C128,Table1[CONCAT],0),MATCH(Sheet1!B128,Table1[[#Headers],[Especificação]:[Total Testes]],0))</f>
        <v>0</v>
      </c>
      <c r="H128" s="191">
        <f t="shared" si="13"/>
        <v>0</v>
      </c>
      <c r="I128" s="222"/>
      <c r="J128" s="170"/>
      <c r="K128" s="165"/>
      <c r="L128" s="165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  <c r="AA128" s="165"/>
      <c r="AB128" s="165"/>
      <c r="AC128" s="165"/>
      <c r="AD128" s="165"/>
      <c r="AE128" s="165"/>
      <c r="AF128" s="165"/>
      <c r="AG128" s="165"/>
      <c r="AH128" s="165"/>
      <c r="AI128" s="165"/>
      <c r="AJ128" s="165"/>
      <c r="AK128" s="165"/>
      <c r="AL128" s="165"/>
      <c r="AM128" s="165"/>
      <c r="AN128" s="165"/>
      <c r="AO128" s="165"/>
      <c r="AP128" s="165"/>
      <c r="AQ128" s="165"/>
      <c r="AR128" s="165"/>
      <c r="AS128" s="165"/>
      <c r="AT128" s="165"/>
      <c r="AU128" s="165"/>
      <c r="AV128" s="165"/>
      <c r="AW128" s="165"/>
      <c r="AX128" s="165"/>
      <c r="AY128" s="165"/>
      <c r="AZ128" s="165"/>
      <c r="BA128" s="165"/>
      <c r="BB128" s="170"/>
      <c r="BC128" s="165"/>
      <c r="BD128" s="165"/>
      <c r="BE128" s="165"/>
      <c r="BF128" s="165"/>
      <c r="BG128" s="165"/>
      <c r="BH128" s="165"/>
      <c r="BI128" s="165"/>
      <c r="BJ128" s="165"/>
      <c r="BK128" s="165"/>
      <c r="BL128" s="165"/>
      <c r="BM128" s="165"/>
      <c r="BN128" s="165"/>
      <c r="BO128" s="165"/>
      <c r="BP128" s="165"/>
      <c r="BQ128" s="165"/>
      <c r="BR128" s="165"/>
      <c r="BS128" s="165"/>
      <c r="BT128" s="165"/>
      <c r="BU128" s="165"/>
      <c r="BV128" s="165"/>
      <c r="BW128" s="165"/>
      <c r="BX128" s="165"/>
      <c r="BY128" s="165"/>
      <c r="BZ128" s="165"/>
      <c r="CA128" s="165"/>
      <c r="CB128" s="165"/>
      <c r="CC128" s="165"/>
      <c r="CD128" s="165"/>
      <c r="CE128" s="165"/>
      <c r="CF128" s="165"/>
      <c r="CG128" s="165"/>
      <c r="CH128" s="165"/>
      <c r="CI128" s="170"/>
      <c r="CJ128" s="165"/>
      <c r="CK128" s="165"/>
      <c r="CL128" s="165"/>
      <c r="CM128" s="165"/>
      <c r="CN128" s="170"/>
      <c r="CO128" s="165"/>
      <c r="CP128" s="165"/>
      <c r="CQ128" s="165"/>
    </row>
    <row r="129" spans="2:95" hidden="1" outlineLevel="1" x14ac:dyDescent="0.25">
      <c r="B129" s="156" t="str">
        <f>Table1[[#Headers],[Simulação]]</f>
        <v>Simulação</v>
      </c>
      <c r="C129" s="154" t="str">
        <f t="shared" si="12"/>
        <v>PROTECTION_VHCL_EMSSNS_LBL</v>
      </c>
      <c r="D129" s="153" t="s">
        <v>1114</v>
      </c>
      <c r="E129" s="153" t="s">
        <v>1241</v>
      </c>
      <c r="G129" s="172">
        <f>INDEX(Table1[[Especificação]:[Total Testes]],MATCH(Sheet1!C129,Table1[CONCAT],0),MATCH(Sheet1!B129,Table1[[#Headers],[Especificação]:[Total Testes]],0))</f>
        <v>0</v>
      </c>
      <c r="H129" s="191">
        <f t="shared" si="13"/>
        <v>0</v>
      </c>
      <c r="I129" s="222"/>
      <c r="J129" s="170"/>
      <c r="K129" s="165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  <c r="AA129" s="165"/>
      <c r="AB129" s="165"/>
      <c r="AC129" s="165"/>
      <c r="AD129" s="165"/>
      <c r="AE129" s="165"/>
      <c r="AF129" s="165"/>
      <c r="AG129" s="165"/>
      <c r="AH129" s="165"/>
      <c r="AI129" s="165"/>
      <c r="AJ129" s="165"/>
      <c r="AK129" s="165"/>
      <c r="AL129" s="165"/>
      <c r="AM129" s="165"/>
      <c r="AN129" s="165"/>
      <c r="AO129" s="165"/>
      <c r="AP129" s="165"/>
      <c r="AQ129" s="165"/>
      <c r="AR129" s="165"/>
      <c r="AS129" s="165"/>
      <c r="AT129" s="165"/>
      <c r="AU129" s="165"/>
      <c r="AV129" s="165"/>
      <c r="AW129" s="165"/>
      <c r="AX129" s="165"/>
      <c r="AY129" s="165"/>
      <c r="AZ129" s="165"/>
      <c r="BA129" s="165"/>
      <c r="BB129" s="170"/>
      <c r="BC129" s="165"/>
      <c r="BD129" s="165"/>
      <c r="BE129" s="165"/>
      <c r="BF129" s="165"/>
      <c r="BG129" s="165"/>
      <c r="BH129" s="165"/>
      <c r="BI129" s="165"/>
      <c r="BJ129" s="165"/>
      <c r="BK129" s="165"/>
      <c r="BL129" s="165"/>
      <c r="BM129" s="165"/>
      <c r="BN129" s="165"/>
      <c r="BO129" s="165"/>
      <c r="BP129" s="165"/>
      <c r="BQ129" s="165"/>
      <c r="BR129" s="165"/>
      <c r="BS129" s="165"/>
      <c r="BT129" s="165"/>
      <c r="BU129" s="165"/>
      <c r="BV129" s="165"/>
      <c r="BW129" s="165"/>
      <c r="BX129" s="165"/>
      <c r="BY129" s="165"/>
      <c r="BZ129" s="165"/>
      <c r="CA129" s="165"/>
      <c r="CB129" s="165"/>
      <c r="CC129" s="165"/>
      <c r="CD129" s="165"/>
      <c r="CE129" s="165"/>
      <c r="CF129" s="165"/>
      <c r="CG129" s="165"/>
      <c r="CH129" s="165"/>
      <c r="CI129" s="170"/>
      <c r="CJ129" s="165"/>
      <c r="CK129" s="165"/>
      <c r="CL129" s="165"/>
      <c r="CM129" s="165"/>
      <c r="CN129" s="170"/>
      <c r="CO129" s="165"/>
      <c r="CP129" s="165"/>
      <c r="CQ129" s="165"/>
    </row>
    <row r="130" spans="2:95" hidden="1" outlineLevel="1" x14ac:dyDescent="0.25">
      <c r="B130" s="156" t="str">
        <f>Table1[[#Headers],[Simulação]]</f>
        <v>Simulação</v>
      </c>
      <c r="C130" s="154" t="str">
        <f t="shared" si="12"/>
        <v>PROTECTION_TYP_EMSSNS_SCR</v>
      </c>
      <c r="D130" s="153" t="s">
        <v>1114</v>
      </c>
      <c r="E130" s="153" t="s">
        <v>1244</v>
      </c>
      <c r="G130" s="172">
        <f>INDEX(Table1[[Especificação]:[Total Testes]],MATCH(Sheet1!C130,Table1[CONCAT],0),MATCH(Sheet1!B130,Table1[[#Headers],[Especificação]:[Total Testes]],0))</f>
        <v>0</v>
      </c>
      <c r="H130" s="191">
        <f t="shared" si="13"/>
        <v>0</v>
      </c>
      <c r="I130" s="222"/>
      <c r="J130" s="170"/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  <c r="AA130" s="165"/>
      <c r="AB130" s="165"/>
      <c r="AC130" s="165"/>
      <c r="AD130" s="165"/>
      <c r="AE130" s="165"/>
      <c r="AF130" s="165"/>
      <c r="AG130" s="165"/>
      <c r="AH130" s="165"/>
      <c r="AI130" s="165"/>
      <c r="AJ130" s="165"/>
      <c r="AK130" s="165"/>
      <c r="AL130" s="165"/>
      <c r="AM130" s="165"/>
      <c r="AN130" s="165"/>
      <c r="AO130" s="165"/>
      <c r="AP130" s="165"/>
      <c r="AQ130" s="165"/>
      <c r="AR130" s="165"/>
      <c r="AS130" s="165"/>
      <c r="AT130" s="165"/>
      <c r="AU130" s="165"/>
      <c r="AV130" s="165"/>
      <c r="AW130" s="165"/>
      <c r="AX130" s="165"/>
      <c r="AY130" s="165"/>
      <c r="AZ130" s="165"/>
      <c r="BA130" s="165"/>
      <c r="BB130" s="170"/>
      <c r="BC130" s="165"/>
      <c r="BD130" s="165"/>
      <c r="BE130" s="165"/>
      <c r="BF130" s="165"/>
      <c r="BG130" s="165"/>
      <c r="BH130" s="165"/>
      <c r="BI130" s="165"/>
      <c r="BJ130" s="165"/>
      <c r="BK130" s="165"/>
      <c r="BL130" s="165"/>
      <c r="BM130" s="165"/>
      <c r="BN130" s="165"/>
      <c r="BO130" s="165"/>
      <c r="BP130" s="165"/>
      <c r="BQ130" s="165"/>
      <c r="BR130" s="165"/>
      <c r="BS130" s="165"/>
      <c r="BT130" s="165"/>
      <c r="BU130" s="165"/>
      <c r="BV130" s="165"/>
      <c r="BW130" s="165"/>
      <c r="BX130" s="165"/>
      <c r="BY130" s="165"/>
      <c r="BZ130" s="165"/>
      <c r="CA130" s="165"/>
      <c r="CB130" s="165"/>
      <c r="CC130" s="165"/>
      <c r="CD130" s="165"/>
      <c r="CE130" s="165"/>
      <c r="CF130" s="165"/>
      <c r="CG130" s="165"/>
      <c r="CH130" s="165"/>
      <c r="CI130" s="170"/>
      <c r="CJ130" s="165"/>
      <c r="CK130" s="165"/>
      <c r="CL130" s="165"/>
      <c r="CM130" s="165"/>
      <c r="CN130" s="170"/>
      <c r="CO130" s="165"/>
      <c r="CP130" s="165"/>
      <c r="CQ130" s="165"/>
    </row>
    <row r="131" spans="2:95" hidden="1" outlineLevel="1" x14ac:dyDescent="0.25">
      <c r="B131" s="156" t="str">
        <f>Table1[[#Headers],[Simulação]]</f>
        <v>Simulação</v>
      </c>
      <c r="C131" s="154" t="str">
        <f t="shared" si="12"/>
        <v>PROTECTION_EPC_EMSSNS_SCR</v>
      </c>
      <c r="D131" s="153" t="s">
        <v>1114</v>
      </c>
      <c r="E131" s="153" t="s">
        <v>1247</v>
      </c>
      <c r="G131" s="172">
        <f>INDEX(Table1[[Especificação]:[Total Testes]],MATCH(Sheet1!C131,Table1[CONCAT],0),MATCH(Sheet1!B131,Table1[[#Headers],[Especificação]:[Total Testes]],0))</f>
        <v>0</v>
      </c>
      <c r="H131" s="191">
        <f t="shared" si="13"/>
        <v>0</v>
      </c>
      <c r="I131" s="222"/>
      <c r="J131" s="170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  <c r="AA131" s="165"/>
      <c r="AB131" s="165"/>
      <c r="AC131" s="165"/>
      <c r="AD131" s="165"/>
      <c r="AE131" s="165"/>
      <c r="AF131" s="165"/>
      <c r="AG131" s="165"/>
      <c r="AH131" s="165"/>
      <c r="AI131" s="165"/>
      <c r="AJ131" s="165"/>
      <c r="AK131" s="165"/>
      <c r="AL131" s="165"/>
      <c r="AM131" s="165"/>
      <c r="AN131" s="165"/>
      <c r="AO131" s="165"/>
      <c r="AP131" s="165"/>
      <c r="AQ131" s="165"/>
      <c r="AR131" s="165"/>
      <c r="AS131" s="165"/>
      <c r="AT131" s="165"/>
      <c r="AU131" s="165"/>
      <c r="AV131" s="165"/>
      <c r="AW131" s="165"/>
      <c r="AX131" s="165"/>
      <c r="AY131" s="165"/>
      <c r="AZ131" s="165"/>
      <c r="BA131" s="165"/>
      <c r="BB131" s="170"/>
      <c r="BC131" s="165"/>
      <c r="BD131" s="165"/>
      <c r="BE131" s="165"/>
      <c r="BF131" s="165"/>
      <c r="BG131" s="165"/>
      <c r="BH131" s="165"/>
      <c r="BI131" s="165"/>
      <c r="BJ131" s="165"/>
      <c r="BK131" s="165"/>
      <c r="BL131" s="165"/>
      <c r="BM131" s="165"/>
      <c r="BN131" s="165"/>
      <c r="BO131" s="165"/>
      <c r="BP131" s="165"/>
      <c r="BQ131" s="165"/>
      <c r="BR131" s="165"/>
      <c r="BS131" s="165"/>
      <c r="BT131" s="165"/>
      <c r="BU131" s="165"/>
      <c r="BV131" s="165"/>
      <c r="BW131" s="165"/>
      <c r="BX131" s="165"/>
      <c r="BY131" s="165"/>
      <c r="BZ131" s="165"/>
      <c r="CA131" s="165"/>
      <c r="CB131" s="165"/>
      <c r="CC131" s="165"/>
      <c r="CD131" s="165"/>
      <c r="CE131" s="165"/>
      <c r="CF131" s="165"/>
      <c r="CG131" s="165"/>
      <c r="CH131" s="165"/>
      <c r="CI131" s="170"/>
      <c r="CJ131" s="165"/>
      <c r="CK131" s="165"/>
      <c r="CL131" s="165"/>
      <c r="CM131" s="165"/>
      <c r="CN131" s="170"/>
      <c r="CO131" s="165"/>
      <c r="CP131" s="165"/>
      <c r="CQ131" s="165"/>
    </row>
    <row r="132" spans="2:95" hidden="1" outlineLevel="1" x14ac:dyDescent="0.25">
      <c r="B132" s="156" t="str">
        <f>Table1[[#Headers],[Simulação]]</f>
        <v>Simulação</v>
      </c>
      <c r="C132" s="154" t="str">
        <f t="shared" si="12"/>
        <v>PROTECTION_VHCL_EMSSNS_SCR</v>
      </c>
      <c r="D132" s="153" t="s">
        <v>1114</v>
      </c>
      <c r="E132" s="153" t="s">
        <v>1250</v>
      </c>
      <c r="G132" s="172">
        <f>INDEX(Table1[[Especificação]:[Total Testes]],MATCH(Sheet1!C132,Table1[CONCAT],0),MATCH(Sheet1!B132,Table1[[#Headers],[Especificação]:[Total Testes]],0))</f>
        <v>0</v>
      </c>
      <c r="H132" s="191">
        <f t="shared" si="13"/>
        <v>0</v>
      </c>
      <c r="I132" s="222"/>
      <c r="J132" s="170"/>
      <c r="K132" s="165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  <c r="AA132" s="165"/>
      <c r="AB132" s="165"/>
      <c r="AC132" s="165"/>
      <c r="AD132" s="165"/>
      <c r="AE132" s="165"/>
      <c r="AF132" s="165"/>
      <c r="AG132" s="165"/>
      <c r="AH132" s="165"/>
      <c r="AI132" s="165"/>
      <c r="AJ132" s="165"/>
      <c r="AK132" s="165"/>
      <c r="AL132" s="165"/>
      <c r="AM132" s="165"/>
      <c r="AN132" s="165"/>
      <c r="AO132" s="165"/>
      <c r="AP132" s="165"/>
      <c r="AQ132" s="165"/>
      <c r="AR132" s="165"/>
      <c r="AS132" s="165"/>
      <c r="AT132" s="165"/>
      <c r="AU132" s="165"/>
      <c r="AV132" s="165"/>
      <c r="AW132" s="165"/>
      <c r="AX132" s="165"/>
      <c r="AY132" s="165"/>
      <c r="AZ132" s="165"/>
      <c r="BA132" s="165"/>
      <c r="BB132" s="170"/>
      <c r="BC132" s="165"/>
      <c r="BD132" s="165"/>
      <c r="BE132" s="165"/>
      <c r="BF132" s="165"/>
      <c r="BG132" s="165"/>
      <c r="BH132" s="165"/>
      <c r="BI132" s="165"/>
      <c r="BJ132" s="165"/>
      <c r="BK132" s="165"/>
      <c r="BL132" s="165"/>
      <c r="BM132" s="165"/>
      <c r="BN132" s="165"/>
      <c r="BO132" s="165"/>
      <c r="BP132" s="165"/>
      <c r="BQ132" s="165"/>
      <c r="BR132" s="165"/>
      <c r="BS132" s="165"/>
      <c r="BT132" s="165"/>
      <c r="BU132" s="165"/>
      <c r="BV132" s="165"/>
      <c r="BW132" s="165"/>
      <c r="BX132" s="165"/>
      <c r="BY132" s="165"/>
      <c r="BZ132" s="165"/>
      <c r="CA132" s="165"/>
      <c r="CB132" s="165"/>
      <c r="CC132" s="165"/>
      <c r="CD132" s="165"/>
      <c r="CE132" s="165"/>
      <c r="CF132" s="165"/>
      <c r="CG132" s="165"/>
      <c r="CH132" s="165"/>
      <c r="CI132" s="170"/>
      <c r="CJ132" s="165"/>
      <c r="CK132" s="165"/>
      <c r="CL132" s="165"/>
      <c r="CM132" s="165"/>
      <c r="CN132" s="170"/>
      <c r="CO132" s="165"/>
      <c r="CP132" s="165"/>
      <c r="CQ132" s="165"/>
    </row>
    <row r="133" spans="2:95" hidden="1" outlineLevel="1" x14ac:dyDescent="0.25">
      <c r="B133" s="156" t="str">
        <f>Table1[[#Headers],[Simulação]]</f>
        <v>Simulação</v>
      </c>
      <c r="C133" s="154" t="str">
        <f t="shared" si="12"/>
        <v>PROTECTION_INSRNC_ID</v>
      </c>
      <c r="D133" s="153" t="s">
        <v>1114</v>
      </c>
      <c r="E133" s="153" t="s">
        <v>1275</v>
      </c>
      <c r="G133" s="172">
        <f>INDEX(Table1[[Especificação]:[Total Testes]],MATCH(Sheet1!C133,Table1[CONCAT],0),MATCH(Sheet1!B133,Table1[[#Headers],[Especificação]:[Total Testes]],0))</f>
        <v>0</v>
      </c>
      <c r="H133" s="191">
        <f t="shared" si="13"/>
        <v>0</v>
      </c>
      <c r="I133" s="222"/>
      <c r="J133" s="170"/>
      <c r="K133" s="165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  <c r="AA133" s="165"/>
      <c r="AB133" s="165"/>
      <c r="AC133" s="165"/>
      <c r="AD133" s="165"/>
      <c r="AE133" s="165"/>
      <c r="AF133" s="165"/>
      <c r="AG133" s="165"/>
      <c r="AH133" s="165"/>
      <c r="AI133" s="165"/>
      <c r="AJ133" s="165"/>
      <c r="AK133" s="165"/>
      <c r="AL133" s="165"/>
      <c r="AM133" s="165"/>
      <c r="AN133" s="165"/>
      <c r="AO133" s="165"/>
      <c r="AP133" s="165"/>
      <c r="AQ133" s="165"/>
      <c r="AR133" s="165"/>
      <c r="AS133" s="165"/>
      <c r="AT133" s="165"/>
      <c r="AU133" s="165"/>
      <c r="AV133" s="165"/>
      <c r="AW133" s="165"/>
      <c r="AX133" s="165"/>
      <c r="AY133" s="165"/>
      <c r="AZ133" s="165"/>
      <c r="BA133" s="165"/>
      <c r="BB133" s="170"/>
      <c r="BC133" s="165"/>
      <c r="BD133" s="165"/>
      <c r="BE133" s="165"/>
      <c r="BF133" s="165"/>
      <c r="BG133" s="165"/>
      <c r="BH133" s="165"/>
      <c r="BI133" s="165"/>
      <c r="BJ133" s="165"/>
      <c r="BK133" s="165"/>
      <c r="BL133" s="165"/>
      <c r="BM133" s="165"/>
      <c r="BN133" s="165"/>
      <c r="BO133" s="165"/>
      <c r="BP133" s="165"/>
      <c r="BQ133" s="165"/>
      <c r="BR133" s="165"/>
      <c r="BS133" s="165"/>
      <c r="BT133" s="165"/>
      <c r="BU133" s="165"/>
      <c r="BV133" s="165"/>
      <c r="BW133" s="165"/>
      <c r="BX133" s="165"/>
      <c r="BY133" s="165"/>
      <c r="BZ133" s="165"/>
      <c r="CA133" s="165"/>
      <c r="CB133" s="165"/>
      <c r="CC133" s="165"/>
      <c r="CD133" s="165"/>
      <c r="CE133" s="165"/>
      <c r="CF133" s="165"/>
      <c r="CG133" s="165"/>
      <c r="CH133" s="165"/>
      <c r="CI133" s="170"/>
      <c r="CJ133" s="165"/>
      <c r="CK133" s="165"/>
      <c r="CL133" s="165"/>
      <c r="CM133" s="165"/>
      <c r="CN133" s="170"/>
      <c r="CO133" s="165"/>
      <c r="CP133" s="165"/>
      <c r="CQ133" s="165"/>
    </row>
    <row r="134" spans="2:95" hidden="1" outlineLevel="1" x14ac:dyDescent="0.25">
      <c r="B134" s="156" t="str">
        <f>Table1[[#Headers],[Simulação]]</f>
        <v>Simulação</v>
      </c>
      <c r="C134" s="154" t="str">
        <f t="shared" si="12"/>
        <v>PROTECTION_TYP_HZRDS_INSRD</v>
      </c>
      <c r="D134" s="153" t="s">
        <v>1114</v>
      </c>
      <c r="E134" s="153" t="s">
        <v>1278</v>
      </c>
      <c r="G134" s="172">
        <f>INDEX(Table1[[Especificação]:[Total Testes]],MATCH(Sheet1!C134,Table1[CONCAT],0),MATCH(Sheet1!B134,Table1[[#Headers],[Especificação]:[Total Testes]],0))</f>
        <v>0</v>
      </c>
      <c r="H134" s="191">
        <f t="shared" si="13"/>
        <v>0</v>
      </c>
      <c r="I134" s="222"/>
      <c r="J134" s="170"/>
      <c r="K134" s="165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  <c r="AA134" s="165"/>
      <c r="AB134" s="165"/>
      <c r="AC134" s="165"/>
      <c r="AD134" s="165"/>
      <c r="AE134" s="165"/>
      <c r="AF134" s="165"/>
      <c r="AG134" s="165"/>
      <c r="AH134" s="165"/>
      <c r="AI134" s="165"/>
      <c r="AJ134" s="165"/>
      <c r="AK134" s="165"/>
      <c r="AL134" s="165"/>
      <c r="AM134" s="165"/>
      <c r="AN134" s="165"/>
      <c r="AO134" s="165"/>
      <c r="AP134" s="165"/>
      <c r="AQ134" s="165"/>
      <c r="AR134" s="165"/>
      <c r="AS134" s="165"/>
      <c r="AT134" s="165"/>
      <c r="AU134" s="165"/>
      <c r="AV134" s="165"/>
      <c r="AW134" s="165"/>
      <c r="AX134" s="165"/>
      <c r="AY134" s="165"/>
      <c r="AZ134" s="165"/>
      <c r="BA134" s="165"/>
      <c r="BB134" s="170"/>
      <c r="BC134" s="165"/>
      <c r="BD134" s="165"/>
      <c r="BE134" s="165"/>
      <c r="BF134" s="165"/>
      <c r="BG134" s="165"/>
      <c r="BH134" s="165"/>
      <c r="BI134" s="165"/>
      <c r="BJ134" s="165"/>
      <c r="BK134" s="165"/>
      <c r="BL134" s="165"/>
      <c r="BM134" s="165"/>
      <c r="BN134" s="165"/>
      <c r="BO134" s="165"/>
      <c r="BP134" s="165"/>
      <c r="BQ134" s="165"/>
      <c r="BR134" s="165"/>
      <c r="BS134" s="165"/>
      <c r="BT134" s="165"/>
      <c r="BU134" s="165"/>
      <c r="BV134" s="165"/>
      <c r="BW134" s="165"/>
      <c r="BX134" s="165"/>
      <c r="BY134" s="165"/>
      <c r="BZ134" s="165"/>
      <c r="CA134" s="165"/>
      <c r="CB134" s="165"/>
      <c r="CC134" s="165"/>
      <c r="CD134" s="165"/>
      <c r="CE134" s="165"/>
      <c r="CF134" s="165"/>
      <c r="CG134" s="165"/>
      <c r="CH134" s="165"/>
      <c r="CI134" s="170"/>
      <c r="CJ134" s="165"/>
      <c r="CK134" s="165"/>
      <c r="CL134" s="165"/>
      <c r="CM134" s="165"/>
      <c r="CN134" s="170"/>
      <c r="CO134" s="165"/>
      <c r="CP134" s="165"/>
      <c r="CQ134" s="165"/>
    </row>
    <row r="135" spans="2:95" hidden="1" outlineLevel="1" x14ac:dyDescent="0.25">
      <c r="B135" s="156" t="str">
        <f>Table1[[#Headers],[Simulação]]</f>
        <v>Simulação</v>
      </c>
      <c r="C135" s="154" t="str">
        <f t="shared" si="12"/>
        <v>PROTECTION_AMNT_CVRD_INSRNC</v>
      </c>
      <c r="D135" s="153" t="s">
        <v>1114</v>
      </c>
      <c r="E135" s="153" t="s">
        <v>1281</v>
      </c>
      <c r="G135" s="172">
        <f>INDEX(Table1[[Especificação]:[Total Testes]],MATCH(Sheet1!C135,Table1[CONCAT],0),MATCH(Sheet1!B135,Table1[[#Headers],[Especificação]:[Total Testes]],0))</f>
        <v>0</v>
      </c>
      <c r="H135" s="191">
        <f t="shared" si="13"/>
        <v>0</v>
      </c>
      <c r="I135" s="222"/>
      <c r="J135" s="170"/>
      <c r="K135" s="165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  <c r="AA135" s="165"/>
      <c r="AB135" s="165"/>
      <c r="AC135" s="165"/>
      <c r="AD135" s="165"/>
      <c r="AE135" s="165"/>
      <c r="AF135" s="165"/>
      <c r="AG135" s="165"/>
      <c r="AH135" s="165"/>
      <c r="AI135" s="165"/>
      <c r="AJ135" s="165"/>
      <c r="AK135" s="165"/>
      <c r="AL135" s="165"/>
      <c r="AM135" s="165"/>
      <c r="AN135" s="165"/>
      <c r="AO135" s="165"/>
      <c r="AP135" s="165"/>
      <c r="AQ135" s="165"/>
      <c r="AR135" s="165"/>
      <c r="AS135" s="165"/>
      <c r="AT135" s="165"/>
      <c r="AU135" s="165"/>
      <c r="AV135" s="165"/>
      <c r="AW135" s="165"/>
      <c r="AX135" s="165"/>
      <c r="AY135" s="165"/>
      <c r="AZ135" s="165"/>
      <c r="BA135" s="165"/>
      <c r="BB135" s="170"/>
      <c r="BC135" s="165"/>
      <c r="BD135" s="165"/>
      <c r="BE135" s="165"/>
      <c r="BF135" s="165"/>
      <c r="BG135" s="165"/>
      <c r="BH135" s="165"/>
      <c r="BI135" s="165"/>
      <c r="BJ135" s="165"/>
      <c r="BK135" s="165"/>
      <c r="BL135" s="165"/>
      <c r="BM135" s="165"/>
      <c r="BN135" s="165"/>
      <c r="BO135" s="165"/>
      <c r="BP135" s="165"/>
      <c r="BQ135" s="165"/>
      <c r="BR135" s="165"/>
      <c r="BS135" s="165"/>
      <c r="BT135" s="165"/>
      <c r="BU135" s="165"/>
      <c r="BV135" s="165"/>
      <c r="BW135" s="165"/>
      <c r="BX135" s="165"/>
      <c r="BY135" s="165"/>
      <c r="BZ135" s="165"/>
      <c r="CA135" s="165"/>
      <c r="CB135" s="165"/>
      <c r="CC135" s="165"/>
      <c r="CD135" s="165"/>
      <c r="CE135" s="165"/>
      <c r="CF135" s="165"/>
      <c r="CG135" s="165"/>
      <c r="CH135" s="165"/>
      <c r="CI135" s="170"/>
      <c r="CJ135" s="165"/>
      <c r="CK135" s="165"/>
      <c r="CL135" s="165"/>
      <c r="CM135" s="165"/>
      <c r="CN135" s="170"/>
      <c r="CO135" s="165"/>
      <c r="CP135" s="165"/>
      <c r="CQ135" s="165"/>
    </row>
    <row r="136" spans="2:95" hidden="1" outlineLevel="1" x14ac:dyDescent="0.25">
      <c r="B136" s="156" t="str">
        <f>Table1[[#Headers],[Simulação]]</f>
        <v>Simulação</v>
      </c>
      <c r="C136" s="154" t="str">
        <f t="shared" si="12"/>
        <v>PROTECTION_DT_MTRTY_INSRNC</v>
      </c>
      <c r="D136" s="153" t="s">
        <v>1114</v>
      </c>
      <c r="E136" s="153" t="s">
        <v>1284</v>
      </c>
      <c r="G136" s="172">
        <f>INDEX(Table1[[Especificação]:[Total Testes]],MATCH(Sheet1!C136,Table1[CONCAT],0),MATCH(Sheet1!B136,Table1[[#Headers],[Especificação]:[Total Testes]],0))</f>
        <v>0</v>
      </c>
      <c r="H136" s="191">
        <f t="shared" si="13"/>
        <v>0</v>
      </c>
      <c r="I136" s="222"/>
      <c r="J136" s="170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  <c r="AC136" s="165"/>
      <c r="AD136" s="165"/>
      <c r="AE136" s="165"/>
      <c r="AF136" s="165"/>
      <c r="AG136" s="165"/>
      <c r="AH136" s="165"/>
      <c r="AI136" s="165"/>
      <c r="AJ136" s="165"/>
      <c r="AK136" s="165"/>
      <c r="AL136" s="165"/>
      <c r="AM136" s="165"/>
      <c r="AN136" s="165"/>
      <c r="AO136" s="165"/>
      <c r="AP136" s="165"/>
      <c r="AQ136" s="165"/>
      <c r="AR136" s="165"/>
      <c r="AS136" s="165"/>
      <c r="AT136" s="165"/>
      <c r="AU136" s="165"/>
      <c r="AV136" s="165"/>
      <c r="AW136" s="165"/>
      <c r="AX136" s="165"/>
      <c r="AY136" s="165"/>
      <c r="AZ136" s="165"/>
      <c r="BA136" s="165"/>
      <c r="BB136" s="170"/>
      <c r="BC136" s="165"/>
      <c r="BD136" s="165"/>
      <c r="BE136" s="165"/>
      <c r="BF136" s="165"/>
      <c r="BG136" s="165"/>
      <c r="BH136" s="165"/>
      <c r="BI136" s="165"/>
      <c r="BJ136" s="165"/>
      <c r="BK136" s="165"/>
      <c r="BL136" s="165"/>
      <c r="BM136" s="165"/>
      <c r="BN136" s="165"/>
      <c r="BO136" s="165"/>
      <c r="BP136" s="165"/>
      <c r="BQ136" s="165"/>
      <c r="BR136" s="165"/>
      <c r="BS136" s="165"/>
      <c r="BT136" s="165"/>
      <c r="BU136" s="165"/>
      <c r="BV136" s="165"/>
      <c r="BW136" s="165"/>
      <c r="BX136" s="165"/>
      <c r="BY136" s="165"/>
      <c r="BZ136" s="165"/>
      <c r="CA136" s="165"/>
      <c r="CB136" s="165"/>
      <c r="CC136" s="165"/>
      <c r="CD136" s="165"/>
      <c r="CE136" s="165"/>
      <c r="CF136" s="165"/>
      <c r="CG136" s="165"/>
      <c r="CH136" s="165"/>
      <c r="CI136" s="170"/>
      <c r="CJ136" s="165"/>
      <c r="CK136" s="165"/>
      <c r="CL136" s="165"/>
      <c r="CM136" s="165"/>
      <c r="CN136" s="170"/>
      <c r="CO136" s="165"/>
      <c r="CP136" s="165"/>
      <c r="CQ136" s="165"/>
    </row>
    <row r="137" spans="2:95" hidden="1" outlineLevel="1" x14ac:dyDescent="0.25">
      <c r="B137" s="156" t="str">
        <f>Table1[[#Headers],[Simulação]]</f>
        <v>Simulação</v>
      </c>
      <c r="C137" s="154" t="str">
        <f t="shared" si="12"/>
        <v>PROTECTION_FLG_FRST_HM</v>
      </c>
      <c r="D137" s="153" t="s">
        <v>1114</v>
      </c>
      <c r="E137" s="155" t="s">
        <v>1287</v>
      </c>
      <c r="G137" s="172">
        <f>INDEX(Table1[[Especificação]:[Total Testes]],MATCH(Sheet1!C137,Table1[CONCAT],0),MATCH(Sheet1!B137,Table1[[#Headers],[Especificação]:[Total Testes]],0))</f>
        <v>0</v>
      </c>
      <c r="H137" s="191">
        <f t="shared" si="13"/>
        <v>0</v>
      </c>
      <c r="I137" s="222"/>
      <c r="J137" s="170"/>
      <c r="K137" s="165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  <c r="AA137" s="165"/>
      <c r="AB137" s="165"/>
      <c r="AC137" s="165"/>
      <c r="AD137" s="165"/>
      <c r="AE137" s="165"/>
      <c r="AF137" s="165"/>
      <c r="AG137" s="165"/>
      <c r="AH137" s="165"/>
      <c r="AI137" s="165"/>
      <c r="AJ137" s="165"/>
      <c r="AK137" s="165"/>
      <c r="AL137" s="165"/>
      <c r="AM137" s="165"/>
      <c r="AN137" s="165"/>
      <c r="AO137" s="165"/>
      <c r="AP137" s="165"/>
      <c r="AQ137" s="165"/>
      <c r="AR137" s="165"/>
      <c r="AS137" s="165"/>
      <c r="AT137" s="165"/>
      <c r="AU137" s="165"/>
      <c r="AV137" s="165"/>
      <c r="AW137" s="165"/>
      <c r="AX137" s="165"/>
      <c r="AY137" s="165"/>
      <c r="AZ137" s="165"/>
      <c r="BA137" s="165"/>
      <c r="BB137" s="170"/>
      <c r="BC137" s="165"/>
      <c r="BD137" s="165"/>
      <c r="BE137" s="165"/>
      <c r="BF137" s="165"/>
      <c r="BG137" s="165"/>
      <c r="BH137" s="165"/>
      <c r="BI137" s="165"/>
      <c r="BJ137" s="165"/>
      <c r="BK137" s="165"/>
      <c r="BL137" s="165"/>
      <c r="BM137" s="165"/>
      <c r="BN137" s="165"/>
      <c r="BO137" s="165"/>
      <c r="BP137" s="165"/>
      <c r="BQ137" s="165"/>
      <c r="BR137" s="165"/>
      <c r="BS137" s="165"/>
      <c r="BT137" s="165"/>
      <c r="BU137" s="165"/>
      <c r="BV137" s="165"/>
      <c r="BW137" s="165"/>
      <c r="BX137" s="165"/>
      <c r="BY137" s="165"/>
      <c r="BZ137" s="165"/>
      <c r="CA137" s="165"/>
      <c r="CB137" s="165"/>
      <c r="CC137" s="165"/>
      <c r="CD137" s="165"/>
      <c r="CE137" s="165"/>
      <c r="CF137" s="165"/>
      <c r="CG137" s="165"/>
      <c r="CH137" s="165"/>
      <c r="CI137" s="170"/>
      <c r="CJ137" s="165"/>
      <c r="CK137" s="165"/>
      <c r="CL137" s="165"/>
      <c r="CM137" s="165"/>
      <c r="CN137" s="170"/>
      <c r="CO137" s="165"/>
      <c r="CP137" s="165"/>
      <c r="CQ137" s="165"/>
    </row>
    <row r="138" spans="2:95" hidden="1" outlineLevel="1" x14ac:dyDescent="0.25">
      <c r="B138" s="156" t="str">
        <f>Table1[[#Headers],[Simulação]]</f>
        <v>Simulação</v>
      </c>
      <c r="C138" s="154" t="str">
        <f t="shared" si="12"/>
        <v>ENTITY_ENTTY_NM</v>
      </c>
      <c r="D138" s="153" t="s">
        <v>10</v>
      </c>
      <c r="E138" s="153" t="s">
        <v>59</v>
      </c>
      <c r="G138" s="172">
        <f>INDEX(Table1[[Especificação]:[Total Testes]],MATCH(Sheet1!C138,Table1[CONCAT],0),MATCH(Sheet1!B138,Table1[[#Headers],[Especificação]:[Total Testes]],0))</f>
        <v>0</v>
      </c>
      <c r="H138" s="191">
        <f t="shared" si="13"/>
        <v>0</v>
      </c>
      <c r="I138" s="222"/>
      <c r="J138" s="170"/>
      <c r="K138" s="165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  <c r="AA138" s="165"/>
      <c r="AB138" s="165"/>
      <c r="AC138" s="165"/>
      <c r="AD138" s="165"/>
      <c r="AE138" s="165"/>
      <c r="AF138" s="165"/>
      <c r="AG138" s="165"/>
      <c r="AH138" s="165"/>
      <c r="AI138" s="165"/>
      <c r="AJ138" s="165"/>
      <c r="AK138" s="165"/>
      <c r="AL138" s="165"/>
      <c r="AM138" s="165"/>
      <c r="AN138" s="165"/>
      <c r="AO138" s="165"/>
      <c r="AP138" s="165"/>
      <c r="AQ138" s="165"/>
      <c r="AR138" s="165"/>
      <c r="AS138" s="165"/>
      <c r="AT138" s="165"/>
      <c r="AU138" s="165"/>
      <c r="AV138" s="165"/>
      <c r="AW138" s="165"/>
      <c r="AX138" s="165"/>
      <c r="AY138" s="165"/>
      <c r="AZ138" s="165"/>
      <c r="BA138" s="165"/>
      <c r="BB138" s="170"/>
      <c r="BC138" s="165"/>
      <c r="BD138" s="165"/>
      <c r="BE138" s="165"/>
      <c r="BF138" s="165"/>
      <c r="BG138" s="165"/>
      <c r="BH138" s="165"/>
      <c r="BI138" s="165"/>
      <c r="BJ138" s="165"/>
      <c r="BK138" s="165"/>
      <c r="BL138" s="165"/>
      <c r="BM138" s="165"/>
      <c r="BN138" s="165"/>
      <c r="BO138" s="165"/>
      <c r="BP138" s="165"/>
      <c r="BQ138" s="165"/>
      <c r="BR138" s="165"/>
      <c r="BS138" s="165"/>
      <c r="BT138" s="165"/>
      <c r="BU138" s="165"/>
      <c r="BV138" s="165"/>
      <c r="BW138" s="165"/>
      <c r="BX138" s="165"/>
      <c r="BY138" s="165"/>
      <c r="BZ138" s="165"/>
      <c r="CA138" s="165"/>
      <c r="CB138" s="165"/>
      <c r="CC138" s="165"/>
      <c r="CD138" s="165"/>
      <c r="CE138" s="165"/>
      <c r="CF138" s="165"/>
      <c r="CG138" s="165"/>
      <c r="CH138" s="165"/>
      <c r="CI138" s="170"/>
      <c r="CJ138" s="165"/>
      <c r="CK138" s="165"/>
      <c r="CL138" s="165"/>
      <c r="CM138" s="165"/>
      <c r="CN138" s="170"/>
      <c r="CO138" s="165"/>
      <c r="CP138" s="165"/>
      <c r="CQ138" s="165"/>
    </row>
    <row r="139" spans="2:95" hidden="1" outlineLevel="1" x14ac:dyDescent="0.25">
      <c r="B139" s="156" t="str">
        <f>Table1[[#Headers],[Simulação]]</f>
        <v>Simulação</v>
      </c>
      <c r="C139" s="154" t="str">
        <f t="shared" si="12"/>
        <v>ENTITY_EC_GRP_NM</v>
      </c>
      <c r="D139" s="153" t="s">
        <v>10</v>
      </c>
      <c r="E139" s="153" t="s">
        <v>284</v>
      </c>
      <c r="G139" s="172">
        <f>INDEX(Table1[[Especificação]:[Total Testes]],MATCH(Sheet1!C139,Table1[CONCAT],0),MATCH(Sheet1!B139,Table1[[#Headers],[Especificação]:[Total Testes]],0))</f>
        <v>0</v>
      </c>
      <c r="H139" s="191">
        <f t="shared" si="13"/>
        <v>0</v>
      </c>
      <c r="I139" s="222"/>
      <c r="J139" s="170"/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  <c r="AA139" s="165"/>
      <c r="AB139" s="165"/>
      <c r="AC139" s="165"/>
      <c r="AD139" s="165"/>
      <c r="AE139" s="165"/>
      <c r="AF139" s="165"/>
      <c r="AG139" s="165"/>
      <c r="AH139" s="165"/>
      <c r="AI139" s="165"/>
      <c r="AJ139" s="165"/>
      <c r="AK139" s="165"/>
      <c r="AL139" s="165"/>
      <c r="AM139" s="165"/>
      <c r="AN139" s="165"/>
      <c r="AO139" s="165"/>
      <c r="AP139" s="165"/>
      <c r="AQ139" s="165"/>
      <c r="AR139" s="165"/>
      <c r="AS139" s="165"/>
      <c r="AT139" s="165"/>
      <c r="AU139" s="165"/>
      <c r="AV139" s="165"/>
      <c r="AW139" s="165"/>
      <c r="AX139" s="165"/>
      <c r="AY139" s="165"/>
      <c r="AZ139" s="165"/>
      <c r="BA139" s="165"/>
      <c r="BB139" s="170"/>
      <c r="BC139" s="165"/>
      <c r="BD139" s="165"/>
      <c r="BE139" s="165"/>
      <c r="BF139" s="165"/>
      <c r="BG139" s="165"/>
      <c r="BH139" s="165"/>
      <c r="BI139" s="165"/>
      <c r="BJ139" s="165"/>
      <c r="BK139" s="165"/>
      <c r="BL139" s="165"/>
      <c r="BM139" s="165"/>
      <c r="BN139" s="165"/>
      <c r="BO139" s="165"/>
      <c r="BP139" s="165"/>
      <c r="BQ139" s="165"/>
      <c r="BR139" s="165"/>
      <c r="BS139" s="165"/>
      <c r="BT139" s="165"/>
      <c r="BU139" s="165"/>
      <c r="BV139" s="165"/>
      <c r="BW139" s="165"/>
      <c r="BX139" s="165"/>
      <c r="BY139" s="165"/>
      <c r="BZ139" s="165"/>
      <c r="CA139" s="165"/>
      <c r="CB139" s="165"/>
      <c r="CC139" s="165"/>
      <c r="CD139" s="165"/>
      <c r="CE139" s="165"/>
      <c r="CF139" s="165"/>
      <c r="CG139" s="165"/>
      <c r="CH139" s="165"/>
      <c r="CI139" s="170"/>
      <c r="CJ139" s="165"/>
      <c r="CK139" s="165"/>
      <c r="CL139" s="165"/>
      <c r="CM139" s="165"/>
      <c r="CN139" s="170"/>
      <c r="CO139" s="165"/>
      <c r="CP139" s="165"/>
      <c r="CQ139" s="165"/>
    </row>
    <row r="140" spans="2:95" hidden="1" outlineLevel="1" x14ac:dyDescent="0.25">
      <c r="B140" s="156" t="str">
        <f>Table1[[#Headers],[Simulação]]</f>
        <v>Simulação</v>
      </c>
      <c r="C140" s="154" t="str">
        <f t="shared" si="12"/>
        <v>INSTRUMENT_FRBRNC_STTS_INSTRMNT</v>
      </c>
      <c r="D140" s="153" t="s">
        <v>414</v>
      </c>
      <c r="E140" s="153" t="s">
        <v>501</v>
      </c>
      <c r="G140" s="172">
        <f>INDEX(Table1[[Especificação]:[Total Testes]],MATCH(Sheet1!C140,Table1[CONCAT],0),MATCH(Sheet1!B140,Table1[[#Headers],[Especificação]:[Total Testes]],0))</f>
        <v>0</v>
      </c>
      <c r="H140" s="191">
        <f t="shared" si="13"/>
        <v>0</v>
      </c>
      <c r="I140" s="222"/>
      <c r="J140" s="170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  <c r="AA140" s="165"/>
      <c r="AB140" s="165"/>
      <c r="AC140" s="165"/>
      <c r="AD140" s="165"/>
      <c r="AE140" s="165"/>
      <c r="AF140" s="165"/>
      <c r="AG140" s="165"/>
      <c r="AH140" s="165"/>
      <c r="AI140" s="165"/>
      <c r="AJ140" s="165"/>
      <c r="AK140" s="165"/>
      <c r="AL140" s="165"/>
      <c r="AM140" s="165"/>
      <c r="AN140" s="165"/>
      <c r="AO140" s="165"/>
      <c r="AP140" s="165"/>
      <c r="AQ140" s="165"/>
      <c r="AR140" s="165"/>
      <c r="AS140" s="165"/>
      <c r="AT140" s="165"/>
      <c r="AU140" s="165"/>
      <c r="AV140" s="165"/>
      <c r="AW140" s="165"/>
      <c r="AX140" s="165"/>
      <c r="AY140" s="165"/>
      <c r="AZ140" s="165"/>
      <c r="BA140" s="165"/>
      <c r="BB140" s="170"/>
      <c r="BC140" s="165"/>
      <c r="BD140" s="165"/>
      <c r="BE140" s="165"/>
      <c r="BF140" s="165"/>
      <c r="BG140" s="165"/>
      <c r="BH140" s="165"/>
      <c r="BI140" s="165"/>
      <c r="BJ140" s="165"/>
      <c r="BK140" s="165"/>
      <c r="BL140" s="165"/>
      <c r="BM140" s="165"/>
      <c r="BN140" s="165"/>
      <c r="BO140" s="165"/>
      <c r="BP140" s="165"/>
      <c r="BQ140" s="165"/>
      <c r="BR140" s="165"/>
      <c r="BS140" s="165"/>
      <c r="BT140" s="165"/>
      <c r="BU140" s="165"/>
      <c r="BV140" s="165"/>
      <c r="BW140" s="165"/>
      <c r="BX140" s="165"/>
      <c r="BY140" s="165"/>
      <c r="BZ140" s="165"/>
      <c r="CA140" s="165"/>
      <c r="CB140" s="165"/>
      <c r="CC140" s="165"/>
      <c r="CD140" s="165"/>
      <c r="CE140" s="165"/>
      <c r="CF140" s="165"/>
      <c r="CG140" s="165"/>
      <c r="CH140" s="165"/>
      <c r="CI140" s="170"/>
      <c r="CJ140" s="165"/>
      <c r="CK140" s="165"/>
      <c r="CL140" s="165"/>
      <c r="CM140" s="165"/>
      <c r="CN140" s="170"/>
      <c r="CO140" s="165"/>
      <c r="CP140" s="165"/>
      <c r="CQ140" s="165"/>
    </row>
    <row r="141" spans="2:95" hidden="1" outlineLevel="1" x14ac:dyDescent="0.25">
      <c r="B141" s="156" t="str">
        <f>Table1[[#Headers],[Simulação]]</f>
        <v>Simulação</v>
      </c>
      <c r="C141" s="154" t="str">
        <f t="shared" si="12"/>
        <v>INSTRUMENT_IFRS9_BHVRL_MTRTY</v>
      </c>
      <c r="D141" s="153" t="s">
        <v>414</v>
      </c>
      <c r="E141" s="153" t="s">
        <v>614</v>
      </c>
      <c r="G141" s="172">
        <f>INDEX(Table1[[Especificação]:[Total Testes]],MATCH(Sheet1!C141,Table1[CONCAT],0),MATCH(Sheet1!B141,Table1[[#Headers],[Especificação]:[Total Testes]],0))</f>
        <v>0</v>
      </c>
      <c r="H141" s="191">
        <f t="shared" si="13"/>
        <v>0</v>
      </c>
      <c r="I141" s="222"/>
      <c r="J141" s="170"/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  <c r="AA141" s="165"/>
      <c r="AB141" s="165"/>
      <c r="AC141" s="165"/>
      <c r="AD141" s="165"/>
      <c r="AE141" s="165"/>
      <c r="AF141" s="165"/>
      <c r="AG141" s="165"/>
      <c r="AH141" s="165"/>
      <c r="AI141" s="165"/>
      <c r="AJ141" s="165"/>
      <c r="AK141" s="165"/>
      <c r="AL141" s="165"/>
      <c r="AM141" s="165"/>
      <c r="AN141" s="165"/>
      <c r="AO141" s="165"/>
      <c r="AP141" s="165"/>
      <c r="AQ141" s="165"/>
      <c r="AR141" s="165"/>
      <c r="AS141" s="165"/>
      <c r="AT141" s="165"/>
      <c r="AU141" s="165"/>
      <c r="AV141" s="165"/>
      <c r="AW141" s="165"/>
      <c r="AX141" s="165"/>
      <c r="AY141" s="165"/>
      <c r="AZ141" s="165"/>
      <c r="BA141" s="165"/>
      <c r="BB141" s="170"/>
      <c r="BC141" s="165"/>
      <c r="BD141" s="165"/>
      <c r="BE141" s="165"/>
      <c r="BF141" s="165"/>
      <c r="BG141" s="165"/>
      <c r="BH141" s="165"/>
      <c r="BI141" s="165"/>
      <c r="BJ141" s="165"/>
      <c r="BK141" s="165"/>
      <c r="BL141" s="165"/>
      <c r="BM141" s="165"/>
      <c r="BN141" s="165"/>
      <c r="BO141" s="165"/>
      <c r="BP141" s="165"/>
      <c r="BQ141" s="165"/>
      <c r="BR141" s="165"/>
      <c r="BS141" s="165"/>
      <c r="BT141" s="165"/>
      <c r="BU141" s="165"/>
      <c r="BV141" s="165"/>
      <c r="BW141" s="165"/>
      <c r="BX141" s="165"/>
      <c r="BY141" s="165"/>
      <c r="BZ141" s="165"/>
      <c r="CA141" s="165"/>
      <c r="CB141" s="165"/>
      <c r="CC141" s="165"/>
      <c r="CD141" s="165"/>
      <c r="CE141" s="165"/>
      <c r="CF141" s="165"/>
      <c r="CG141" s="165"/>
      <c r="CH141" s="165"/>
      <c r="CI141" s="170"/>
      <c r="CJ141" s="165"/>
      <c r="CK141" s="165"/>
      <c r="CL141" s="165"/>
      <c r="CM141" s="165"/>
      <c r="CN141" s="170"/>
      <c r="CO141" s="165"/>
      <c r="CP141" s="165"/>
      <c r="CQ141" s="165"/>
    </row>
    <row r="142" spans="2:95" hidden="1" outlineLevel="1" x14ac:dyDescent="0.25">
      <c r="B142" s="156" t="str">
        <f>Table1[[#Headers],[Simulação]]</f>
        <v>Simulação</v>
      </c>
      <c r="C142" s="154" t="str">
        <f t="shared" si="12"/>
        <v>INSTRUMENT_LTV</v>
      </c>
      <c r="D142" s="153" t="s">
        <v>414</v>
      </c>
      <c r="E142" s="153" t="s">
        <v>724</v>
      </c>
      <c r="G142" s="172">
        <f>INDEX(Table1[[Especificação]:[Total Testes]],MATCH(Sheet1!C142,Table1[CONCAT],0),MATCH(Sheet1!B142,Table1[[#Headers],[Especificação]:[Total Testes]],0))</f>
        <v>0</v>
      </c>
      <c r="H142" s="191">
        <f t="shared" si="13"/>
        <v>0</v>
      </c>
      <c r="I142" s="222"/>
      <c r="J142" s="170"/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  <c r="AA142" s="165"/>
      <c r="AB142" s="165"/>
      <c r="AC142" s="165"/>
      <c r="AD142" s="165"/>
      <c r="AE142" s="165"/>
      <c r="AF142" s="165"/>
      <c r="AG142" s="165"/>
      <c r="AH142" s="165"/>
      <c r="AI142" s="165"/>
      <c r="AJ142" s="165"/>
      <c r="AK142" s="165"/>
      <c r="AL142" s="165"/>
      <c r="AM142" s="165"/>
      <c r="AN142" s="165"/>
      <c r="AO142" s="165"/>
      <c r="AP142" s="165"/>
      <c r="AQ142" s="165"/>
      <c r="AR142" s="165"/>
      <c r="AS142" s="165"/>
      <c r="AT142" s="165"/>
      <c r="AU142" s="165"/>
      <c r="AV142" s="165"/>
      <c r="AW142" s="165"/>
      <c r="AX142" s="165"/>
      <c r="AY142" s="165"/>
      <c r="AZ142" s="165"/>
      <c r="BA142" s="165"/>
      <c r="BB142" s="170"/>
      <c r="BC142" s="165"/>
      <c r="BD142" s="165"/>
      <c r="BE142" s="165"/>
      <c r="BF142" s="165"/>
      <c r="BG142" s="165"/>
      <c r="BH142" s="165"/>
      <c r="BI142" s="165"/>
      <c r="BJ142" s="165"/>
      <c r="BK142" s="165"/>
      <c r="BL142" s="165"/>
      <c r="BM142" s="165"/>
      <c r="BN142" s="165"/>
      <c r="BO142" s="165"/>
      <c r="BP142" s="165"/>
      <c r="BQ142" s="165"/>
      <c r="BR142" s="165"/>
      <c r="BS142" s="165"/>
      <c r="BT142" s="165"/>
      <c r="BU142" s="165"/>
      <c r="BV142" s="165"/>
      <c r="BW142" s="165"/>
      <c r="BX142" s="165"/>
      <c r="BY142" s="165"/>
      <c r="BZ142" s="165"/>
      <c r="CA142" s="165"/>
      <c r="CB142" s="165"/>
      <c r="CC142" s="165"/>
      <c r="CD142" s="165"/>
      <c r="CE142" s="165"/>
      <c r="CF142" s="165"/>
      <c r="CG142" s="165"/>
      <c r="CH142" s="165"/>
      <c r="CI142" s="170"/>
      <c r="CJ142" s="165"/>
      <c r="CK142" s="165"/>
      <c r="CL142" s="165"/>
      <c r="CM142" s="165"/>
      <c r="CN142" s="170"/>
      <c r="CO142" s="165"/>
      <c r="CP142" s="165"/>
      <c r="CQ142" s="165"/>
    </row>
    <row r="143" spans="2:95" hidden="1" outlineLevel="1" x14ac:dyDescent="0.25">
      <c r="B143" s="156" t="str">
        <f>Table1[[#Headers],[Simulação]]</f>
        <v>Simulação</v>
      </c>
      <c r="C143" s="154" t="str">
        <f t="shared" si="12"/>
        <v>INSTRUMENT_LTV_INCPTN</v>
      </c>
      <c r="D143" s="153" t="s">
        <v>414</v>
      </c>
      <c r="E143" s="153" t="s">
        <v>727</v>
      </c>
      <c r="G143" s="172">
        <f>INDEX(Table1[[Especificação]:[Total Testes]],MATCH(Sheet1!C143,Table1[CONCAT],0),MATCH(Sheet1!B143,Table1[[#Headers],[Especificação]:[Total Testes]],0))</f>
        <v>0</v>
      </c>
      <c r="H143" s="191">
        <f t="shared" si="13"/>
        <v>0</v>
      </c>
      <c r="I143" s="222"/>
      <c r="J143" s="170"/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  <c r="AA143" s="165"/>
      <c r="AB143" s="165"/>
      <c r="AC143" s="165"/>
      <c r="AD143" s="165"/>
      <c r="AE143" s="165"/>
      <c r="AF143" s="165"/>
      <c r="AG143" s="165"/>
      <c r="AH143" s="165"/>
      <c r="AI143" s="165"/>
      <c r="AJ143" s="165"/>
      <c r="AK143" s="165"/>
      <c r="AL143" s="165"/>
      <c r="AM143" s="165"/>
      <c r="AN143" s="165"/>
      <c r="AO143" s="165"/>
      <c r="AP143" s="165"/>
      <c r="AQ143" s="165"/>
      <c r="AR143" s="165"/>
      <c r="AS143" s="165"/>
      <c r="AT143" s="165"/>
      <c r="AU143" s="165"/>
      <c r="AV143" s="165"/>
      <c r="AW143" s="165"/>
      <c r="AX143" s="165"/>
      <c r="AY143" s="165"/>
      <c r="AZ143" s="165"/>
      <c r="BA143" s="165"/>
      <c r="BB143" s="170"/>
      <c r="BC143" s="165"/>
      <c r="BD143" s="165"/>
      <c r="BE143" s="165"/>
      <c r="BF143" s="165"/>
      <c r="BG143" s="165"/>
      <c r="BH143" s="165"/>
      <c r="BI143" s="165"/>
      <c r="BJ143" s="165"/>
      <c r="BK143" s="165"/>
      <c r="BL143" s="165"/>
      <c r="BM143" s="165"/>
      <c r="BN143" s="165"/>
      <c r="BO143" s="165"/>
      <c r="BP143" s="165"/>
      <c r="BQ143" s="165"/>
      <c r="BR143" s="165"/>
      <c r="BS143" s="165"/>
      <c r="BT143" s="165"/>
      <c r="BU143" s="165"/>
      <c r="BV143" s="165"/>
      <c r="BW143" s="165"/>
      <c r="BX143" s="165"/>
      <c r="BY143" s="165"/>
      <c r="BZ143" s="165"/>
      <c r="CA143" s="165"/>
      <c r="CB143" s="165"/>
      <c r="CC143" s="165"/>
      <c r="CD143" s="165"/>
      <c r="CE143" s="165"/>
      <c r="CF143" s="165"/>
      <c r="CG143" s="165"/>
      <c r="CH143" s="165"/>
      <c r="CI143" s="170"/>
      <c r="CJ143" s="165"/>
      <c r="CK143" s="165"/>
      <c r="CL143" s="165"/>
      <c r="CM143" s="165"/>
      <c r="CN143" s="170"/>
      <c r="CO143" s="165"/>
      <c r="CP143" s="165"/>
      <c r="CQ143" s="165"/>
    </row>
    <row r="144" spans="2:95" hidden="1" outlineLevel="1" x14ac:dyDescent="0.25">
      <c r="B144" s="156" t="str">
        <f>Table1[[#Headers],[Simulação]]</f>
        <v>Simulação</v>
      </c>
      <c r="C144" s="154" t="str">
        <f t="shared" si="12"/>
        <v>INSTRUMENT_ANNLSD_AGRD_RT</v>
      </c>
      <c r="D144" s="153" t="s">
        <v>414</v>
      </c>
      <c r="E144" s="153" t="s">
        <v>757</v>
      </c>
      <c r="G144" s="172">
        <f>INDEX(Table1[[Especificação]:[Total Testes]],MATCH(Sheet1!C144,Table1[CONCAT],0),MATCH(Sheet1!B144,Table1[[#Headers],[Especificação]:[Total Testes]],0))</f>
        <v>0</v>
      </c>
      <c r="H144" s="191">
        <f t="shared" si="13"/>
        <v>0</v>
      </c>
      <c r="I144" s="222"/>
      <c r="J144" s="170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  <c r="AA144" s="165"/>
      <c r="AB144" s="165"/>
      <c r="AC144" s="165"/>
      <c r="AD144" s="165"/>
      <c r="AE144" s="165"/>
      <c r="AF144" s="165"/>
      <c r="AG144" s="165"/>
      <c r="AH144" s="165"/>
      <c r="AI144" s="165"/>
      <c r="AJ144" s="165"/>
      <c r="AK144" s="165"/>
      <c r="AL144" s="165"/>
      <c r="AM144" s="165"/>
      <c r="AN144" s="165"/>
      <c r="AO144" s="165"/>
      <c r="AP144" s="165"/>
      <c r="AQ144" s="165"/>
      <c r="AR144" s="165"/>
      <c r="AS144" s="165"/>
      <c r="AT144" s="165"/>
      <c r="AU144" s="165"/>
      <c r="AV144" s="165"/>
      <c r="AW144" s="165"/>
      <c r="AX144" s="165"/>
      <c r="AY144" s="165"/>
      <c r="AZ144" s="165"/>
      <c r="BA144" s="165"/>
      <c r="BB144" s="170"/>
      <c r="BC144" s="165"/>
      <c r="BD144" s="165"/>
      <c r="BE144" s="165"/>
      <c r="BF144" s="165"/>
      <c r="BG144" s="165"/>
      <c r="BH144" s="165"/>
      <c r="BI144" s="165"/>
      <c r="BJ144" s="165"/>
      <c r="BK144" s="165"/>
      <c r="BL144" s="165"/>
      <c r="BM144" s="165"/>
      <c r="BN144" s="165"/>
      <c r="BO144" s="165"/>
      <c r="BP144" s="165"/>
      <c r="BQ144" s="165"/>
      <c r="BR144" s="165"/>
      <c r="BS144" s="165"/>
      <c r="BT144" s="165"/>
      <c r="BU144" s="165"/>
      <c r="BV144" s="165"/>
      <c r="BW144" s="165"/>
      <c r="BX144" s="165"/>
      <c r="BY144" s="165"/>
      <c r="BZ144" s="165"/>
      <c r="CA144" s="165"/>
      <c r="CB144" s="165"/>
      <c r="CC144" s="165"/>
      <c r="CD144" s="165"/>
      <c r="CE144" s="165"/>
      <c r="CF144" s="165"/>
      <c r="CG144" s="165"/>
      <c r="CH144" s="165"/>
      <c r="CI144" s="170"/>
      <c r="CJ144" s="165"/>
      <c r="CK144" s="165"/>
      <c r="CL144" s="165"/>
      <c r="CM144" s="165"/>
      <c r="CN144" s="170"/>
      <c r="CO144" s="165"/>
      <c r="CP144" s="165"/>
      <c r="CQ144" s="165"/>
    </row>
    <row r="145" spans="2:95" hidden="1" outlineLevel="1" x14ac:dyDescent="0.25">
      <c r="B145" s="156" t="str">
        <f>Table1[[#Headers],[Simulação]]</f>
        <v>Simulação</v>
      </c>
      <c r="C145" s="154" t="str">
        <f t="shared" si="12"/>
        <v>INSTRUMENT_EIR_INCPTN</v>
      </c>
      <c r="D145" s="153" t="s">
        <v>414</v>
      </c>
      <c r="E145" s="153" t="s">
        <v>763</v>
      </c>
      <c r="G145" s="172">
        <f>INDEX(Table1[[Especificação]:[Total Testes]],MATCH(Sheet1!C145,Table1[CONCAT],0),MATCH(Sheet1!B145,Table1[[#Headers],[Especificação]:[Total Testes]],0))</f>
        <v>0</v>
      </c>
      <c r="H145" s="191">
        <f t="shared" si="13"/>
        <v>0</v>
      </c>
      <c r="I145" s="222"/>
      <c r="J145" s="170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  <c r="AA145" s="165"/>
      <c r="AB145" s="165"/>
      <c r="AC145" s="165"/>
      <c r="AD145" s="165"/>
      <c r="AE145" s="165"/>
      <c r="AF145" s="165"/>
      <c r="AG145" s="165"/>
      <c r="AH145" s="165"/>
      <c r="AI145" s="165"/>
      <c r="AJ145" s="165"/>
      <c r="AK145" s="165"/>
      <c r="AL145" s="165"/>
      <c r="AM145" s="165"/>
      <c r="AN145" s="165"/>
      <c r="AO145" s="165"/>
      <c r="AP145" s="165"/>
      <c r="AQ145" s="165"/>
      <c r="AR145" s="165"/>
      <c r="AS145" s="165"/>
      <c r="AT145" s="165"/>
      <c r="AU145" s="165"/>
      <c r="AV145" s="165"/>
      <c r="AW145" s="165"/>
      <c r="AX145" s="165"/>
      <c r="AY145" s="165"/>
      <c r="AZ145" s="165"/>
      <c r="BA145" s="165"/>
      <c r="BB145" s="170"/>
      <c r="BC145" s="165"/>
      <c r="BD145" s="165"/>
      <c r="BE145" s="165"/>
      <c r="BF145" s="165"/>
      <c r="BG145" s="165"/>
      <c r="BH145" s="165"/>
      <c r="BI145" s="165"/>
      <c r="BJ145" s="165"/>
      <c r="BK145" s="165"/>
      <c r="BL145" s="165"/>
      <c r="BM145" s="165"/>
      <c r="BN145" s="165"/>
      <c r="BO145" s="165"/>
      <c r="BP145" s="165"/>
      <c r="BQ145" s="165"/>
      <c r="BR145" s="165"/>
      <c r="BS145" s="165"/>
      <c r="BT145" s="165"/>
      <c r="BU145" s="165"/>
      <c r="BV145" s="165"/>
      <c r="BW145" s="165"/>
      <c r="BX145" s="165"/>
      <c r="BY145" s="165"/>
      <c r="BZ145" s="165"/>
      <c r="CA145" s="165"/>
      <c r="CB145" s="165"/>
      <c r="CC145" s="165"/>
      <c r="CD145" s="165"/>
      <c r="CE145" s="165"/>
      <c r="CF145" s="165"/>
      <c r="CG145" s="165"/>
      <c r="CH145" s="165"/>
      <c r="CI145" s="170"/>
      <c r="CJ145" s="165"/>
      <c r="CK145" s="165"/>
      <c r="CL145" s="165"/>
      <c r="CM145" s="165"/>
      <c r="CN145" s="170"/>
      <c r="CO145" s="165"/>
      <c r="CP145" s="165"/>
      <c r="CQ145" s="165"/>
    </row>
    <row r="146" spans="2:95" hidden="1" outlineLevel="1" x14ac:dyDescent="0.25">
      <c r="B146" s="156" t="str">
        <f>Table1[[#Headers],[Simulação]]</f>
        <v>Simulação</v>
      </c>
      <c r="C146" s="154" t="str">
        <f t="shared" si="12"/>
        <v>INSTRUMENT_NW_BSNSS</v>
      </c>
      <c r="D146" s="153" t="s">
        <v>414</v>
      </c>
      <c r="E146" s="153" t="s">
        <v>973</v>
      </c>
      <c r="G146" s="172">
        <f>INDEX(Table1[[Especificação]:[Total Testes]],MATCH(Sheet1!C146,Table1[CONCAT],0),MATCH(Sheet1!B146,Table1[[#Headers],[Especificação]:[Total Testes]],0))</f>
        <v>8</v>
      </c>
      <c r="H146" s="191">
        <f t="shared" si="13"/>
        <v>1</v>
      </c>
      <c r="I146" s="222"/>
      <c r="J146" s="170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  <c r="AA146" s="165"/>
      <c r="AB146" s="165"/>
      <c r="AC146" s="165"/>
      <c r="AD146" s="165"/>
      <c r="AE146" s="165"/>
      <c r="AF146" s="165"/>
      <c r="AG146" s="165"/>
      <c r="AH146" s="165"/>
      <c r="AI146" s="165"/>
      <c r="AJ146" s="165"/>
      <c r="AK146" s="165"/>
      <c r="AL146" s="165"/>
      <c r="AM146" s="165"/>
      <c r="AN146" s="165"/>
      <c r="AO146" s="165"/>
      <c r="AP146" s="165"/>
      <c r="AQ146" s="165"/>
      <c r="AR146" s="165"/>
      <c r="AS146" s="165"/>
      <c r="AT146" s="165"/>
      <c r="AU146" s="165"/>
      <c r="AV146" s="165"/>
      <c r="AW146" s="165"/>
      <c r="AX146" s="165"/>
      <c r="AY146" s="165"/>
      <c r="AZ146" s="165"/>
      <c r="BA146" s="165"/>
      <c r="BB146" s="170"/>
      <c r="BC146" s="165"/>
      <c r="BD146" s="165"/>
      <c r="BE146" s="165"/>
      <c r="BF146" s="165"/>
      <c r="BG146" s="165"/>
      <c r="BH146" s="165"/>
      <c r="BI146" s="165"/>
      <c r="BJ146" s="165"/>
      <c r="BK146" s="165"/>
      <c r="BL146" s="165"/>
      <c r="BM146" s="165"/>
      <c r="BN146" s="165"/>
      <c r="BO146" s="165"/>
      <c r="BP146" s="165"/>
      <c r="BQ146" s="165"/>
      <c r="BR146" s="165"/>
      <c r="BS146" s="165"/>
      <c r="BT146" s="165"/>
      <c r="BU146" s="165"/>
      <c r="BV146" s="165"/>
      <c r="BW146" s="165"/>
      <c r="BX146" s="165"/>
      <c r="BY146" s="165"/>
      <c r="BZ146" s="165"/>
      <c r="CA146" s="165"/>
      <c r="CB146" s="165"/>
      <c r="CC146" s="165"/>
      <c r="CD146" s="165"/>
      <c r="CE146" s="165"/>
      <c r="CF146" s="165"/>
      <c r="CG146" s="165"/>
      <c r="CH146" s="165"/>
      <c r="CI146" s="170"/>
      <c r="CJ146" s="165"/>
      <c r="CK146" s="165"/>
      <c r="CL146" s="165"/>
      <c r="CM146" s="165"/>
      <c r="CN146" s="170"/>
      <c r="CO146" s="165"/>
      <c r="CP146" s="165"/>
      <c r="CQ146" s="165"/>
    </row>
    <row r="147" spans="2:95" hidden="1" outlineLevel="1" x14ac:dyDescent="0.25">
      <c r="B147" s="156" t="str">
        <f>Table1[[#Headers],[Simulação]]</f>
        <v>Simulação</v>
      </c>
      <c r="C147" s="154" t="str">
        <f t="shared" si="12"/>
        <v>PROTECTION_YR_CNSTRCTN</v>
      </c>
      <c r="D147" s="153" t="s">
        <v>1114</v>
      </c>
      <c r="E147" s="153" t="s">
        <v>1290</v>
      </c>
      <c r="G147" s="172">
        <f>INDEX(Table1[[Especificação]:[Total Testes]],MATCH(Sheet1!C147,Table1[CONCAT],0),MATCH(Sheet1!B147,Table1[[#Headers],[Especificação]:[Total Testes]],0))</f>
        <v>0</v>
      </c>
      <c r="H147" s="191">
        <f t="shared" si="13"/>
        <v>0</v>
      </c>
      <c r="I147" s="222"/>
      <c r="J147" s="170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  <c r="AA147" s="165"/>
      <c r="AB147" s="165"/>
      <c r="AC147" s="165"/>
      <c r="AD147" s="165"/>
      <c r="AE147" s="165"/>
      <c r="AF147" s="165"/>
      <c r="AG147" s="165"/>
      <c r="AH147" s="165"/>
      <c r="AI147" s="165"/>
      <c r="AJ147" s="165"/>
      <c r="AK147" s="165"/>
      <c r="AL147" s="165"/>
      <c r="AM147" s="165"/>
      <c r="AN147" s="165"/>
      <c r="AO147" s="165"/>
      <c r="AP147" s="165"/>
      <c r="AQ147" s="165"/>
      <c r="AR147" s="165"/>
      <c r="AS147" s="165"/>
      <c r="AT147" s="165"/>
      <c r="AU147" s="165"/>
      <c r="AV147" s="165"/>
      <c r="AW147" s="165"/>
      <c r="AX147" s="165"/>
      <c r="AY147" s="165"/>
      <c r="AZ147" s="165"/>
      <c r="BA147" s="165"/>
      <c r="BB147" s="170"/>
      <c r="BC147" s="165"/>
      <c r="BD147" s="165"/>
      <c r="BE147" s="165"/>
      <c r="BF147" s="165"/>
      <c r="BG147" s="165"/>
      <c r="BH147" s="165"/>
      <c r="BI147" s="165"/>
      <c r="BJ147" s="165"/>
      <c r="BK147" s="165"/>
      <c r="BL147" s="165"/>
      <c r="BM147" s="165"/>
      <c r="BN147" s="165"/>
      <c r="BO147" s="165"/>
      <c r="BP147" s="165"/>
      <c r="BQ147" s="165"/>
      <c r="BR147" s="165"/>
      <c r="BS147" s="165"/>
      <c r="BT147" s="165"/>
      <c r="BU147" s="165"/>
      <c r="BV147" s="165"/>
      <c r="BW147" s="165"/>
      <c r="BX147" s="165"/>
      <c r="BY147" s="165"/>
      <c r="BZ147" s="165"/>
      <c r="CA147" s="165"/>
      <c r="CB147" s="165"/>
      <c r="CC147" s="165"/>
      <c r="CD147" s="165"/>
      <c r="CE147" s="165"/>
      <c r="CF147" s="165"/>
      <c r="CG147" s="165"/>
      <c r="CH147" s="165"/>
      <c r="CI147" s="170"/>
      <c r="CJ147" s="165"/>
      <c r="CK147" s="165"/>
      <c r="CL147" s="165"/>
      <c r="CM147" s="165"/>
      <c r="CN147" s="170"/>
      <c r="CO147" s="165"/>
      <c r="CP147" s="165"/>
      <c r="CQ147" s="165"/>
    </row>
    <row r="148" spans="2:95" hidden="1" outlineLevel="1" x14ac:dyDescent="0.25">
      <c r="B148" s="156" t="str">
        <f>Table1[[#Headers],[Simulação]]</f>
        <v>Simulação</v>
      </c>
      <c r="C148" s="154" t="str">
        <f t="shared" si="12"/>
        <v>INSTRUMENT_INTRNL_SGMNT</v>
      </c>
      <c r="D148" s="153" t="s">
        <v>414</v>
      </c>
      <c r="E148" s="153" t="s">
        <v>50</v>
      </c>
      <c r="G148" s="172">
        <f>INDEX(Table1[[Especificação]:[Total Testes]],MATCH(Sheet1!C148,Table1[CONCAT],0),MATCH(Sheet1!B148,Table1[[#Headers],[Especificação]:[Total Testes]],0))</f>
        <v>0</v>
      </c>
      <c r="H148" s="191">
        <f t="shared" si="13"/>
        <v>0</v>
      </c>
      <c r="I148" s="222"/>
      <c r="J148" s="170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  <c r="AA148" s="165"/>
      <c r="AB148" s="165"/>
      <c r="AC148" s="165"/>
      <c r="AD148" s="165"/>
      <c r="AE148" s="165"/>
      <c r="AF148" s="165"/>
      <c r="AG148" s="165"/>
      <c r="AH148" s="165"/>
      <c r="AI148" s="165"/>
      <c r="AJ148" s="165"/>
      <c r="AK148" s="165"/>
      <c r="AL148" s="165"/>
      <c r="AM148" s="165"/>
      <c r="AN148" s="165"/>
      <c r="AO148" s="165"/>
      <c r="AP148" s="165"/>
      <c r="AQ148" s="165"/>
      <c r="AR148" s="165"/>
      <c r="AS148" s="165"/>
      <c r="AT148" s="165"/>
      <c r="AU148" s="165"/>
      <c r="AV148" s="165"/>
      <c r="AW148" s="165"/>
      <c r="AX148" s="165"/>
      <c r="AY148" s="165"/>
      <c r="AZ148" s="165"/>
      <c r="BA148" s="165"/>
      <c r="BB148" s="170"/>
      <c r="BC148" s="165"/>
      <c r="BD148" s="165"/>
      <c r="BE148" s="165"/>
      <c r="BF148" s="165"/>
      <c r="BG148" s="165"/>
      <c r="BH148" s="165"/>
      <c r="BI148" s="165"/>
      <c r="BJ148" s="165"/>
      <c r="BK148" s="165"/>
      <c r="BL148" s="165"/>
      <c r="BM148" s="165"/>
      <c r="BN148" s="165"/>
      <c r="BO148" s="165"/>
      <c r="BP148" s="165"/>
      <c r="BQ148" s="165"/>
      <c r="BR148" s="165"/>
      <c r="BS148" s="165"/>
      <c r="BT148" s="165"/>
      <c r="BU148" s="165"/>
      <c r="BV148" s="165"/>
      <c r="BW148" s="165"/>
      <c r="BX148" s="165"/>
      <c r="BY148" s="165"/>
      <c r="BZ148" s="165"/>
      <c r="CA148" s="165"/>
      <c r="CB148" s="165"/>
      <c r="CC148" s="165"/>
      <c r="CD148" s="165"/>
      <c r="CE148" s="165"/>
      <c r="CF148" s="165"/>
      <c r="CG148" s="165"/>
      <c r="CH148" s="165"/>
      <c r="CI148" s="170"/>
      <c r="CJ148" s="165"/>
      <c r="CK148" s="165"/>
      <c r="CL148" s="165"/>
      <c r="CM148" s="165"/>
      <c r="CN148" s="170"/>
      <c r="CO148" s="165"/>
      <c r="CP148" s="165"/>
      <c r="CQ148" s="165"/>
    </row>
    <row r="149" spans="2:95" hidden="1" outlineLevel="1" x14ac:dyDescent="0.25">
      <c r="B149" s="156" t="str">
        <f>Table1[[#Headers],[Simulação]]</f>
        <v>Simulação</v>
      </c>
      <c r="C149" s="154" t="str">
        <f t="shared" si="12"/>
        <v>INSTRUMENT_EAD</v>
      </c>
      <c r="D149" s="153" t="s">
        <v>414</v>
      </c>
      <c r="E149" s="153" t="s">
        <v>617</v>
      </c>
      <c r="G149" s="172">
        <f>INDEX(Table1[[Especificação]:[Total Testes]],MATCH(Sheet1!C149,Table1[CONCAT],0),MATCH(Sheet1!B149,Table1[[#Headers],[Especificação]:[Total Testes]],0))</f>
        <v>0</v>
      </c>
      <c r="H149" s="191">
        <f t="shared" si="13"/>
        <v>0</v>
      </c>
      <c r="I149" s="222"/>
      <c r="J149" s="170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65"/>
      <c r="AB149" s="165"/>
      <c r="AC149" s="165"/>
      <c r="AD149" s="165"/>
      <c r="AE149" s="165"/>
      <c r="AF149" s="165"/>
      <c r="AG149" s="165"/>
      <c r="AH149" s="165"/>
      <c r="AI149" s="165"/>
      <c r="AJ149" s="165"/>
      <c r="AK149" s="165"/>
      <c r="AL149" s="165"/>
      <c r="AM149" s="165"/>
      <c r="AN149" s="165"/>
      <c r="AO149" s="165"/>
      <c r="AP149" s="165"/>
      <c r="AQ149" s="165"/>
      <c r="AR149" s="165"/>
      <c r="AS149" s="165"/>
      <c r="AT149" s="165"/>
      <c r="AU149" s="165"/>
      <c r="AV149" s="165"/>
      <c r="AW149" s="165"/>
      <c r="AX149" s="165"/>
      <c r="AY149" s="165"/>
      <c r="AZ149" s="165"/>
      <c r="BA149" s="165"/>
      <c r="BB149" s="170"/>
      <c r="BC149" s="165"/>
      <c r="BD149" s="165"/>
      <c r="BE149" s="165"/>
      <c r="BF149" s="165"/>
      <c r="BG149" s="165"/>
      <c r="BH149" s="165"/>
      <c r="BI149" s="165"/>
      <c r="BJ149" s="165"/>
      <c r="BK149" s="165"/>
      <c r="BL149" s="165"/>
      <c r="BM149" s="165"/>
      <c r="BN149" s="165"/>
      <c r="BO149" s="165"/>
      <c r="BP149" s="165"/>
      <c r="BQ149" s="165"/>
      <c r="BR149" s="165"/>
      <c r="BS149" s="165"/>
      <c r="BT149" s="165"/>
      <c r="BU149" s="165"/>
      <c r="BV149" s="165"/>
      <c r="BW149" s="165"/>
      <c r="BX149" s="165"/>
      <c r="BY149" s="165"/>
      <c r="BZ149" s="165"/>
      <c r="CA149" s="165"/>
      <c r="CB149" s="165"/>
      <c r="CC149" s="165"/>
      <c r="CD149" s="165"/>
      <c r="CE149" s="165"/>
      <c r="CF149" s="165"/>
      <c r="CG149" s="165"/>
      <c r="CH149" s="165"/>
      <c r="CI149" s="170"/>
      <c r="CJ149" s="165"/>
      <c r="CK149" s="165"/>
      <c r="CL149" s="165"/>
      <c r="CM149" s="165"/>
      <c r="CN149" s="170"/>
      <c r="CO149" s="165"/>
      <c r="CP149" s="165"/>
      <c r="CQ149" s="165"/>
    </row>
    <row r="150" spans="2:95" hidden="1" outlineLevel="1" x14ac:dyDescent="0.25">
      <c r="B150" s="156" t="str">
        <f>Table1[[#Headers],[Simulação]]</f>
        <v>Simulação</v>
      </c>
      <c r="C150" s="154" t="str">
        <f t="shared" si="12"/>
        <v>INSTRUMENT_OFF_BLNC_SHT_AMNT_INSTRMNT</v>
      </c>
      <c r="D150" s="153" t="s">
        <v>414</v>
      </c>
      <c r="E150" s="153" t="s">
        <v>629</v>
      </c>
      <c r="G150" s="172">
        <f>INDEX(Table1[[Especificação]:[Total Testes]],MATCH(Sheet1!C150,Table1[CONCAT],0),MATCH(Sheet1!B150,Table1[[#Headers],[Especificação]:[Total Testes]],0))</f>
        <v>0</v>
      </c>
      <c r="H150" s="191">
        <f t="shared" si="13"/>
        <v>0</v>
      </c>
      <c r="I150" s="222"/>
      <c r="J150" s="170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  <c r="AA150" s="165"/>
      <c r="AB150" s="165"/>
      <c r="AC150" s="165"/>
      <c r="AD150" s="165"/>
      <c r="AE150" s="165"/>
      <c r="AF150" s="165"/>
      <c r="AG150" s="165"/>
      <c r="AH150" s="165"/>
      <c r="AI150" s="165"/>
      <c r="AJ150" s="165"/>
      <c r="AK150" s="165"/>
      <c r="AL150" s="165"/>
      <c r="AM150" s="165"/>
      <c r="AN150" s="165"/>
      <c r="AO150" s="165"/>
      <c r="AP150" s="165"/>
      <c r="AQ150" s="165"/>
      <c r="AR150" s="165"/>
      <c r="AS150" s="165"/>
      <c r="AT150" s="165"/>
      <c r="AU150" s="165"/>
      <c r="AV150" s="165"/>
      <c r="AW150" s="165"/>
      <c r="AX150" s="165"/>
      <c r="AY150" s="165"/>
      <c r="AZ150" s="165"/>
      <c r="BA150" s="165"/>
      <c r="BB150" s="170"/>
      <c r="BC150" s="165"/>
      <c r="BD150" s="165"/>
      <c r="BE150" s="165"/>
      <c r="BF150" s="165"/>
      <c r="BG150" s="165"/>
      <c r="BH150" s="165"/>
      <c r="BI150" s="165"/>
      <c r="BJ150" s="165"/>
      <c r="BK150" s="165"/>
      <c r="BL150" s="165"/>
      <c r="BM150" s="165"/>
      <c r="BN150" s="165"/>
      <c r="BO150" s="165"/>
      <c r="BP150" s="165"/>
      <c r="BQ150" s="165"/>
      <c r="BR150" s="165"/>
      <c r="BS150" s="165"/>
      <c r="BT150" s="165"/>
      <c r="BU150" s="165"/>
      <c r="BV150" s="165"/>
      <c r="BW150" s="165"/>
      <c r="BX150" s="165"/>
      <c r="BY150" s="165"/>
      <c r="BZ150" s="165"/>
      <c r="CA150" s="165"/>
      <c r="CB150" s="165"/>
      <c r="CC150" s="165"/>
      <c r="CD150" s="165"/>
      <c r="CE150" s="165"/>
      <c r="CF150" s="165"/>
      <c r="CG150" s="165"/>
      <c r="CH150" s="165"/>
      <c r="CI150" s="170"/>
      <c r="CJ150" s="165"/>
      <c r="CK150" s="165"/>
      <c r="CL150" s="165"/>
      <c r="CM150" s="165"/>
      <c r="CN150" s="170"/>
      <c r="CO150" s="165"/>
      <c r="CP150" s="165"/>
      <c r="CQ150" s="165"/>
    </row>
    <row r="151" spans="2:95" hidden="1" outlineLevel="1" x14ac:dyDescent="0.25">
      <c r="B151" s="156" t="str">
        <f>Table1[[#Headers],[Simulação]]</f>
        <v>Simulação</v>
      </c>
      <c r="C151" s="154" t="str">
        <f t="shared" si="12"/>
        <v>INSTRUMENT_INTRNL_SGMNT_CAT_MSTA</v>
      </c>
      <c r="D151" s="153" t="s">
        <v>414</v>
      </c>
      <c r="E151" s="153" t="s">
        <v>943</v>
      </c>
      <c r="G151" s="172">
        <f>INDEX(Table1[[Especificação]:[Total Testes]],MATCH(Sheet1!C151,Table1[CONCAT],0),MATCH(Sheet1!B151,Table1[[#Headers],[Especificação]:[Total Testes]],0))</f>
        <v>0</v>
      </c>
      <c r="H151" s="191">
        <f t="shared" si="13"/>
        <v>0</v>
      </c>
      <c r="I151" s="222"/>
      <c r="J151" s="170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  <c r="AA151" s="165"/>
      <c r="AB151" s="165"/>
      <c r="AC151" s="165"/>
      <c r="AD151" s="165"/>
      <c r="AE151" s="165"/>
      <c r="AF151" s="165"/>
      <c r="AG151" s="165"/>
      <c r="AH151" s="165"/>
      <c r="AI151" s="165"/>
      <c r="AJ151" s="165"/>
      <c r="AK151" s="165"/>
      <c r="AL151" s="165"/>
      <c r="AM151" s="165"/>
      <c r="AN151" s="165"/>
      <c r="AO151" s="165"/>
      <c r="AP151" s="165"/>
      <c r="AQ151" s="165"/>
      <c r="AR151" s="165"/>
      <c r="AS151" s="165"/>
      <c r="AT151" s="165"/>
      <c r="AU151" s="165"/>
      <c r="AV151" s="165"/>
      <c r="AW151" s="165"/>
      <c r="AX151" s="165"/>
      <c r="AY151" s="165"/>
      <c r="AZ151" s="165"/>
      <c r="BA151" s="165"/>
      <c r="BB151" s="170"/>
      <c r="BC151" s="165"/>
      <c r="BD151" s="165"/>
      <c r="BE151" s="165"/>
      <c r="BF151" s="165"/>
      <c r="BG151" s="165"/>
      <c r="BH151" s="165"/>
      <c r="BI151" s="165"/>
      <c r="BJ151" s="165"/>
      <c r="BK151" s="165"/>
      <c r="BL151" s="165"/>
      <c r="BM151" s="165"/>
      <c r="BN151" s="165"/>
      <c r="BO151" s="165"/>
      <c r="BP151" s="165"/>
      <c r="BQ151" s="165"/>
      <c r="BR151" s="165"/>
      <c r="BS151" s="165"/>
      <c r="BT151" s="165"/>
      <c r="BU151" s="165"/>
      <c r="BV151" s="165"/>
      <c r="BW151" s="165"/>
      <c r="BX151" s="165"/>
      <c r="BY151" s="165"/>
      <c r="BZ151" s="165"/>
      <c r="CA151" s="165"/>
      <c r="CB151" s="165"/>
      <c r="CC151" s="165"/>
      <c r="CD151" s="165"/>
      <c r="CE151" s="165"/>
      <c r="CF151" s="165"/>
      <c r="CG151" s="165"/>
      <c r="CH151" s="165"/>
      <c r="CI151" s="170"/>
      <c r="CJ151" s="165"/>
      <c r="CK151" s="165"/>
      <c r="CL151" s="165"/>
      <c r="CM151" s="165"/>
      <c r="CN151" s="170"/>
      <c r="CO151" s="165"/>
      <c r="CP151" s="165"/>
      <c r="CQ151" s="165"/>
    </row>
    <row r="152" spans="2:95" hidden="1" outlineLevel="1" x14ac:dyDescent="0.25">
      <c r="B152" s="156" t="str">
        <f>Table1[[#Headers],[Simulação]]</f>
        <v>Simulação</v>
      </c>
      <c r="C152" s="154" t="str">
        <f t="shared" ref="C152:C155" si="14">D152&amp;"_"&amp;E152</f>
        <v>INSTRUMENT_INTRNL_SGMNT_CATGSUB</v>
      </c>
      <c r="D152" s="153" t="s">
        <v>414</v>
      </c>
      <c r="E152" s="153" t="s">
        <v>946</v>
      </c>
      <c r="G152" s="172">
        <f>INDEX(Table1[[Especificação]:[Total Testes]],MATCH(Sheet1!C152,Table1[CONCAT],0),MATCH(Sheet1!B152,Table1[[#Headers],[Especificação]:[Total Testes]],0))</f>
        <v>0</v>
      </c>
      <c r="H152" s="191">
        <f t="shared" ref="H152:H155" si="15">ROUND(G152/8,2)</f>
        <v>0</v>
      </c>
      <c r="I152" s="222"/>
      <c r="J152" s="170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  <c r="AA152" s="165"/>
      <c r="AB152" s="165"/>
      <c r="AC152" s="165"/>
      <c r="AD152" s="165"/>
      <c r="AE152" s="165"/>
      <c r="AF152" s="165"/>
      <c r="AG152" s="165"/>
      <c r="AH152" s="165"/>
      <c r="AI152" s="165"/>
      <c r="AJ152" s="165"/>
      <c r="AK152" s="165"/>
      <c r="AL152" s="165"/>
      <c r="AM152" s="165"/>
      <c r="AN152" s="165"/>
      <c r="AO152" s="165"/>
      <c r="AP152" s="165"/>
      <c r="AQ152" s="165"/>
      <c r="AR152" s="165"/>
      <c r="AS152" s="165"/>
      <c r="AT152" s="165"/>
      <c r="AU152" s="165"/>
      <c r="AV152" s="165"/>
      <c r="AW152" s="165"/>
      <c r="AX152" s="165"/>
      <c r="AY152" s="165"/>
      <c r="AZ152" s="165"/>
      <c r="BA152" s="165"/>
      <c r="BB152" s="170"/>
      <c r="BC152" s="165"/>
      <c r="BD152" s="165"/>
      <c r="BE152" s="165"/>
      <c r="BF152" s="165"/>
      <c r="BG152" s="165"/>
      <c r="BH152" s="165"/>
      <c r="BI152" s="165"/>
      <c r="BJ152" s="165"/>
      <c r="BK152" s="165"/>
      <c r="BL152" s="165"/>
      <c r="BM152" s="165"/>
      <c r="BN152" s="165"/>
      <c r="BO152" s="165"/>
      <c r="BP152" s="165"/>
      <c r="BQ152" s="165"/>
      <c r="BR152" s="165"/>
      <c r="BS152" s="165"/>
      <c r="BT152" s="165"/>
      <c r="BU152" s="165"/>
      <c r="BV152" s="165"/>
      <c r="BW152" s="165"/>
      <c r="BX152" s="165"/>
      <c r="BY152" s="165"/>
      <c r="BZ152" s="165"/>
      <c r="CA152" s="165"/>
      <c r="CB152" s="165"/>
      <c r="CC152" s="165"/>
      <c r="CD152" s="165"/>
      <c r="CE152" s="165"/>
      <c r="CF152" s="165"/>
      <c r="CG152" s="165"/>
      <c r="CH152" s="165"/>
      <c r="CI152" s="170"/>
      <c r="CJ152" s="165"/>
      <c r="CK152" s="165"/>
      <c r="CL152" s="165"/>
      <c r="CM152" s="165"/>
      <c r="CN152" s="170"/>
      <c r="CO152" s="165"/>
      <c r="CP152" s="165"/>
      <c r="CQ152" s="165"/>
    </row>
    <row r="153" spans="2:95" hidden="1" outlineLevel="1" x14ac:dyDescent="0.25">
      <c r="B153" s="156" t="str">
        <f>Table1[[#Headers],[Simulação]]</f>
        <v>Simulação</v>
      </c>
      <c r="C153" s="154" t="str">
        <f t="shared" si="14"/>
        <v>PROTECTION_RL_ESTT_ADDRSS</v>
      </c>
      <c r="D153" s="153" t="s">
        <v>1114</v>
      </c>
      <c r="E153" s="153" t="s">
        <v>1127</v>
      </c>
      <c r="G153" s="172">
        <f>INDEX(Table1[[Especificação]:[Total Testes]],MATCH(Sheet1!C153,Table1[CONCAT],0),MATCH(Sheet1!B153,Table1[[#Headers],[Especificação]:[Total Testes]],0))</f>
        <v>0</v>
      </c>
      <c r="H153" s="191">
        <f t="shared" si="15"/>
        <v>0</v>
      </c>
      <c r="I153" s="222"/>
      <c r="J153" s="170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  <c r="AA153" s="165"/>
      <c r="AB153" s="165"/>
      <c r="AC153" s="165"/>
      <c r="AD153" s="165"/>
      <c r="AE153" s="165"/>
      <c r="AF153" s="165"/>
      <c r="AG153" s="165"/>
      <c r="AH153" s="165"/>
      <c r="AI153" s="165"/>
      <c r="AJ153" s="165"/>
      <c r="AK153" s="165"/>
      <c r="AL153" s="165"/>
      <c r="AM153" s="165"/>
      <c r="AN153" s="165"/>
      <c r="AO153" s="165"/>
      <c r="AP153" s="165"/>
      <c r="AQ153" s="165"/>
      <c r="AR153" s="165"/>
      <c r="AS153" s="165"/>
      <c r="AT153" s="165"/>
      <c r="AU153" s="165"/>
      <c r="AV153" s="165"/>
      <c r="AW153" s="165"/>
      <c r="AX153" s="165"/>
      <c r="AY153" s="165"/>
      <c r="AZ153" s="165"/>
      <c r="BA153" s="165"/>
      <c r="BB153" s="170"/>
      <c r="BC153" s="165"/>
      <c r="BD153" s="165"/>
      <c r="BE153" s="165"/>
      <c r="BF153" s="165"/>
      <c r="BG153" s="165"/>
      <c r="BH153" s="165"/>
      <c r="BI153" s="165"/>
      <c r="BJ153" s="165"/>
      <c r="BK153" s="165"/>
      <c r="BL153" s="165"/>
      <c r="BM153" s="165"/>
      <c r="BN153" s="165"/>
      <c r="BO153" s="165"/>
      <c r="BP153" s="165"/>
      <c r="BQ153" s="165"/>
      <c r="BR153" s="165"/>
      <c r="BS153" s="165"/>
      <c r="BT153" s="165"/>
      <c r="BU153" s="165"/>
      <c r="BV153" s="165"/>
      <c r="BW153" s="165"/>
      <c r="BX153" s="165"/>
      <c r="BY153" s="165"/>
      <c r="BZ153" s="165"/>
      <c r="CA153" s="165"/>
      <c r="CB153" s="165"/>
      <c r="CC153" s="165"/>
      <c r="CD153" s="165"/>
      <c r="CE153" s="165"/>
      <c r="CF153" s="165"/>
      <c r="CG153" s="165"/>
      <c r="CH153" s="165"/>
      <c r="CI153" s="170"/>
      <c r="CJ153" s="165"/>
      <c r="CK153" s="165"/>
      <c r="CL153" s="165"/>
      <c r="CM153" s="165"/>
      <c r="CN153" s="170"/>
      <c r="CO153" s="165"/>
      <c r="CP153" s="165"/>
      <c r="CQ153" s="165"/>
    </row>
    <row r="154" spans="2:95" hidden="1" outlineLevel="1" x14ac:dyDescent="0.25">
      <c r="B154" s="156" t="str">
        <f>Table1[[#Headers],[Simulação]]</f>
        <v>Simulação</v>
      </c>
      <c r="C154" s="154" t="str">
        <f t="shared" si="14"/>
        <v>PROTECTION_RL_ESTT_CLLTRL_LCTN_INT</v>
      </c>
      <c r="D154" s="153" t="s">
        <v>1114</v>
      </c>
      <c r="E154" s="153" t="s">
        <v>1133</v>
      </c>
      <c r="G154" s="172">
        <f>INDEX(Table1[[Especificação]:[Total Testes]],MATCH(Sheet1!C154,Table1[CONCAT],0),MATCH(Sheet1!B154,Table1[[#Headers],[Especificação]:[Total Testes]],0))</f>
        <v>0</v>
      </c>
      <c r="H154" s="191">
        <f t="shared" si="15"/>
        <v>0</v>
      </c>
      <c r="I154" s="222"/>
      <c r="J154" s="170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  <c r="AA154" s="165"/>
      <c r="AB154" s="165"/>
      <c r="AC154" s="165"/>
      <c r="AD154" s="165"/>
      <c r="AE154" s="165"/>
      <c r="AF154" s="165"/>
      <c r="AG154" s="165"/>
      <c r="AH154" s="165"/>
      <c r="AI154" s="165"/>
      <c r="AJ154" s="165"/>
      <c r="AK154" s="165"/>
      <c r="AL154" s="165"/>
      <c r="AM154" s="165"/>
      <c r="AN154" s="165"/>
      <c r="AO154" s="165"/>
      <c r="AP154" s="165"/>
      <c r="AQ154" s="165"/>
      <c r="AR154" s="165"/>
      <c r="AS154" s="165"/>
      <c r="AT154" s="165"/>
      <c r="AU154" s="165"/>
      <c r="AV154" s="165"/>
      <c r="AW154" s="165"/>
      <c r="AX154" s="165"/>
      <c r="AY154" s="165"/>
      <c r="AZ154" s="165"/>
      <c r="BA154" s="165"/>
      <c r="BB154" s="170"/>
      <c r="BC154" s="165"/>
      <c r="BD154" s="165"/>
      <c r="BE154" s="165"/>
      <c r="BF154" s="165"/>
      <c r="BG154" s="165"/>
      <c r="BH154" s="165"/>
      <c r="BI154" s="165"/>
      <c r="BJ154" s="165"/>
      <c r="BK154" s="165"/>
      <c r="BL154" s="165"/>
      <c r="BM154" s="165"/>
      <c r="BN154" s="165"/>
      <c r="BO154" s="165"/>
      <c r="BP154" s="165"/>
      <c r="BQ154" s="165"/>
      <c r="BR154" s="165"/>
      <c r="BS154" s="165"/>
      <c r="BT154" s="165"/>
      <c r="BU154" s="165"/>
      <c r="BV154" s="165"/>
      <c r="BW154" s="165"/>
      <c r="BX154" s="165"/>
      <c r="BY154" s="165"/>
      <c r="BZ154" s="165"/>
      <c r="CA154" s="165"/>
      <c r="CB154" s="165"/>
      <c r="CC154" s="165"/>
      <c r="CD154" s="165"/>
      <c r="CE154" s="165"/>
      <c r="CF154" s="165"/>
      <c r="CG154" s="165"/>
      <c r="CH154" s="165"/>
      <c r="CI154" s="170"/>
      <c r="CJ154" s="165"/>
      <c r="CK154" s="165"/>
      <c r="CL154" s="165"/>
      <c r="CM154" s="165"/>
      <c r="CN154" s="170"/>
      <c r="CO154" s="165"/>
      <c r="CP154" s="165"/>
      <c r="CQ154" s="165"/>
    </row>
    <row r="155" spans="2:95" hidden="1" outlineLevel="1" x14ac:dyDescent="0.25">
      <c r="B155" s="156" t="str">
        <f>Table1[[#Headers],[Simulação]]</f>
        <v>Simulação</v>
      </c>
      <c r="C155" s="154" t="str">
        <f t="shared" si="14"/>
        <v>PROTECTION_RL_ESTT_CTY</v>
      </c>
      <c r="D155" s="153" t="s">
        <v>1114</v>
      </c>
      <c r="E155" s="153" t="s">
        <v>1136</v>
      </c>
      <c r="G155" s="172">
        <f>INDEX(Table1[[Especificação]:[Total Testes]],MATCH(Sheet1!C155,Table1[CONCAT],0),MATCH(Sheet1!B155,Table1[[#Headers],[Especificação]:[Total Testes]],0))</f>
        <v>0</v>
      </c>
      <c r="H155" s="191">
        <f t="shared" si="15"/>
        <v>0</v>
      </c>
      <c r="I155" s="222"/>
      <c r="J155" s="170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  <c r="AA155" s="165"/>
      <c r="AB155" s="165"/>
      <c r="AC155" s="165"/>
      <c r="AD155" s="165"/>
      <c r="AE155" s="165"/>
      <c r="AF155" s="165"/>
      <c r="AG155" s="165"/>
      <c r="AH155" s="165"/>
      <c r="AI155" s="165"/>
      <c r="AJ155" s="165"/>
      <c r="AK155" s="165"/>
      <c r="AL155" s="165"/>
      <c r="AM155" s="165"/>
      <c r="AN155" s="165"/>
      <c r="AO155" s="165"/>
      <c r="AP155" s="165"/>
      <c r="AQ155" s="165"/>
      <c r="AR155" s="165"/>
      <c r="AS155" s="165"/>
      <c r="AT155" s="165"/>
      <c r="AU155" s="165"/>
      <c r="AV155" s="165"/>
      <c r="AW155" s="165"/>
      <c r="AX155" s="165"/>
      <c r="AY155" s="165"/>
      <c r="AZ155" s="165"/>
      <c r="BA155" s="165"/>
      <c r="BB155" s="170"/>
      <c r="BC155" s="165"/>
      <c r="BD155" s="165"/>
      <c r="BE155" s="165"/>
      <c r="BF155" s="165"/>
      <c r="BG155" s="165"/>
      <c r="BH155" s="165"/>
      <c r="BI155" s="165"/>
      <c r="BJ155" s="165"/>
      <c r="BK155" s="165"/>
      <c r="BL155" s="165"/>
      <c r="BM155" s="165"/>
      <c r="BN155" s="165"/>
      <c r="BO155" s="165"/>
      <c r="BP155" s="165"/>
      <c r="BQ155" s="165"/>
      <c r="BR155" s="165"/>
      <c r="BS155" s="165"/>
      <c r="BT155" s="165"/>
      <c r="BU155" s="165"/>
      <c r="BV155" s="165"/>
      <c r="BW155" s="165"/>
      <c r="BX155" s="165"/>
      <c r="BY155" s="165"/>
      <c r="BZ155" s="165"/>
      <c r="CA155" s="165"/>
      <c r="CB155" s="165"/>
      <c r="CC155" s="165"/>
      <c r="CD155" s="165"/>
      <c r="CE155" s="165"/>
      <c r="CF155" s="165"/>
      <c r="CG155" s="165"/>
      <c r="CH155" s="165"/>
      <c r="CI155" s="170"/>
      <c r="CJ155" s="165"/>
      <c r="CK155" s="165"/>
      <c r="CL155" s="165"/>
      <c r="CM155" s="165"/>
      <c r="CN155" s="170"/>
      <c r="CO155" s="165"/>
      <c r="CP155" s="165"/>
      <c r="CQ155" s="165"/>
    </row>
    <row r="156" spans="2:95" collapsed="1" x14ac:dyDescent="0.25">
      <c r="B156" s="156"/>
      <c r="C156" s="207" t="s">
        <v>1723</v>
      </c>
      <c r="D156" s="178"/>
      <c r="E156" s="179"/>
      <c r="F156" s="205">
        <f>COUNTA(E157:E224)</f>
        <v>68</v>
      </c>
      <c r="G156" s="205">
        <f>SUM(G157:G224)</f>
        <v>121</v>
      </c>
      <c r="H156" s="208">
        <f>ROUND(SUM(H157:H224),1)</f>
        <v>15.1</v>
      </c>
      <c r="I156" s="222">
        <f t="shared" ref="I156" si="16">SUM(J156:CQ156)-H156</f>
        <v>20.700000000000003</v>
      </c>
      <c r="J156" s="170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  <c r="AA156" s="165"/>
      <c r="AB156" s="165"/>
      <c r="AC156" s="165"/>
      <c r="AD156" s="165"/>
      <c r="AE156" s="165"/>
      <c r="AF156" s="165"/>
      <c r="AG156" s="165"/>
      <c r="AH156" s="165"/>
      <c r="AI156" s="165"/>
      <c r="AJ156" s="165"/>
      <c r="AK156" s="165"/>
      <c r="AL156" s="165"/>
      <c r="AM156" s="165"/>
      <c r="AN156" s="165"/>
      <c r="AO156" s="165"/>
      <c r="AP156" s="165"/>
      <c r="AQ156" s="165"/>
      <c r="AR156" s="165"/>
      <c r="AS156" s="165"/>
      <c r="AT156" s="165"/>
      <c r="AU156" s="165"/>
      <c r="AV156" s="165"/>
      <c r="AW156" s="165"/>
      <c r="AX156" s="165">
        <v>1.7</v>
      </c>
      <c r="AY156" s="165">
        <v>2</v>
      </c>
      <c r="AZ156" s="165">
        <v>2</v>
      </c>
      <c r="BA156" s="165">
        <v>2</v>
      </c>
      <c r="BB156" s="170"/>
      <c r="BC156" s="165">
        <v>2</v>
      </c>
      <c r="BD156" s="165">
        <v>2</v>
      </c>
      <c r="BE156" s="165">
        <v>2</v>
      </c>
      <c r="BF156" s="165">
        <v>2</v>
      </c>
      <c r="BG156" s="165">
        <v>2</v>
      </c>
      <c r="BH156" s="165">
        <v>2</v>
      </c>
      <c r="BI156" s="165">
        <v>2</v>
      </c>
      <c r="BJ156" s="165">
        <v>2</v>
      </c>
      <c r="BK156" s="165">
        <v>2</v>
      </c>
      <c r="BL156" s="165">
        <v>2</v>
      </c>
      <c r="BM156" s="165">
        <v>2</v>
      </c>
      <c r="BN156" s="165">
        <v>2</v>
      </c>
      <c r="BO156" s="165">
        <v>2</v>
      </c>
      <c r="BP156" s="165">
        <v>2</v>
      </c>
      <c r="BQ156" s="165">
        <v>0.1</v>
      </c>
      <c r="BR156" s="165"/>
      <c r="BS156" s="165"/>
      <c r="BT156" s="165"/>
      <c r="BU156" s="165"/>
      <c r="BV156" s="165"/>
      <c r="BW156" s="165"/>
      <c r="BX156" s="165"/>
      <c r="BY156" s="165"/>
      <c r="BZ156" s="165"/>
      <c r="CA156" s="165"/>
      <c r="CB156" s="165"/>
      <c r="CC156" s="165"/>
      <c r="CD156" s="165"/>
      <c r="CE156" s="165"/>
      <c r="CF156" s="165"/>
      <c r="CG156" s="165"/>
      <c r="CH156" s="165"/>
      <c r="CI156" s="170"/>
      <c r="CJ156" s="165"/>
      <c r="CK156" s="165"/>
      <c r="CL156" s="165"/>
      <c r="CM156" s="165"/>
      <c r="CN156" s="170"/>
      <c r="CO156" s="165"/>
      <c r="CP156" s="165"/>
      <c r="CQ156" s="165"/>
    </row>
    <row r="157" spans="2:95" hidden="1" outlineLevel="1" x14ac:dyDescent="0.25">
      <c r="B157" s="156" t="str">
        <f>Table1[[#Headers],[Total Testes]]</f>
        <v>Total Testes</v>
      </c>
      <c r="C157" s="154" t="str">
        <f t="shared" ref="C157:C220" si="17">D157&amp;"_"&amp;E157</f>
        <v>ENTITY_TXNMY_ELGBL_CAPEX_W</v>
      </c>
      <c r="D157" s="153" t="s">
        <v>10</v>
      </c>
      <c r="E157" s="153" t="s">
        <v>1402</v>
      </c>
      <c r="G157" s="172">
        <f>INDEX(Table1[[Especificação]:[Total Testes]],MATCH(Sheet1!C157,Table1[CONCAT],0),MATCH(Sheet1!B157,Table1[[#Headers],[Especificação]:[Total Testes]],0))</f>
        <v>7.5</v>
      </c>
      <c r="H157" s="191">
        <f t="shared" ref="H157:H220" si="18">ROUND(G157/8,2)</f>
        <v>0.94</v>
      </c>
      <c r="I157" s="193"/>
      <c r="J157" s="170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  <c r="AA157" s="165"/>
      <c r="AB157" s="165"/>
      <c r="AC157" s="165"/>
      <c r="AD157" s="165"/>
      <c r="AE157" s="165"/>
      <c r="AF157" s="165"/>
      <c r="AG157" s="165"/>
      <c r="AH157" s="165"/>
      <c r="AI157" s="165"/>
      <c r="AJ157" s="165"/>
      <c r="AK157" s="165"/>
      <c r="AL157" s="165"/>
      <c r="AM157" s="165"/>
      <c r="AN157" s="165"/>
      <c r="AO157" s="165"/>
      <c r="AP157" s="165"/>
      <c r="AQ157" s="165"/>
      <c r="AR157" s="165"/>
      <c r="AS157" s="165"/>
      <c r="AT157" s="165"/>
      <c r="AU157" s="165"/>
      <c r="AV157" s="165"/>
      <c r="AW157" s="165"/>
      <c r="AX157" s="165"/>
      <c r="AY157" s="165"/>
      <c r="AZ157" s="165"/>
      <c r="BA157" s="165"/>
      <c r="BB157" s="170"/>
      <c r="BC157" s="165"/>
      <c r="BD157" s="165"/>
      <c r="BE157" s="165"/>
      <c r="BF157" s="165"/>
      <c r="BG157" s="165"/>
      <c r="BH157" s="165"/>
      <c r="BI157" s="165"/>
      <c r="BJ157" s="165"/>
      <c r="BK157" s="165"/>
      <c r="BL157" s="165"/>
      <c r="BM157" s="165"/>
      <c r="BN157" s="165"/>
      <c r="BO157" s="165"/>
      <c r="BP157" s="165"/>
      <c r="BQ157" s="165"/>
      <c r="BR157" s="165"/>
      <c r="BS157" s="165"/>
      <c r="BT157" s="165"/>
      <c r="BU157" s="165"/>
      <c r="BV157" s="165"/>
      <c r="BW157" s="165"/>
      <c r="BX157" s="165"/>
      <c r="BY157" s="165"/>
      <c r="BZ157" s="165"/>
      <c r="CA157" s="165"/>
      <c r="CB157" s="165"/>
      <c r="CC157" s="165"/>
      <c r="CD157" s="165"/>
      <c r="CE157" s="165"/>
      <c r="CF157" s="165"/>
      <c r="CG157" s="165"/>
      <c r="CH157" s="165"/>
      <c r="CI157" s="170"/>
      <c r="CJ157" s="165"/>
      <c r="CK157" s="165"/>
      <c r="CL157" s="165"/>
      <c r="CM157" s="165"/>
      <c r="CN157" s="170"/>
      <c r="CO157" s="165"/>
      <c r="CP157" s="165"/>
      <c r="CQ157" s="165"/>
    </row>
    <row r="158" spans="2:95" hidden="1" outlineLevel="1" x14ac:dyDescent="0.25">
      <c r="B158" s="156" t="str">
        <f>Table1[[#Headers],[Total Testes]]</f>
        <v>Total Testes</v>
      </c>
      <c r="C158" s="154" t="str">
        <f t="shared" si="17"/>
        <v>ENTITY_TXNMY_ELGBL_TRNVR_W</v>
      </c>
      <c r="D158" s="153" t="s">
        <v>10</v>
      </c>
      <c r="E158" s="153" t="s">
        <v>1405</v>
      </c>
      <c r="G158" s="172">
        <f>INDEX(Table1[[Especificação]:[Total Testes]],MATCH(Sheet1!C158,Table1[CONCAT],0),MATCH(Sheet1!B158,Table1[[#Headers],[Especificação]:[Total Testes]],0))</f>
        <v>7.5</v>
      </c>
      <c r="H158" s="191">
        <f t="shared" si="18"/>
        <v>0.94</v>
      </c>
      <c r="I158" s="193"/>
      <c r="J158" s="170"/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5"/>
      <c r="AJ158" s="165"/>
      <c r="AK158" s="165"/>
      <c r="AL158" s="165"/>
      <c r="AM158" s="165"/>
      <c r="AN158" s="165"/>
      <c r="AO158" s="165"/>
      <c r="AP158" s="165"/>
      <c r="AQ158" s="165"/>
      <c r="AR158" s="165"/>
      <c r="AS158" s="165"/>
      <c r="AT158" s="165"/>
      <c r="AU158" s="165"/>
      <c r="AV158" s="165"/>
      <c r="AW158" s="165"/>
      <c r="AX158" s="165"/>
      <c r="AY158" s="165"/>
      <c r="AZ158" s="165"/>
      <c r="BA158" s="165"/>
      <c r="BB158" s="170"/>
      <c r="BC158" s="165"/>
      <c r="BD158" s="165"/>
      <c r="BE158" s="165"/>
      <c r="BF158" s="165"/>
      <c r="BG158" s="165"/>
      <c r="BH158" s="165"/>
      <c r="BI158" s="165"/>
      <c r="BJ158" s="165"/>
      <c r="BK158" s="165"/>
      <c r="BL158" s="165"/>
      <c r="BM158" s="165"/>
      <c r="BN158" s="165"/>
      <c r="BO158" s="165"/>
      <c r="BP158" s="165"/>
      <c r="BQ158" s="165"/>
      <c r="BR158" s="165"/>
      <c r="BS158" s="165"/>
      <c r="BT158" s="165"/>
      <c r="BU158" s="165"/>
      <c r="BV158" s="165"/>
      <c r="BW158" s="165"/>
      <c r="BX158" s="165"/>
      <c r="BY158" s="165"/>
      <c r="BZ158" s="165"/>
      <c r="CA158" s="165"/>
      <c r="CB158" s="165"/>
      <c r="CC158" s="165"/>
      <c r="CD158" s="165"/>
      <c r="CE158" s="165"/>
      <c r="CF158" s="165"/>
      <c r="CG158" s="165"/>
      <c r="CH158" s="165"/>
      <c r="CI158" s="170"/>
      <c r="CJ158" s="165"/>
      <c r="CK158" s="165"/>
      <c r="CL158" s="165"/>
      <c r="CM158" s="165"/>
      <c r="CN158" s="170"/>
      <c r="CO158" s="165"/>
      <c r="CP158" s="165"/>
      <c r="CQ158" s="165"/>
    </row>
    <row r="159" spans="2:95" hidden="1" outlineLevel="1" x14ac:dyDescent="0.25">
      <c r="B159" s="156" t="str">
        <f>Table1[[#Headers],[Total Testes]]</f>
        <v>Total Testes</v>
      </c>
      <c r="C159" s="154" t="str">
        <f t="shared" si="17"/>
        <v>ENTITY_TXNMY_ELGBL_CAPEX_P</v>
      </c>
      <c r="D159" s="153" t="s">
        <v>10</v>
      </c>
      <c r="E159" s="153" t="s">
        <v>1408</v>
      </c>
      <c r="G159" s="172">
        <f>INDEX(Table1[[Especificação]:[Total Testes]],MATCH(Sheet1!C159,Table1[CONCAT],0),MATCH(Sheet1!B159,Table1[[#Headers],[Especificação]:[Total Testes]],0))</f>
        <v>2.5</v>
      </c>
      <c r="H159" s="191">
        <f t="shared" si="18"/>
        <v>0.31</v>
      </c>
      <c r="I159" s="193"/>
      <c r="J159" s="170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5"/>
      <c r="AJ159" s="165"/>
      <c r="AK159" s="165"/>
      <c r="AL159" s="165"/>
      <c r="AM159" s="165"/>
      <c r="AN159" s="165"/>
      <c r="AO159" s="165"/>
      <c r="AP159" s="165"/>
      <c r="AQ159" s="165"/>
      <c r="AR159" s="165"/>
      <c r="AS159" s="165"/>
      <c r="AT159" s="165"/>
      <c r="AU159" s="165"/>
      <c r="AV159" s="165"/>
      <c r="AW159" s="165"/>
      <c r="AX159" s="165"/>
      <c r="AY159" s="165"/>
      <c r="AZ159" s="165"/>
      <c r="BA159" s="165"/>
      <c r="BB159" s="170"/>
      <c r="BC159" s="165"/>
      <c r="BD159" s="165"/>
      <c r="BE159" s="165"/>
      <c r="BF159" s="165"/>
      <c r="BG159" s="165"/>
      <c r="BH159" s="165"/>
      <c r="BI159" s="165"/>
      <c r="BJ159" s="165"/>
      <c r="BK159" s="165"/>
      <c r="BL159" s="165"/>
      <c r="BM159" s="165"/>
      <c r="BN159" s="165"/>
      <c r="BO159" s="165"/>
      <c r="BP159" s="165"/>
      <c r="BQ159" s="165"/>
      <c r="BR159" s="165"/>
      <c r="BS159" s="165"/>
      <c r="BT159" s="165"/>
      <c r="BU159" s="165"/>
      <c r="BV159" s="165"/>
      <c r="BW159" s="165"/>
      <c r="BX159" s="165"/>
      <c r="BY159" s="165"/>
      <c r="BZ159" s="165"/>
      <c r="CA159" s="165"/>
      <c r="CB159" s="165"/>
      <c r="CC159" s="165"/>
      <c r="CD159" s="165"/>
      <c r="CE159" s="165"/>
      <c r="CF159" s="165"/>
      <c r="CG159" s="165"/>
      <c r="CH159" s="165"/>
      <c r="CI159" s="170"/>
      <c r="CJ159" s="165"/>
      <c r="CK159" s="165"/>
      <c r="CL159" s="165"/>
      <c r="CM159" s="165"/>
      <c r="CN159" s="170"/>
      <c r="CO159" s="165"/>
      <c r="CP159" s="165"/>
      <c r="CQ159" s="165"/>
    </row>
    <row r="160" spans="2:95" hidden="1" outlineLevel="1" x14ac:dyDescent="0.25">
      <c r="B160" s="156" t="str">
        <f>Table1[[#Headers],[Total Testes]]</f>
        <v>Total Testes</v>
      </c>
      <c r="C160" s="154" t="str">
        <f t="shared" si="17"/>
        <v>ENTITY_TXNMY_ELGBL_TRNVR_P</v>
      </c>
      <c r="D160" s="153" t="s">
        <v>10</v>
      </c>
      <c r="E160" s="153" t="s">
        <v>1411</v>
      </c>
      <c r="G160" s="172">
        <f>INDEX(Table1[[Especificação]:[Total Testes]],MATCH(Sheet1!C160,Table1[CONCAT],0),MATCH(Sheet1!B160,Table1[[#Headers],[Especificação]:[Total Testes]],0))</f>
        <v>2.5</v>
      </c>
      <c r="H160" s="191">
        <f t="shared" si="18"/>
        <v>0.31</v>
      </c>
      <c r="I160" s="193"/>
      <c r="J160" s="170"/>
      <c r="K160" s="165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  <c r="AA160" s="165"/>
      <c r="AB160" s="165"/>
      <c r="AC160" s="165"/>
      <c r="AD160" s="165"/>
      <c r="AE160" s="165"/>
      <c r="AF160" s="165"/>
      <c r="AG160" s="165"/>
      <c r="AH160" s="165"/>
      <c r="AI160" s="165"/>
      <c r="AJ160" s="165"/>
      <c r="AK160" s="165"/>
      <c r="AL160" s="165"/>
      <c r="AM160" s="165"/>
      <c r="AN160" s="165"/>
      <c r="AO160" s="165"/>
      <c r="AP160" s="165"/>
      <c r="AQ160" s="165"/>
      <c r="AR160" s="165"/>
      <c r="AS160" s="165"/>
      <c r="AT160" s="165"/>
      <c r="AU160" s="165"/>
      <c r="AV160" s="165"/>
      <c r="AW160" s="165"/>
      <c r="AX160" s="165"/>
      <c r="AY160" s="165"/>
      <c r="AZ160" s="165"/>
      <c r="BA160" s="165"/>
      <c r="BB160" s="170"/>
      <c r="BC160" s="165"/>
      <c r="BD160" s="165"/>
      <c r="BE160" s="165"/>
      <c r="BF160" s="165"/>
      <c r="BG160" s="165"/>
      <c r="BH160" s="165"/>
      <c r="BI160" s="165"/>
      <c r="BJ160" s="165"/>
      <c r="BK160" s="165"/>
      <c r="BL160" s="165"/>
      <c r="BM160" s="165"/>
      <c r="BN160" s="165"/>
      <c r="BO160" s="165"/>
      <c r="BP160" s="165"/>
      <c r="BQ160" s="165"/>
      <c r="BR160" s="165"/>
      <c r="BS160" s="165"/>
      <c r="BT160" s="165"/>
      <c r="BU160" s="165"/>
      <c r="BV160" s="165"/>
      <c r="BW160" s="165"/>
      <c r="BX160" s="165"/>
      <c r="BY160" s="165"/>
      <c r="BZ160" s="165"/>
      <c r="CA160" s="165"/>
      <c r="CB160" s="165"/>
      <c r="CC160" s="165"/>
      <c r="CD160" s="165"/>
      <c r="CE160" s="165"/>
      <c r="CF160" s="165"/>
      <c r="CG160" s="165"/>
      <c r="CH160" s="165"/>
      <c r="CI160" s="170"/>
      <c r="CJ160" s="165"/>
      <c r="CK160" s="165"/>
      <c r="CL160" s="165"/>
      <c r="CM160" s="165"/>
      <c r="CN160" s="170"/>
      <c r="CO160" s="165"/>
      <c r="CP160" s="165"/>
      <c r="CQ160" s="165"/>
    </row>
    <row r="161" spans="2:95" hidden="1" outlineLevel="1" x14ac:dyDescent="0.25">
      <c r="B161" s="156" t="str">
        <f>Table1[[#Headers],[Total Testes]]</f>
        <v>Total Testes</v>
      </c>
      <c r="C161" s="154" t="str">
        <f t="shared" si="17"/>
        <v>ENTITY_TXNMY_ELGBL_CAPEX_B</v>
      </c>
      <c r="D161" s="153" t="s">
        <v>10</v>
      </c>
      <c r="E161" s="153" t="s">
        <v>1414</v>
      </c>
      <c r="G161" s="172">
        <f>INDEX(Table1[[Especificação]:[Total Testes]],MATCH(Sheet1!C161,Table1[CONCAT],0),MATCH(Sheet1!B161,Table1[[#Headers],[Especificação]:[Total Testes]],0))</f>
        <v>2.5</v>
      </c>
      <c r="H161" s="191">
        <f t="shared" si="18"/>
        <v>0.31</v>
      </c>
      <c r="I161" s="193"/>
      <c r="J161" s="170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  <c r="AA161" s="165"/>
      <c r="AB161" s="165"/>
      <c r="AC161" s="165"/>
      <c r="AD161" s="165"/>
      <c r="AE161" s="165"/>
      <c r="AF161" s="165"/>
      <c r="AG161" s="165"/>
      <c r="AH161" s="165"/>
      <c r="AI161" s="165"/>
      <c r="AJ161" s="165"/>
      <c r="AK161" s="165"/>
      <c r="AL161" s="165"/>
      <c r="AM161" s="165"/>
      <c r="AN161" s="165"/>
      <c r="AO161" s="165"/>
      <c r="AP161" s="165"/>
      <c r="AQ161" s="165"/>
      <c r="AR161" s="165"/>
      <c r="AS161" s="165"/>
      <c r="AT161" s="165"/>
      <c r="AU161" s="165"/>
      <c r="AV161" s="165"/>
      <c r="AW161" s="165"/>
      <c r="AX161" s="165"/>
      <c r="AY161" s="165"/>
      <c r="AZ161" s="165"/>
      <c r="BA161" s="165"/>
      <c r="BB161" s="170"/>
      <c r="BC161" s="165"/>
      <c r="BD161" s="165"/>
      <c r="BE161" s="165"/>
      <c r="BF161" s="165"/>
      <c r="BG161" s="165"/>
      <c r="BH161" s="165"/>
      <c r="BI161" s="165"/>
      <c r="BJ161" s="165"/>
      <c r="BK161" s="165"/>
      <c r="BL161" s="165"/>
      <c r="BM161" s="165"/>
      <c r="BN161" s="165"/>
      <c r="BO161" s="165"/>
      <c r="BP161" s="165"/>
      <c r="BQ161" s="165"/>
      <c r="BR161" s="165"/>
      <c r="BS161" s="165"/>
      <c r="BT161" s="165"/>
      <c r="BU161" s="165"/>
      <c r="BV161" s="165"/>
      <c r="BW161" s="165"/>
      <c r="BX161" s="165"/>
      <c r="BY161" s="165"/>
      <c r="BZ161" s="165"/>
      <c r="CA161" s="165"/>
      <c r="CB161" s="165"/>
      <c r="CC161" s="165"/>
      <c r="CD161" s="165"/>
      <c r="CE161" s="165"/>
      <c r="CF161" s="165"/>
      <c r="CG161" s="165"/>
      <c r="CH161" s="165"/>
      <c r="CI161" s="170"/>
      <c r="CJ161" s="165"/>
      <c r="CK161" s="165"/>
      <c r="CL161" s="165"/>
      <c r="CM161" s="165"/>
      <c r="CN161" s="170"/>
      <c r="CO161" s="165"/>
      <c r="CP161" s="165"/>
      <c r="CQ161" s="165"/>
    </row>
    <row r="162" spans="2:95" hidden="1" outlineLevel="1" x14ac:dyDescent="0.25">
      <c r="B162" s="156" t="str">
        <f>Table1[[#Headers],[Total Testes]]</f>
        <v>Total Testes</v>
      </c>
      <c r="C162" s="154" t="str">
        <f t="shared" si="17"/>
        <v>ENTITY_TXNMY_ELGBL_TRNVR_B</v>
      </c>
      <c r="D162" s="153" t="s">
        <v>10</v>
      </c>
      <c r="E162" s="153" t="s">
        <v>1417</v>
      </c>
      <c r="G162" s="172">
        <f>INDEX(Table1[[Especificação]:[Total Testes]],MATCH(Sheet1!C162,Table1[CONCAT],0),MATCH(Sheet1!B162,Table1[[#Headers],[Especificação]:[Total Testes]],0))</f>
        <v>2.5</v>
      </c>
      <c r="H162" s="191">
        <f t="shared" si="18"/>
        <v>0.31</v>
      </c>
      <c r="I162" s="193"/>
      <c r="J162" s="170"/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  <c r="AD162" s="165"/>
      <c r="AE162" s="165"/>
      <c r="AF162" s="165"/>
      <c r="AG162" s="165"/>
      <c r="AH162" s="165"/>
      <c r="AI162" s="165"/>
      <c r="AJ162" s="165"/>
      <c r="AK162" s="165"/>
      <c r="AL162" s="165"/>
      <c r="AM162" s="165"/>
      <c r="AN162" s="165"/>
      <c r="AO162" s="165"/>
      <c r="AP162" s="165"/>
      <c r="AQ162" s="165"/>
      <c r="AR162" s="165"/>
      <c r="AS162" s="165"/>
      <c r="AT162" s="165"/>
      <c r="AU162" s="165"/>
      <c r="AV162" s="165"/>
      <c r="AW162" s="165"/>
      <c r="AX162" s="165"/>
      <c r="AY162" s="165"/>
      <c r="AZ162" s="165"/>
      <c r="BA162" s="165"/>
      <c r="BB162" s="170"/>
      <c r="BC162" s="165"/>
      <c r="BD162" s="165"/>
      <c r="BE162" s="165"/>
      <c r="BF162" s="165"/>
      <c r="BG162" s="165"/>
      <c r="BH162" s="165"/>
      <c r="BI162" s="165"/>
      <c r="BJ162" s="165"/>
      <c r="BK162" s="165"/>
      <c r="BL162" s="165"/>
      <c r="BM162" s="165"/>
      <c r="BN162" s="165"/>
      <c r="BO162" s="165"/>
      <c r="BP162" s="165"/>
      <c r="BQ162" s="165"/>
      <c r="BR162" s="165"/>
      <c r="BS162" s="165"/>
      <c r="BT162" s="165"/>
      <c r="BU162" s="165"/>
      <c r="BV162" s="165"/>
      <c r="BW162" s="165"/>
      <c r="BX162" s="165"/>
      <c r="BY162" s="165"/>
      <c r="BZ162" s="165"/>
      <c r="CA162" s="165"/>
      <c r="CB162" s="165"/>
      <c r="CC162" s="165"/>
      <c r="CD162" s="165"/>
      <c r="CE162" s="165"/>
      <c r="CF162" s="165"/>
      <c r="CG162" s="165"/>
      <c r="CH162" s="165"/>
      <c r="CI162" s="170"/>
      <c r="CJ162" s="165"/>
      <c r="CK162" s="165"/>
      <c r="CL162" s="165"/>
      <c r="CM162" s="165"/>
      <c r="CN162" s="170"/>
      <c r="CO162" s="165"/>
      <c r="CP162" s="165"/>
      <c r="CQ162" s="165"/>
    </row>
    <row r="163" spans="2:95" hidden="1" outlineLevel="1" x14ac:dyDescent="0.25">
      <c r="B163" s="156" t="str">
        <f>Table1[[#Headers],[Total Testes]]</f>
        <v>Total Testes</v>
      </c>
      <c r="C163" s="154" t="str">
        <f t="shared" si="17"/>
        <v>ENTITY_TXNMY_ELGBL_CAPEX_CE</v>
      </c>
      <c r="D163" s="153" t="s">
        <v>10</v>
      </c>
      <c r="E163" s="153" t="s">
        <v>1420</v>
      </c>
      <c r="G163" s="172">
        <f>INDEX(Table1[[Especificação]:[Total Testes]],MATCH(Sheet1!C163,Table1[CONCAT],0),MATCH(Sheet1!B163,Table1[[#Headers],[Especificação]:[Total Testes]],0))</f>
        <v>2.5</v>
      </c>
      <c r="H163" s="191">
        <f t="shared" si="18"/>
        <v>0.31</v>
      </c>
      <c r="I163" s="193"/>
      <c r="J163" s="170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  <c r="AA163" s="165"/>
      <c r="AB163" s="165"/>
      <c r="AC163" s="165"/>
      <c r="AD163" s="165"/>
      <c r="AE163" s="165"/>
      <c r="AF163" s="165"/>
      <c r="AG163" s="165"/>
      <c r="AH163" s="165"/>
      <c r="AI163" s="165"/>
      <c r="AJ163" s="165"/>
      <c r="AK163" s="165"/>
      <c r="AL163" s="165"/>
      <c r="AM163" s="165"/>
      <c r="AN163" s="165"/>
      <c r="AO163" s="165"/>
      <c r="AP163" s="165"/>
      <c r="AQ163" s="165"/>
      <c r="AR163" s="165"/>
      <c r="AS163" s="165"/>
      <c r="AT163" s="165"/>
      <c r="AU163" s="165"/>
      <c r="AV163" s="165"/>
      <c r="AW163" s="165"/>
      <c r="AX163" s="165"/>
      <c r="AY163" s="165"/>
      <c r="AZ163" s="165"/>
      <c r="BA163" s="165"/>
      <c r="BB163" s="170"/>
      <c r="BC163" s="165"/>
      <c r="BD163" s="165"/>
      <c r="BE163" s="165"/>
      <c r="BF163" s="165"/>
      <c r="BG163" s="165"/>
      <c r="BH163" s="165"/>
      <c r="BI163" s="165"/>
      <c r="BJ163" s="165"/>
      <c r="BK163" s="165"/>
      <c r="BL163" s="165"/>
      <c r="BM163" s="165"/>
      <c r="BN163" s="165"/>
      <c r="BO163" s="165"/>
      <c r="BP163" s="165"/>
      <c r="BQ163" s="165"/>
      <c r="BR163" s="165"/>
      <c r="BS163" s="165"/>
      <c r="BT163" s="165"/>
      <c r="BU163" s="165"/>
      <c r="BV163" s="165"/>
      <c r="BW163" s="165"/>
      <c r="BX163" s="165"/>
      <c r="BY163" s="165"/>
      <c r="BZ163" s="165"/>
      <c r="CA163" s="165"/>
      <c r="CB163" s="165"/>
      <c r="CC163" s="165"/>
      <c r="CD163" s="165"/>
      <c r="CE163" s="165"/>
      <c r="CF163" s="165"/>
      <c r="CG163" s="165"/>
      <c r="CH163" s="165"/>
      <c r="CI163" s="170"/>
      <c r="CJ163" s="165"/>
      <c r="CK163" s="165"/>
      <c r="CL163" s="165"/>
      <c r="CM163" s="165"/>
      <c r="CN163" s="170"/>
      <c r="CO163" s="165"/>
      <c r="CP163" s="165"/>
      <c r="CQ163" s="165"/>
    </row>
    <row r="164" spans="2:95" hidden="1" outlineLevel="1" x14ac:dyDescent="0.25">
      <c r="B164" s="156" t="str">
        <f>Table1[[#Headers],[Total Testes]]</f>
        <v>Total Testes</v>
      </c>
      <c r="C164" s="154" t="str">
        <f t="shared" si="17"/>
        <v>ENTITY_TXNMY_ELGBL_TRNVR_CE</v>
      </c>
      <c r="D164" s="153" t="s">
        <v>10</v>
      </c>
      <c r="E164" s="155" t="s">
        <v>1423</v>
      </c>
      <c r="G164" s="172">
        <f>INDEX(Table1[[Especificação]:[Total Testes]],MATCH(Sheet1!C164,Table1[CONCAT],0),MATCH(Sheet1!B164,Table1[[#Headers],[Especificação]:[Total Testes]],0))</f>
        <v>2.5</v>
      </c>
      <c r="H164" s="191">
        <f t="shared" si="18"/>
        <v>0.31</v>
      </c>
      <c r="I164" s="193"/>
      <c r="J164" s="170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  <c r="AA164" s="165"/>
      <c r="AB164" s="165"/>
      <c r="AC164" s="165"/>
      <c r="AD164" s="165"/>
      <c r="AE164" s="165"/>
      <c r="AF164" s="165"/>
      <c r="AG164" s="165"/>
      <c r="AH164" s="165"/>
      <c r="AI164" s="165"/>
      <c r="AJ164" s="165"/>
      <c r="AK164" s="165"/>
      <c r="AL164" s="165"/>
      <c r="AM164" s="165"/>
      <c r="AN164" s="165"/>
      <c r="AO164" s="165"/>
      <c r="AP164" s="165"/>
      <c r="AQ164" s="165"/>
      <c r="AR164" s="165"/>
      <c r="AS164" s="165"/>
      <c r="AT164" s="165"/>
      <c r="AU164" s="165"/>
      <c r="AV164" s="165"/>
      <c r="AW164" s="165"/>
      <c r="AX164" s="165"/>
      <c r="AY164" s="165"/>
      <c r="AZ164" s="165"/>
      <c r="BA164" s="165"/>
      <c r="BB164" s="170"/>
      <c r="BC164" s="165"/>
      <c r="BD164" s="165"/>
      <c r="BE164" s="165"/>
      <c r="BF164" s="165"/>
      <c r="BG164" s="165"/>
      <c r="BH164" s="165"/>
      <c r="BI164" s="165"/>
      <c r="BJ164" s="165"/>
      <c r="BK164" s="165"/>
      <c r="BL164" s="165"/>
      <c r="BM164" s="165"/>
      <c r="BN164" s="165"/>
      <c r="BO164" s="165"/>
      <c r="BP164" s="165"/>
      <c r="BQ164" s="165"/>
      <c r="BR164" s="165"/>
      <c r="BS164" s="165"/>
      <c r="BT164" s="165"/>
      <c r="BU164" s="165"/>
      <c r="BV164" s="165"/>
      <c r="BW164" s="165"/>
      <c r="BX164" s="165"/>
      <c r="BY164" s="165"/>
      <c r="BZ164" s="165"/>
      <c r="CA164" s="165"/>
      <c r="CB164" s="165"/>
      <c r="CC164" s="165"/>
      <c r="CD164" s="165"/>
      <c r="CE164" s="165"/>
      <c r="CF164" s="165"/>
      <c r="CG164" s="165"/>
      <c r="CH164" s="165"/>
      <c r="CI164" s="170"/>
      <c r="CJ164" s="165"/>
      <c r="CK164" s="165"/>
      <c r="CL164" s="165"/>
      <c r="CM164" s="165"/>
      <c r="CN164" s="170"/>
      <c r="CO164" s="165"/>
      <c r="CP164" s="165"/>
      <c r="CQ164" s="165"/>
    </row>
    <row r="165" spans="2:95" hidden="1" outlineLevel="1" x14ac:dyDescent="0.25">
      <c r="B165" s="156" t="str">
        <f>Table1[[#Headers],[Total Testes]]</f>
        <v>Total Testes</v>
      </c>
      <c r="C165" s="154" t="str">
        <f t="shared" si="17"/>
        <v>ENTITY_PURE_CAPEX_P</v>
      </c>
      <c r="D165" s="153" t="s">
        <v>10</v>
      </c>
      <c r="E165" s="153" t="s">
        <v>1426</v>
      </c>
      <c r="G165" s="172">
        <f>INDEX(Table1[[Especificação]:[Total Testes]],MATCH(Sheet1!C165,Table1[CONCAT],0),MATCH(Sheet1!B165,Table1[[#Headers],[Especificação]:[Total Testes]],0))</f>
        <v>2.5</v>
      </c>
      <c r="H165" s="191">
        <f t="shared" si="18"/>
        <v>0.31</v>
      </c>
      <c r="I165" s="193"/>
      <c r="J165" s="170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  <c r="AA165" s="165"/>
      <c r="AB165" s="165"/>
      <c r="AC165" s="165"/>
      <c r="AD165" s="165"/>
      <c r="AE165" s="165"/>
      <c r="AF165" s="165"/>
      <c r="AG165" s="165"/>
      <c r="AH165" s="165"/>
      <c r="AI165" s="165"/>
      <c r="AJ165" s="165"/>
      <c r="AK165" s="165"/>
      <c r="AL165" s="165"/>
      <c r="AM165" s="165"/>
      <c r="AN165" s="165"/>
      <c r="AO165" s="165"/>
      <c r="AP165" s="165"/>
      <c r="AQ165" s="165"/>
      <c r="AR165" s="165"/>
      <c r="AS165" s="165"/>
      <c r="AT165" s="165"/>
      <c r="AU165" s="165"/>
      <c r="AV165" s="165"/>
      <c r="AW165" s="165"/>
      <c r="AX165" s="165"/>
      <c r="AY165" s="165"/>
      <c r="AZ165" s="165"/>
      <c r="BA165" s="165"/>
      <c r="BB165" s="170"/>
      <c r="BC165" s="165"/>
      <c r="BD165" s="165"/>
      <c r="BE165" s="165"/>
      <c r="BF165" s="165"/>
      <c r="BG165" s="165"/>
      <c r="BH165" s="165"/>
      <c r="BI165" s="165"/>
      <c r="BJ165" s="165"/>
      <c r="BK165" s="165"/>
      <c r="BL165" s="165"/>
      <c r="BM165" s="165"/>
      <c r="BN165" s="165"/>
      <c r="BO165" s="165"/>
      <c r="BP165" s="165"/>
      <c r="BQ165" s="165"/>
      <c r="BR165" s="165"/>
      <c r="BS165" s="165"/>
      <c r="BT165" s="165"/>
      <c r="BU165" s="165"/>
      <c r="BV165" s="165"/>
      <c r="BW165" s="165"/>
      <c r="BX165" s="165"/>
      <c r="BY165" s="165"/>
      <c r="BZ165" s="165"/>
      <c r="CA165" s="165"/>
      <c r="CB165" s="165"/>
      <c r="CC165" s="165"/>
      <c r="CD165" s="165"/>
      <c r="CE165" s="165"/>
      <c r="CF165" s="165"/>
      <c r="CG165" s="165"/>
      <c r="CH165" s="165"/>
      <c r="CI165" s="170"/>
      <c r="CJ165" s="165"/>
      <c r="CK165" s="165"/>
      <c r="CL165" s="165"/>
      <c r="CM165" s="165"/>
      <c r="CN165" s="170"/>
      <c r="CO165" s="165"/>
      <c r="CP165" s="165"/>
      <c r="CQ165" s="165"/>
    </row>
    <row r="166" spans="2:95" hidden="1" outlineLevel="1" x14ac:dyDescent="0.25">
      <c r="B166" s="156" t="str">
        <f>Table1[[#Headers],[Total Testes]]</f>
        <v>Total Testes</v>
      </c>
      <c r="C166" s="154" t="str">
        <f t="shared" si="17"/>
        <v>ENTITY_PURE_TRNVR_P</v>
      </c>
      <c r="D166" s="153" t="s">
        <v>10</v>
      </c>
      <c r="E166" s="153" t="s">
        <v>1429</v>
      </c>
      <c r="G166" s="172">
        <f>INDEX(Table1[[Especificação]:[Total Testes]],MATCH(Sheet1!C166,Table1[CONCAT],0),MATCH(Sheet1!B166,Table1[[#Headers],[Especificação]:[Total Testes]],0))</f>
        <v>2.5</v>
      </c>
      <c r="H166" s="191">
        <f t="shared" si="18"/>
        <v>0.31</v>
      </c>
      <c r="I166" s="193"/>
      <c r="J166" s="170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  <c r="AA166" s="165"/>
      <c r="AB166" s="165"/>
      <c r="AC166" s="165"/>
      <c r="AD166" s="165"/>
      <c r="AE166" s="165"/>
      <c r="AF166" s="165"/>
      <c r="AG166" s="165"/>
      <c r="AH166" s="165"/>
      <c r="AI166" s="165"/>
      <c r="AJ166" s="165"/>
      <c r="AK166" s="165"/>
      <c r="AL166" s="165"/>
      <c r="AM166" s="165"/>
      <c r="AN166" s="165"/>
      <c r="AO166" s="165"/>
      <c r="AP166" s="165"/>
      <c r="AQ166" s="165"/>
      <c r="AR166" s="165"/>
      <c r="AS166" s="165"/>
      <c r="AT166" s="165"/>
      <c r="AU166" s="165"/>
      <c r="AV166" s="165"/>
      <c r="AW166" s="165"/>
      <c r="AX166" s="165"/>
      <c r="AY166" s="165"/>
      <c r="AZ166" s="165"/>
      <c r="BA166" s="165"/>
      <c r="BB166" s="170"/>
      <c r="BC166" s="165"/>
      <c r="BD166" s="165"/>
      <c r="BE166" s="165"/>
      <c r="BF166" s="165"/>
      <c r="BG166" s="165"/>
      <c r="BH166" s="165"/>
      <c r="BI166" s="165"/>
      <c r="BJ166" s="165"/>
      <c r="BK166" s="165"/>
      <c r="BL166" s="165"/>
      <c r="BM166" s="165"/>
      <c r="BN166" s="165"/>
      <c r="BO166" s="165"/>
      <c r="BP166" s="165"/>
      <c r="BQ166" s="165"/>
      <c r="BR166" s="165"/>
      <c r="BS166" s="165"/>
      <c r="BT166" s="165"/>
      <c r="BU166" s="165"/>
      <c r="BV166" s="165"/>
      <c r="BW166" s="165"/>
      <c r="BX166" s="165"/>
      <c r="BY166" s="165"/>
      <c r="BZ166" s="165"/>
      <c r="CA166" s="165"/>
      <c r="CB166" s="165"/>
      <c r="CC166" s="165"/>
      <c r="CD166" s="165"/>
      <c r="CE166" s="165"/>
      <c r="CF166" s="165"/>
      <c r="CG166" s="165"/>
      <c r="CH166" s="165"/>
      <c r="CI166" s="170"/>
      <c r="CJ166" s="165"/>
      <c r="CK166" s="165"/>
      <c r="CL166" s="165"/>
      <c r="CM166" s="165"/>
      <c r="CN166" s="170"/>
      <c r="CO166" s="165"/>
      <c r="CP166" s="165"/>
      <c r="CQ166" s="165"/>
    </row>
    <row r="167" spans="2:95" hidden="1" outlineLevel="1" x14ac:dyDescent="0.25">
      <c r="B167" s="156" t="str">
        <f>Table1[[#Headers],[Total Testes]]</f>
        <v>Total Testes</v>
      </c>
      <c r="C167" s="154" t="str">
        <f t="shared" si="17"/>
        <v>ENTITY_PURE_CAPEX_B</v>
      </c>
      <c r="D167" s="153" t="s">
        <v>10</v>
      </c>
      <c r="E167" s="153" t="s">
        <v>1432</v>
      </c>
      <c r="G167" s="172">
        <f>INDEX(Table1[[Especificação]:[Total Testes]],MATCH(Sheet1!C167,Table1[CONCAT],0),MATCH(Sheet1!B167,Table1[[#Headers],[Especificação]:[Total Testes]],0))</f>
        <v>2.5</v>
      </c>
      <c r="H167" s="191">
        <f t="shared" si="18"/>
        <v>0.31</v>
      </c>
      <c r="I167" s="193"/>
      <c r="J167" s="170"/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  <c r="AA167" s="165"/>
      <c r="AB167" s="165"/>
      <c r="AC167" s="165"/>
      <c r="AD167" s="165"/>
      <c r="AE167" s="165"/>
      <c r="AF167" s="165"/>
      <c r="AG167" s="165"/>
      <c r="AH167" s="165"/>
      <c r="AI167" s="165"/>
      <c r="AJ167" s="165"/>
      <c r="AK167" s="165"/>
      <c r="AL167" s="165"/>
      <c r="AM167" s="165"/>
      <c r="AN167" s="165"/>
      <c r="AO167" s="165"/>
      <c r="AP167" s="165"/>
      <c r="AQ167" s="165"/>
      <c r="AR167" s="165"/>
      <c r="AS167" s="165"/>
      <c r="AT167" s="165"/>
      <c r="AU167" s="165"/>
      <c r="AV167" s="165"/>
      <c r="AW167" s="165"/>
      <c r="AX167" s="165"/>
      <c r="AY167" s="165"/>
      <c r="AZ167" s="165"/>
      <c r="BA167" s="165"/>
      <c r="BB167" s="170"/>
      <c r="BC167" s="165"/>
      <c r="BD167" s="165"/>
      <c r="BE167" s="165"/>
      <c r="BF167" s="165"/>
      <c r="BG167" s="165"/>
      <c r="BH167" s="165"/>
      <c r="BI167" s="165"/>
      <c r="BJ167" s="165"/>
      <c r="BK167" s="165"/>
      <c r="BL167" s="165"/>
      <c r="BM167" s="165"/>
      <c r="BN167" s="165"/>
      <c r="BO167" s="165"/>
      <c r="BP167" s="165"/>
      <c r="BQ167" s="165"/>
      <c r="BR167" s="165"/>
      <c r="BS167" s="165"/>
      <c r="BT167" s="165"/>
      <c r="BU167" s="165"/>
      <c r="BV167" s="165"/>
      <c r="BW167" s="165"/>
      <c r="BX167" s="165"/>
      <c r="BY167" s="165"/>
      <c r="BZ167" s="165"/>
      <c r="CA167" s="165"/>
      <c r="CB167" s="165"/>
      <c r="CC167" s="165"/>
      <c r="CD167" s="165"/>
      <c r="CE167" s="165"/>
      <c r="CF167" s="165"/>
      <c r="CG167" s="165"/>
      <c r="CH167" s="165"/>
      <c r="CI167" s="170"/>
      <c r="CJ167" s="165"/>
      <c r="CK167" s="165"/>
      <c r="CL167" s="165"/>
      <c r="CM167" s="165"/>
      <c r="CN167" s="170"/>
      <c r="CO167" s="165"/>
      <c r="CP167" s="165"/>
      <c r="CQ167" s="165"/>
    </row>
    <row r="168" spans="2:95" hidden="1" outlineLevel="1" x14ac:dyDescent="0.25">
      <c r="B168" s="156" t="str">
        <f>Table1[[#Headers],[Total Testes]]</f>
        <v>Total Testes</v>
      </c>
      <c r="C168" s="154" t="str">
        <f t="shared" si="17"/>
        <v>ENTITY_PURE_TRNVR_B</v>
      </c>
      <c r="D168" s="153" t="s">
        <v>10</v>
      </c>
      <c r="E168" s="153" t="s">
        <v>1435</v>
      </c>
      <c r="G168" s="172">
        <f>INDEX(Table1[[Especificação]:[Total Testes]],MATCH(Sheet1!C168,Table1[CONCAT],0),MATCH(Sheet1!B168,Table1[[#Headers],[Especificação]:[Total Testes]],0))</f>
        <v>2.5</v>
      </c>
      <c r="H168" s="191">
        <f t="shared" si="18"/>
        <v>0.31</v>
      </c>
      <c r="I168" s="193"/>
      <c r="J168" s="170"/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  <c r="AA168" s="165"/>
      <c r="AB168" s="165"/>
      <c r="AC168" s="165"/>
      <c r="AD168" s="165"/>
      <c r="AE168" s="165"/>
      <c r="AF168" s="165"/>
      <c r="AG168" s="165"/>
      <c r="AH168" s="165"/>
      <c r="AI168" s="165"/>
      <c r="AJ168" s="165"/>
      <c r="AK168" s="165"/>
      <c r="AL168" s="165"/>
      <c r="AM168" s="165"/>
      <c r="AN168" s="165"/>
      <c r="AO168" s="165"/>
      <c r="AP168" s="165"/>
      <c r="AQ168" s="165"/>
      <c r="AR168" s="165"/>
      <c r="AS168" s="165"/>
      <c r="AT168" s="165"/>
      <c r="AU168" s="165"/>
      <c r="AV168" s="165"/>
      <c r="AW168" s="165"/>
      <c r="AX168" s="165"/>
      <c r="AY168" s="165"/>
      <c r="AZ168" s="165"/>
      <c r="BA168" s="165"/>
      <c r="BB168" s="170"/>
      <c r="BC168" s="165"/>
      <c r="BD168" s="165"/>
      <c r="BE168" s="165"/>
      <c r="BF168" s="165"/>
      <c r="BG168" s="165"/>
      <c r="BH168" s="165"/>
      <c r="BI168" s="165"/>
      <c r="BJ168" s="165"/>
      <c r="BK168" s="165"/>
      <c r="BL168" s="165"/>
      <c r="BM168" s="165"/>
      <c r="BN168" s="165"/>
      <c r="BO168" s="165"/>
      <c r="BP168" s="165"/>
      <c r="BQ168" s="165"/>
      <c r="BR168" s="165"/>
      <c r="BS168" s="165"/>
      <c r="BT168" s="165"/>
      <c r="BU168" s="165"/>
      <c r="BV168" s="165"/>
      <c r="BW168" s="165"/>
      <c r="BX168" s="165"/>
      <c r="BY168" s="165"/>
      <c r="BZ168" s="165"/>
      <c r="CA168" s="165"/>
      <c r="CB168" s="165"/>
      <c r="CC168" s="165"/>
      <c r="CD168" s="165"/>
      <c r="CE168" s="165"/>
      <c r="CF168" s="165"/>
      <c r="CG168" s="165"/>
      <c r="CH168" s="165"/>
      <c r="CI168" s="170"/>
      <c r="CJ168" s="165"/>
      <c r="CK168" s="165"/>
      <c r="CL168" s="165"/>
      <c r="CM168" s="165"/>
      <c r="CN168" s="170"/>
      <c r="CO168" s="165"/>
      <c r="CP168" s="165"/>
      <c r="CQ168" s="165"/>
    </row>
    <row r="169" spans="2:95" hidden="1" outlineLevel="1" x14ac:dyDescent="0.25">
      <c r="B169" s="156" t="str">
        <f>Table1[[#Headers],[Total Testes]]</f>
        <v>Total Testes</v>
      </c>
      <c r="C169" s="154" t="str">
        <f t="shared" si="17"/>
        <v>ENTITY_PURE_CAPEX_W</v>
      </c>
      <c r="D169" s="153" t="s">
        <v>10</v>
      </c>
      <c r="E169" s="153" t="s">
        <v>1438</v>
      </c>
      <c r="G169" s="172">
        <f>INDEX(Table1[[Especificação]:[Total Testes]],MATCH(Sheet1!C169,Table1[CONCAT],0),MATCH(Sheet1!B169,Table1[[#Headers],[Especificação]:[Total Testes]],0))</f>
        <v>2.5</v>
      </c>
      <c r="H169" s="191">
        <f t="shared" si="18"/>
        <v>0.31</v>
      </c>
      <c r="I169" s="193"/>
      <c r="J169" s="170"/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  <c r="AA169" s="165"/>
      <c r="AB169" s="165"/>
      <c r="AC169" s="165"/>
      <c r="AD169" s="165"/>
      <c r="AE169" s="165"/>
      <c r="AF169" s="165"/>
      <c r="AG169" s="165"/>
      <c r="AH169" s="165"/>
      <c r="AI169" s="165"/>
      <c r="AJ169" s="165"/>
      <c r="AK169" s="165"/>
      <c r="AL169" s="165"/>
      <c r="AM169" s="165"/>
      <c r="AN169" s="165"/>
      <c r="AO169" s="165"/>
      <c r="AP169" s="165"/>
      <c r="AQ169" s="165"/>
      <c r="AR169" s="165"/>
      <c r="AS169" s="165"/>
      <c r="AT169" s="165"/>
      <c r="AU169" s="165"/>
      <c r="AV169" s="165"/>
      <c r="AW169" s="165"/>
      <c r="AX169" s="165"/>
      <c r="AY169" s="165"/>
      <c r="AZ169" s="165"/>
      <c r="BA169" s="165"/>
      <c r="BB169" s="170"/>
      <c r="BC169" s="165"/>
      <c r="BD169" s="165"/>
      <c r="BE169" s="165"/>
      <c r="BF169" s="165"/>
      <c r="BG169" s="165"/>
      <c r="BH169" s="165"/>
      <c r="BI169" s="165"/>
      <c r="BJ169" s="165"/>
      <c r="BK169" s="165"/>
      <c r="BL169" s="165"/>
      <c r="BM169" s="165"/>
      <c r="BN169" s="165"/>
      <c r="BO169" s="165"/>
      <c r="BP169" s="165"/>
      <c r="BQ169" s="165"/>
      <c r="BR169" s="165"/>
      <c r="BS169" s="165"/>
      <c r="BT169" s="165"/>
      <c r="BU169" s="165"/>
      <c r="BV169" s="165"/>
      <c r="BW169" s="165"/>
      <c r="BX169" s="165"/>
      <c r="BY169" s="165"/>
      <c r="BZ169" s="165"/>
      <c r="CA169" s="165"/>
      <c r="CB169" s="165"/>
      <c r="CC169" s="165"/>
      <c r="CD169" s="165"/>
      <c r="CE169" s="165"/>
      <c r="CF169" s="165"/>
      <c r="CG169" s="165"/>
      <c r="CH169" s="165"/>
      <c r="CI169" s="170"/>
      <c r="CJ169" s="165"/>
      <c r="CK169" s="165"/>
      <c r="CL169" s="165"/>
      <c r="CM169" s="165"/>
      <c r="CN169" s="170"/>
      <c r="CO169" s="165"/>
      <c r="CP169" s="165"/>
      <c r="CQ169" s="165"/>
    </row>
    <row r="170" spans="2:95" hidden="1" outlineLevel="1" x14ac:dyDescent="0.25">
      <c r="B170" s="156" t="str">
        <f>Table1[[#Headers],[Total Testes]]</f>
        <v>Total Testes</v>
      </c>
      <c r="C170" s="154" t="str">
        <f t="shared" si="17"/>
        <v>ENTITY_PURE_TRNVR_W</v>
      </c>
      <c r="D170" s="153" t="s">
        <v>10</v>
      </c>
      <c r="E170" s="153" t="s">
        <v>1441</v>
      </c>
      <c r="G170" s="172">
        <f>INDEX(Table1[[Especificação]:[Total Testes]],MATCH(Sheet1!C170,Table1[CONCAT],0),MATCH(Sheet1!B170,Table1[[#Headers],[Especificação]:[Total Testes]],0))</f>
        <v>2.5</v>
      </c>
      <c r="H170" s="191">
        <f t="shared" si="18"/>
        <v>0.31</v>
      </c>
      <c r="I170" s="193"/>
      <c r="J170" s="170"/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  <c r="AA170" s="165"/>
      <c r="AB170" s="165"/>
      <c r="AC170" s="165"/>
      <c r="AD170" s="165"/>
      <c r="AE170" s="165"/>
      <c r="AF170" s="165"/>
      <c r="AG170" s="165"/>
      <c r="AH170" s="165"/>
      <c r="AI170" s="165"/>
      <c r="AJ170" s="165"/>
      <c r="AK170" s="165"/>
      <c r="AL170" s="165"/>
      <c r="AM170" s="165"/>
      <c r="AN170" s="165"/>
      <c r="AO170" s="165"/>
      <c r="AP170" s="165"/>
      <c r="AQ170" s="165"/>
      <c r="AR170" s="165"/>
      <c r="AS170" s="165"/>
      <c r="AT170" s="165"/>
      <c r="AU170" s="165"/>
      <c r="AV170" s="165"/>
      <c r="AW170" s="165"/>
      <c r="AX170" s="165"/>
      <c r="AY170" s="165"/>
      <c r="AZ170" s="165"/>
      <c r="BA170" s="165"/>
      <c r="BB170" s="170"/>
      <c r="BC170" s="165"/>
      <c r="BD170" s="165"/>
      <c r="BE170" s="165"/>
      <c r="BF170" s="165"/>
      <c r="BG170" s="165"/>
      <c r="BH170" s="165"/>
      <c r="BI170" s="165"/>
      <c r="BJ170" s="165"/>
      <c r="BK170" s="165"/>
      <c r="BL170" s="165"/>
      <c r="BM170" s="165"/>
      <c r="BN170" s="165"/>
      <c r="BO170" s="165"/>
      <c r="BP170" s="165"/>
      <c r="BQ170" s="165"/>
      <c r="BR170" s="165"/>
      <c r="BS170" s="165"/>
      <c r="BT170" s="165"/>
      <c r="BU170" s="165"/>
      <c r="BV170" s="165"/>
      <c r="BW170" s="165"/>
      <c r="BX170" s="165"/>
      <c r="BY170" s="165"/>
      <c r="BZ170" s="165"/>
      <c r="CA170" s="165"/>
      <c r="CB170" s="165"/>
      <c r="CC170" s="165"/>
      <c r="CD170" s="165"/>
      <c r="CE170" s="165"/>
      <c r="CF170" s="165"/>
      <c r="CG170" s="165"/>
      <c r="CH170" s="165"/>
      <c r="CI170" s="170"/>
      <c r="CJ170" s="165"/>
      <c r="CK170" s="165"/>
      <c r="CL170" s="165"/>
      <c r="CM170" s="165"/>
      <c r="CN170" s="170"/>
      <c r="CO170" s="165"/>
      <c r="CP170" s="165"/>
      <c r="CQ170" s="165"/>
    </row>
    <row r="171" spans="2:95" hidden="1" outlineLevel="1" x14ac:dyDescent="0.25">
      <c r="B171" s="156" t="str">
        <f>Table1[[#Headers],[Total Testes]]</f>
        <v>Total Testes</v>
      </c>
      <c r="C171" s="154" t="str">
        <f t="shared" si="17"/>
        <v>ENTITY_PURE_CAPEX_CE</v>
      </c>
      <c r="D171" s="153" t="s">
        <v>10</v>
      </c>
      <c r="E171" s="153" t="s">
        <v>1444</v>
      </c>
      <c r="G171" s="172">
        <f>INDEX(Table1[[Especificação]:[Total Testes]],MATCH(Sheet1!C171,Table1[CONCAT],0),MATCH(Sheet1!B171,Table1[[#Headers],[Especificação]:[Total Testes]],0))</f>
        <v>2.5</v>
      </c>
      <c r="H171" s="191">
        <f t="shared" si="18"/>
        <v>0.31</v>
      </c>
      <c r="I171" s="193"/>
      <c r="J171" s="170"/>
      <c r="K171" s="165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  <c r="AA171" s="165"/>
      <c r="AB171" s="165"/>
      <c r="AC171" s="165"/>
      <c r="AD171" s="165"/>
      <c r="AE171" s="165"/>
      <c r="AF171" s="165"/>
      <c r="AG171" s="165"/>
      <c r="AH171" s="165"/>
      <c r="AI171" s="165"/>
      <c r="AJ171" s="165"/>
      <c r="AK171" s="165"/>
      <c r="AL171" s="165"/>
      <c r="AM171" s="165"/>
      <c r="AN171" s="165"/>
      <c r="AO171" s="165"/>
      <c r="AP171" s="165"/>
      <c r="AQ171" s="165"/>
      <c r="AR171" s="165"/>
      <c r="AS171" s="165"/>
      <c r="AT171" s="165"/>
      <c r="AU171" s="165"/>
      <c r="AV171" s="165"/>
      <c r="AW171" s="165"/>
      <c r="AX171" s="165"/>
      <c r="AY171" s="165"/>
      <c r="AZ171" s="165"/>
      <c r="BA171" s="165"/>
      <c r="BB171" s="170"/>
      <c r="BC171" s="165"/>
      <c r="BD171" s="165"/>
      <c r="BE171" s="165"/>
      <c r="BF171" s="165"/>
      <c r="BG171" s="165"/>
      <c r="BH171" s="165"/>
      <c r="BI171" s="165"/>
      <c r="BJ171" s="165"/>
      <c r="BK171" s="165"/>
      <c r="BL171" s="165"/>
      <c r="BM171" s="165"/>
      <c r="BN171" s="165"/>
      <c r="BO171" s="165"/>
      <c r="BP171" s="165"/>
      <c r="BQ171" s="165"/>
      <c r="BR171" s="165"/>
      <c r="BS171" s="165"/>
      <c r="BT171" s="165"/>
      <c r="BU171" s="165"/>
      <c r="BV171" s="165"/>
      <c r="BW171" s="165"/>
      <c r="BX171" s="165"/>
      <c r="BY171" s="165"/>
      <c r="BZ171" s="165"/>
      <c r="CA171" s="165"/>
      <c r="CB171" s="165"/>
      <c r="CC171" s="165"/>
      <c r="CD171" s="165"/>
      <c r="CE171" s="165"/>
      <c r="CF171" s="165"/>
      <c r="CG171" s="165"/>
      <c r="CH171" s="165"/>
      <c r="CI171" s="170"/>
      <c r="CJ171" s="165"/>
      <c r="CK171" s="165"/>
      <c r="CL171" s="165"/>
      <c r="CM171" s="165"/>
      <c r="CN171" s="170"/>
      <c r="CO171" s="165"/>
      <c r="CP171" s="165"/>
      <c r="CQ171" s="165"/>
    </row>
    <row r="172" spans="2:95" hidden="1" outlineLevel="1" x14ac:dyDescent="0.25">
      <c r="B172" s="156" t="str">
        <f>Table1[[#Headers],[Total Testes]]</f>
        <v>Total Testes</v>
      </c>
      <c r="C172" s="154" t="str">
        <f t="shared" si="17"/>
        <v>ENTITY_PURE_TRNVR_CE</v>
      </c>
      <c r="D172" s="153" t="s">
        <v>10</v>
      </c>
      <c r="E172" s="153" t="s">
        <v>1447</v>
      </c>
      <c r="G172" s="172">
        <f>INDEX(Table1[[Especificação]:[Total Testes]],MATCH(Sheet1!C172,Table1[CONCAT],0),MATCH(Sheet1!B172,Table1[[#Headers],[Especificação]:[Total Testes]],0))</f>
        <v>2.5</v>
      </c>
      <c r="H172" s="191">
        <f t="shared" si="18"/>
        <v>0.31</v>
      </c>
      <c r="I172" s="193"/>
      <c r="J172" s="170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5"/>
      <c r="AH172" s="165"/>
      <c r="AI172" s="165"/>
      <c r="AJ172" s="165"/>
      <c r="AK172" s="165"/>
      <c r="AL172" s="165"/>
      <c r="AM172" s="165"/>
      <c r="AN172" s="165"/>
      <c r="AO172" s="165"/>
      <c r="AP172" s="165"/>
      <c r="AQ172" s="165"/>
      <c r="AR172" s="165"/>
      <c r="AS172" s="165"/>
      <c r="AT172" s="165"/>
      <c r="AU172" s="165"/>
      <c r="AV172" s="165"/>
      <c r="AW172" s="165"/>
      <c r="AX172" s="165"/>
      <c r="AY172" s="165"/>
      <c r="AZ172" s="165"/>
      <c r="BA172" s="165"/>
      <c r="BB172" s="170"/>
      <c r="BC172" s="165"/>
      <c r="BD172" s="165"/>
      <c r="BE172" s="165"/>
      <c r="BF172" s="165"/>
      <c r="BG172" s="165"/>
      <c r="BH172" s="165"/>
      <c r="BI172" s="165"/>
      <c r="BJ172" s="165"/>
      <c r="BK172" s="165"/>
      <c r="BL172" s="165"/>
      <c r="BM172" s="165"/>
      <c r="BN172" s="165"/>
      <c r="BO172" s="165"/>
      <c r="BP172" s="165"/>
      <c r="BQ172" s="165"/>
      <c r="BR172" s="165"/>
      <c r="BS172" s="165"/>
      <c r="BT172" s="165"/>
      <c r="BU172" s="165"/>
      <c r="BV172" s="165"/>
      <c r="BW172" s="165"/>
      <c r="BX172" s="165"/>
      <c r="BY172" s="165"/>
      <c r="BZ172" s="165"/>
      <c r="CA172" s="165"/>
      <c r="CB172" s="165"/>
      <c r="CC172" s="165"/>
      <c r="CD172" s="165"/>
      <c r="CE172" s="165"/>
      <c r="CF172" s="165"/>
      <c r="CG172" s="165"/>
      <c r="CH172" s="165"/>
      <c r="CI172" s="170"/>
      <c r="CJ172" s="165"/>
      <c r="CK172" s="165"/>
      <c r="CL172" s="165"/>
      <c r="CM172" s="165"/>
      <c r="CN172" s="170"/>
      <c r="CO172" s="165"/>
      <c r="CP172" s="165"/>
      <c r="CQ172" s="165"/>
    </row>
    <row r="173" spans="2:95" hidden="1" outlineLevel="1" x14ac:dyDescent="0.25">
      <c r="B173" s="156" t="str">
        <f>Table1[[#Headers],[Total Testes]]</f>
        <v>Total Testes</v>
      </c>
      <c r="C173" s="154" t="str">
        <f t="shared" si="17"/>
        <v>ENTITY_ENBLNG_CAPEX_W</v>
      </c>
      <c r="D173" s="153" t="s">
        <v>10</v>
      </c>
      <c r="E173" s="153" t="s">
        <v>1450</v>
      </c>
      <c r="G173" s="172">
        <f>INDEX(Table1[[Especificação]:[Total Testes]],MATCH(Sheet1!C173,Table1[CONCAT],0),MATCH(Sheet1!B173,Table1[[#Headers],[Especificação]:[Total Testes]],0))</f>
        <v>2.5</v>
      </c>
      <c r="H173" s="191">
        <f t="shared" si="18"/>
        <v>0.31</v>
      </c>
      <c r="I173" s="193"/>
      <c r="J173" s="170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5"/>
      <c r="AH173" s="165"/>
      <c r="AI173" s="165"/>
      <c r="AJ173" s="165"/>
      <c r="AK173" s="165"/>
      <c r="AL173" s="165"/>
      <c r="AM173" s="165"/>
      <c r="AN173" s="165"/>
      <c r="AO173" s="165"/>
      <c r="AP173" s="165"/>
      <c r="AQ173" s="165"/>
      <c r="AR173" s="165"/>
      <c r="AS173" s="165"/>
      <c r="AT173" s="165"/>
      <c r="AU173" s="165"/>
      <c r="AV173" s="165"/>
      <c r="AW173" s="165"/>
      <c r="AX173" s="165"/>
      <c r="AY173" s="165"/>
      <c r="AZ173" s="165"/>
      <c r="BA173" s="165"/>
      <c r="BB173" s="170"/>
      <c r="BC173" s="165"/>
      <c r="BD173" s="165"/>
      <c r="BE173" s="165"/>
      <c r="BF173" s="165"/>
      <c r="BG173" s="165"/>
      <c r="BH173" s="165"/>
      <c r="BI173" s="165"/>
      <c r="BJ173" s="165"/>
      <c r="BK173" s="165"/>
      <c r="BL173" s="165"/>
      <c r="BM173" s="165"/>
      <c r="BN173" s="165"/>
      <c r="BO173" s="165"/>
      <c r="BP173" s="165"/>
      <c r="BQ173" s="165"/>
      <c r="BR173" s="165"/>
      <c r="BS173" s="165"/>
      <c r="BT173" s="165"/>
      <c r="BU173" s="165"/>
      <c r="BV173" s="165"/>
      <c r="BW173" s="165"/>
      <c r="BX173" s="165"/>
      <c r="BY173" s="165"/>
      <c r="BZ173" s="165"/>
      <c r="CA173" s="165"/>
      <c r="CB173" s="165"/>
      <c r="CC173" s="165"/>
      <c r="CD173" s="165"/>
      <c r="CE173" s="165"/>
      <c r="CF173" s="165"/>
      <c r="CG173" s="165"/>
      <c r="CH173" s="165"/>
      <c r="CI173" s="170"/>
      <c r="CJ173" s="165"/>
      <c r="CK173" s="165"/>
      <c r="CL173" s="165"/>
      <c r="CM173" s="165"/>
      <c r="CN173" s="170"/>
      <c r="CO173" s="165"/>
      <c r="CP173" s="165"/>
      <c r="CQ173" s="165"/>
    </row>
    <row r="174" spans="2:95" hidden="1" outlineLevel="1" x14ac:dyDescent="0.25">
      <c r="B174" s="156" t="str">
        <f>Table1[[#Headers],[Total Testes]]</f>
        <v>Total Testes</v>
      </c>
      <c r="C174" s="154" t="str">
        <f t="shared" si="17"/>
        <v>ENTITY_ENBLNG_TRNVR_W</v>
      </c>
      <c r="D174" s="153" t="s">
        <v>10</v>
      </c>
      <c r="E174" s="153" t="s">
        <v>1453</v>
      </c>
      <c r="G174" s="172">
        <f>INDEX(Table1[[Especificação]:[Total Testes]],MATCH(Sheet1!C174,Table1[CONCAT],0),MATCH(Sheet1!B174,Table1[[#Headers],[Especificação]:[Total Testes]],0))</f>
        <v>2.5</v>
      </c>
      <c r="H174" s="191">
        <f t="shared" si="18"/>
        <v>0.31</v>
      </c>
      <c r="I174" s="193"/>
      <c r="J174" s="170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5"/>
      <c r="AH174" s="165"/>
      <c r="AI174" s="165"/>
      <c r="AJ174" s="165"/>
      <c r="AK174" s="165"/>
      <c r="AL174" s="165"/>
      <c r="AM174" s="165"/>
      <c r="AN174" s="165"/>
      <c r="AO174" s="165"/>
      <c r="AP174" s="165"/>
      <c r="AQ174" s="165"/>
      <c r="AR174" s="165"/>
      <c r="AS174" s="165"/>
      <c r="AT174" s="165"/>
      <c r="AU174" s="165"/>
      <c r="AV174" s="165"/>
      <c r="AW174" s="165"/>
      <c r="AX174" s="165"/>
      <c r="AY174" s="165"/>
      <c r="AZ174" s="165"/>
      <c r="BA174" s="165"/>
      <c r="BB174" s="170"/>
      <c r="BC174" s="165"/>
      <c r="BD174" s="165"/>
      <c r="BE174" s="165"/>
      <c r="BF174" s="165"/>
      <c r="BG174" s="165"/>
      <c r="BH174" s="165"/>
      <c r="BI174" s="165"/>
      <c r="BJ174" s="165"/>
      <c r="BK174" s="165"/>
      <c r="BL174" s="165"/>
      <c r="BM174" s="165"/>
      <c r="BN174" s="165"/>
      <c r="BO174" s="165"/>
      <c r="BP174" s="165"/>
      <c r="BQ174" s="165"/>
      <c r="BR174" s="165"/>
      <c r="BS174" s="165"/>
      <c r="BT174" s="165"/>
      <c r="BU174" s="165"/>
      <c r="BV174" s="165"/>
      <c r="BW174" s="165"/>
      <c r="BX174" s="165"/>
      <c r="BY174" s="165"/>
      <c r="BZ174" s="165"/>
      <c r="CA174" s="165"/>
      <c r="CB174" s="165"/>
      <c r="CC174" s="165"/>
      <c r="CD174" s="165"/>
      <c r="CE174" s="165"/>
      <c r="CF174" s="165"/>
      <c r="CG174" s="165"/>
      <c r="CH174" s="165"/>
      <c r="CI174" s="170"/>
      <c r="CJ174" s="165"/>
      <c r="CK174" s="165"/>
      <c r="CL174" s="165"/>
      <c r="CM174" s="165"/>
      <c r="CN174" s="170"/>
      <c r="CO174" s="165"/>
      <c r="CP174" s="165"/>
      <c r="CQ174" s="165"/>
    </row>
    <row r="175" spans="2:95" hidden="1" outlineLevel="1" x14ac:dyDescent="0.25">
      <c r="B175" s="156" t="str">
        <f>Table1[[#Headers],[Total Testes]]</f>
        <v>Total Testes</v>
      </c>
      <c r="C175" s="154" t="str">
        <f t="shared" si="17"/>
        <v>ENTITY_ENBLNG_CAPEX_CE</v>
      </c>
      <c r="D175" s="153" t="s">
        <v>10</v>
      </c>
      <c r="E175" s="153" t="s">
        <v>1456</v>
      </c>
      <c r="G175" s="172">
        <f>INDEX(Table1[[Especificação]:[Total Testes]],MATCH(Sheet1!C175,Table1[CONCAT],0),MATCH(Sheet1!B175,Table1[[#Headers],[Especificação]:[Total Testes]],0))</f>
        <v>2.5</v>
      </c>
      <c r="H175" s="191">
        <f t="shared" si="18"/>
        <v>0.31</v>
      </c>
      <c r="I175" s="193"/>
      <c r="J175" s="170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5"/>
      <c r="AH175" s="165"/>
      <c r="AI175" s="165"/>
      <c r="AJ175" s="165"/>
      <c r="AK175" s="165"/>
      <c r="AL175" s="165"/>
      <c r="AM175" s="165"/>
      <c r="AN175" s="165"/>
      <c r="AO175" s="165"/>
      <c r="AP175" s="165"/>
      <c r="AQ175" s="165"/>
      <c r="AR175" s="165"/>
      <c r="AS175" s="165"/>
      <c r="AT175" s="165"/>
      <c r="AU175" s="165"/>
      <c r="AV175" s="165"/>
      <c r="AW175" s="165"/>
      <c r="AX175" s="165"/>
      <c r="AY175" s="165"/>
      <c r="AZ175" s="165"/>
      <c r="BA175" s="165"/>
      <c r="BB175" s="170"/>
      <c r="BC175" s="165"/>
      <c r="BD175" s="165"/>
      <c r="BE175" s="165"/>
      <c r="BF175" s="165"/>
      <c r="BG175" s="165"/>
      <c r="BH175" s="165"/>
      <c r="BI175" s="165"/>
      <c r="BJ175" s="165"/>
      <c r="BK175" s="165"/>
      <c r="BL175" s="165"/>
      <c r="BM175" s="165"/>
      <c r="BN175" s="165"/>
      <c r="BO175" s="165"/>
      <c r="BP175" s="165"/>
      <c r="BQ175" s="165"/>
      <c r="BR175" s="165"/>
      <c r="BS175" s="165"/>
      <c r="BT175" s="165"/>
      <c r="BU175" s="165"/>
      <c r="BV175" s="165"/>
      <c r="BW175" s="165"/>
      <c r="BX175" s="165"/>
      <c r="BY175" s="165"/>
      <c r="BZ175" s="165"/>
      <c r="CA175" s="165"/>
      <c r="CB175" s="165"/>
      <c r="CC175" s="165"/>
      <c r="CD175" s="165"/>
      <c r="CE175" s="165"/>
      <c r="CF175" s="165"/>
      <c r="CG175" s="165"/>
      <c r="CH175" s="165"/>
      <c r="CI175" s="170"/>
      <c r="CJ175" s="165"/>
      <c r="CK175" s="165"/>
      <c r="CL175" s="165"/>
      <c r="CM175" s="165"/>
      <c r="CN175" s="170"/>
      <c r="CO175" s="165"/>
      <c r="CP175" s="165"/>
      <c r="CQ175" s="165"/>
    </row>
    <row r="176" spans="2:95" hidden="1" outlineLevel="1" x14ac:dyDescent="0.25">
      <c r="B176" s="156" t="str">
        <f>Table1[[#Headers],[Total Testes]]</f>
        <v>Total Testes</v>
      </c>
      <c r="C176" s="154" t="str">
        <f t="shared" si="17"/>
        <v>ENTITY_ENBLNG_TRNVR_CE</v>
      </c>
      <c r="D176" s="153" t="s">
        <v>10</v>
      </c>
      <c r="E176" s="153" t="s">
        <v>1459</v>
      </c>
      <c r="G176" s="172">
        <f>INDEX(Table1[[Especificação]:[Total Testes]],MATCH(Sheet1!C176,Table1[CONCAT],0),MATCH(Sheet1!B176,Table1[[#Headers],[Especificação]:[Total Testes]],0))</f>
        <v>2.5</v>
      </c>
      <c r="H176" s="191">
        <f t="shared" si="18"/>
        <v>0.31</v>
      </c>
      <c r="I176" s="193"/>
      <c r="J176" s="170"/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5"/>
      <c r="AH176" s="165"/>
      <c r="AI176" s="165"/>
      <c r="AJ176" s="165"/>
      <c r="AK176" s="165"/>
      <c r="AL176" s="165"/>
      <c r="AM176" s="165"/>
      <c r="AN176" s="165"/>
      <c r="AO176" s="165"/>
      <c r="AP176" s="165"/>
      <c r="AQ176" s="165"/>
      <c r="AR176" s="165"/>
      <c r="AS176" s="165"/>
      <c r="AT176" s="165"/>
      <c r="AU176" s="165"/>
      <c r="AV176" s="165"/>
      <c r="AW176" s="165"/>
      <c r="AX176" s="165"/>
      <c r="AY176" s="165"/>
      <c r="AZ176" s="165"/>
      <c r="BA176" s="165"/>
      <c r="BB176" s="170"/>
      <c r="BC176" s="165"/>
      <c r="BD176" s="165"/>
      <c r="BE176" s="165"/>
      <c r="BF176" s="165"/>
      <c r="BG176" s="165"/>
      <c r="BH176" s="165"/>
      <c r="BI176" s="165"/>
      <c r="BJ176" s="165"/>
      <c r="BK176" s="165"/>
      <c r="BL176" s="165"/>
      <c r="BM176" s="165"/>
      <c r="BN176" s="165"/>
      <c r="BO176" s="165"/>
      <c r="BP176" s="165"/>
      <c r="BQ176" s="165"/>
      <c r="BR176" s="165"/>
      <c r="BS176" s="165"/>
      <c r="BT176" s="165"/>
      <c r="BU176" s="165"/>
      <c r="BV176" s="165"/>
      <c r="BW176" s="165"/>
      <c r="BX176" s="165"/>
      <c r="BY176" s="165"/>
      <c r="BZ176" s="165"/>
      <c r="CA176" s="165"/>
      <c r="CB176" s="165"/>
      <c r="CC176" s="165"/>
      <c r="CD176" s="165"/>
      <c r="CE176" s="165"/>
      <c r="CF176" s="165"/>
      <c r="CG176" s="165"/>
      <c r="CH176" s="165"/>
      <c r="CI176" s="170"/>
      <c r="CJ176" s="165"/>
      <c r="CK176" s="165"/>
      <c r="CL176" s="165"/>
      <c r="CM176" s="165"/>
      <c r="CN176" s="170"/>
      <c r="CO176" s="165"/>
      <c r="CP176" s="165"/>
      <c r="CQ176" s="165"/>
    </row>
    <row r="177" spans="2:95" hidden="1" outlineLevel="1" x14ac:dyDescent="0.25">
      <c r="B177" s="156" t="str">
        <f>Table1[[#Headers],[Total Testes]]</f>
        <v>Total Testes</v>
      </c>
      <c r="C177" s="154" t="str">
        <f t="shared" si="17"/>
        <v>INSTRUMENT_TYP_OFF_BLNC_PRDCT</v>
      </c>
      <c r="D177" s="153" t="s">
        <v>414</v>
      </c>
      <c r="E177" s="153" t="s">
        <v>1351</v>
      </c>
      <c r="G177" s="172">
        <f>INDEX(Table1[[Especificação]:[Total Testes]],MATCH(Sheet1!C177,Table1[CONCAT],0),MATCH(Sheet1!B177,Table1[[#Headers],[Especificação]:[Total Testes]],0))</f>
        <v>0</v>
      </c>
      <c r="H177" s="191">
        <f t="shared" si="18"/>
        <v>0</v>
      </c>
      <c r="I177" s="193"/>
      <c r="J177" s="170"/>
      <c r="K177" s="165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5"/>
      <c r="AH177" s="165"/>
      <c r="AI177" s="165"/>
      <c r="AJ177" s="165"/>
      <c r="AK177" s="165"/>
      <c r="AL177" s="165"/>
      <c r="AM177" s="165"/>
      <c r="AN177" s="165"/>
      <c r="AO177" s="165"/>
      <c r="AP177" s="165"/>
      <c r="AQ177" s="165"/>
      <c r="AR177" s="165"/>
      <c r="AS177" s="165"/>
      <c r="AT177" s="165"/>
      <c r="AU177" s="165"/>
      <c r="AV177" s="165"/>
      <c r="AW177" s="165"/>
      <c r="AX177" s="165"/>
      <c r="AY177" s="165"/>
      <c r="AZ177" s="165"/>
      <c r="BA177" s="165"/>
      <c r="BB177" s="170"/>
      <c r="BC177" s="165"/>
      <c r="BD177" s="165"/>
      <c r="BE177" s="165"/>
      <c r="BF177" s="165"/>
      <c r="BG177" s="165"/>
      <c r="BH177" s="165"/>
      <c r="BI177" s="165"/>
      <c r="BJ177" s="165"/>
      <c r="BK177" s="165"/>
      <c r="BL177" s="165"/>
      <c r="BM177" s="165"/>
      <c r="BN177" s="165"/>
      <c r="BO177" s="165"/>
      <c r="BP177" s="165"/>
      <c r="BQ177" s="165"/>
      <c r="BR177" s="165"/>
      <c r="BS177" s="165"/>
      <c r="BT177" s="165"/>
      <c r="BU177" s="165"/>
      <c r="BV177" s="165"/>
      <c r="BW177" s="165"/>
      <c r="BX177" s="165"/>
      <c r="BY177" s="165"/>
      <c r="BZ177" s="165"/>
      <c r="CA177" s="165"/>
      <c r="CB177" s="165"/>
      <c r="CC177" s="165"/>
      <c r="CD177" s="165"/>
      <c r="CE177" s="165"/>
      <c r="CF177" s="165"/>
      <c r="CG177" s="165"/>
      <c r="CH177" s="165"/>
      <c r="CI177" s="170"/>
      <c r="CJ177" s="165"/>
      <c r="CK177" s="165"/>
      <c r="CL177" s="165"/>
      <c r="CM177" s="165"/>
      <c r="CN177" s="170"/>
      <c r="CO177" s="165"/>
      <c r="CP177" s="165"/>
      <c r="CQ177" s="165"/>
    </row>
    <row r="178" spans="2:95" hidden="1" outlineLevel="1" x14ac:dyDescent="0.25">
      <c r="B178" s="156" t="str">
        <f>Table1[[#Headers],[Total Testes]]</f>
        <v>Total Testes</v>
      </c>
      <c r="C178" s="154" t="str">
        <f t="shared" si="17"/>
        <v>INSTRUMENT_FLG_MNMM_SFGRDS</v>
      </c>
      <c r="D178" s="153" t="s">
        <v>414</v>
      </c>
      <c r="E178" s="153" t="s">
        <v>1480</v>
      </c>
      <c r="G178" s="172">
        <f>INDEX(Table1[[Especificação]:[Total Testes]],MATCH(Sheet1!C178,Table1[CONCAT],0),MATCH(Sheet1!B178,Table1[[#Headers],[Especificação]:[Total Testes]],0))</f>
        <v>0</v>
      </c>
      <c r="H178" s="191">
        <f t="shared" si="18"/>
        <v>0</v>
      </c>
      <c r="I178" s="193"/>
      <c r="J178" s="170"/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5"/>
      <c r="AH178" s="165"/>
      <c r="AI178" s="165"/>
      <c r="AJ178" s="165"/>
      <c r="AK178" s="165"/>
      <c r="AL178" s="165"/>
      <c r="AM178" s="165"/>
      <c r="AN178" s="165"/>
      <c r="AO178" s="165"/>
      <c r="AP178" s="165"/>
      <c r="AQ178" s="165"/>
      <c r="AR178" s="165"/>
      <c r="AS178" s="165"/>
      <c r="AT178" s="165"/>
      <c r="AU178" s="165"/>
      <c r="AV178" s="165"/>
      <c r="AW178" s="165"/>
      <c r="AX178" s="165"/>
      <c r="AY178" s="165"/>
      <c r="AZ178" s="165"/>
      <c r="BA178" s="165"/>
      <c r="BB178" s="170"/>
      <c r="BC178" s="165"/>
      <c r="BD178" s="165"/>
      <c r="BE178" s="165"/>
      <c r="BF178" s="165"/>
      <c r="BG178" s="165"/>
      <c r="BH178" s="165"/>
      <c r="BI178" s="165"/>
      <c r="BJ178" s="165"/>
      <c r="BK178" s="165"/>
      <c r="BL178" s="165"/>
      <c r="BM178" s="165"/>
      <c r="BN178" s="165"/>
      <c r="BO178" s="165"/>
      <c r="BP178" s="165"/>
      <c r="BQ178" s="165"/>
      <c r="BR178" s="165"/>
      <c r="BS178" s="165"/>
      <c r="BT178" s="165"/>
      <c r="BU178" s="165"/>
      <c r="BV178" s="165"/>
      <c r="BW178" s="165"/>
      <c r="BX178" s="165"/>
      <c r="BY178" s="165"/>
      <c r="BZ178" s="165"/>
      <c r="CA178" s="165"/>
      <c r="CB178" s="165"/>
      <c r="CC178" s="165"/>
      <c r="CD178" s="165"/>
      <c r="CE178" s="165"/>
      <c r="CF178" s="165"/>
      <c r="CG178" s="165"/>
      <c r="CH178" s="165"/>
      <c r="CI178" s="170"/>
      <c r="CJ178" s="165"/>
      <c r="CK178" s="165"/>
      <c r="CL178" s="165"/>
      <c r="CM178" s="165"/>
      <c r="CN178" s="170"/>
      <c r="CO178" s="165"/>
      <c r="CP178" s="165"/>
      <c r="CQ178" s="165"/>
    </row>
    <row r="179" spans="2:95" hidden="1" outlineLevel="1" x14ac:dyDescent="0.25">
      <c r="B179" s="156" t="str">
        <f>Table1[[#Headers],[Total Testes]]</f>
        <v>Total Testes</v>
      </c>
      <c r="C179" s="154" t="str">
        <f t="shared" si="17"/>
        <v>INSTR_PROTECTION_TYP_RLTN</v>
      </c>
      <c r="D179" s="153" t="s">
        <v>1101</v>
      </c>
      <c r="E179" s="153" t="s">
        <v>1384</v>
      </c>
      <c r="G179" s="172">
        <f>INDEX(Table1[[Especificação]:[Total Testes]],MATCH(Sheet1!C179,Table1[CONCAT],0),MATCH(Sheet1!B179,Table1[[#Headers],[Especificação]:[Total Testes]],0))</f>
        <v>5</v>
      </c>
      <c r="H179" s="191">
        <f t="shared" si="18"/>
        <v>0.63</v>
      </c>
      <c r="I179" s="193"/>
      <c r="J179" s="170"/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5"/>
      <c r="AH179" s="165"/>
      <c r="AI179" s="165"/>
      <c r="AJ179" s="165"/>
      <c r="AK179" s="165"/>
      <c r="AL179" s="165"/>
      <c r="AM179" s="165"/>
      <c r="AN179" s="165"/>
      <c r="AO179" s="165"/>
      <c r="AP179" s="165"/>
      <c r="AQ179" s="165"/>
      <c r="AR179" s="165"/>
      <c r="AS179" s="165"/>
      <c r="AT179" s="165"/>
      <c r="AU179" s="165"/>
      <c r="AV179" s="165"/>
      <c r="AW179" s="165"/>
      <c r="AX179" s="165"/>
      <c r="AY179" s="165"/>
      <c r="AZ179" s="165"/>
      <c r="BA179" s="165"/>
      <c r="BB179" s="170"/>
      <c r="BC179" s="165"/>
      <c r="BD179" s="165"/>
      <c r="BE179" s="165"/>
      <c r="BF179" s="165"/>
      <c r="BG179" s="165"/>
      <c r="BH179" s="165"/>
      <c r="BI179" s="165"/>
      <c r="BJ179" s="165"/>
      <c r="BK179" s="165"/>
      <c r="BL179" s="165"/>
      <c r="BM179" s="165"/>
      <c r="BN179" s="165"/>
      <c r="BO179" s="165"/>
      <c r="BP179" s="165"/>
      <c r="BQ179" s="165"/>
      <c r="BR179" s="165"/>
      <c r="BS179" s="165"/>
      <c r="BT179" s="165"/>
      <c r="BU179" s="165"/>
      <c r="BV179" s="165"/>
      <c r="BW179" s="165"/>
      <c r="BX179" s="165"/>
      <c r="BY179" s="165"/>
      <c r="BZ179" s="165"/>
      <c r="CA179" s="165"/>
      <c r="CB179" s="165"/>
      <c r="CC179" s="165"/>
      <c r="CD179" s="165"/>
      <c r="CE179" s="165"/>
      <c r="CF179" s="165"/>
      <c r="CG179" s="165"/>
      <c r="CH179" s="165"/>
      <c r="CI179" s="170"/>
      <c r="CJ179" s="165"/>
      <c r="CK179" s="165"/>
      <c r="CL179" s="165"/>
      <c r="CM179" s="165"/>
      <c r="CN179" s="170"/>
      <c r="CO179" s="165"/>
      <c r="CP179" s="165"/>
      <c r="CQ179" s="165"/>
    </row>
    <row r="180" spans="2:95" hidden="1" outlineLevel="1" x14ac:dyDescent="0.25">
      <c r="B180" s="156" t="str">
        <f>Table1[[#Headers],[Total Testes]]</f>
        <v>Total Testes</v>
      </c>
      <c r="C180" s="154" t="str">
        <f t="shared" si="17"/>
        <v>PROTECTION_BLDNG_AR</v>
      </c>
      <c r="D180" s="153" t="s">
        <v>1114</v>
      </c>
      <c r="E180" s="153" t="s">
        <v>1387</v>
      </c>
      <c r="G180" s="172">
        <f>INDEX(Table1[[Especificação]:[Total Testes]],MATCH(Sheet1!C180,Table1[CONCAT],0),MATCH(Sheet1!B180,Table1[[#Headers],[Especificação]:[Total Testes]],0))</f>
        <v>0</v>
      </c>
      <c r="H180" s="191">
        <f t="shared" si="18"/>
        <v>0</v>
      </c>
      <c r="I180" s="193"/>
      <c r="J180" s="170"/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  <c r="AA180" s="165"/>
      <c r="AB180" s="165"/>
      <c r="AC180" s="165"/>
      <c r="AD180" s="165"/>
      <c r="AE180" s="165"/>
      <c r="AF180" s="165"/>
      <c r="AG180" s="165"/>
      <c r="AH180" s="165"/>
      <c r="AI180" s="165"/>
      <c r="AJ180" s="165"/>
      <c r="AK180" s="165"/>
      <c r="AL180" s="165"/>
      <c r="AM180" s="165"/>
      <c r="AN180" s="165"/>
      <c r="AO180" s="165"/>
      <c r="AP180" s="165"/>
      <c r="AQ180" s="165"/>
      <c r="AR180" s="165"/>
      <c r="AS180" s="165"/>
      <c r="AT180" s="165"/>
      <c r="AU180" s="165"/>
      <c r="AV180" s="165"/>
      <c r="AW180" s="165"/>
      <c r="AX180" s="165"/>
      <c r="AY180" s="165"/>
      <c r="AZ180" s="165"/>
      <c r="BA180" s="165"/>
      <c r="BB180" s="170"/>
      <c r="BC180" s="165"/>
      <c r="BD180" s="165"/>
      <c r="BE180" s="165"/>
      <c r="BF180" s="165"/>
      <c r="BG180" s="165"/>
      <c r="BH180" s="165"/>
      <c r="BI180" s="165"/>
      <c r="BJ180" s="165"/>
      <c r="BK180" s="165"/>
      <c r="BL180" s="165"/>
      <c r="BM180" s="165"/>
      <c r="BN180" s="165"/>
      <c r="BO180" s="165"/>
      <c r="BP180" s="165"/>
      <c r="BQ180" s="165"/>
      <c r="BR180" s="165"/>
      <c r="BS180" s="165"/>
      <c r="BT180" s="165"/>
      <c r="BU180" s="165"/>
      <c r="BV180" s="165"/>
      <c r="BW180" s="165"/>
      <c r="BX180" s="165"/>
      <c r="BY180" s="165"/>
      <c r="BZ180" s="165"/>
      <c r="CA180" s="165"/>
      <c r="CB180" s="165"/>
      <c r="CC180" s="165"/>
      <c r="CD180" s="165"/>
      <c r="CE180" s="165"/>
      <c r="CF180" s="165"/>
      <c r="CG180" s="165"/>
      <c r="CH180" s="165"/>
      <c r="CI180" s="170"/>
      <c r="CJ180" s="165"/>
      <c r="CK180" s="165"/>
      <c r="CL180" s="165"/>
      <c r="CM180" s="165"/>
      <c r="CN180" s="170"/>
      <c r="CO180" s="165"/>
      <c r="CP180" s="165"/>
      <c r="CQ180" s="165"/>
    </row>
    <row r="181" spans="2:95" hidden="1" outlineLevel="1" x14ac:dyDescent="0.25">
      <c r="B181" s="156" t="str">
        <f>Table1[[#Headers],[Total Testes]]</f>
        <v>Total Testes</v>
      </c>
      <c r="C181" s="154" t="str">
        <f t="shared" si="17"/>
        <v>PROTECTION_RL_ESTT_CRTFCTN</v>
      </c>
      <c r="D181" s="153" t="s">
        <v>1114</v>
      </c>
      <c r="E181" s="153" t="s">
        <v>1512</v>
      </c>
      <c r="G181" s="172">
        <f>INDEX(Table1[[Especificação]:[Total Testes]],MATCH(Sheet1!C181,Table1[CONCAT],0),MATCH(Sheet1!B181,Table1[[#Headers],[Especificação]:[Total Testes]],0))</f>
        <v>0</v>
      </c>
      <c r="H181" s="191">
        <f t="shared" si="18"/>
        <v>0</v>
      </c>
      <c r="I181" s="193"/>
      <c r="J181" s="170"/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  <c r="AA181" s="165"/>
      <c r="AB181" s="165"/>
      <c r="AC181" s="165"/>
      <c r="AD181" s="165"/>
      <c r="AE181" s="165"/>
      <c r="AF181" s="165"/>
      <c r="AG181" s="165"/>
      <c r="AH181" s="165"/>
      <c r="AI181" s="165"/>
      <c r="AJ181" s="165"/>
      <c r="AK181" s="165"/>
      <c r="AL181" s="165"/>
      <c r="AM181" s="165"/>
      <c r="AN181" s="165"/>
      <c r="AO181" s="165"/>
      <c r="AP181" s="165"/>
      <c r="AQ181" s="165"/>
      <c r="AR181" s="165"/>
      <c r="AS181" s="165"/>
      <c r="AT181" s="165"/>
      <c r="AU181" s="165"/>
      <c r="AV181" s="165"/>
      <c r="AW181" s="165"/>
      <c r="AX181" s="165"/>
      <c r="AY181" s="165"/>
      <c r="AZ181" s="165"/>
      <c r="BA181" s="165"/>
      <c r="BB181" s="170"/>
      <c r="BC181" s="165"/>
      <c r="BD181" s="165"/>
      <c r="BE181" s="165"/>
      <c r="BF181" s="165"/>
      <c r="BG181" s="165"/>
      <c r="BH181" s="165"/>
      <c r="BI181" s="165"/>
      <c r="BJ181" s="165"/>
      <c r="BK181" s="165"/>
      <c r="BL181" s="165"/>
      <c r="BM181" s="165"/>
      <c r="BN181" s="165"/>
      <c r="BO181" s="165"/>
      <c r="BP181" s="165"/>
      <c r="BQ181" s="165"/>
      <c r="BR181" s="165"/>
      <c r="BS181" s="165"/>
      <c r="BT181" s="165"/>
      <c r="BU181" s="165"/>
      <c r="BV181" s="165"/>
      <c r="BW181" s="165"/>
      <c r="BX181" s="165"/>
      <c r="BY181" s="165"/>
      <c r="BZ181" s="165"/>
      <c r="CA181" s="165"/>
      <c r="CB181" s="165"/>
      <c r="CC181" s="165"/>
      <c r="CD181" s="165"/>
      <c r="CE181" s="165"/>
      <c r="CF181" s="165"/>
      <c r="CG181" s="165"/>
      <c r="CH181" s="165"/>
      <c r="CI181" s="170"/>
      <c r="CJ181" s="165"/>
      <c r="CK181" s="165"/>
      <c r="CL181" s="165"/>
      <c r="CM181" s="165"/>
      <c r="CN181" s="170"/>
      <c r="CO181" s="165"/>
      <c r="CP181" s="165"/>
      <c r="CQ181" s="165"/>
    </row>
    <row r="182" spans="2:95" hidden="1" outlineLevel="1" x14ac:dyDescent="0.25">
      <c r="B182" s="156" t="str">
        <f>Table1[[#Headers],[Total Testes]]</f>
        <v>Total Testes</v>
      </c>
      <c r="C182" s="154" t="str">
        <f t="shared" si="17"/>
        <v>PROTECTION_TYP_VHCL</v>
      </c>
      <c r="D182" s="153" t="s">
        <v>1114</v>
      </c>
      <c r="E182" s="153" t="s">
        <v>1515</v>
      </c>
      <c r="G182" s="172">
        <f>INDEX(Table1[[Especificação]:[Total Testes]],MATCH(Sheet1!C182,Table1[CONCAT],0),MATCH(Sheet1!B182,Table1[[#Headers],[Especificação]:[Total Testes]],0))</f>
        <v>0</v>
      </c>
      <c r="H182" s="191">
        <f t="shared" si="18"/>
        <v>0</v>
      </c>
      <c r="I182" s="193"/>
      <c r="J182" s="170"/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  <c r="AA182" s="165"/>
      <c r="AB182" s="165"/>
      <c r="AC182" s="165"/>
      <c r="AD182" s="165"/>
      <c r="AE182" s="165"/>
      <c r="AF182" s="165"/>
      <c r="AG182" s="165"/>
      <c r="AH182" s="165"/>
      <c r="AI182" s="165"/>
      <c r="AJ182" s="165"/>
      <c r="AK182" s="165"/>
      <c r="AL182" s="165"/>
      <c r="AM182" s="165"/>
      <c r="AN182" s="165"/>
      <c r="AO182" s="165"/>
      <c r="AP182" s="165"/>
      <c r="AQ182" s="165"/>
      <c r="AR182" s="165"/>
      <c r="AS182" s="165"/>
      <c r="AT182" s="165"/>
      <c r="AU182" s="165"/>
      <c r="AV182" s="165"/>
      <c r="AW182" s="165"/>
      <c r="AX182" s="165"/>
      <c r="AY182" s="165"/>
      <c r="AZ182" s="165"/>
      <c r="BA182" s="165"/>
      <c r="BB182" s="170"/>
      <c r="BC182" s="165"/>
      <c r="BD182" s="165"/>
      <c r="BE182" s="165"/>
      <c r="BF182" s="165"/>
      <c r="BG182" s="165"/>
      <c r="BH182" s="165"/>
      <c r="BI182" s="165"/>
      <c r="BJ182" s="165"/>
      <c r="BK182" s="165"/>
      <c r="BL182" s="165"/>
      <c r="BM182" s="165"/>
      <c r="BN182" s="165"/>
      <c r="BO182" s="165"/>
      <c r="BP182" s="165"/>
      <c r="BQ182" s="165"/>
      <c r="BR182" s="165"/>
      <c r="BS182" s="165"/>
      <c r="BT182" s="165"/>
      <c r="BU182" s="165"/>
      <c r="BV182" s="165"/>
      <c r="BW182" s="165"/>
      <c r="BX182" s="165"/>
      <c r="BY182" s="165"/>
      <c r="BZ182" s="165"/>
      <c r="CA182" s="165"/>
      <c r="CB182" s="165"/>
      <c r="CC182" s="165"/>
      <c r="CD182" s="165"/>
      <c r="CE182" s="165"/>
      <c r="CF182" s="165"/>
      <c r="CG182" s="165"/>
      <c r="CH182" s="165"/>
      <c r="CI182" s="170"/>
      <c r="CJ182" s="165"/>
      <c r="CK182" s="165"/>
      <c r="CL182" s="165"/>
      <c r="CM182" s="165"/>
      <c r="CN182" s="170"/>
      <c r="CO182" s="165"/>
      <c r="CP182" s="165"/>
      <c r="CQ182" s="165"/>
    </row>
    <row r="183" spans="2:95" hidden="1" outlineLevel="1" x14ac:dyDescent="0.25">
      <c r="B183" s="156" t="str">
        <f>Table1[[#Headers],[Total Testes]]</f>
        <v>Total Testes</v>
      </c>
      <c r="C183" s="154" t="str">
        <f t="shared" si="17"/>
        <v>PROTECTION_DT_RGSTRTN</v>
      </c>
      <c r="D183" s="153" t="s">
        <v>1114</v>
      </c>
      <c r="E183" s="153" t="s">
        <v>1518</v>
      </c>
      <c r="G183" s="172">
        <f>INDEX(Table1[[Especificação]:[Total Testes]],MATCH(Sheet1!C183,Table1[CONCAT],0),MATCH(Sheet1!B183,Table1[[#Headers],[Especificação]:[Total Testes]],0))</f>
        <v>0</v>
      </c>
      <c r="H183" s="191">
        <f t="shared" si="18"/>
        <v>0</v>
      </c>
      <c r="I183" s="193"/>
      <c r="J183" s="170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  <c r="AA183" s="165"/>
      <c r="AB183" s="165"/>
      <c r="AC183" s="165"/>
      <c r="AD183" s="165"/>
      <c r="AE183" s="165"/>
      <c r="AF183" s="165"/>
      <c r="AG183" s="165"/>
      <c r="AH183" s="165"/>
      <c r="AI183" s="165"/>
      <c r="AJ183" s="165"/>
      <c r="AK183" s="165"/>
      <c r="AL183" s="165"/>
      <c r="AM183" s="165"/>
      <c r="AN183" s="165"/>
      <c r="AO183" s="165"/>
      <c r="AP183" s="165"/>
      <c r="AQ183" s="165"/>
      <c r="AR183" s="165"/>
      <c r="AS183" s="165"/>
      <c r="AT183" s="165"/>
      <c r="AU183" s="165"/>
      <c r="AV183" s="165"/>
      <c r="AW183" s="165"/>
      <c r="AX183" s="165"/>
      <c r="AY183" s="165"/>
      <c r="AZ183" s="165"/>
      <c r="BA183" s="165"/>
      <c r="BB183" s="170"/>
      <c r="BC183" s="165"/>
      <c r="BD183" s="165"/>
      <c r="BE183" s="165"/>
      <c r="BF183" s="165"/>
      <c r="BG183" s="165"/>
      <c r="BH183" s="165"/>
      <c r="BI183" s="165"/>
      <c r="BJ183" s="165"/>
      <c r="BK183" s="165"/>
      <c r="BL183" s="165"/>
      <c r="BM183" s="165"/>
      <c r="BN183" s="165"/>
      <c r="BO183" s="165"/>
      <c r="BP183" s="165"/>
      <c r="BQ183" s="165"/>
      <c r="BR183" s="165"/>
      <c r="BS183" s="165"/>
      <c r="BT183" s="165"/>
      <c r="BU183" s="165"/>
      <c r="BV183" s="165"/>
      <c r="BW183" s="165"/>
      <c r="BX183" s="165"/>
      <c r="BY183" s="165"/>
      <c r="BZ183" s="165"/>
      <c r="CA183" s="165"/>
      <c r="CB183" s="165"/>
      <c r="CC183" s="165"/>
      <c r="CD183" s="165"/>
      <c r="CE183" s="165"/>
      <c r="CF183" s="165"/>
      <c r="CG183" s="165"/>
      <c r="CH183" s="165"/>
      <c r="CI183" s="170"/>
      <c r="CJ183" s="165"/>
      <c r="CK183" s="165"/>
      <c r="CL183" s="165"/>
      <c r="CM183" s="165"/>
      <c r="CN183" s="170"/>
      <c r="CO183" s="165"/>
      <c r="CP183" s="165"/>
      <c r="CQ183" s="165"/>
    </row>
    <row r="184" spans="2:95" hidden="1" outlineLevel="1" x14ac:dyDescent="0.25">
      <c r="B184" s="156" t="str">
        <f>Table1[[#Headers],[Total Testes]]</f>
        <v>Total Testes</v>
      </c>
      <c r="C184" s="154" t="str">
        <f t="shared" si="17"/>
        <v>PROTECTION_PRMRY_ENRGY_DMND_NN_RNWBL</v>
      </c>
      <c r="D184" s="153" t="s">
        <v>1114</v>
      </c>
      <c r="E184" s="153" t="s">
        <v>1521</v>
      </c>
      <c r="G184" s="172">
        <f>INDEX(Table1[[Especificação]:[Total Testes]],MATCH(Sheet1!C184,Table1[CONCAT],0),MATCH(Sheet1!B184,Table1[[#Headers],[Especificação]:[Total Testes]],0))</f>
        <v>6</v>
      </c>
      <c r="H184" s="191">
        <f t="shared" si="18"/>
        <v>0.75</v>
      </c>
      <c r="I184" s="193"/>
      <c r="J184" s="170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  <c r="AA184" s="165"/>
      <c r="AB184" s="165"/>
      <c r="AC184" s="165"/>
      <c r="AD184" s="165"/>
      <c r="AE184" s="165"/>
      <c r="AF184" s="165"/>
      <c r="AG184" s="165"/>
      <c r="AH184" s="165"/>
      <c r="AI184" s="165"/>
      <c r="AJ184" s="165"/>
      <c r="AK184" s="165"/>
      <c r="AL184" s="165"/>
      <c r="AM184" s="165"/>
      <c r="AN184" s="165"/>
      <c r="AO184" s="165"/>
      <c r="AP184" s="165"/>
      <c r="AQ184" s="165"/>
      <c r="AR184" s="165"/>
      <c r="AS184" s="165"/>
      <c r="AT184" s="165"/>
      <c r="AU184" s="165"/>
      <c r="AV184" s="165"/>
      <c r="AW184" s="165"/>
      <c r="AX184" s="165"/>
      <c r="AY184" s="165"/>
      <c r="AZ184" s="165"/>
      <c r="BA184" s="165"/>
      <c r="BB184" s="170"/>
      <c r="BC184" s="165"/>
      <c r="BD184" s="165"/>
      <c r="BE184" s="165"/>
      <c r="BF184" s="165"/>
      <c r="BG184" s="165"/>
      <c r="BH184" s="165"/>
      <c r="BI184" s="165"/>
      <c r="BJ184" s="165"/>
      <c r="BK184" s="165"/>
      <c r="BL184" s="165"/>
      <c r="BM184" s="165"/>
      <c r="BN184" s="165"/>
      <c r="BO184" s="165"/>
      <c r="BP184" s="165"/>
      <c r="BQ184" s="165"/>
      <c r="BR184" s="165"/>
      <c r="BS184" s="165"/>
      <c r="BT184" s="165"/>
      <c r="BU184" s="165"/>
      <c r="BV184" s="165"/>
      <c r="BW184" s="165"/>
      <c r="BX184" s="165"/>
      <c r="BY184" s="165"/>
      <c r="BZ184" s="165"/>
      <c r="CA184" s="165"/>
      <c r="CB184" s="165"/>
      <c r="CC184" s="165"/>
      <c r="CD184" s="165"/>
      <c r="CE184" s="165"/>
      <c r="CF184" s="165"/>
      <c r="CG184" s="165"/>
      <c r="CH184" s="165"/>
      <c r="CI184" s="170"/>
      <c r="CJ184" s="165"/>
      <c r="CK184" s="165"/>
      <c r="CL184" s="165"/>
      <c r="CM184" s="165"/>
      <c r="CN184" s="170"/>
      <c r="CO184" s="165"/>
      <c r="CP184" s="165"/>
      <c r="CQ184" s="165"/>
    </row>
    <row r="185" spans="2:95" hidden="1" outlineLevel="1" x14ac:dyDescent="0.25">
      <c r="B185" s="156" t="str">
        <f>Table1[[#Headers],[Total Testes]]</f>
        <v>Total Testes</v>
      </c>
      <c r="C185" s="154" t="str">
        <f t="shared" si="17"/>
        <v>PROTECTION_PRMRY_ENRGY_DMND_TTL</v>
      </c>
      <c r="D185" s="153" t="s">
        <v>1114</v>
      </c>
      <c r="E185" s="153" t="s">
        <v>1524</v>
      </c>
      <c r="G185" s="172">
        <f>INDEX(Table1[[Especificação]:[Total Testes]],MATCH(Sheet1!C185,Table1[CONCAT],0),MATCH(Sheet1!B185,Table1[[#Headers],[Especificação]:[Total Testes]],0))</f>
        <v>7.5</v>
      </c>
      <c r="H185" s="191">
        <f t="shared" si="18"/>
        <v>0.94</v>
      </c>
      <c r="I185" s="193"/>
      <c r="J185" s="170"/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  <c r="AA185" s="165"/>
      <c r="AB185" s="165"/>
      <c r="AC185" s="165"/>
      <c r="AD185" s="165"/>
      <c r="AE185" s="165"/>
      <c r="AF185" s="165"/>
      <c r="AG185" s="165"/>
      <c r="AH185" s="165"/>
      <c r="AI185" s="165"/>
      <c r="AJ185" s="165"/>
      <c r="AK185" s="165"/>
      <c r="AL185" s="165"/>
      <c r="AM185" s="165"/>
      <c r="AN185" s="165"/>
      <c r="AO185" s="165"/>
      <c r="AP185" s="165"/>
      <c r="AQ185" s="165"/>
      <c r="AR185" s="165"/>
      <c r="AS185" s="165"/>
      <c r="AT185" s="165"/>
      <c r="AU185" s="165"/>
      <c r="AV185" s="165"/>
      <c r="AW185" s="165"/>
      <c r="AX185" s="165"/>
      <c r="AY185" s="165"/>
      <c r="AZ185" s="165"/>
      <c r="BA185" s="165"/>
      <c r="BB185" s="170"/>
      <c r="BC185" s="165"/>
      <c r="BD185" s="165"/>
      <c r="BE185" s="165"/>
      <c r="BF185" s="165"/>
      <c r="BG185" s="165"/>
      <c r="BH185" s="165"/>
      <c r="BI185" s="165"/>
      <c r="BJ185" s="165"/>
      <c r="BK185" s="165"/>
      <c r="BL185" s="165"/>
      <c r="BM185" s="165"/>
      <c r="BN185" s="165"/>
      <c r="BO185" s="165"/>
      <c r="BP185" s="165"/>
      <c r="BQ185" s="165"/>
      <c r="BR185" s="165"/>
      <c r="BS185" s="165"/>
      <c r="BT185" s="165"/>
      <c r="BU185" s="165"/>
      <c r="BV185" s="165"/>
      <c r="BW185" s="165"/>
      <c r="BX185" s="165"/>
      <c r="BY185" s="165"/>
      <c r="BZ185" s="165"/>
      <c r="CA185" s="165"/>
      <c r="CB185" s="165"/>
      <c r="CC185" s="165"/>
      <c r="CD185" s="165"/>
      <c r="CE185" s="165"/>
      <c r="CF185" s="165"/>
      <c r="CG185" s="165"/>
      <c r="CH185" s="165"/>
      <c r="CI185" s="170"/>
      <c r="CJ185" s="165"/>
      <c r="CK185" s="165"/>
      <c r="CL185" s="165"/>
      <c r="CM185" s="165"/>
      <c r="CN185" s="170"/>
      <c r="CO185" s="165"/>
      <c r="CP185" s="165"/>
      <c r="CQ185" s="165"/>
    </row>
    <row r="186" spans="2:95" hidden="1" outlineLevel="1" x14ac:dyDescent="0.25">
      <c r="B186" s="156" t="str">
        <f>Table1[[#Headers],[Total Testes]]</f>
        <v>Total Testes</v>
      </c>
      <c r="C186" s="154" t="str">
        <f t="shared" si="17"/>
        <v>PROTECTION_PRMRY_ENRGY_DMND_RFRNC_VL</v>
      </c>
      <c r="D186" s="153" t="s">
        <v>1114</v>
      </c>
      <c r="E186" s="153" t="s">
        <v>1527</v>
      </c>
      <c r="G186" s="172">
        <f>INDEX(Table1[[Especificação]:[Total Testes]],MATCH(Sheet1!C186,Table1[CONCAT],0),MATCH(Sheet1!B186,Table1[[#Headers],[Especificação]:[Total Testes]],0))</f>
        <v>7.5</v>
      </c>
      <c r="H186" s="191">
        <f t="shared" si="18"/>
        <v>0.94</v>
      </c>
      <c r="I186" s="193"/>
      <c r="J186" s="170"/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  <c r="AA186" s="165"/>
      <c r="AB186" s="165"/>
      <c r="AC186" s="165"/>
      <c r="AD186" s="165"/>
      <c r="AE186" s="165"/>
      <c r="AF186" s="165"/>
      <c r="AG186" s="165"/>
      <c r="AH186" s="165"/>
      <c r="AI186" s="165"/>
      <c r="AJ186" s="165"/>
      <c r="AK186" s="165"/>
      <c r="AL186" s="165"/>
      <c r="AM186" s="165"/>
      <c r="AN186" s="165"/>
      <c r="AO186" s="165"/>
      <c r="AP186" s="165"/>
      <c r="AQ186" s="165"/>
      <c r="AR186" s="165"/>
      <c r="AS186" s="165"/>
      <c r="AT186" s="165"/>
      <c r="AU186" s="165"/>
      <c r="AV186" s="165"/>
      <c r="AW186" s="165"/>
      <c r="AX186" s="165"/>
      <c r="AY186" s="165"/>
      <c r="AZ186" s="165"/>
      <c r="BA186" s="165"/>
      <c r="BB186" s="170"/>
      <c r="BC186" s="165"/>
      <c r="BD186" s="165"/>
      <c r="BE186" s="165"/>
      <c r="BF186" s="165"/>
      <c r="BG186" s="165"/>
      <c r="BH186" s="165"/>
      <c r="BI186" s="165"/>
      <c r="BJ186" s="165"/>
      <c r="BK186" s="165"/>
      <c r="BL186" s="165"/>
      <c r="BM186" s="165"/>
      <c r="BN186" s="165"/>
      <c r="BO186" s="165"/>
      <c r="BP186" s="165"/>
      <c r="BQ186" s="165"/>
      <c r="BR186" s="165"/>
      <c r="BS186" s="165"/>
      <c r="BT186" s="165"/>
      <c r="BU186" s="165"/>
      <c r="BV186" s="165"/>
      <c r="BW186" s="165"/>
      <c r="BX186" s="165"/>
      <c r="BY186" s="165"/>
      <c r="BZ186" s="165"/>
      <c r="CA186" s="165"/>
      <c r="CB186" s="165"/>
      <c r="CC186" s="165"/>
      <c r="CD186" s="165"/>
      <c r="CE186" s="165"/>
      <c r="CF186" s="165"/>
      <c r="CG186" s="165"/>
      <c r="CH186" s="165"/>
      <c r="CI186" s="170"/>
      <c r="CJ186" s="165"/>
      <c r="CK186" s="165"/>
      <c r="CL186" s="165"/>
      <c r="CM186" s="165"/>
      <c r="CN186" s="170"/>
      <c r="CO186" s="165"/>
      <c r="CP186" s="165"/>
      <c r="CQ186" s="165"/>
    </row>
    <row r="187" spans="2:95" hidden="1" outlineLevel="1" x14ac:dyDescent="0.25">
      <c r="B187" s="156" t="str">
        <f>Table1[[#Headers],[Total Testes]]</f>
        <v>Total Testes</v>
      </c>
      <c r="C187" s="154" t="str">
        <f t="shared" si="17"/>
        <v>PROTECTION_RL_ESTT_CLMT_ZN</v>
      </c>
      <c r="D187" s="153" t="s">
        <v>1114</v>
      </c>
      <c r="E187" s="153" t="s">
        <v>1530</v>
      </c>
      <c r="G187" s="172">
        <f>INDEX(Table1[[Especificação]:[Total Testes]],MATCH(Sheet1!C187,Table1[CONCAT],0),MATCH(Sheet1!B187,Table1[[#Headers],[Especificação]:[Total Testes]],0))</f>
        <v>8</v>
      </c>
      <c r="H187" s="191">
        <f t="shared" si="18"/>
        <v>1</v>
      </c>
      <c r="I187" s="193"/>
      <c r="J187" s="170"/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65"/>
      <c r="AB187" s="165"/>
      <c r="AC187" s="165"/>
      <c r="AD187" s="165"/>
      <c r="AE187" s="165"/>
      <c r="AF187" s="165"/>
      <c r="AG187" s="165"/>
      <c r="AH187" s="165"/>
      <c r="AI187" s="165"/>
      <c r="AJ187" s="165"/>
      <c r="AK187" s="165"/>
      <c r="AL187" s="165"/>
      <c r="AM187" s="165"/>
      <c r="AN187" s="165"/>
      <c r="AO187" s="165"/>
      <c r="AP187" s="165"/>
      <c r="AQ187" s="165"/>
      <c r="AR187" s="165"/>
      <c r="AS187" s="165"/>
      <c r="AT187" s="165"/>
      <c r="AU187" s="165"/>
      <c r="AV187" s="165"/>
      <c r="AW187" s="165"/>
      <c r="AX187" s="165"/>
      <c r="AY187" s="165"/>
      <c r="AZ187" s="165"/>
      <c r="BA187" s="165"/>
      <c r="BB187" s="170"/>
      <c r="BC187" s="165"/>
      <c r="BD187" s="165"/>
      <c r="BE187" s="165"/>
      <c r="BF187" s="165"/>
      <c r="BG187" s="165"/>
      <c r="BH187" s="165"/>
      <c r="BI187" s="165"/>
      <c r="BJ187" s="165"/>
      <c r="BK187" s="165"/>
      <c r="BL187" s="165"/>
      <c r="BM187" s="165"/>
      <c r="BN187" s="165"/>
      <c r="BO187" s="165"/>
      <c r="BP187" s="165"/>
      <c r="BQ187" s="165"/>
      <c r="BR187" s="165"/>
      <c r="BS187" s="165"/>
      <c r="BT187" s="165"/>
      <c r="BU187" s="165"/>
      <c r="BV187" s="165"/>
      <c r="BW187" s="165"/>
      <c r="BX187" s="165"/>
      <c r="BY187" s="165"/>
      <c r="BZ187" s="165"/>
      <c r="CA187" s="165"/>
      <c r="CB187" s="165"/>
      <c r="CC187" s="165"/>
      <c r="CD187" s="165"/>
      <c r="CE187" s="165"/>
      <c r="CF187" s="165"/>
      <c r="CG187" s="165"/>
      <c r="CH187" s="165"/>
      <c r="CI187" s="170"/>
      <c r="CJ187" s="165"/>
      <c r="CK187" s="165"/>
      <c r="CL187" s="165"/>
      <c r="CM187" s="165"/>
      <c r="CN187" s="170"/>
      <c r="CO187" s="165"/>
      <c r="CP187" s="165"/>
      <c r="CQ187" s="165"/>
    </row>
    <row r="188" spans="2:95" hidden="1" outlineLevel="1" x14ac:dyDescent="0.25">
      <c r="B188" s="156" t="str">
        <f>Table1[[#Headers],[Total Testes]]</f>
        <v>Total Testes</v>
      </c>
      <c r="C188" s="154" t="str">
        <f t="shared" si="17"/>
        <v>INSTR_ACTIVITY_COD_SOC</v>
      </c>
      <c r="D188" s="153" t="s">
        <v>1542</v>
      </c>
      <c r="E188" s="153" t="s">
        <v>12</v>
      </c>
      <c r="G188" s="172">
        <f>INDEX(Table1[[Especificação]:[Total Testes]],MATCH(Sheet1!C188,Table1[CONCAT],0),MATCH(Sheet1!B188,Table1[[#Headers],[Especificação]:[Total Testes]],0))</f>
        <v>2.5</v>
      </c>
      <c r="H188" s="191">
        <f t="shared" si="18"/>
        <v>0.31</v>
      </c>
      <c r="I188" s="193"/>
      <c r="J188" s="170"/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165"/>
      <c r="AB188" s="165"/>
      <c r="AC188" s="165"/>
      <c r="AD188" s="165"/>
      <c r="AE188" s="165"/>
      <c r="AF188" s="165"/>
      <c r="AG188" s="165"/>
      <c r="AH188" s="165"/>
      <c r="AI188" s="165"/>
      <c r="AJ188" s="165"/>
      <c r="AK188" s="165"/>
      <c r="AL188" s="165"/>
      <c r="AM188" s="165"/>
      <c r="AN188" s="165"/>
      <c r="AO188" s="165"/>
      <c r="AP188" s="165"/>
      <c r="AQ188" s="165"/>
      <c r="AR188" s="165"/>
      <c r="AS188" s="165"/>
      <c r="AT188" s="165"/>
      <c r="AU188" s="165"/>
      <c r="AV188" s="165"/>
      <c r="AW188" s="165"/>
      <c r="AX188" s="165"/>
      <c r="AY188" s="165"/>
      <c r="AZ188" s="165"/>
      <c r="BA188" s="165"/>
      <c r="BB188" s="170"/>
      <c r="BC188" s="165"/>
      <c r="BD188" s="165"/>
      <c r="BE188" s="165"/>
      <c r="BF188" s="165"/>
      <c r="BG188" s="165"/>
      <c r="BH188" s="165"/>
      <c r="BI188" s="165"/>
      <c r="BJ188" s="165"/>
      <c r="BK188" s="165"/>
      <c r="BL188" s="165"/>
      <c r="BM188" s="165"/>
      <c r="BN188" s="165"/>
      <c r="BO188" s="165"/>
      <c r="BP188" s="165"/>
      <c r="BQ188" s="165"/>
      <c r="BR188" s="165"/>
      <c r="BS188" s="165"/>
      <c r="BT188" s="165"/>
      <c r="BU188" s="165"/>
      <c r="BV188" s="165"/>
      <c r="BW188" s="165"/>
      <c r="BX188" s="165"/>
      <c r="BY188" s="165"/>
      <c r="BZ188" s="165"/>
      <c r="CA188" s="165"/>
      <c r="CB188" s="165"/>
      <c r="CC188" s="165"/>
      <c r="CD188" s="165"/>
      <c r="CE188" s="165"/>
      <c r="CF188" s="165"/>
      <c r="CG188" s="165"/>
      <c r="CH188" s="165"/>
      <c r="CI188" s="170"/>
      <c r="CJ188" s="165"/>
      <c r="CK188" s="165"/>
      <c r="CL188" s="165"/>
      <c r="CM188" s="165"/>
      <c r="CN188" s="170"/>
      <c r="CO188" s="165"/>
      <c r="CP188" s="165"/>
      <c r="CQ188" s="165"/>
    </row>
    <row r="189" spans="2:95" hidden="1" outlineLevel="1" x14ac:dyDescent="0.25">
      <c r="B189" s="156" t="str">
        <f>Table1[[#Headers],[Total Testes]]</f>
        <v>Total Testes</v>
      </c>
      <c r="C189" s="154" t="str">
        <f t="shared" si="17"/>
        <v>INSTR_ACTIVITY_DT_RFRNC</v>
      </c>
      <c r="D189" s="153" t="s">
        <v>1542</v>
      </c>
      <c r="E189" s="153" t="s">
        <v>38</v>
      </c>
      <c r="G189" s="172">
        <f>INDEX(Table1[[Especificação]:[Total Testes]],MATCH(Sheet1!C189,Table1[CONCAT],0),MATCH(Sheet1!B189,Table1[[#Headers],[Especificação]:[Total Testes]],0))</f>
        <v>2.5</v>
      </c>
      <c r="H189" s="191">
        <f t="shared" si="18"/>
        <v>0.31</v>
      </c>
      <c r="I189" s="193"/>
      <c r="J189" s="170"/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  <c r="AA189" s="165"/>
      <c r="AB189" s="165"/>
      <c r="AC189" s="165"/>
      <c r="AD189" s="165"/>
      <c r="AE189" s="165"/>
      <c r="AF189" s="165"/>
      <c r="AG189" s="165"/>
      <c r="AH189" s="165"/>
      <c r="AI189" s="165"/>
      <c r="AJ189" s="165"/>
      <c r="AK189" s="165"/>
      <c r="AL189" s="165"/>
      <c r="AM189" s="165"/>
      <c r="AN189" s="165"/>
      <c r="AO189" s="165"/>
      <c r="AP189" s="165"/>
      <c r="AQ189" s="165"/>
      <c r="AR189" s="165"/>
      <c r="AS189" s="165"/>
      <c r="AT189" s="165"/>
      <c r="AU189" s="165"/>
      <c r="AV189" s="165"/>
      <c r="AW189" s="165"/>
      <c r="AX189" s="165"/>
      <c r="AY189" s="165"/>
      <c r="AZ189" s="165"/>
      <c r="BA189" s="165"/>
      <c r="BB189" s="170"/>
      <c r="BC189" s="165"/>
      <c r="BD189" s="165"/>
      <c r="BE189" s="165"/>
      <c r="BF189" s="165"/>
      <c r="BG189" s="165"/>
      <c r="BH189" s="165"/>
      <c r="BI189" s="165"/>
      <c r="BJ189" s="165"/>
      <c r="BK189" s="165"/>
      <c r="BL189" s="165"/>
      <c r="BM189" s="165"/>
      <c r="BN189" s="165"/>
      <c r="BO189" s="165"/>
      <c r="BP189" s="165"/>
      <c r="BQ189" s="165"/>
      <c r="BR189" s="165"/>
      <c r="BS189" s="165"/>
      <c r="BT189" s="165"/>
      <c r="BU189" s="165"/>
      <c r="BV189" s="165"/>
      <c r="BW189" s="165"/>
      <c r="BX189" s="165"/>
      <c r="BY189" s="165"/>
      <c r="BZ189" s="165"/>
      <c r="CA189" s="165"/>
      <c r="CB189" s="165"/>
      <c r="CC189" s="165"/>
      <c r="CD189" s="165"/>
      <c r="CE189" s="165"/>
      <c r="CF189" s="165"/>
      <c r="CG189" s="165"/>
      <c r="CH189" s="165"/>
      <c r="CI189" s="170"/>
      <c r="CJ189" s="165"/>
      <c r="CK189" s="165"/>
      <c r="CL189" s="165"/>
      <c r="CM189" s="165"/>
      <c r="CN189" s="170"/>
      <c r="CO189" s="165"/>
      <c r="CP189" s="165"/>
      <c r="CQ189" s="165"/>
    </row>
    <row r="190" spans="2:95" hidden="1" outlineLevel="1" x14ac:dyDescent="0.25">
      <c r="B190" s="156" t="str">
        <f>Table1[[#Headers],[Total Testes]]</f>
        <v>Total Testes</v>
      </c>
      <c r="C190" s="154" t="str">
        <f t="shared" si="17"/>
        <v>INSTR_ACTIVITY_INSTRMNT_ID</v>
      </c>
      <c r="D190" s="153" t="s">
        <v>1542</v>
      </c>
      <c r="E190" s="153" t="s">
        <v>405</v>
      </c>
      <c r="G190" s="172">
        <f>INDEX(Table1[[Especificação]:[Total Testes]],MATCH(Sheet1!C190,Table1[CONCAT],0),MATCH(Sheet1!B190,Table1[[#Headers],[Especificação]:[Total Testes]],0))</f>
        <v>2.5</v>
      </c>
      <c r="H190" s="191">
        <f t="shared" si="18"/>
        <v>0.31</v>
      </c>
      <c r="I190" s="193"/>
      <c r="J190" s="170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  <c r="AA190" s="165"/>
      <c r="AB190" s="165"/>
      <c r="AC190" s="165"/>
      <c r="AD190" s="165"/>
      <c r="AE190" s="165"/>
      <c r="AF190" s="165"/>
      <c r="AG190" s="165"/>
      <c r="AH190" s="165"/>
      <c r="AI190" s="165"/>
      <c r="AJ190" s="165"/>
      <c r="AK190" s="165"/>
      <c r="AL190" s="165"/>
      <c r="AM190" s="165"/>
      <c r="AN190" s="165"/>
      <c r="AO190" s="165"/>
      <c r="AP190" s="165"/>
      <c r="AQ190" s="165"/>
      <c r="AR190" s="165"/>
      <c r="AS190" s="165"/>
      <c r="AT190" s="165"/>
      <c r="AU190" s="165"/>
      <c r="AV190" s="165"/>
      <c r="AW190" s="165"/>
      <c r="AX190" s="165"/>
      <c r="AY190" s="165"/>
      <c r="AZ190" s="165"/>
      <c r="BA190" s="165"/>
      <c r="BB190" s="170"/>
      <c r="BC190" s="165"/>
      <c r="BD190" s="165"/>
      <c r="BE190" s="165"/>
      <c r="BF190" s="165"/>
      <c r="BG190" s="165"/>
      <c r="BH190" s="165"/>
      <c r="BI190" s="165"/>
      <c r="BJ190" s="165"/>
      <c r="BK190" s="165"/>
      <c r="BL190" s="165"/>
      <c r="BM190" s="165"/>
      <c r="BN190" s="165"/>
      <c r="BO190" s="165"/>
      <c r="BP190" s="165"/>
      <c r="BQ190" s="165"/>
      <c r="BR190" s="165"/>
      <c r="BS190" s="165"/>
      <c r="BT190" s="165"/>
      <c r="BU190" s="165"/>
      <c r="BV190" s="165"/>
      <c r="BW190" s="165"/>
      <c r="BX190" s="165"/>
      <c r="BY190" s="165"/>
      <c r="BZ190" s="165"/>
      <c r="CA190" s="165"/>
      <c r="CB190" s="165"/>
      <c r="CC190" s="165"/>
      <c r="CD190" s="165"/>
      <c r="CE190" s="165"/>
      <c r="CF190" s="165"/>
      <c r="CG190" s="165"/>
      <c r="CH190" s="165"/>
      <c r="CI190" s="170"/>
      <c r="CJ190" s="165"/>
      <c r="CK190" s="165"/>
      <c r="CL190" s="165"/>
      <c r="CM190" s="165"/>
      <c r="CN190" s="170"/>
      <c r="CO190" s="165"/>
      <c r="CP190" s="165"/>
      <c r="CQ190" s="165"/>
    </row>
    <row r="191" spans="2:95" hidden="1" outlineLevel="1" x14ac:dyDescent="0.25">
      <c r="B191" s="156" t="str">
        <f>Table1[[#Headers],[Total Testes]]</f>
        <v>Total Testes</v>
      </c>
      <c r="C191" s="154" t="str">
        <f t="shared" si="17"/>
        <v>INSTR_ACTIVITY_PRCNTG_ACTVTY</v>
      </c>
      <c r="D191" s="153" t="s">
        <v>1542</v>
      </c>
      <c r="E191" s="153" t="s">
        <v>1548</v>
      </c>
      <c r="G191" s="172">
        <f>INDEX(Table1[[Especificação]:[Total Testes]],MATCH(Sheet1!C191,Table1[CONCAT],0),MATCH(Sheet1!B191,Table1[[#Headers],[Especificação]:[Total Testes]],0))</f>
        <v>4.5</v>
      </c>
      <c r="H191" s="191">
        <f t="shared" si="18"/>
        <v>0.56000000000000005</v>
      </c>
      <c r="I191" s="193"/>
      <c r="J191" s="170"/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  <c r="AA191" s="165"/>
      <c r="AB191" s="165"/>
      <c r="AC191" s="165"/>
      <c r="AD191" s="165"/>
      <c r="AE191" s="165"/>
      <c r="AF191" s="165"/>
      <c r="AG191" s="165"/>
      <c r="AH191" s="165"/>
      <c r="AI191" s="165"/>
      <c r="AJ191" s="165"/>
      <c r="AK191" s="165"/>
      <c r="AL191" s="165"/>
      <c r="AM191" s="165"/>
      <c r="AN191" s="165"/>
      <c r="AO191" s="165"/>
      <c r="AP191" s="165"/>
      <c r="AQ191" s="165"/>
      <c r="AR191" s="165"/>
      <c r="AS191" s="165"/>
      <c r="AT191" s="165"/>
      <c r="AU191" s="165"/>
      <c r="AV191" s="165"/>
      <c r="AW191" s="165"/>
      <c r="AX191" s="165"/>
      <c r="AY191" s="165"/>
      <c r="AZ191" s="165"/>
      <c r="BA191" s="165"/>
      <c r="BB191" s="170"/>
      <c r="BC191" s="165"/>
      <c r="BD191" s="165"/>
      <c r="BE191" s="165"/>
      <c r="BF191" s="165"/>
      <c r="BG191" s="165"/>
      <c r="BH191" s="165"/>
      <c r="BI191" s="165"/>
      <c r="BJ191" s="165"/>
      <c r="BK191" s="165"/>
      <c r="BL191" s="165"/>
      <c r="BM191" s="165"/>
      <c r="BN191" s="165"/>
      <c r="BO191" s="165"/>
      <c r="BP191" s="165"/>
      <c r="BQ191" s="165"/>
      <c r="BR191" s="165"/>
      <c r="BS191" s="165"/>
      <c r="BT191" s="165"/>
      <c r="BU191" s="165"/>
      <c r="BV191" s="165"/>
      <c r="BW191" s="165"/>
      <c r="BX191" s="165"/>
      <c r="BY191" s="165"/>
      <c r="BZ191" s="165"/>
      <c r="CA191" s="165"/>
      <c r="CB191" s="165"/>
      <c r="CC191" s="165"/>
      <c r="CD191" s="165"/>
      <c r="CE191" s="165"/>
      <c r="CF191" s="165"/>
      <c r="CG191" s="165"/>
      <c r="CH191" s="165"/>
      <c r="CI191" s="170"/>
      <c r="CJ191" s="165"/>
      <c r="CK191" s="165"/>
      <c r="CL191" s="165"/>
      <c r="CM191" s="165"/>
      <c r="CN191" s="170"/>
      <c r="CO191" s="165"/>
      <c r="CP191" s="165"/>
      <c r="CQ191" s="165"/>
    </row>
    <row r="192" spans="2:95" hidden="1" outlineLevel="1" x14ac:dyDescent="0.25">
      <c r="B192" s="156" t="str">
        <f>Table1[[#Headers],[Total Testes]]</f>
        <v>Total Testes</v>
      </c>
      <c r="C192" s="154" t="str">
        <f t="shared" si="17"/>
        <v>INSTR_ACTIVITY_FLG_SBSTNTL_CNTRBTN</v>
      </c>
      <c r="D192" s="153" t="s">
        <v>1542</v>
      </c>
      <c r="E192" s="153" t="s">
        <v>1554</v>
      </c>
      <c r="G192" s="172">
        <f>INDEX(Table1[[Especificação]:[Total Testes]],MATCH(Sheet1!C192,Table1[CONCAT],0),MATCH(Sheet1!B192,Table1[[#Headers],[Especificação]:[Total Testes]],0))</f>
        <v>4.5</v>
      </c>
      <c r="H192" s="191">
        <f t="shared" si="18"/>
        <v>0.56000000000000005</v>
      </c>
      <c r="I192" s="193"/>
      <c r="J192" s="170"/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  <c r="AA192" s="165"/>
      <c r="AB192" s="165"/>
      <c r="AC192" s="165"/>
      <c r="AD192" s="165"/>
      <c r="AE192" s="165"/>
      <c r="AF192" s="165"/>
      <c r="AG192" s="165"/>
      <c r="AH192" s="165"/>
      <c r="AI192" s="165"/>
      <c r="AJ192" s="165"/>
      <c r="AK192" s="165"/>
      <c r="AL192" s="165"/>
      <c r="AM192" s="165"/>
      <c r="AN192" s="165"/>
      <c r="AO192" s="165"/>
      <c r="AP192" s="165"/>
      <c r="AQ192" s="165"/>
      <c r="AR192" s="165"/>
      <c r="AS192" s="165"/>
      <c r="AT192" s="165"/>
      <c r="AU192" s="165"/>
      <c r="AV192" s="165"/>
      <c r="AW192" s="165"/>
      <c r="AX192" s="165"/>
      <c r="AY192" s="165"/>
      <c r="AZ192" s="165"/>
      <c r="BA192" s="165"/>
      <c r="BB192" s="170"/>
      <c r="BC192" s="165"/>
      <c r="BD192" s="165"/>
      <c r="BE192" s="165"/>
      <c r="BF192" s="165"/>
      <c r="BG192" s="165"/>
      <c r="BH192" s="165"/>
      <c r="BI192" s="165"/>
      <c r="BJ192" s="165"/>
      <c r="BK192" s="165"/>
      <c r="BL192" s="165"/>
      <c r="BM192" s="165"/>
      <c r="BN192" s="165"/>
      <c r="BO192" s="165"/>
      <c r="BP192" s="165"/>
      <c r="BQ192" s="165"/>
      <c r="BR192" s="165"/>
      <c r="BS192" s="165"/>
      <c r="BT192" s="165"/>
      <c r="BU192" s="165"/>
      <c r="BV192" s="165"/>
      <c r="BW192" s="165"/>
      <c r="BX192" s="165"/>
      <c r="BY192" s="165"/>
      <c r="BZ192" s="165"/>
      <c r="CA192" s="165"/>
      <c r="CB192" s="165"/>
      <c r="CC192" s="165"/>
      <c r="CD192" s="165"/>
      <c r="CE192" s="165"/>
      <c r="CF192" s="165"/>
      <c r="CG192" s="165"/>
      <c r="CH192" s="165"/>
      <c r="CI192" s="170"/>
      <c r="CJ192" s="165"/>
      <c r="CK192" s="165"/>
      <c r="CL192" s="165"/>
      <c r="CM192" s="165"/>
      <c r="CN192" s="170"/>
      <c r="CO192" s="165"/>
      <c r="CP192" s="165"/>
      <c r="CQ192" s="165"/>
    </row>
    <row r="193" spans="2:95" hidden="1" outlineLevel="1" x14ac:dyDescent="0.25">
      <c r="B193" s="156" t="str">
        <f>Table1[[#Headers],[Total Testes]]</f>
        <v>Total Testes</v>
      </c>
      <c r="C193" s="154" t="str">
        <f t="shared" si="17"/>
        <v>INSTR_ACTIVITY_FLG_DNSH_CMPLNC</v>
      </c>
      <c r="D193" s="153" t="s">
        <v>1542</v>
      </c>
      <c r="E193" s="153" t="s">
        <v>1557</v>
      </c>
      <c r="G193" s="172">
        <f>INDEX(Table1[[Especificação]:[Total Testes]],MATCH(Sheet1!C193,Table1[CONCAT],0),MATCH(Sheet1!B193,Table1[[#Headers],[Especificação]:[Total Testes]],0))</f>
        <v>0</v>
      </c>
      <c r="H193" s="191">
        <f t="shared" si="18"/>
        <v>0</v>
      </c>
      <c r="I193" s="193"/>
      <c r="J193" s="170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  <c r="AA193" s="165"/>
      <c r="AB193" s="165"/>
      <c r="AC193" s="165"/>
      <c r="AD193" s="165"/>
      <c r="AE193" s="165"/>
      <c r="AF193" s="165"/>
      <c r="AG193" s="165"/>
      <c r="AH193" s="165"/>
      <c r="AI193" s="165"/>
      <c r="AJ193" s="165"/>
      <c r="AK193" s="165"/>
      <c r="AL193" s="165"/>
      <c r="AM193" s="165"/>
      <c r="AN193" s="165"/>
      <c r="AO193" s="165"/>
      <c r="AP193" s="165"/>
      <c r="AQ193" s="165"/>
      <c r="AR193" s="165"/>
      <c r="AS193" s="165"/>
      <c r="AT193" s="165"/>
      <c r="AU193" s="165"/>
      <c r="AV193" s="165"/>
      <c r="AW193" s="165"/>
      <c r="AX193" s="165"/>
      <c r="AY193" s="165"/>
      <c r="AZ193" s="165"/>
      <c r="BA193" s="165"/>
      <c r="BB193" s="170"/>
      <c r="BC193" s="165"/>
      <c r="BD193" s="165"/>
      <c r="BE193" s="165"/>
      <c r="BF193" s="165"/>
      <c r="BG193" s="165"/>
      <c r="BH193" s="165"/>
      <c r="BI193" s="165"/>
      <c r="BJ193" s="165"/>
      <c r="BK193" s="165"/>
      <c r="BL193" s="165"/>
      <c r="BM193" s="165"/>
      <c r="BN193" s="165"/>
      <c r="BO193" s="165"/>
      <c r="BP193" s="165"/>
      <c r="BQ193" s="165"/>
      <c r="BR193" s="165"/>
      <c r="BS193" s="165"/>
      <c r="BT193" s="165"/>
      <c r="BU193" s="165"/>
      <c r="BV193" s="165"/>
      <c r="BW193" s="165"/>
      <c r="BX193" s="165"/>
      <c r="BY193" s="165"/>
      <c r="BZ193" s="165"/>
      <c r="CA193" s="165"/>
      <c r="CB193" s="165"/>
      <c r="CC193" s="165"/>
      <c r="CD193" s="165"/>
      <c r="CE193" s="165"/>
      <c r="CF193" s="165"/>
      <c r="CG193" s="165"/>
      <c r="CH193" s="165"/>
      <c r="CI193" s="170"/>
      <c r="CJ193" s="165"/>
      <c r="CK193" s="165"/>
      <c r="CL193" s="165"/>
      <c r="CM193" s="165"/>
      <c r="CN193" s="170"/>
      <c r="CO193" s="165"/>
      <c r="CP193" s="165"/>
      <c r="CQ193" s="165"/>
    </row>
    <row r="194" spans="2:95" hidden="1" outlineLevel="1" x14ac:dyDescent="0.25">
      <c r="B194" s="156" t="str">
        <f>Table1[[#Headers],[Total Testes]]</f>
        <v>Total Testes</v>
      </c>
      <c r="C194" s="154" t="str">
        <f t="shared" si="17"/>
        <v>INSTR_ACTIVITY_DNSH_DTL</v>
      </c>
      <c r="D194" s="153" t="s">
        <v>1542</v>
      </c>
      <c r="E194" s="153" t="s">
        <v>1560</v>
      </c>
      <c r="G194" s="172">
        <f>INDEX(Table1[[Especificação]:[Total Testes]],MATCH(Sheet1!C194,Table1[CONCAT],0),MATCH(Sheet1!B194,Table1[[#Headers],[Especificação]:[Total Testes]],0))</f>
        <v>0</v>
      </c>
      <c r="H194" s="191">
        <f t="shared" si="18"/>
        <v>0</v>
      </c>
      <c r="I194" s="193"/>
      <c r="J194" s="170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  <c r="AA194" s="165"/>
      <c r="AB194" s="165"/>
      <c r="AC194" s="165"/>
      <c r="AD194" s="165"/>
      <c r="AE194" s="165"/>
      <c r="AF194" s="165"/>
      <c r="AG194" s="165"/>
      <c r="AH194" s="165"/>
      <c r="AI194" s="165"/>
      <c r="AJ194" s="165"/>
      <c r="AK194" s="165"/>
      <c r="AL194" s="165"/>
      <c r="AM194" s="165"/>
      <c r="AN194" s="165"/>
      <c r="AO194" s="165"/>
      <c r="AP194" s="165"/>
      <c r="AQ194" s="165"/>
      <c r="AR194" s="165"/>
      <c r="AS194" s="165"/>
      <c r="AT194" s="165"/>
      <c r="AU194" s="165"/>
      <c r="AV194" s="165"/>
      <c r="AW194" s="165"/>
      <c r="AX194" s="165"/>
      <c r="AY194" s="165"/>
      <c r="AZ194" s="165"/>
      <c r="BA194" s="165"/>
      <c r="BB194" s="170"/>
      <c r="BC194" s="165"/>
      <c r="BD194" s="165"/>
      <c r="BE194" s="165"/>
      <c r="BF194" s="165"/>
      <c r="BG194" s="165"/>
      <c r="BH194" s="165"/>
      <c r="BI194" s="165"/>
      <c r="BJ194" s="165"/>
      <c r="BK194" s="165"/>
      <c r="BL194" s="165"/>
      <c r="BM194" s="165"/>
      <c r="BN194" s="165"/>
      <c r="BO194" s="165"/>
      <c r="BP194" s="165"/>
      <c r="BQ194" s="165"/>
      <c r="BR194" s="165"/>
      <c r="BS194" s="165"/>
      <c r="BT194" s="165"/>
      <c r="BU194" s="165"/>
      <c r="BV194" s="165"/>
      <c r="BW194" s="165"/>
      <c r="BX194" s="165"/>
      <c r="BY194" s="165"/>
      <c r="BZ194" s="165"/>
      <c r="CA194" s="165"/>
      <c r="CB194" s="165"/>
      <c r="CC194" s="165"/>
      <c r="CD194" s="165"/>
      <c r="CE194" s="165"/>
      <c r="CF194" s="165"/>
      <c r="CG194" s="165"/>
      <c r="CH194" s="165"/>
      <c r="CI194" s="170"/>
      <c r="CJ194" s="165"/>
      <c r="CK194" s="165"/>
      <c r="CL194" s="165"/>
      <c r="CM194" s="165"/>
      <c r="CN194" s="170"/>
      <c r="CO194" s="165"/>
      <c r="CP194" s="165"/>
      <c r="CQ194" s="165"/>
    </row>
    <row r="195" spans="2:95" hidden="1" outlineLevel="1" x14ac:dyDescent="0.25">
      <c r="B195" s="156" t="str">
        <f>Table1[[#Headers],[Total Testes]]</f>
        <v>Total Testes</v>
      </c>
      <c r="C195" s="154" t="str">
        <f t="shared" si="17"/>
        <v>ENTITY_GRP_ECNMC_ACTVTY</v>
      </c>
      <c r="D195" s="153" t="s">
        <v>10</v>
      </c>
      <c r="E195" s="153" t="s">
        <v>382</v>
      </c>
      <c r="G195" s="172">
        <f>INDEX(Table1[[Especificação]:[Total Testes]],MATCH(Sheet1!C195,Table1[CONCAT],0),MATCH(Sheet1!B195,Table1[[#Headers],[Especificação]:[Total Testes]],0))</f>
        <v>3.5</v>
      </c>
      <c r="H195" s="191">
        <f t="shared" si="18"/>
        <v>0.44</v>
      </c>
      <c r="I195" s="193"/>
      <c r="J195" s="170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  <c r="AA195" s="165"/>
      <c r="AB195" s="165"/>
      <c r="AC195" s="165"/>
      <c r="AD195" s="165"/>
      <c r="AE195" s="165"/>
      <c r="AF195" s="165"/>
      <c r="AG195" s="165"/>
      <c r="AH195" s="165"/>
      <c r="AI195" s="165"/>
      <c r="AJ195" s="165"/>
      <c r="AK195" s="165"/>
      <c r="AL195" s="165"/>
      <c r="AM195" s="165"/>
      <c r="AN195" s="165"/>
      <c r="AO195" s="165"/>
      <c r="AP195" s="165"/>
      <c r="AQ195" s="165"/>
      <c r="AR195" s="165"/>
      <c r="AS195" s="165"/>
      <c r="AT195" s="165"/>
      <c r="AU195" s="165"/>
      <c r="AV195" s="165"/>
      <c r="AW195" s="165"/>
      <c r="AX195" s="165"/>
      <c r="AY195" s="165"/>
      <c r="AZ195" s="165"/>
      <c r="BA195" s="165"/>
      <c r="BB195" s="170"/>
      <c r="BC195" s="165"/>
      <c r="BD195" s="165"/>
      <c r="BE195" s="165"/>
      <c r="BF195" s="165"/>
      <c r="BG195" s="165"/>
      <c r="BH195" s="165"/>
      <c r="BI195" s="165"/>
      <c r="BJ195" s="165"/>
      <c r="BK195" s="165"/>
      <c r="BL195" s="165"/>
      <c r="BM195" s="165"/>
      <c r="BN195" s="165"/>
      <c r="BO195" s="165"/>
      <c r="BP195" s="165"/>
      <c r="BQ195" s="165"/>
      <c r="BR195" s="165"/>
      <c r="BS195" s="165"/>
      <c r="BT195" s="165"/>
      <c r="BU195" s="165"/>
      <c r="BV195" s="165"/>
      <c r="BW195" s="165"/>
      <c r="BX195" s="165"/>
      <c r="BY195" s="165"/>
      <c r="BZ195" s="165"/>
      <c r="CA195" s="165"/>
      <c r="CB195" s="165"/>
      <c r="CC195" s="165"/>
      <c r="CD195" s="165"/>
      <c r="CE195" s="165"/>
      <c r="CF195" s="165"/>
      <c r="CG195" s="165"/>
      <c r="CH195" s="165"/>
      <c r="CI195" s="170"/>
      <c r="CJ195" s="165"/>
      <c r="CK195" s="165"/>
      <c r="CL195" s="165"/>
      <c r="CM195" s="165"/>
      <c r="CN195" s="170"/>
      <c r="CO195" s="165"/>
      <c r="CP195" s="165"/>
      <c r="CQ195" s="165"/>
    </row>
    <row r="196" spans="2:95" hidden="1" outlineLevel="1" x14ac:dyDescent="0.25">
      <c r="B196" s="156" t="str">
        <f>Table1[[#Headers],[Total Testes]]</f>
        <v>Total Testes</v>
      </c>
      <c r="C196" s="154" t="str">
        <f t="shared" si="17"/>
        <v>PROTECTION_TYP_EMSSNS_LBL</v>
      </c>
      <c r="D196" s="153" t="s">
        <v>1114</v>
      </c>
      <c r="E196" s="153" t="s">
        <v>1235</v>
      </c>
      <c r="G196" s="172">
        <f>INDEX(Table1[[Especificação]:[Total Testes]],MATCH(Sheet1!C196,Table1[CONCAT],0),MATCH(Sheet1!B196,Table1[[#Headers],[Especificação]:[Total Testes]],0))</f>
        <v>0</v>
      </c>
      <c r="H196" s="191">
        <f t="shared" si="18"/>
        <v>0</v>
      </c>
      <c r="I196" s="193"/>
      <c r="J196" s="170"/>
      <c r="K196" s="165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  <c r="AA196" s="165"/>
      <c r="AB196" s="165"/>
      <c r="AC196" s="165"/>
      <c r="AD196" s="165"/>
      <c r="AE196" s="165"/>
      <c r="AF196" s="165"/>
      <c r="AG196" s="165"/>
      <c r="AH196" s="165"/>
      <c r="AI196" s="165"/>
      <c r="AJ196" s="165"/>
      <c r="AK196" s="165"/>
      <c r="AL196" s="165"/>
      <c r="AM196" s="165"/>
      <c r="AN196" s="165"/>
      <c r="AO196" s="165"/>
      <c r="AP196" s="165"/>
      <c r="AQ196" s="165"/>
      <c r="AR196" s="165"/>
      <c r="AS196" s="165"/>
      <c r="AT196" s="165"/>
      <c r="AU196" s="165"/>
      <c r="AV196" s="165"/>
      <c r="AW196" s="165"/>
      <c r="AX196" s="165"/>
      <c r="AY196" s="165"/>
      <c r="AZ196" s="165"/>
      <c r="BA196" s="165"/>
      <c r="BB196" s="170"/>
      <c r="BC196" s="165"/>
      <c r="BD196" s="165"/>
      <c r="BE196" s="165"/>
      <c r="BF196" s="165"/>
      <c r="BG196" s="165"/>
      <c r="BH196" s="165"/>
      <c r="BI196" s="165"/>
      <c r="BJ196" s="165"/>
      <c r="BK196" s="165"/>
      <c r="BL196" s="165"/>
      <c r="BM196" s="165"/>
      <c r="BN196" s="165"/>
      <c r="BO196" s="165"/>
      <c r="BP196" s="165"/>
      <c r="BQ196" s="165"/>
      <c r="BR196" s="165"/>
      <c r="BS196" s="165"/>
      <c r="BT196" s="165"/>
      <c r="BU196" s="165"/>
      <c r="BV196" s="165"/>
      <c r="BW196" s="165"/>
      <c r="BX196" s="165"/>
      <c r="BY196" s="165"/>
      <c r="BZ196" s="165"/>
      <c r="CA196" s="165"/>
      <c r="CB196" s="165"/>
      <c r="CC196" s="165"/>
      <c r="CD196" s="165"/>
      <c r="CE196" s="165"/>
      <c r="CF196" s="165"/>
      <c r="CG196" s="165"/>
      <c r="CH196" s="165"/>
      <c r="CI196" s="170"/>
      <c r="CJ196" s="165"/>
      <c r="CK196" s="165"/>
      <c r="CL196" s="165"/>
      <c r="CM196" s="165"/>
      <c r="CN196" s="170"/>
      <c r="CO196" s="165"/>
      <c r="CP196" s="165"/>
      <c r="CQ196" s="165"/>
    </row>
    <row r="197" spans="2:95" hidden="1" outlineLevel="1" x14ac:dyDescent="0.25">
      <c r="B197" s="156" t="str">
        <f>Table1[[#Headers],[Total Testes]]</f>
        <v>Total Testes</v>
      </c>
      <c r="C197" s="154" t="str">
        <f t="shared" si="17"/>
        <v>PROTECTION_EPC_EMSSNS_LBL</v>
      </c>
      <c r="D197" s="153" t="s">
        <v>1114</v>
      </c>
      <c r="E197" s="153" t="s">
        <v>1238</v>
      </c>
      <c r="G197" s="172">
        <f>INDEX(Table1[[Especificação]:[Total Testes]],MATCH(Sheet1!C197,Table1[CONCAT],0),MATCH(Sheet1!B197,Table1[[#Headers],[Especificação]:[Total Testes]],0))</f>
        <v>0</v>
      </c>
      <c r="H197" s="191">
        <f t="shared" si="18"/>
        <v>0</v>
      </c>
      <c r="I197" s="193"/>
      <c r="J197" s="170"/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  <c r="AA197" s="165"/>
      <c r="AB197" s="165"/>
      <c r="AC197" s="165"/>
      <c r="AD197" s="165"/>
      <c r="AE197" s="165"/>
      <c r="AF197" s="165"/>
      <c r="AG197" s="165"/>
      <c r="AH197" s="165"/>
      <c r="AI197" s="165"/>
      <c r="AJ197" s="165"/>
      <c r="AK197" s="165"/>
      <c r="AL197" s="165"/>
      <c r="AM197" s="165"/>
      <c r="AN197" s="165"/>
      <c r="AO197" s="165"/>
      <c r="AP197" s="165"/>
      <c r="AQ197" s="165"/>
      <c r="AR197" s="165"/>
      <c r="AS197" s="165"/>
      <c r="AT197" s="165"/>
      <c r="AU197" s="165"/>
      <c r="AV197" s="165"/>
      <c r="AW197" s="165"/>
      <c r="AX197" s="165"/>
      <c r="AY197" s="165"/>
      <c r="AZ197" s="165"/>
      <c r="BA197" s="165"/>
      <c r="BB197" s="170"/>
      <c r="BC197" s="165"/>
      <c r="BD197" s="165"/>
      <c r="BE197" s="165"/>
      <c r="BF197" s="165"/>
      <c r="BG197" s="165"/>
      <c r="BH197" s="165"/>
      <c r="BI197" s="165"/>
      <c r="BJ197" s="165"/>
      <c r="BK197" s="165"/>
      <c r="BL197" s="165"/>
      <c r="BM197" s="165"/>
      <c r="BN197" s="165"/>
      <c r="BO197" s="165"/>
      <c r="BP197" s="165"/>
      <c r="BQ197" s="165"/>
      <c r="BR197" s="165"/>
      <c r="BS197" s="165"/>
      <c r="BT197" s="165"/>
      <c r="BU197" s="165"/>
      <c r="BV197" s="165"/>
      <c r="BW197" s="165"/>
      <c r="BX197" s="165"/>
      <c r="BY197" s="165"/>
      <c r="BZ197" s="165"/>
      <c r="CA197" s="165"/>
      <c r="CB197" s="165"/>
      <c r="CC197" s="165"/>
      <c r="CD197" s="165"/>
      <c r="CE197" s="165"/>
      <c r="CF197" s="165"/>
      <c r="CG197" s="165"/>
      <c r="CH197" s="165"/>
      <c r="CI197" s="170"/>
      <c r="CJ197" s="165"/>
      <c r="CK197" s="165"/>
      <c r="CL197" s="165"/>
      <c r="CM197" s="165"/>
      <c r="CN197" s="170"/>
      <c r="CO197" s="165"/>
      <c r="CP197" s="165"/>
      <c r="CQ197" s="165"/>
    </row>
    <row r="198" spans="2:95" hidden="1" outlineLevel="1" x14ac:dyDescent="0.25">
      <c r="B198" s="156" t="str">
        <f>Table1[[#Headers],[Total Testes]]</f>
        <v>Total Testes</v>
      </c>
      <c r="C198" s="154" t="str">
        <f t="shared" si="17"/>
        <v>PROTECTION_VHCL_EMSSNS_LBL</v>
      </c>
      <c r="D198" s="153" t="s">
        <v>1114</v>
      </c>
      <c r="E198" s="153" t="s">
        <v>1241</v>
      </c>
      <c r="G198" s="172">
        <f>INDEX(Table1[[Especificação]:[Total Testes]],MATCH(Sheet1!C198,Table1[CONCAT],0),MATCH(Sheet1!B198,Table1[[#Headers],[Especificação]:[Total Testes]],0))</f>
        <v>0</v>
      </c>
      <c r="H198" s="191">
        <f t="shared" si="18"/>
        <v>0</v>
      </c>
      <c r="I198" s="193"/>
      <c r="J198" s="170"/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  <c r="AA198" s="165"/>
      <c r="AB198" s="165"/>
      <c r="AC198" s="165"/>
      <c r="AD198" s="165"/>
      <c r="AE198" s="165"/>
      <c r="AF198" s="165"/>
      <c r="AG198" s="165"/>
      <c r="AH198" s="165"/>
      <c r="AI198" s="165"/>
      <c r="AJ198" s="165"/>
      <c r="AK198" s="165"/>
      <c r="AL198" s="165"/>
      <c r="AM198" s="165"/>
      <c r="AN198" s="165"/>
      <c r="AO198" s="165"/>
      <c r="AP198" s="165"/>
      <c r="AQ198" s="165"/>
      <c r="AR198" s="165"/>
      <c r="AS198" s="165"/>
      <c r="AT198" s="165"/>
      <c r="AU198" s="165"/>
      <c r="AV198" s="165"/>
      <c r="AW198" s="165"/>
      <c r="AX198" s="165"/>
      <c r="AY198" s="165"/>
      <c r="AZ198" s="165"/>
      <c r="BA198" s="165"/>
      <c r="BB198" s="170"/>
      <c r="BC198" s="165"/>
      <c r="BD198" s="165"/>
      <c r="BE198" s="165"/>
      <c r="BF198" s="165"/>
      <c r="BG198" s="165"/>
      <c r="BH198" s="165"/>
      <c r="BI198" s="165"/>
      <c r="BJ198" s="165"/>
      <c r="BK198" s="165"/>
      <c r="BL198" s="165"/>
      <c r="BM198" s="165"/>
      <c r="BN198" s="165"/>
      <c r="BO198" s="165"/>
      <c r="BP198" s="165"/>
      <c r="BQ198" s="165"/>
      <c r="BR198" s="165"/>
      <c r="BS198" s="165"/>
      <c r="BT198" s="165"/>
      <c r="BU198" s="165"/>
      <c r="BV198" s="165"/>
      <c r="BW198" s="165"/>
      <c r="BX198" s="165"/>
      <c r="BY198" s="165"/>
      <c r="BZ198" s="165"/>
      <c r="CA198" s="165"/>
      <c r="CB198" s="165"/>
      <c r="CC198" s="165"/>
      <c r="CD198" s="165"/>
      <c r="CE198" s="165"/>
      <c r="CF198" s="165"/>
      <c r="CG198" s="165"/>
      <c r="CH198" s="165"/>
      <c r="CI198" s="170"/>
      <c r="CJ198" s="165"/>
      <c r="CK198" s="165"/>
      <c r="CL198" s="165"/>
      <c r="CM198" s="165"/>
      <c r="CN198" s="170"/>
      <c r="CO198" s="165"/>
      <c r="CP198" s="165"/>
      <c r="CQ198" s="165"/>
    </row>
    <row r="199" spans="2:95" hidden="1" outlineLevel="1" x14ac:dyDescent="0.25">
      <c r="B199" s="156" t="str">
        <f>Table1[[#Headers],[Total Testes]]</f>
        <v>Total Testes</v>
      </c>
      <c r="C199" s="154" t="str">
        <f t="shared" si="17"/>
        <v>PROTECTION_TYP_EMSSNS_SCR</v>
      </c>
      <c r="D199" s="153" t="s">
        <v>1114</v>
      </c>
      <c r="E199" s="153" t="s">
        <v>1244</v>
      </c>
      <c r="G199" s="172">
        <f>INDEX(Table1[[Especificação]:[Total Testes]],MATCH(Sheet1!C199,Table1[CONCAT],0),MATCH(Sheet1!B199,Table1[[#Headers],[Especificação]:[Total Testes]],0))</f>
        <v>0</v>
      </c>
      <c r="H199" s="191">
        <f t="shared" si="18"/>
        <v>0</v>
      </c>
      <c r="I199" s="193"/>
      <c r="J199" s="170"/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  <c r="AA199" s="165"/>
      <c r="AB199" s="165"/>
      <c r="AC199" s="165"/>
      <c r="AD199" s="165"/>
      <c r="AE199" s="165"/>
      <c r="AF199" s="165"/>
      <c r="AG199" s="165"/>
      <c r="AH199" s="165"/>
      <c r="AI199" s="165"/>
      <c r="AJ199" s="165"/>
      <c r="AK199" s="165"/>
      <c r="AL199" s="165"/>
      <c r="AM199" s="165"/>
      <c r="AN199" s="165"/>
      <c r="AO199" s="165"/>
      <c r="AP199" s="165"/>
      <c r="AQ199" s="165"/>
      <c r="AR199" s="165"/>
      <c r="AS199" s="165"/>
      <c r="AT199" s="165"/>
      <c r="AU199" s="165"/>
      <c r="AV199" s="165"/>
      <c r="AW199" s="165"/>
      <c r="AX199" s="165"/>
      <c r="AY199" s="165"/>
      <c r="AZ199" s="165"/>
      <c r="BA199" s="165"/>
      <c r="BB199" s="170"/>
      <c r="BC199" s="165"/>
      <c r="BD199" s="165"/>
      <c r="BE199" s="165"/>
      <c r="BF199" s="165"/>
      <c r="BG199" s="165"/>
      <c r="BH199" s="165"/>
      <c r="BI199" s="165"/>
      <c r="BJ199" s="165"/>
      <c r="BK199" s="165"/>
      <c r="BL199" s="165"/>
      <c r="BM199" s="165"/>
      <c r="BN199" s="165"/>
      <c r="BO199" s="165"/>
      <c r="BP199" s="165"/>
      <c r="BQ199" s="165"/>
      <c r="BR199" s="165"/>
      <c r="BS199" s="165"/>
      <c r="BT199" s="165"/>
      <c r="BU199" s="165"/>
      <c r="BV199" s="165"/>
      <c r="BW199" s="165"/>
      <c r="BX199" s="165"/>
      <c r="BY199" s="165"/>
      <c r="BZ199" s="165"/>
      <c r="CA199" s="165"/>
      <c r="CB199" s="165"/>
      <c r="CC199" s="165"/>
      <c r="CD199" s="165"/>
      <c r="CE199" s="165"/>
      <c r="CF199" s="165"/>
      <c r="CG199" s="165"/>
      <c r="CH199" s="165"/>
      <c r="CI199" s="170"/>
      <c r="CJ199" s="165"/>
      <c r="CK199" s="165"/>
      <c r="CL199" s="165"/>
      <c r="CM199" s="165"/>
      <c r="CN199" s="170"/>
      <c r="CO199" s="165"/>
      <c r="CP199" s="165"/>
      <c r="CQ199" s="165"/>
    </row>
    <row r="200" spans="2:95" hidden="1" outlineLevel="1" x14ac:dyDescent="0.25">
      <c r="B200" s="156" t="str">
        <f>Table1[[#Headers],[Total Testes]]</f>
        <v>Total Testes</v>
      </c>
      <c r="C200" s="154" t="str">
        <f t="shared" si="17"/>
        <v>PROTECTION_EPC_EMSSNS_SCR</v>
      </c>
      <c r="D200" s="153" t="s">
        <v>1114</v>
      </c>
      <c r="E200" s="153" t="s">
        <v>1247</v>
      </c>
      <c r="G200" s="172">
        <f>INDEX(Table1[[Especificação]:[Total Testes]],MATCH(Sheet1!C200,Table1[CONCAT],0),MATCH(Sheet1!B200,Table1[[#Headers],[Especificação]:[Total Testes]],0))</f>
        <v>0</v>
      </c>
      <c r="H200" s="191">
        <f t="shared" si="18"/>
        <v>0</v>
      </c>
      <c r="I200" s="193"/>
      <c r="J200" s="170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  <c r="AA200" s="165"/>
      <c r="AB200" s="165"/>
      <c r="AC200" s="165"/>
      <c r="AD200" s="165"/>
      <c r="AE200" s="165"/>
      <c r="AF200" s="165"/>
      <c r="AG200" s="165"/>
      <c r="AH200" s="165"/>
      <c r="AI200" s="165"/>
      <c r="AJ200" s="165"/>
      <c r="AK200" s="165"/>
      <c r="AL200" s="165"/>
      <c r="AM200" s="165"/>
      <c r="AN200" s="165"/>
      <c r="AO200" s="165"/>
      <c r="AP200" s="165"/>
      <c r="AQ200" s="165"/>
      <c r="AR200" s="165"/>
      <c r="AS200" s="165"/>
      <c r="AT200" s="165"/>
      <c r="AU200" s="165"/>
      <c r="AV200" s="165"/>
      <c r="AW200" s="165"/>
      <c r="AX200" s="165"/>
      <c r="AY200" s="165"/>
      <c r="AZ200" s="165"/>
      <c r="BA200" s="165"/>
      <c r="BB200" s="170"/>
      <c r="BC200" s="165"/>
      <c r="BD200" s="165"/>
      <c r="BE200" s="165"/>
      <c r="BF200" s="165"/>
      <c r="BG200" s="165"/>
      <c r="BH200" s="165"/>
      <c r="BI200" s="165"/>
      <c r="BJ200" s="165"/>
      <c r="BK200" s="165"/>
      <c r="BL200" s="165"/>
      <c r="BM200" s="165"/>
      <c r="BN200" s="165"/>
      <c r="BO200" s="165"/>
      <c r="BP200" s="165"/>
      <c r="BQ200" s="165"/>
      <c r="BR200" s="165"/>
      <c r="BS200" s="165"/>
      <c r="BT200" s="165"/>
      <c r="BU200" s="165"/>
      <c r="BV200" s="165"/>
      <c r="BW200" s="165"/>
      <c r="BX200" s="165"/>
      <c r="BY200" s="165"/>
      <c r="BZ200" s="165"/>
      <c r="CA200" s="165"/>
      <c r="CB200" s="165"/>
      <c r="CC200" s="165"/>
      <c r="CD200" s="165"/>
      <c r="CE200" s="165"/>
      <c r="CF200" s="165"/>
      <c r="CG200" s="165"/>
      <c r="CH200" s="165"/>
      <c r="CI200" s="170"/>
      <c r="CJ200" s="165"/>
      <c r="CK200" s="165"/>
      <c r="CL200" s="165"/>
      <c r="CM200" s="165"/>
      <c r="CN200" s="170"/>
      <c r="CO200" s="165"/>
      <c r="CP200" s="165"/>
      <c r="CQ200" s="165"/>
    </row>
    <row r="201" spans="2:95" hidden="1" outlineLevel="1" x14ac:dyDescent="0.25">
      <c r="B201" s="156" t="str">
        <f>Table1[[#Headers],[Total Testes]]</f>
        <v>Total Testes</v>
      </c>
      <c r="C201" s="154" t="str">
        <f t="shared" si="17"/>
        <v>PROTECTION_VHCL_EMSSNS_SCR</v>
      </c>
      <c r="D201" s="153" t="s">
        <v>1114</v>
      </c>
      <c r="E201" s="153" t="s">
        <v>1250</v>
      </c>
      <c r="G201" s="172">
        <f>INDEX(Table1[[Especificação]:[Total Testes]],MATCH(Sheet1!C201,Table1[CONCAT],0),MATCH(Sheet1!B201,Table1[[#Headers],[Especificação]:[Total Testes]],0))</f>
        <v>0</v>
      </c>
      <c r="H201" s="191">
        <f t="shared" si="18"/>
        <v>0</v>
      </c>
      <c r="I201" s="193"/>
      <c r="J201" s="170"/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  <c r="AA201" s="165"/>
      <c r="AB201" s="165"/>
      <c r="AC201" s="165"/>
      <c r="AD201" s="165"/>
      <c r="AE201" s="165"/>
      <c r="AF201" s="165"/>
      <c r="AG201" s="165"/>
      <c r="AH201" s="165"/>
      <c r="AI201" s="165"/>
      <c r="AJ201" s="165"/>
      <c r="AK201" s="165"/>
      <c r="AL201" s="165"/>
      <c r="AM201" s="165"/>
      <c r="AN201" s="165"/>
      <c r="AO201" s="165"/>
      <c r="AP201" s="165"/>
      <c r="AQ201" s="165"/>
      <c r="AR201" s="165"/>
      <c r="AS201" s="165"/>
      <c r="AT201" s="165"/>
      <c r="AU201" s="165"/>
      <c r="AV201" s="165"/>
      <c r="AW201" s="165"/>
      <c r="AX201" s="165"/>
      <c r="AY201" s="165"/>
      <c r="AZ201" s="165"/>
      <c r="BA201" s="165"/>
      <c r="BB201" s="170"/>
      <c r="BC201" s="165"/>
      <c r="BD201" s="165"/>
      <c r="BE201" s="165"/>
      <c r="BF201" s="165"/>
      <c r="BG201" s="165"/>
      <c r="BH201" s="165"/>
      <c r="BI201" s="165"/>
      <c r="BJ201" s="165"/>
      <c r="BK201" s="165"/>
      <c r="BL201" s="165"/>
      <c r="BM201" s="165"/>
      <c r="BN201" s="165"/>
      <c r="BO201" s="165"/>
      <c r="BP201" s="165"/>
      <c r="BQ201" s="165"/>
      <c r="BR201" s="165"/>
      <c r="BS201" s="165"/>
      <c r="BT201" s="165"/>
      <c r="BU201" s="165"/>
      <c r="BV201" s="165"/>
      <c r="BW201" s="165"/>
      <c r="BX201" s="165"/>
      <c r="BY201" s="165"/>
      <c r="BZ201" s="165"/>
      <c r="CA201" s="165"/>
      <c r="CB201" s="165"/>
      <c r="CC201" s="165"/>
      <c r="CD201" s="165"/>
      <c r="CE201" s="165"/>
      <c r="CF201" s="165"/>
      <c r="CG201" s="165"/>
      <c r="CH201" s="165"/>
      <c r="CI201" s="170"/>
      <c r="CJ201" s="165"/>
      <c r="CK201" s="165"/>
      <c r="CL201" s="165"/>
      <c r="CM201" s="165"/>
      <c r="CN201" s="170"/>
      <c r="CO201" s="165"/>
      <c r="CP201" s="165"/>
      <c r="CQ201" s="165"/>
    </row>
    <row r="202" spans="2:95" hidden="1" outlineLevel="1" x14ac:dyDescent="0.25">
      <c r="B202" s="156" t="str">
        <f>Table1[[#Headers],[Total Testes]]</f>
        <v>Total Testes</v>
      </c>
      <c r="C202" s="154" t="str">
        <f t="shared" si="17"/>
        <v>PROTECTION_INSRNC_ID</v>
      </c>
      <c r="D202" s="153" t="s">
        <v>1114</v>
      </c>
      <c r="E202" s="153" t="s">
        <v>1275</v>
      </c>
      <c r="G202" s="172">
        <f>INDEX(Table1[[Especificação]:[Total Testes]],MATCH(Sheet1!C202,Table1[CONCAT],0),MATCH(Sheet1!B202,Table1[[#Headers],[Especificação]:[Total Testes]],0))</f>
        <v>0</v>
      </c>
      <c r="H202" s="191">
        <f t="shared" si="18"/>
        <v>0</v>
      </c>
      <c r="I202" s="193"/>
      <c r="J202" s="170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  <c r="AA202" s="165"/>
      <c r="AB202" s="165"/>
      <c r="AC202" s="165"/>
      <c r="AD202" s="165"/>
      <c r="AE202" s="165"/>
      <c r="AF202" s="165"/>
      <c r="AG202" s="165"/>
      <c r="AH202" s="165"/>
      <c r="AI202" s="165"/>
      <c r="AJ202" s="165"/>
      <c r="AK202" s="165"/>
      <c r="AL202" s="165"/>
      <c r="AM202" s="165"/>
      <c r="AN202" s="165"/>
      <c r="AO202" s="165"/>
      <c r="AP202" s="165"/>
      <c r="AQ202" s="165"/>
      <c r="AR202" s="165"/>
      <c r="AS202" s="165"/>
      <c r="AT202" s="165"/>
      <c r="AU202" s="165"/>
      <c r="AV202" s="165"/>
      <c r="AW202" s="165"/>
      <c r="AX202" s="165"/>
      <c r="AY202" s="165"/>
      <c r="AZ202" s="165"/>
      <c r="BA202" s="165"/>
      <c r="BB202" s="170"/>
      <c r="BC202" s="165"/>
      <c r="BD202" s="165"/>
      <c r="BE202" s="165"/>
      <c r="BF202" s="165"/>
      <c r="BG202" s="165"/>
      <c r="BH202" s="165"/>
      <c r="BI202" s="165"/>
      <c r="BJ202" s="165"/>
      <c r="BK202" s="165"/>
      <c r="BL202" s="165"/>
      <c r="BM202" s="165"/>
      <c r="BN202" s="165"/>
      <c r="BO202" s="165"/>
      <c r="BP202" s="165"/>
      <c r="BQ202" s="165"/>
      <c r="BR202" s="165"/>
      <c r="BS202" s="165"/>
      <c r="BT202" s="165"/>
      <c r="BU202" s="165"/>
      <c r="BV202" s="165"/>
      <c r="BW202" s="165"/>
      <c r="BX202" s="165"/>
      <c r="BY202" s="165"/>
      <c r="BZ202" s="165"/>
      <c r="CA202" s="165"/>
      <c r="CB202" s="165"/>
      <c r="CC202" s="165"/>
      <c r="CD202" s="165"/>
      <c r="CE202" s="165"/>
      <c r="CF202" s="165"/>
      <c r="CG202" s="165"/>
      <c r="CH202" s="165"/>
      <c r="CI202" s="170"/>
      <c r="CJ202" s="165"/>
      <c r="CK202" s="165"/>
      <c r="CL202" s="165"/>
      <c r="CM202" s="165"/>
      <c r="CN202" s="170"/>
      <c r="CO202" s="165"/>
      <c r="CP202" s="165"/>
      <c r="CQ202" s="165"/>
    </row>
    <row r="203" spans="2:95" hidden="1" outlineLevel="1" x14ac:dyDescent="0.25">
      <c r="B203" s="156" t="str">
        <f>Table1[[#Headers],[Total Testes]]</f>
        <v>Total Testes</v>
      </c>
      <c r="C203" s="154" t="str">
        <f t="shared" si="17"/>
        <v>PROTECTION_TYP_HZRDS_INSRD</v>
      </c>
      <c r="D203" s="153" t="s">
        <v>1114</v>
      </c>
      <c r="E203" s="153" t="s">
        <v>1278</v>
      </c>
      <c r="G203" s="172">
        <f>INDEX(Table1[[Especificação]:[Total Testes]],MATCH(Sheet1!C203,Table1[CONCAT],0),MATCH(Sheet1!B203,Table1[[#Headers],[Especificação]:[Total Testes]],0))</f>
        <v>0</v>
      </c>
      <c r="H203" s="191">
        <f t="shared" si="18"/>
        <v>0</v>
      </c>
      <c r="I203" s="193"/>
      <c r="J203" s="170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  <c r="AA203" s="165"/>
      <c r="AB203" s="165"/>
      <c r="AC203" s="165"/>
      <c r="AD203" s="165"/>
      <c r="AE203" s="165"/>
      <c r="AF203" s="165"/>
      <c r="AG203" s="165"/>
      <c r="AH203" s="165"/>
      <c r="AI203" s="165"/>
      <c r="AJ203" s="165"/>
      <c r="AK203" s="165"/>
      <c r="AL203" s="165"/>
      <c r="AM203" s="165"/>
      <c r="AN203" s="165"/>
      <c r="AO203" s="165"/>
      <c r="AP203" s="165"/>
      <c r="AQ203" s="165"/>
      <c r="AR203" s="165"/>
      <c r="AS203" s="165"/>
      <c r="AT203" s="165"/>
      <c r="AU203" s="165"/>
      <c r="AV203" s="165"/>
      <c r="AW203" s="165"/>
      <c r="AX203" s="165"/>
      <c r="AY203" s="165"/>
      <c r="AZ203" s="165"/>
      <c r="BA203" s="165"/>
      <c r="BB203" s="170"/>
      <c r="BC203" s="165"/>
      <c r="BD203" s="165"/>
      <c r="BE203" s="165"/>
      <c r="BF203" s="165"/>
      <c r="BG203" s="165"/>
      <c r="BH203" s="165"/>
      <c r="BI203" s="165"/>
      <c r="BJ203" s="165"/>
      <c r="BK203" s="165"/>
      <c r="BL203" s="165"/>
      <c r="BM203" s="165"/>
      <c r="BN203" s="165"/>
      <c r="BO203" s="165"/>
      <c r="BP203" s="165"/>
      <c r="BQ203" s="165"/>
      <c r="BR203" s="165"/>
      <c r="BS203" s="165"/>
      <c r="BT203" s="165"/>
      <c r="BU203" s="165"/>
      <c r="BV203" s="165"/>
      <c r="BW203" s="165"/>
      <c r="BX203" s="165"/>
      <c r="BY203" s="165"/>
      <c r="BZ203" s="165"/>
      <c r="CA203" s="165"/>
      <c r="CB203" s="165"/>
      <c r="CC203" s="165"/>
      <c r="CD203" s="165"/>
      <c r="CE203" s="165"/>
      <c r="CF203" s="165"/>
      <c r="CG203" s="165"/>
      <c r="CH203" s="165"/>
      <c r="CI203" s="170"/>
      <c r="CJ203" s="165"/>
      <c r="CK203" s="165"/>
      <c r="CL203" s="165"/>
      <c r="CM203" s="165"/>
      <c r="CN203" s="170"/>
      <c r="CO203" s="165"/>
      <c r="CP203" s="165"/>
      <c r="CQ203" s="165"/>
    </row>
    <row r="204" spans="2:95" hidden="1" outlineLevel="1" x14ac:dyDescent="0.25">
      <c r="B204" s="156" t="str">
        <f>Table1[[#Headers],[Total Testes]]</f>
        <v>Total Testes</v>
      </c>
      <c r="C204" s="154" t="str">
        <f t="shared" si="17"/>
        <v>PROTECTION_AMNT_CVRD_INSRNC</v>
      </c>
      <c r="D204" s="153" t="s">
        <v>1114</v>
      </c>
      <c r="E204" s="153" t="s">
        <v>1281</v>
      </c>
      <c r="G204" s="172">
        <f>INDEX(Table1[[Especificação]:[Total Testes]],MATCH(Sheet1!C204,Table1[CONCAT],0),MATCH(Sheet1!B204,Table1[[#Headers],[Especificação]:[Total Testes]],0))</f>
        <v>0</v>
      </c>
      <c r="H204" s="191">
        <f t="shared" si="18"/>
        <v>0</v>
      </c>
      <c r="I204" s="193"/>
      <c r="J204" s="170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  <c r="AA204" s="165"/>
      <c r="AB204" s="165"/>
      <c r="AC204" s="165"/>
      <c r="AD204" s="165"/>
      <c r="AE204" s="165"/>
      <c r="AF204" s="165"/>
      <c r="AG204" s="165"/>
      <c r="AH204" s="165"/>
      <c r="AI204" s="165"/>
      <c r="AJ204" s="165"/>
      <c r="AK204" s="165"/>
      <c r="AL204" s="165"/>
      <c r="AM204" s="165"/>
      <c r="AN204" s="165"/>
      <c r="AO204" s="165"/>
      <c r="AP204" s="165"/>
      <c r="AQ204" s="165"/>
      <c r="AR204" s="165"/>
      <c r="AS204" s="165"/>
      <c r="AT204" s="165"/>
      <c r="AU204" s="165"/>
      <c r="AV204" s="165"/>
      <c r="AW204" s="165"/>
      <c r="AX204" s="165"/>
      <c r="AY204" s="165"/>
      <c r="AZ204" s="165"/>
      <c r="BA204" s="165"/>
      <c r="BB204" s="170"/>
      <c r="BC204" s="165"/>
      <c r="BD204" s="165"/>
      <c r="BE204" s="165"/>
      <c r="BF204" s="165"/>
      <c r="BG204" s="165"/>
      <c r="BH204" s="165"/>
      <c r="BI204" s="203"/>
      <c r="BJ204" s="165"/>
      <c r="BK204" s="165"/>
      <c r="BL204" s="165"/>
      <c r="BM204" s="165"/>
      <c r="BN204" s="165"/>
      <c r="BO204" s="165"/>
      <c r="BP204" s="165"/>
      <c r="BQ204" s="165"/>
      <c r="BR204" s="165"/>
      <c r="BS204" s="165"/>
      <c r="BT204" s="165"/>
      <c r="BU204" s="165"/>
      <c r="BV204" s="165"/>
      <c r="BW204" s="165"/>
      <c r="BX204" s="165"/>
      <c r="BY204" s="165"/>
      <c r="BZ204" s="165"/>
      <c r="CA204" s="165"/>
      <c r="CB204" s="165"/>
      <c r="CC204" s="165"/>
      <c r="CD204" s="165"/>
      <c r="CE204" s="165"/>
      <c r="CF204" s="165"/>
      <c r="CG204" s="165"/>
      <c r="CH204" s="165"/>
      <c r="CI204" s="170"/>
      <c r="CJ204" s="165"/>
      <c r="CK204" s="165"/>
      <c r="CL204" s="165"/>
      <c r="CM204" s="165"/>
      <c r="CN204" s="170"/>
      <c r="CO204" s="165"/>
      <c r="CP204" s="165"/>
      <c r="CQ204" s="165"/>
    </row>
    <row r="205" spans="2:95" hidden="1" outlineLevel="1" x14ac:dyDescent="0.25">
      <c r="B205" s="156" t="str">
        <f>Table1[[#Headers],[Total Testes]]</f>
        <v>Total Testes</v>
      </c>
      <c r="C205" s="154" t="str">
        <f t="shared" si="17"/>
        <v>PROTECTION_DT_MTRTY_INSRNC</v>
      </c>
      <c r="D205" s="153" t="s">
        <v>1114</v>
      </c>
      <c r="E205" s="153" t="s">
        <v>1284</v>
      </c>
      <c r="G205" s="172">
        <f>INDEX(Table1[[Especificação]:[Total Testes]],MATCH(Sheet1!C205,Table1[CONCAT],0),MATCH(Sheet1!B205,Table1[[#Headers],[Especificação]:[Total Testes]],0))</f>
        <v>0</v>
      </c>
      <c r="H205" s="191">
        <f t="shared" si="18"/>
        <v>0</v>
      </c>
      <c r="I205" s="193"/>
      <c r="J205" s="170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5"/>
      <c r="AO205" s="165"/>
      <c r="AP205" s="165"/>
      <c r="AQ205" s="165"/>
      <c r="AR205" s="165"/>
      <c r="AS205" s="165"/>
      <c r="AT205" s="165"/>
      <c r="AU205" s="165"/>
      <c r="AV205" s="165"/>
      <c r="AW205" s="165"/>
      <c r="AX205" s="165"/>
      <c r="AY205" s="165"/>
      <c r="AZ205" s="165"/>
      <c r="BA205" s="165"/>
      <c r="BB205" s="170"/>
      <c r="BC205" s="165"/>
      <c r="BD205" s="165"/>
      <c r="BE205" s="165"/>
      <c r="BF205" s="165"/>
      <c r="BG205" s="165"/>
      <c r="BH205" s="165"/>
      <c r="BI205" s="165"/>
      <c r="BJ205" s="165"/>
      <c r="BK205" s="165"/>
      <c r="BL205" s="165"/>
      <c r="BM205" s="165"/>
      <c r="BN205" s="165"/>
      <c r="BO205" s="165"/>
      <c r="BP205" s="165"/>
      <c r="BQ205" s="165"/>
      <c r="BR205" s="165"/>
      <c r="BS205" s="165"/>
      <c r="BT205" s="165"/>
      <c r="BU205" s="165"/>
      <c r="BV205" s="165"/>
      <c r="BW205" s="165"/>
      <c r="BX205" s="165"/>
      <c r="BY205" s="165"/>
      <c r="BZ205" s="165"/>
      <c r="CA205" s="165"/>
      <c r="CB205" s="165"/>
      <c r="CC205" s="165"/>
      <c r="CD205" s="165"/>
      <c r="CE205" s="165"/>
      <c r="CF205" s="165"/>
      <c r="CG205" s="165"/>
      <c r="CH205" s="165"/>
      <c r="CI205" s="170"/>
      <c r="CJ205" s="165"/>
      <c r="CK205" s="165"/>
      <c r="CL205" s="165"/>
      <c r="CM205" s="165"/>
      <c r="CN205" s="170"/>
      <c r="CO205" s="165"/>
      <c r="CP205" s="165"/>
      <c r="CQ205" s="165"/>
    </row>
    <row r="206" spans="2:95" hidden="1" outlineLevel="1" x14ac:dyDescent="0.25">
      <c r="B206" s="156" t="str">
        <f>Table1[[#Headers],[Total Testes]]</f>
        <v>Total Testes</v>
      </c>
      <c r="C206" s="154" t="str">
        <f t="shared" si="17"/>
        <v>PROTECTION_FLG_FRST_HM</v>
      </c>
      <c r="D206" s="153" t="s">
        <v>1114</v>
      </c>
      <c r="E206" s="155" t="s">
        <v>1287</v>
      </c>
      <c r="G206" s="172">
        <f>INDEX(Table1[[Especificação]:[Total Testes]],MATCH(Sheet1!C206,Table1[CONCAT],0),MATCH(Sheet1!B206,Table1[[#Headers],[Especificação]:[Total Testes]],0))</f>
        <v>0</v>
      </c>
      <c r="H206" s="191">
        <f t="shared" si="18"/>
        <v>0</v>
      </c>
      <c r="I206" s="193"/>
      <c r="J206" s="170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  <c r="AA206" s="165"/>
      <c r="AB206" s="165"/>
      <c r="AC206" s="165"/>
      <c r="AD206" s="165"/>
      <c r="AE206" s="165"/>
      <c r="AF206" s="165"/>
      <c r="AG206" s="165"/>
      <c r="AH206" s="165"/>
      <c r="AI206" s="165"/>
      <c r="AJ206" s="165"/>
      <c r="AK206" s="165"/>
      <c r="AL206" s="165"/>
      <c r="AM206" s="165"/>
      <c r="AN206" s="165"/>
      <c r="AO206" s="165"/>
      <c r="AP206" s="165"/>
      <c r="AQ206" s="165"/>
      <c r="AR206" s="165"/>
      <c r="AS206" s="165"/>
      <c r="AT206" s="165"/>
      <c r="AU206" s="165"/>
      <c r="AV206" s="165"/>
      <c r="AW206" s="165"/>
      <c r="AX206" s="165"/>
      <c r="AY206" s="165"/>
      <c r="AZ206" s="165"/>
      <c r="BA206" s="165"/>
      <c r="BB206" s="170"/>
      <c r="BC206" s="165"/>
      <c r="BD206" s="165"/>
      <c r="BE206" s="165"/>
      <c r="BF206" s="165"/>
      <c r="BG206" s="165"/>
      <c r="BH206" s="165"/>
      <c r="BI206" s="165"/>
      <c r="BJ206" s="165"/>
      <c r="BK206" s="165"/>
      <c r="BL206" s="165"/>
      <c r="BM206" s="165"/>
      <c r="BN206" s="165"/>
      <c r="BO206" s="165"/>
      <c r="BP206" s="165"/>
      <c r="BQ206" s="165"/>
      <c r="BR206" s="165"/>
      <c r="BS206" s="165"/>
      <c r="BT206" s="165"/>
      <c r="BU206" s="165"/>
      <c r="BV206" s="165"/>
      <c r="BW206" s="165"/>
      <c r="BX206" s="165"/>
      <c r="BY206" s="165"/>
      <c r="BZ206" s="165"/>
      <c r="CA206" s="165"/>
      <c r="CB206" s="165"/>
      <c r="CC206" s="165"/>
      <c r="CD206" s="165"/>
      <c r="CE206" s="165"/>
      <c r="CF206" s="165"/>
      <c r="CG206" s="165"/>
      <c r="CH206" s="165"/>
      <c r="CI206" s="170"/>
      <c r="CJ206" s="165"/>
      <c r="CK206" s="165"/>
      <c r="CL206" s="165"/>
      <c r="CM206" s="165"/>
      <c r="CN206" s="170"/>
      <c r="CO206" s="165"/>
      <c r="CP206" s="165"/>
      <c r="CQ206" s="165"/>
    </row>
    <row r="207" spans="2:95" hidden="1" outlineLevel="1" x14ac:dyDescent="0.25">
      <c r="B207" s="156" t="str">
        <f>Table1[[#Headers],[Total Testes]]</f>
        <v>Total Testes</v>
      </c>
      <c r="C207" s="154" t="str">
        <f t="shared" si="17"/>
        <v>ENTITY_ENTTY_NM</v>
      </c>
      <c r="D207" s="153" t="s">
        <v>10</v>
      </c>
      <c r="E207" s="153" t="s">
        <v>59</v>
      </c>
      <c r="G207" s="172">
        <f>INDEX(Table1[[Especificação]:[Total Testes]],MATCH(Sheet1!C207,Table1[CONCAT],0),MATCH(Sheet1!B207,Table1[[#Headers],[Especificação]:[Total Testes]],0))</f>
        <v>0</v>
      </c>
      <c r="H207" s="191">
        <f t="shared" si="18"/>
        <v>0</v>
      </c>
      <c r="I207" s="193"/>
      <c r="J207" s="170"/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  <c r="AA207" s="165"/>
      <c r="AB207" s="165"/>
      <c r="AC207" s="165"/>
      <c r="AD207" s="165"/>
      <c r="AE207" s="165"/>
      <c r="AF207" s="165"/>
      <c r="AG207" s="165"/>
      <c r="AH207" s="165"/>
      <c r="AI207" s="165"/>
      <c r="AJ207" s="165"/>
      <c r="AK207" s="165"/>
      <c r="AL207" s="165"/>
      <c r="AM207" s="165"/>
      <c r="AN207" s="165"/>
      <c r="AO207" s="165"/>
      <c r="AP207" s="165"/>
      <c r="AQ207" s="165"/>
      <c r="AR207" s="165"/>
      <c r="AS207" s="165"/>
      <c r="AT207" s="165"/>
      <c r="AU207" s="165"/>
      <c r="AV207" s="165"/>
      <c r="AW207" s="165"/>
      <c r="AX207" s="165"/>
      <c r="AY207" s="165"/>
      <c r="AZ207" s="165"/>
      <c r="BA207" s="165"/>
      <c r="BB207" s="170"/>
      <c r="BC207" s="165"/>
      <c r="BD207" s="165"/>
      <c r="BE207" s="165"/>
      <c r="BF207" s="165"/>
      <c r="BG207" s="165"/>
      <c r="BH207" s="165"/>
      <c r="BI207" s="165"/>
      <c r="BJ207" s="165"/>
      <c r="BK207" s="165"/>
      <c r="BL207" s="165"/>
      <c r="BM207" s="165"/>
      <c r="BN207" s="165"/>
      <c r="BO207" s="165"/>
      <c r="BP207" s="165"/>
      <c r="BQ207" s="165"/>
      <c r="BR207" s="165"/>
      <c r="BS207" s="165"/>
      <c r="BT207" s="165"/>
      <c r="BU207" s="165"/>
      <c r="BV207" s="165"/>
      <c r="BW207" s="165"/>
      <c r="BX207" s="165"/>
      <c r="BY207" s="165"/>
      <c r="BZ207" s="165"/>
      <c r="CA207" s="165"/>
      <c r="CB207" s="165"/>
      <c r="CC207" s="165"/>
      <c r="CD207" s="165"/>
      <c r="CE207" s="165"/>
      <c r="CF207" s="165"/>
      <c r="CG207" s="165"/>
      <c r="CH207" s="165"/>
      <c r="CI207" s="170"/>
      <c r="CJ207" s="165"/>
      <c r="CK207" s="165"/>
      <c r="CL207" s="165"/>
      <c r="CM207" s="165"/>
      <c r="CN207" s="170"/>
      <c r="CO207" s="165"/>
      <c r="CP207" s="165"/>
      <c r="CQ207" s="165"/>
    </row>
    <row r="208" spans="2:95" hidden="1" outlineLevel="1" x14ac:dyDescent="0.25">
      <c r="B208" s="156" t="str">
        <f>Table1[[#Headers],[Total Testes]]</f>
        <v>Total Testes</v>
      </c>
      <c r="C208" s="154" t="str">
        <f t="shared" si="17"/>
        <v>ENTITY_EC_GRP_NM</v>
      </c>
      <c r="D208" s="153" t="s">
        <v>10</v>
      </c>
      <c r="E208" s="153" t="s">
        <v>284</v>
      </c>
      <c r="G208" s="172">
        <f>INDEX(Table1[[Especificação]:[Total Testes]],MATCH(Sheet1!C208,Table1[CONCAT],0),MATCH(Sheet1!B208,Table1[[#Headers],[Especificação]:[Total Testes]],0))</f>
        <v>0</v>
      </c>
      <c r="H208" s="191">
        <f t="shared" si="18"/>
        <v>0</v>
      </c>
      <c r="I208" s="193"/>
      <c r="J208" s="170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  <c r="AA208" s="165"/>
      <c r="AB208" s="165"/>
      <c r="AC208" s="165"/>
      <c r="AD208" s="165"/>
      <c r="AE208" s="165"/>
      <c r="AF208" s="165"/>
      <c r="AG208" s="165"/>
      <c r="AH208" s="165"/>
      <c r="AI208" s="165"/>
      <c r="AJ208" s="165"/>
      <c r="AK208" s="165"/>
      <c r="AL208" s="165"/>
      <c r="AM208" s="165"/>
      <c r="AN208" s="165"/>
      <c r="AO208" s="165"/>
      <c r="AP208" s="165"/>
      <c r="AQ208" s="165"/>
      <c r="AR208" s="165"/>
      <c r="AS208" s="165"/>
      <c r="AT208" s="165"/>
      <c r="AU208" s="165"/>
      <c r="AV208" s="165"/>
      <c r="AW208" s="165"/>
      <c r="AX208" s="165"/>
      <c r="AY208" s="165"/>
      <c r="AZ208" s="165"/>
      <c r="BA208" s="165"/>
      <c r="BB208" s="170"/>
      <c r="BC208" s="165"/>
      <c r="BD208" s="165"/>
      <c r="BE208" s="165"/>
      <c r="BF208" s="165"/>
      <c r="BG208" s="165"/>
      <c r="BH208" s="165"/>
      <c r="BI208" s="165"/>
      <c r="BJ208" s="165"/>
      <c r="BK208" s="165"/>
      <c r="BL208" s="165"/>
      <c r="BM208" s="165"/>
      <c r="BN208" s="165"/>
      <c r="BO208" s="165"/>
      <c r="BP208" s="165"/>
      <c r="BQ208" s="165"/>
      <c r="BR208" s="165"/>
      <c r="BS208" s="165"/>
      <c r="BT208" s="165"/>
      <c r="BU208" s="165"/>
      <c r="BV208" s="165"/>
      <c r="BW208" s="165"/>
      <c r="BX208" s="165"/>
      <c r="BY208" s="165"/>
      <c r="BZ208" s="165"/>
      <c r="CA208" s="165"/>
      <c r="CB208" s="165"/>
      <c r="CC208" s="165"/>
      <c r="CD208" s="165"/>
      <c r="CE208" s="165"/>
      <c r="CF208" s="165"/>
      <c r="CG208" s="165"/>
      <c r="CH208" s="165"/>
      <c r="CI208" s="170"/>
      <c r="CJ208" s="165"/>
      <c r="CK208" s="165"/>
      <c r="CL208" s="165"/>
      <c r="CM208" s="165"/>
      <c r="CN208" s="170"/>
      <c r="CO208" s="165"/>
      <c r="CP208" s="165"/>
      <c r="CQ208" s="165"/>
    </row>
    <row r="209" spans="2:95" hidden="1" outlineLevel="1" x14ac:dyDescent="0.25">
      <c r="B209" s="156" t="str">
        <f>Table1[[#Headers],[Total Testes]]</f>
        <v>Total Testes</v>
      </c>
      <c r="C209" s="154" t="str">
        <f t="shared" si="17"/>
        <v>INSTRUMENT_FRBRNC_STTS_INSTRMNT</v>
      </c>
      <c r="D209" s="153" t="s">
        <v>414</v>
      </c>
      <c r="E209" s="153" t="s">
        <v>501</v>
      </c>
      <c r="G209" s="172">
        <f>INDEX(Table1[[Especificação]:[Total Testes]],MATCH(Sheet1!C209,Table1[CONCAT],0),MATCH(Sheet1!B209,Table1[[#Headers],[Especificação]:[Total Testes]],0))</f>
        <v>0</v>
      </c>
      <c r="H209" s="191">
        <f t="shared" si="18"/>
        <v>0</v>
      </c>
      <c r="I209" s="193"/>
      <c r="J209" s="170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  <c r="AA209" s="165"/>
      <c r="AB209" s="165"/>
      <c r="AC209" s="165"/>
      <c r="AD209" s="165"/>
      <c r="AE209" s="165"/>
      <c r="AF209" s="165"/>
      <c r="AG209" s="165"/>
      <c r="AH209" s="165"/>
      <c r="AI209" s="165"/>
      <c r="AJ209" s="165"/>
      <c r="AK209" s="165"/>
      <c r="AL209" s="165"/>
      <c r="AM209" s="165"/>
      <c r="AN209" s="165"/>
      <c r="AO209" s="165"/>
      <c r="AP209" s="165"/>
      <c r="AQ209" s="165"/>
      <c r="AR209" s="165"/>
      <c r="AS209" s="165"/>
      <c r="AT209" s="165"/>
      <c r="AU209" s="165"/>
      <c r="AV209" s="165"/>
      <c r="AW209" s="165"/>
      <c r="AX209" s="165"/>
      <c r="AY209" s="165"/>
      <c r="AZ209" s="165"/>
      <c r="BA209" s="165"/>
      <c r="BB209" s="170"/>
      <c r="BC209" s="165"/>
      <c r="BD209" s="165"/>
      <c r="BE209" s="165"/>
      <c r="BF209" s="165"/>
      <c r="BG209" s="165"/>
      <c r="BH209" s="165"/>
      <c r="BI209" s="165"/>
      <c r="BJ209" s="165"/>
      <c r="BK209" s="165"/>
      <c r="BL209" s="165"/>
      <c r="BM209" s="165"/>
      <c r="BN209" s="165"/>
      <c r="BO209" s="165"/>
      <c r="BP209" s="165"/>
      <c r="BQ209" s="165"/>
      <c r="BR209" s="165"/>
      <c r="BS209" s="165"/>
      <c r="BT209" s="165"/>
      <c r="BU209" s="165"/>
      <c r="BV209" s="165"/>
      <c r="BW209" s="165"/>
      <c r="BX209" s="165"/>
      <c r="BY209" s="165"/>
      <c r="BZ209" s="165"/>
      <c r="CA209" s="165"/>
      <c r="CB209" s="165"/>
      <c r="CC209" s="165"/>
      <c r="CD209" s="165"/>
      <c r="CE209" s="165"/>
      <c r="CF209" s="165"/>
      <c r="CG209" s="165"/>
      <c r="CH209" s="165"/>
      <c r="CI209" s="170"/>
      <c r="CJ209" s="165"/>
      <c r="CK209" s="165"/>
      <c r="CL209" s="165"/>
      <c r="CM209" s="165"/>
      <c r="CN209" s="170"/>
      <c r="CO209" s="165"/>
      <c r="CP209" s="165"/>
      <c r="CQ209" s="165"/>
    </row>
    <row r="210" spans="2:95" hidden="1" outlineLevel="1" x14ac:dyDescent="0.25">
      <c r="B210" s="156" t="str">
        <f>Table1[[#Headers],[Total Testes]]</f>
        <v>Total Testes</v>
      </c>
      <c r="C210" s="154" t="str">
        <f t="shared" si="17"/>
        <v>INSTRUMENT_IFRS9_BHVRL_MTRTY</v>
      </c>
      <c r="D210" s="153" t="s">
        <v>414</v>
      </c>
      <c r="E210" s="153" t="s">
        <v>614</v>
      </c>
      <c r="G210" s="172">
        <f>INDEX(Table1[[Especificação]:[Total Testes]],MATCH(Sheet1!C210,Table1[CONCAT],0),MATCH(Sheet1!B210,Table1[[#Headers],[Especificação]:[Total Testes]],0))</f>
        <v>0</v>
      </c>
      <c r="H210" s="191">
        <f t="shared" si="18"/>
        <v>0</v>
      </c>
      <c r="I210" s="193"/>
      <c r="J210" s="170"/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5"/>
      <c r="AJ210" s="165"/>
      <c r="AK210" s="165"/>
      <c r="AL210" s="165"/>
      <c r="AM210" s="165"/>
      <c r="AN210" s="165"/>
      <c r="AO210" s="165"/>
      <c r="AP210" s="165"/>
      <c r="AQ210" s="165"/>
      <c r="AR210" s="165"/>
      <c r="AS210" s="165"/>
      <c r="AT210" s="165"/>
      <c r="AU210" s="165"/>
      <c r="AV210" s="165"/>
      <c r="AW210" s="165"/>
      <c r="AX210" s="165"/>
      <c r="AY210" s="165"/>
      <c r="AZ210" s="165"/>
      <c r="BA210" s="165"/>
      <c r="BB210" s="170"/>
      <c r="BC210" s="165"/>
      <c r="BD210" s="165"/>
      <c r="BE210" s="165"/>
      <c r="BF210" s="165"/>
      <c r="BG210" s="165"/>
      <c r="BH210" s="165"/>
      <c r="BI210" s="165"/>
      <c r="BJ210" s="165"/>
      <c r="BK210" s="165"/>
      <c r="BL210" s="165"/>
      <c r="BM210" s="165"/>
      <c r="BN210" s="165"/>
      <c r="BO210" s="165"/>
      <c r="BP210" s="165"/>
      <c r="BQ210" s="165"/>
      <c r="BR210" s="165"/>
      <c r="BS210" s="165"/>
      <c r="BT210" s="165"/>
      <c r="BU210" s="165"/>
      <c r="BV210" s="165"/>
      <c r="BW210" s="165"/>
      <c r="BX210" s="165"/>
      <c r="BY210" s="165"/>
      <c r="BZ210" s="165"/>
      <c r="CA210" s="165"/>
      <c r="CB210" s="165"/>
      <c r="CC210" s="165"/>
      <c r="CD210" s="165"/>
      <c r="CE210" s="165"/>
      <c r="CF210" s="165"/>
      <c r="CG210" s="165"/>
      <c r="CH210" s="165"/>
      <c r="CI210" s="170"/>
      <c r="CJ210" s="165"/>
      <c r="CK210" s="165"/>
      <c r="CL210" s="165"/>
      <c r="CM210" s="165"/>
      <c r="CN210" s="170"/>
      <c r="CO210" s="165"/>
      <c r="CP210" s="165"/>
      <c r="CQ210" s="165"/>
    </row>
    <row r="211" spans="2:95" hidden="1" outlineLevel="1" x14ac:dyDescent="0.25">
      <c r="B211" s="156" t="str">
        <f>Table1[[#Headers],[Total Testes]]</f>
        <v>Total Testes</v>
      </c>
      <c r="C211" s="154" t="str">
        <f t="shared" si="17"/>
        <v>INSTRUMENT_LTV</v>
      </c>
      <c r="D211" s="153" t="s">
        <v>414</v>
      </c>
      <c r="E211" s="153" t="s">
        <v>724</v>
      </c>
      <c r="G211" s="172">
        <f>INDEX(Table1[[Especificação]:[Total Testes]],MATCH(Sheet1!C211,Table1[CONCAT],0),MATCH(Sheet1!B211,Table1[[#Headers],[Especificação]:[Total Testes]],0))</f>
        <v>0</v>
      </c>
      <c r="H211" s="191">
        <f t="shared" si="18"/>
        <v>0</v>
      </c>
      <c r="I211" s="193"/>
      <c r="J211" s="170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5"/>
      <c r="AJ211" s="165"/>
      <c r="AK211" s="165"/>
      <c r="AL211" s="165"/>
      <c r="AM211" s="165"/>
      <c r="AN211" s="165"/>
      <c r="AO211" s="165"/>
      <c r="AP211" s="165"/>
      <c r="AQ211" s="165"/>
      <c r="AR211" s="165"/>
      <c r="AS211" s="165"/>
      <c r="AT211" s="165"/>
      <c r="AU211" s="165"/>
      <c r="AV211" s="165"/>
      <c r="AW211" s="165"/>
      <c r="AX211" s="165"/>
      <c r="AY211" s="165"/>
      <c r="AZ211" s="165"/>
      <c r="BA211" s="165"/>
      <c r="BB211" s="170"/>
      <c r="BC211" s="165"/>
      <c r="BD211" s="165"/>
      <c r="BE211" s="165"/>
      <c r="BF211" s="165"/>
      <c r="BG211" s="165"/>
      <c r="BH211" s="165"/>
      <c r="BI211" s="165"/>
      <c r="BJ211" s="165"/>
      <c r="BK211" s="165"/>
      <c r="BL211" s="165"/>
      <c r="BM211" s="165"/>
      <c r="BN211" s="165"/>
      <c r="BO211" s="165"/>
      <c r="BP211" s="165"/>
      <c r="BQ211" s="165"/>
      <c r="BR211" s="165"/>
      <c r="BS211" s="165"/>
      <c r="BT211" s="165"/>
      <c r="BU211" s="165"/>
      <c r="BV211" s="165"/>
      <c r="BW211" s="165"/>
      <c r="BX211" s="165"/>
      <c r="BY211" s="165"/>
      <c r="BZ211" s="165"/>
      <c r="CA211" s="165"/>
      <c r="CB211" s="165"/>
      <c r="CC211" s="165"/>
      <c r="CD211" s="165"/>
      <c r="CE211" s="165"/>
      <c r="CF211" s="165"/>
      <c r="CG211" s="165"/>
      <c r="CH211" s="165"/>
      <c r="CI211" s="170"/>
      <c r="CJ211" s="165"/>
      <c r="CK211" s="165"/>
      <c r="CL211" s="165"/>
      <c r="CM211" s="165"/>
      <c r="CN211" s="170"/>
      <c r="CO211" s="165"/>
      <c r="CP211" s="165"/>
      <c r="CQ211" s="165"/>
    </row>
    <row r="212" spans="2:95" hidden="1" outlineLevel="1" x14ac:dyDescent="0.25">
      <c r="B212" s="156" t="str">
        <f>Table1[[#Headers],[Total Testes]]</f>
        <v>Total Testes</v>
      </c>
      <c r="C212" s="154" t="str">
        <f t="shared" si="17"/>
        <v>INSTRUMENT_LTV_INCPTN</v>
      </c>
      <c r="D212" s="153" t="s">
        <v>414</v>
      </c>
      <c r="E212" s="153" t="s">
        <v>727</v>
      </c>
      <c r="G212" s="172">
        <f>INDEX(Table1[[Especificação]:[Total Testes]],MATCH(Sheet1!C212,Table1[CONCAT],0),MATCH(Sheet1!B212,Table1[[#Headers],[Especificação]:[Total Testes]],0))</f>
        <v>0</v>
      </c>
      <c r="H212" s="191">
        <f t="shared" si="18"/>
        <v>0</v>
      </c>
      <c r="I212" s="193"/>
      <c r="J212" s="170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  <c r="AA212" s="165"/>
      <c r="AB212" s="165"/>
      <c r="AC212" s="165"/>
      <c r="AD212" s="165"/>
      <c r="AE212" s="165"/>
      <c r="AF212" s="165"/>
      <c r="AG212" s="165"/>
      <c r="AH212" s="165"/>
      <c r="AI212" s="165"/>
      <c r="AJ212" s="165"/>
      <c r="AK212" s="165"/>
      <c r="AL212" s="165"/>
      <c r="AM212" s="165"/>
      <c r="AN212" s="165"/>
      <c r="AO212" s="165"/>
      <c r="AP212" s="165"/>
      <c r="AQ212" s="165"/>
      <c r="AR212" s="165"/>
      <c r="AS212" s="165"/>
      <c r="AT212" s="165"/>
      <c r="AU212" s="165"/>
      <c r="AV212" s="165"/>
      <c r="AW212" s="165"/>
      <c r="AX212" s="165"/>
      <c r="AY212" s="165"/>
      <c r="AZ212" s="165"/>
      <c r="BA212" s="165"/>
      <c r="BB212" s="170"/>
      <c r="BC212" s="165"/>
      <c r="BD212" s="165"/>
      <c r="BE212" s="165"/>
      <c r="BF212" s="165"/>
      <c r="BG212" s="165"/>
      <c r="BH212" s="165"/>
      <c r="BI212" s="165"/>
      <c r="BJ212" s="165"/>
      <c r="BK212" s="165"/>
      <c r="BL212" s="165"/>
      <c r="BM212" s="165"/>
      <c r="BN212" s="165"/>
      <c r="BO212" s="165"/>
      <c r="BP212" s="165"/>
      <c r="BQ212" s="165"/>
      <c r="BR212" s="165"/>
      <c r="BS212" s="165"/>
      <c r="BT212" s="165"/>
      <c r="BU212" s="165"/>
      <c r="BV212" s="165"/>
      <c r="BW212" s="165"/>
      <c r="BX212" s="165"/>
      <c r="BY212" s="165"/>
      <c r="BZ212" s="165"/>
      <c r="CA212" s="165"/>
      <c r="CB212" s="165"/>
      <c r="CC212" s="165"/>
      <c r="CD212" s="165"/>
      <c r="CE212" s="165"/>
      <c r="CF212" s="165"/>
      <c r="CG212" s="165"/>
      <c r="CH212" s="165"/>
      <c r="CI212" s="170"/>
      <c r="CJ212" s="165"/>
      <c r="CK212" s="165"/>
      <c r="CL212" s="165"/>
      <c r="CM212" s="165"/>
      <c r="CN212" s="170"/>
      <c r="CO212" s="165"/>
      <c r="CP212" s="165"/>
      <c r="CQ212" s="165"/>
    </row>
    <row r="213" spans="2:95" hidden="1" outlineLevel="1" x14ac:dyDescent="0.25">
      <c r="B213" s="156" t="str">
        <f>Table1[[#Headers],[Total Testes]]</f>
        <v>Total Testes</v>
      </c>
      <c r="C213" s="154" t="str">
        <f t="shared" si="17"/>
        <v>INSTRUMENT_ANNLSD_AGRD_RT</v>
      </c>
      <c r="D213" s="153" t="s">
        <v>414</v>
      </c>
      <c r="E213" s="153" t="s">
        <v>757</v>
      </c>
      <c r="G213" s="172">
        <f>INDEX(Table1[[Especificação]:[Total Testes]],MATCH(Sheet1!C213,Table1[CONCAT],0),MATCH(Sheet1!B213,Table1[[#Headers],[Especificação]:[Total Testes]],0))</f>
        <v>0</v>
      </c>
      <c r="H213" s="191">
        <f t="shared" si="18"/>
        <v>0</v>
      </c>
      <c r="I213" s="193"/>
      <c r="J213" s="170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  <c r="AA213" s="165"/>
      <c r="AB213" s="165"/>
      <c r="AC213" s="165"/>
      <c r="AD213" s="165"/>
      <c r="AE213" s="165"/>
      <c r="AF213" s="165"/>
      <c r="AG213" s="165"/>
      <c r="AH213" s="165"/>
      <c r="AI213" s="165"/>
      <c r="AJ213" s="165"/>
      <c r="AK213" s="165"/>
      <c r="AL213" s="165"/>
      <c r="AM213" s="165"/>
      <c r="AN213" s="165"/>
      <c r="AO213" s="165"/>
      <c r="AP213" s="165"/>
      <c r="AQ213" s="165"/>
      <c r="AR213" s="165"/>
      <c r="AS213" s="165"/>
      <c r="AT213" s="165"/>
      <c r="AU213" s="165"/>
      <c r="AV213" s="165"/>
      <c r="AW213" s="165"/>
      <c r="AX213" s="165"/>
      <c r="AY213" s="165"/>
      <c r="AZ213" s="165"/>
      <c r="BA213" s="165"/>
      <c r="BB213" s="170"/>
      <c r="BC213" s="165"/>
      <c r="BD213" s="165"/>
      <c r="BE213" s="165"/>
      <c r="BF213" s="165"/>
      <c r="BG213" s="165"/>
      <c r="BH213" s="165"/>
      <c r="BI213" s="165"/>
      <c r="BJ213" s="165"/>
      <c r="BK213" s="165"/>
      <c r="BL213" s="165"/>
      <c r="BM213" s="165"/>
      <c r="BN213" s="165"/>
      <c r="BO213" s="165"/>
      <c r="BP213" s="165"/>
      <c r="BQ213" s="165"/>
      <c r="BR213" s="165"/>
      <c r="BS213" s="165"/>
      <c r="BT213" s="165"/>
      <c r="BU213" s="165"/>
      <c r="BV213" s="165"/>
      <c r="BW213" s="165"/>
      <c r="BX213" s="165"/>
      <c r="BY213" s="165"/>
      <c r="BZ213" s="165"/>
      <c r="CA213" s="165"/>
      <c r="CB213" s="165"/>
      <c r="CC213" s="165"/>
      <c r="CD213" s="165"/>
      <c r="CE213" s="165"/>
      <c r="CF213" s="165"/>
      <c r="CG213" s="165"/>
      <c r="CH213" s="165"/>
      <c r="CI213" s="170"/>
      <c r="CJ213" s="165"/>
      <c r="CK213" s="165"/>
      <c r="CL213" s="165"/>
      <c r="CM213" s="165"/>
      <c r="CN213" s="170"/>
      <c r="CO213" s="165"/>
      <c r="CP213" s="165"/>
      <c r="CQ213" s="165"/>
    </row>
    <row r="214" spans="2:95" hidden="1" outlineLevel="1" x14ac:dyDescent="0.25">
      <c r="B214" s="156" t="str">
        <f>Table1[[#Headers],[Total Testes]]</f>
        <v>Total Testes</v>
      </c>
      <c r="C214" s="154" t="str">
        <f t="shared" si="17"/>
        <v>INSTRUMENT_EIR_INCPTN</v>
      </c>
      <c r="D214" s="153" t="s">
        <v>414</v>
      </c>
      <c r="E214" s="153" t="s">
        <v>763</v>
      </c>
      <c r="G214" s="172">
        <f>INDEX(Table1[[Especificação]:[Total Testes]],MATCH(Sheet1!C214,Table1[CONCAT],0),MATCH(Sheet1!B214,Table1[[#Headers],[Especificação]:[Total Testes]],0))</f>
        <v>0</v>
      </c>
      <c r="H214" s="191">
        <f t="shared" si="18"/>
        <v>0</v>
      </c>
      <c r="I214" s="193"/>
      <c r="J214" s="170"/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  <c r="AA214" s="165"/>
      <c r="AB214" s="165"/>
      <c r="AC214" s="165"/>
      <c r="AD214" s="165"/>
      <c r="AE214" s="165"/>
      <c r="AF214" s="165"/>
      <c r="AG214" s="165"/>
      <c r="AH214" s="165"/>
      <c r="AI214" s="165"/>
      <c r="AJ214" s="165"/>
      <c r="AK214" s="165"/>
      <c r="AL214" s="165"/>
      <c r="AM214" s="165"/>
      <c r="AN214" s="165"/>
      <c r="AO214" s="165"/>
      <c r="AP214" s="165"/>
      <c r="AQ214" s="165"/>
      <c r="AR214" s="165"/>
      <c r="AS214" s="165"/>
      <c r="AT214" s="165"/>
      <c r="AU214" s="165"/>
      <c r="AV214" s="165"/>
      <c r="AW214" s="165"/>
      <c r="AX214" s="165"/>
      <c r="AY214" s="165"/>
      <c r="AZ214" s="165"/>
      <c r="BA214" s="165"/>
      <c r="BB214" s="170"/>
      <c r="BC214" s="165"/>
      <c r="BD214" s="165"/>
      <c r="BE214" s="165"/>
      <c r="BF214" s="165"/>
      <c r="BG214" s="165"/>
      <c r="BH214" s="165"/>
      <c r="BI214" s="165"/>
      <c r="BJ214" s="165"/>
      <c r="BK214" s="165"/>
      <c r="BL214" s="165"/>
      <c r="BM214" s="165"/>
      <c r="BN214" s="165"/>
      <c r="BO214" s="165"/>
      <c r="BP214" s="165"/>
      <c r="BQ214" s="165"/>
      <c r="BR214" s="165"/>
      <c r="BS214" s="165"/>
      <c r="BT214" s="165"/>
      <c r="BU214" s="165"/>
      <c r="BV214" s="165"/>
      <c r="BW214" s="165"/>
      <c r="BX214" s="165"/>
      <c r="BY214" s="165"/>
      <c r="BZ214" s="165"/>
      <c r="CA214" s="165"/>
      <c r="CB214" s="165"/>
      <c r="CC214" s="165"/>
      <c r="CD214" s="165"/>
      <c r="CE214" s="165"/>
      <c r="CF214" s="165"/>
      <c r="CG214" s="165"/>
      <c r="CH214" s="165"/>
      <c r="CI214" s="170"/>
      <c r="CJ214" s="165"/>
      <c r="CK214" s="165"/>
      <c r="CL214" s="165"/>
      <c r="CM214" s="165"/>
      <c r="CN214" s="170"/>
      <c r="CO214" s="165"/>
      <c r="CP214" s="165"/>
      <c r="CQ214" s="165"/>
    </row>
    <row r="215" spans="2:95" hidden="1" outlineLevel="1" x14ac:dyDescent="0.25">
      <c r="B215" s="156" t="str">
        <f>Table1[[#Headers],[Total Testes]]</f>
        <v>Total Testes</v>
      </c>
      <c r="C215" s="154" t="str">
        <f t="shared" si="17"/>
        <v>INSTRUMENT_NW_BSNSS</v>
      </c>
      <c r="D215" s="153" t="s">
        <v>414</v>
      </c>
      <c r="E215" s="153" t="s">
        <v>973</v>
      </c>
      <c r="G215" s="172">
        <f>INDEX(Table1[[Especificação]:[Total Testes]],MATCH(Sheet1!C215,Table1[CONCAT],0),MATCH(Sheet1!B215,Table1[[#Headers],[Especificação]:[Total Testes]],0))</f>
        <v>7</v>
      </c>
      <c r="H215" s="191">
        <f t="shared" si="18"/>
        <v>0.88</v>
      </c>
      <c r="I215" s="193"/>
      <c r="J215" s="170"/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  <c r="AA215" s="165"/>
      <c r="AB215" s="165"/>
      <c r="AC215" s="165"/>
      <c r="AD215" s="165"/>
      <c r="AE215" s="165"/>
      <c r="AF215" s="165"/>
      <c r="AG215" s="165"/>
      <c r="AH215" s="165"/>
      <c r="AI215" s="165"/>
      <c r="AJ215" s="165"/>
      <c r="AK215" s="165"/>
      <c r="AL215" s="165"/>
      <c r="AM215" s="165"/>
      <c r="AN215" s="165"/>
      <c r="AO215" s="165"/>
      <c r="AP215" s="165"/>
      <c r="AQ215" s="165"/>
      <c r="AR215" s="165"/>
      <c r="AS215" s="165"/>
      <c r="AT215" s="165"/>
      <c r="AU215" s="165"/>
      <c r="AV215" s="165"/>
      <c r="AW215" s="165"/>
      <c r="AX215" s="165"/>
      <c r="AY215" s="165"/>
      <c r="AZ215" s="165"/>
      <c r="BA215" s="165"/>
      <c r="BB215" s="170"/>
      <c r="BC215" s="165"/>
      <c r="BD215" s="165"/>
      <c r="BE215" s="165"/>
      <c r="BF215" s="165"/>
      <c r="BG215" s="165"/>
      <c r="BH215" s="165"/>
      <c r="BI215" s="165"/>
      <c r="BJ215" s="165"/>
      <c r="BK215" s="165"/>
      <c r="BL215" s="165"/>
      <c r="BM215" s="165"/>
      <c r="BN215" s="165"/>
      <c r="BO215" s="165"/>
      <c r="BP215" s="165"/>
      <c r="BQ215" s="165"/>
      <c r="BR215" s="165"/>
      <c r="BS215" s="165"/>
      <c r="BT215" s="165"/>
      <c r="BU215" s="165"/>
      <c r="BV215" s="165"/>
      <c r="BW215" s="165"/>
      <c r="BX215" s="165"/>
      <c r="BY215" s="165"/>
      <c r="BZ215" s="165"/>
      <c r="CA215" s="165"/>
      <c r="CB215" s="165"/>
      <c r="CC215" s="165"/>
      <c r="CD215" s="165"/>
      <c r="CE215" s="165"/>
      <c r="CF215" s="165"/>
      <c r="CG215" s="165"/>
      <c r="CH215" s="165"/>
      <c r="CI215" s="170"/>
      <c r="CJ215" s="165"/>
      <c r="CK215" s="165"/>
      <c r="CL215" s="165"/>
      <c r="CM215" s="165"/>
      <c r="CN215" s="170"/>
      <c r="CO215" s="165"/>
      <c r="CP215" s="165"/>
      <c r="CQ215" s="165"/>
    </row>
    <row r="216" spans="2:95" hidden="1" outlineLevel="1" x14ac:dyDescent="0.25">
      <c r="B216" s="156" t="str">
        <f>Table1[[#Headers],[Total Testes]]</f>
        <v>Total Testes</v>
      </c>
      <c r="C216" s="154" t="str">
        <f t="shared" si="17"/>
        <v>PROTECTION_YR_CNSTRCTN</v>
      </c>
      <c r="D216" s="153" t="s">
        <v>1114</v>
      </c>
      <c r="E216" s="153" t="s">
        <v>1290</v>
      </c>
      <c r="G216" s="172">
        <f>INDEX(Table1[[Especificação]:[Total Testes]],MATCH(Sheet1!C216,Table1[CONCAT],0),MATCH(Sheet1!B216,Table1[[#Headers],[Especificação]:[Total Testes]],0))</f>
        <v>0</v>
      </c>
      <c r="H216" s="191">
        <f t="shared" si="18"/>
        <v>0</v>
      </c>
      <c r="I216" s="193"/>
      <c r="J216" s="170"/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  <c r="AA216" s="165"/>
      <c r="AB216" s="165"/>
      <c r="AC216" s="165"/>
      <c r="AD216" s="165"/>
      <c r="AE216" s="165"/>
      <c r="AF216" s="165"/>
      <c r="AG216" s="165"/>
      <c r="AH216" s="165"/>
      <c r="AI216" s="165"/>
      <c r="AJ216" s="165"/>
      <c r="AK216" s="165"/>
      <c r="AL216" s="165"/>
      <c r="AM216" s="165"/>
      <c r="AN216" s="165"/>
      <c r="AO216" s="165"/>
      <c r="AP216" s="165"/>
      <c r="AQ216" s="165"/>
      <c r="AR216" s="165"/>
      <c r="AS216" s="165"/>
      <c r="AT216" s="165"/>
      <c r="AU216" s="165"/>
      <c r="AV216" s="165"/>
      <c r="AW216" s="165"/>
      <c r="AX216" s="165"/>
      <c r="AY216" s="165"/>
      <c r="AZ216" s="165"/>
      <c r="BA216" s="165"/>
      <c r="BB216" s="170"/>
      <c r="BC216" s="165"/>
      <c r="BD216" s="165"/>
      <c r="BE216" s="165"/>
      <c r="BF216" s="165"/>
      <c r="BG216" s="165"/>
      <c r="BH216" s="165"/>
      <c r="BI216" s="165"/>
      <c r="BJ216" s="165"/>
      <c r="BK216" s="165"/>
      <c r="BL216" s="165"/>
      <c r="BM216" s="165"/>
      <c r="BN216" s="165"/>
      <c r="BO216" s="165"/>
      <c r="BP216" s="165"/>
      <c r="BQ216" s="165"/>
      <c r="BR216" s="165"/>
      <c r="BS216" s="165"/>
      <c r="BT216" s="165"/>
      <c r="BU216" s="165"/>
      <c r="BV216" s="165"/>
      <c r="BW216" s="165"/>
      <c r="BX216" s="165"/>
      <c r="BY216" s="165"/>
      <c r="BZ216" s="165"/>
      <c r="CA216" s="165"/>
      <c r="CB216" s="165"/>
      <c r="CC216" s="165"/>
      <c r="CD216" s="165"/>
      <c r="CE216" s="165"/>
      <c r="CF216" s="165"/>
      <c r="CG216" s="165"/>
      <c r="CH216" s="165"/>
      <c r="CI216" s="170"/>
      <c r="CJ216" s="165"/>
      <c r="CK216" s="165"/>
      <c r="CL216" s="165"/>
      <c r="CM216" s="165"/>
      <c r="CN216" s="170"/>
      <c r="CO216" s="165"/>
      <c r="CP216" s="165"/>
      <c r="CQ216" s="165"/>
    </row>
    <row r="217" spans="2:95" hidden="1" outlineLevel="1" x14ac:dyDescent="0.25">
      <c r="B217" s="156" t="str">
        <f>Table1[[#Headers],[Total Testes]]</f>
        <v>Total Testes</v>
      </c>
      <c r="C217" s="154" t="str">
        <f t="shared" si="17"/>
        <v>INSTRUMENT_INTRNL_SGMNT</v>
      </c>
      <c r="D217" s="153" t="s">
        <v>414</v>
      </c>
      <c r="E217" s="153" t="s">
        <v>50</v>
      </c>
      <c r="G217" s="172">
        <f>INDEX(Table1[[Especificação]:[Total Testes]],MATCH(Sheet1!C217,Table1[CONCAT],0),MATCH(Sheet1!B217,Table1[[#Headers],[Especificação]:[Total Testes]],0))</f>
        <v>0</v>
      </c>
      <c r="H217" s="191">
        <f t="shared" si="18"/>
        <v>0</v>
      </c>
      <c r="I217" s="193"/>
      <c r="J217" s="170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  <c r="AA217" s="165"/>
      <c r="AB217" s="165"/>
      <c r="AC217" s="165"/>
      <c r="AD217" s="165"/>
      <c r="AE217" s="165"/>
      <c r="AF217" s="165"/>
      <c r="AG217" s="165"/>
      <c r="AH217" s="165"/>
      <c r="AI217" s="165"/>
      <c r="AJ217" s="165"/>
      <c r="AK217" s="165"/>
      <c r="AL217" s="165"/>
      <c r="AM217" s="165"/>
      <c r="AN217" s="165"/>
      <c r="AO217" s="165"/>
      <c r="AP217" s="165"/>
      <c r="AQ217" s="165"/>
      <c r="AR217" s="165"/>
      <c r="AS217" s="165"/>
      <c r="AT217" s="165"/>
      <c r="AU217" s="165"/>
      <c r="AV217" s="165"/>
      <c r="AW217" s="165"/>
      <c r="AX217" s="165"/>
      <c r="AY217" s="165"/>
      <c r="AZ217" s="165"/>
      <c r="BA217" s="165"/>
      <c r="BB217" s="170"/>
      <c r="BC217" s="165"/>
      <c r="BD217" s="165"/>
      <c r="BE217" s="165"/>
      <c r="BF217" s="165"/>
      <c r="BG217" s="165"/>
      <c r="BH217" s="165"/>
      <c r="BI217" s="165"/>
      <c r="BJ217" s="165"/>
      <c r="BK217" s="165"/>
      <c r="BL217" s="165"/>
      <c r="BM217" s="165"/>
      <c r="BN217" s="165"/>
      <c r="BO217" s="165"/>
      <c r="BP217" s="165"/>
      <c r="BQ217" s="165"/>
      <c r="BR217" s="165"/>
      <c r="BS217" s="165"/>
      <c r="BT217" s="165"/>
      <c r="BU217" s="165"/>
      <c r="BV217" s="165"/>
      <c r="BW217" s="165"/>
      <c r="BX217" s="165"/>
      <c r="BY217" s="165"/>
      <c r="BZ217" s="165"/>
      <c r="CA217" s="165"/>
      <c r="CB217" s="165"/>
      <c r="CC217" s="165"/>
      <c r="CD217" s="165"/>
      <c r="CE217" s="165"/>
      <c r="CF217" s="165"/>
      <c r="CG217" s="165"/>
      <c r="CH217" s="165"/>
      <c r="CI217" s="170"/>
      <c r="CJ217" s="165"/>
      <c r="CK217" s="165"/>
      <c r="CL217" s="165"/>
      <c r="CM217" s="165"/>
      <c r="CN217" s="170"/>
      <c r="CO217" s="165"/>
      <c r="CP217" s="165"/>
      <c r="CQ217" s="165"/>
    </row>
    <row r="218" spans="2:95" hidden="1" outlineLevel="1" x14ac:dyDescent="0.25">
      <c r="B218" s="156" t="str">
        <f>Table1[[#Headers],[Total Testes]]</f>
        <v>Total Testes</v>
      </c>
      <c r="C218" s="154" t="str">
        <f t="shared" si="17"/>
        <v>INSTRUMENT_EAD</v>
      </c>
      <c r="D218" s="153" t="s">
        <v>414</v>
      </c>
      <c r="E218" s="153" t="s">
        <v>617</v>
      </c>
      <c r="G218" s="172">
        <f>INDEX(Table1[[Especificação]:[Total Testes]],MATCH(Sheet1!C218,Table1[CONCAT],0),MATCH(Sheet1!B218,Table1[[#Headers],[Especificação]:[Total Testes]],0))</f>
        <v>0</v>
      </c>
      <c r="H218" s="191">
        <f t="shared" si="18"/>
        <v>0</v>
      </c>
      <c r="I218" s="193"/>
      <c r="J218" s="170"/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  <c r="AA218" s="165"/>
      <c r="AB218" s="165"/>
      <c r="AC218" s="165"/>
      <c r="AD218" s="165"/>
      <c r="AE218" s="165"/>
      <c r="AF218" s="165"/>
      <c r="AG218" s="165"/>
      <c r="AH218" s="165"/>
      <c r="AI218" s="165"/>
      <c r="AJ218" s="165"/>
      <c r="AK218" s="165"/>
      <c r="AL218" s="165"/>
      <c r="AM218" s="165"/>
      <c r="AN218" s="165"/>
      <c r="AO218" s="165"/>
      <c r="AP218" s="165"/>
      <c r="AQ218" s="165"/>
      <c r="AR218" s="165"/>
      <c r="AS218" s="165"/>
      <c r="AT218" s="165"/>
      <c r="AU218" s="165"/>
      <c r="AV218" s="165"/>
      <c r="AW218" s="165"/>
      <c r="AX218" s="165"/>
      <c r="AY218" s="165"/>
      <c r="AZ218" s="165"/>
      <c r="BA218" s="165"/>
      <c r="BB218" s="170"/>
      <c r="BC218" s="165"/>
      <c r="BD218" s="165"/>
      <c r="BE218" s="165"/>
      <c r="BF218" s="165"/>
      <c r="BG218" s="165"/>
      <c r="BH218" s="165"/>
      <c r="BI218" s="165"/>
      <c r="BJ218" s="165"/>
      <c r="BK218" s="165"/>
      <c r="BL218" s="165"/>
      <c r="BM218" s="165"/>
      <c r="BN218" s="165"/>
      <c r="BO218" s="165"/>
      <c r="BP218" s="165"/>
      <c r="BQ218" s="165"/>
      <c r="BR218" s="165"/>
      <c r="BS218" s="165"/>
      <c r="BT218" s="165"/>
      <c r="BU218" s="165"/>
      <c r="BV218" s="165"/>
      <c r="BW218" s="165"/>
      <c r="BX218" s="165"/>
      <c r="BY218" s="165"/>
      <c r="BZ218" s="165"/>
      <c r="CA218" s="165"/>
      <c r="CB218" s="165"/>
      <c r="CC218" s="165"/>
      <c r="CD218" s="165"/>
      <c r="CE218" s="165"/>
      <c r="CF218" s="165"/>
      <c r="CG218" s="165"/>
      <c r="CH218" s="165"/>
      <c r="CI218" s="170"/>
      <c r="CJ218" s="165"/>
      <c r="CK218" s="165"/>
      <c r="CL218" s="165"/>
      <c r="CM218" s="165"/>
      <c r="CN218" s="170"/>
      <c r="CO218" s="165"/>
      <c r="CP218" s="165"/>
      <c r="CQ218" s="165"/>
    </row>
    <row r="219" spans="2:95" hidden="1" outlineLevel="1" x14ac:dyDescent="0.25">
      <c r="B219" s="156" t="str">
        <f>Table1[[#Headers],[Total Testes]]</f>
        <v>Total Testes</v>
      </c>
      <c r="C219" s="154" t="str">
        <f t="shared" si="17"/>
        <v>INSTRUMENT_OFF_BLNC_SHT_AMNT_INSTRMNT</v>
      </c>
      <c r="D219" s="153" t="s">
        <v>414</v>
      </c>
      <c r="E219" s="153" t="s">
        <v>629</v>
      </c>
      <c r="G219" s="172">
        <f>INDEX(Table1[[Especificação]:[Total Testes]],MATCH(Sheet1!C219,Table1[CONCAT],0),MATCH(Sheet1!B219,Table1[[#Headers],[Especificação]:[Total Testes]],0))</f>
        <v>0</v>
      </c>
      <c r="H219" s="191">
        <f t="shared" si="18"/>
        <v>0</v>
      </c>
      <c r="I219" s="193"/>
      <c r="J219" s="170"/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  <c r="AA219" s="165"/>
      <c r="AB219" s="165"/>
      <c r="AC219" s="165"/>
      <c r="AD219" s="165"/>
      <c r="AE219" s="165"/>
      <c r="AF219" s="165"/>
      <c r="AG219" s="165"/>
      <c r="AH219" s="165"/>
      <c r="AI219" s="165"/>
      <c r="AJ219" s="165"/>
      <c r="AK219" s="165"/>
      <c r="AL219" s="165"/>
      <c r="AM219" s="165"/>
      <c r="AN219" s="165"/>
      <c r="AO219" s="165"/>
      <c r="AP219" s="165"/>
      <c r="AQ219" s="165"/>
      <c r="AR219" s="165"/>
      <c r="AS219" s="165"/>
      <c r="AT219" s="165"/>
      <c r="AU219" s="165"/>
      <c r="AV219" s="165"/>
      <c r="AW219" s="165"/>
      <c r="AX219" s="165"/>
      <c r="AY219" s="165"/>
      <c r="AZ219" s="165"/>
      <c r="BA219" s="165"/>
      <c r="BB219" s="170"/>
      <c r="BC219" s="165"/>
      <c r="BD219" s="165"/>
      <c r="BE219" s="165"/>
      <c r="BF219" s="165"/>
      <c r="BG219" s="165"/>
      <c r="BH219" s="165"/>
      <c r="BI219" s="165"/>
      <c r="BJ219" s="165"/>
      <c r="BK219" s="165"/>
      <c r="BL219" s="165"/>
      <c r="BM219" s="165"/>
      <c r="BN219" s="165"/>
      <c r="BO219" s="165"/>
      <c r="BP219" s="165"/>
      <c r="BQ219" s="165"/>
      <c r="BR219" s="165"/>
      <c r="BS219" s="165"/>
      <c r="BT219" s="165"/>
      <c r="BU219" s="165"/>
      <c r="BV219" s="165"/>
      <c r="BW219" s="165"/>
      <c r="BX219" s="165"/>
      <c r="BY219" s="165"/>
      <c r="BZ219" s="165"/>
      <c r="CA219" s="165"/>
      <c r="CB219" s="165"/>
      <c r="CC219" s="165"/>
      <c r="CD219" s="165"/>
      <c r="CE219" s="165"/>
      <c r="CF219" s="165"/>
      <c r="CG219" s="165"/>
      <c r="CH219" s="165"/>
      <c r="CI219" s="170"/>
      <c r="CJ219" s="165"/>
      <c r="CK219" s="165"/>
      <c r="CL219" s="165"/>
      <c r="CM219" s="165"/>
      <c r="CN219" s="170"/>
      <c r="CO219" s="165"/>
      <c r="CP219" s="165"/>
      <c r="CQ219" s="165"/>
    </row>
    <row r="220" spans="2:95" hidden="1" outlineLevel="1" x14ac:dyDescent="0.25">
      <c r="B220" s="156" t="str">
        <f>Table1[[#Headers],[Total Testes]]</f>
        <v>Total Testes</v>
      </c>
      <c r="C220" s="154" t="str">
        <f t="shared" si="17"/>
        <v>INSTRUMENT_INTRNL_SGMNT_CAT_MSTA</v>
      </c>
      <c r="D220" s="153" t="s">
        <v>414</v>
      </c>
      <c r="E220" s="153" t="s">
        <v>943</v>
      </c>
      <c r="G220" s="172">
        <f>INDEX(Table1[[Especificação]:[Total Testes]],MATCH(Sheet1!C220,Table1[CONCAT],0),MATCH(Sheet1!B220,Table1[[#Headers],[Especificação]:[Total Testes]],0))</f>
        <v>0</v>
      </c>
      <c r="H220" s="191">
        <f t="shared" si="18"/>
        <v>0</v>
      </c>
      <c r="I220" s="193"/>
      <c r="J220" s="170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  <c r="AA220" s="165"/>
      <c r="AB220" s="165"/>
      <c r="AC220" s="165"/>
      <c r="AD220" s="165"/>
      <c r="AE220" s="165"/>
      <c r="AF220" s="165"/>
      <c r="AG220" s="165"/>
      <c r="AH220" s="165"/>
      <c r="AI220" s="165"/>
      <c r="AJ220" s="165"/>
      <c r="AK220" s="165"/>
      <c r="AL220" s="165"/>
      <c r="AM220" s="165"/>
      <c r="AN220" s="165"/>
      <c r="AO220" s="165"/>
      <c r="AP220" s="165"/>
      <c r="AQ220" s="165"/>
      <c r="AR220" s="165"/>
      <c r="AS220" s="165"/>
      <c r="AT220" s="165"/>
      <c r="AU220" s="165"/>
      <c r="AV220" s="165"/>
      <c r="AW220" s="165"/>
      <c r="AX220" s="165"/>
      <c r="AY220" s="165"/>
      <c r="AZ220" s="165"/>
      <c r="BA220" s="165"/>
      <c r="BB220" s="170"/>
      <c r="BC220" s="165"/>
      <c r="BD220" s="165"/>
      <c r="BE220" s="165"/>
      <c r="BF220" s="165"/>
      <c r="BG220" s="165"/>
      <c r="BH220" s="165"/>
      <c r="BI220" s="165"/>
      <c r="BJ220" s="165"/>
      <c r="BK220" s="165"/>
      <c r="BL220" s="165"/>
      <c r="BM220" s="165"/>
      <c r="BN220" s="165"/>
      <c r="BO220" s="165"/>
      <c r="BP220" s="165"/>
      <c r="BQ220" s="165"/>
      <c r="BR220" s="165"/>
      <c r="BS220" s="165"/>
      <c r="BT220" s="165"/>
      <c r="BU220" s="165"/>
      <c r="BV220" s="165"/>
      <c r="BW220" s="165"/>
      <c r="BX220" s="165"/>
      <c r="BY220" s="165"/>
      <c r="BZ220" s="165"/>
      <c r="CA220" s="165"/>
      <c r="CB220" s="165"/>
      <c r="CC220" s="165"/>
      <c r="CD220" s="165"/>
      <c r="CE220" s="165"/>
      <c r="CF220" s="165"/>
      <c r="CG220" s="165"/>
      <c r="CH220" s="165"/>
      <c r="CI220" s="170"/>
      <c r="CJ220" s="165"/>
      <c r="CK220" s="165"/>
      <c r="CL220" s="165"/>
      <c r="CM220" s="165"/>
      <c r="CN220" s="170"/>
      <c r="CO220" s="165"/>
      <c r="CP220" s="165"/>
      <c r="CQ220" s="165"/>
    </row>
    <row r="221" spans="2:95" hidden="1" outlineLevel="1" x14ac:dyDescent="0.25">
      <c r="B221" s="156" t="str">
        <f>Table1[[#Headers],[Total Testes]]</f>
        <v>Total Testes</v>
      </c>
      <c r="C221" s="154" t="str">
        <f t="shared" ref="C221:C224" si="19">D221&amp;"_"&amp;E221</f>
        <v>INSTRUMENT_INTRNL_SGMNT_CATGSUB</v>
      </c>
      <c r="D221" s="153" t="s">
        <v>414</v>
      </c>
      <c r="E221" s="153" t="s">
        <v>946</v>
      </c>
      <c r="G221" s="172">
        <f>INDEX(Table1[[Especificação]:[Total Testes]],MATCH(Sheet1!C221,Table1[CONCAT],0),MATCH(Sheet1!B221,Table1[[#Headers],[Especificação]:[Total Testes]],0))</f>
        <v>0</v>
      </c>
      <c r="H221" s="191">
        <f t="shared" ref="H221:H224" si="20">ROUND(G221/8,2)</f>
        <v>0</v>
      </c>
      <c r="I221" s="193"/>
      <c r="J221" s="170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  <c r="AA221" s="165"/>
      <c r="AB221" s="165"/>
      <c r="AC221" s="165"/>
      <c r="AD221" s="165"/>
      <c r="AE221" s="165"/>
      <c r="AF221" s="165"/>
      <c r="AG221" s="165"/>
      <c r="AH221" s="165"/>
      <c r="AI221" s="165"/>
      <c r="AJ221" s="165"/>
      <c r="AK221" s="165"/>
      <c r="AL221" s="165"/>
      <c r="AM221" s="165"/>
      <c r="AN221" s="165"/>
      <c r="AO221" s="165"/>
      <c r="AP221" s="165"/>
      <c r="AQ221" s="165"/>
      <c r="AR221" s="165"/>
      <c r="AS221" s="165"/>
      <c r="AT221" s="165"/>
      <c r="AU221" s="165"/>
      <c r="AV221" s="165"/>
      <c r="AW221" s="165"/>
      <c r="AX221" s="165"/>
      <c r="AY221" s="165"/>
      <c r="AZ221" s="165"/>
      <c r="BA221" s="165"/>
      <c r="BB221" s="170"/>
      <c r="BC221" s="165"/>
      <c r="BD221" s="165"/>
      <c r="BE221" s="165"/>
      <c r="BF221" s="165"/>
      <c r="BG221" s="165"/>
      <c r="BH221" s="165"/>
      <c r="BI221" s="165"/>
      <c r="BJ221" s="165"/>
      <c r="BK221" s="165"/>
      <c r="BL221" s="165"/>
      <c r="BM221" s="165"/>
      <c r="BN221" s="165"/>
      <c r="BO221" s="165"/>
      <c r="BP221" s="165"/>
      <c r="BQ221" s="165"/>
      <c r="BR221" s="165"/>
      <c r="BS221" s="165"/>
      <c r="BT221" s="165"/>
      <c r="BU221" s="165"/>
      <c r="BV221" s="165"/>
      <c r="BW221" s="165"/>
      <c r="BX221" s="165"/>
      <c r="BY221" s="165"/>
      <c r="BZ221" s="165"/>
      <c r="CA221" s="165"/>
      <c r="CB221" s="165"/>
      <c r="CC221" s="165"/>
      <c r="CD221" s="165"/>
      <c r="CE221" s="165"/>
      <c r="CF221" s="165"/>
      <c r="CG221" s="165"/>
      <c r="CH221" s="165"/>
      <c r="CI221" s="170"/>
      <c r="CJ221" s="165"/>
      <c r="CK221" s="165"/>
      <c r="CL221" s="165"/>
      <c r="CM221" s="165"/>
      <c r="CN221" s="170"/>
      <c r="CO221" s="165"/>
      <c r="CP221" s="165"/>
      <c r="CQ221" s="165"/>
    </row>
    <row r="222" spans="2:95" hidden="1" outlineLevel="1" x14ac:dyDescent="0.25">
      <c r="B222" s="156" t="str">
        <f>Table1[[#Headers],[Total Testes]]</f>
        <v>Total Testes</v>
      </c>
      <c r="C222" s="154" t="str">
        <f t="shared" si="19"/>
        <v>PROTECTION_RL_ESTT_ADDRSS</v>
      </c>
      <c r="D222" s="153" t="s">
        <v>1114</v>
      </c>
      <c r="E222" s="153" t="s">
        <v>1127</v>
      </c>
      <c r="G222" s="172">
        <f>INDEX(Table1[[Especificação]:[Total Testes]],MATCH(Sheet1!C222,Table1[CONCAT],0),MATCH(Sheet1!B222,Table1[[#Headers],[Especificação]:[Total Testes]],0))</f>
        <v>0</v>
      </c>
      <c r="H222" s="191">
        <f t="shared" si="20"/>
        <v>0</v>
      </c>
      <c r="I222" s="193"/>
      <c r="J222" s="170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  <c r="AA222" s="165"/>
      <c r="AB222" s="165"/>
      <c r="AC222" s="165"/>
      <c r="AD222" s="165"/>
      <c r="AE222" s="165"/>
      <c r="AF222" s="165"/>
      <c r="AG222" s="165"/>
      <c r="AH222" s="165"/>
      <c r="AI222" s="165"/>
      <c r="AJ222" s="165"/>
      <c r="AK222" s="165"/>
      <c r="AL222" s="165"/>
      <c r="AM222" s="165"/>
      <c r="AN222" s="165"/>
      <c r="AO222" s="165"/>
      <c r="AP222" s="165"/>
      <c r="AQ222" s="165"/>
      <c r="AR222" s="165"/>
      <c r="AS222" s="165"/>
      <c r="AT222" s="165"/>
      <c r="AU222" s="165"/>
      <c r="AV222" s="165"/>
      <c r="AW222" s="165"/>
      <c r="AX222" s="165"/>
      <c r="AY222" s="165"/>
      <c r="AZ222" s="165"/>
      <c r="BA222" s="165"/>
      <c r="BB222" s="170"/>
      <c r="BC222" s="165"/>
      <c r="BD222" s="165"/>
      <c r="BE222" s="165"/>
      <c r="BF222" s="165"/>
      <c r="BG222" s="165"/>
      <c r="BH222" s="165"/>
      <c r="BI222" s="165"/>
      <c r="BJ222" s="165"/>
      <c r="BK222" s="165"/>
      <c r="BL222" s="165"/>
      <c r="BM222" s="165"/>
      <c r="BN222" s="165"/>
      <c r="BO222" s="165"/>
      <c r="BP222" s="165"/>
      <c r="BQ222" s="165"/>
      <c r="BR222" s="165"/>
      <c r="BS222" s="165"/>
      <c r="BT222" s="165"/>
      <c r="BU222" s="165"/>
      <c r="BV222" s="165"/>
      <c r="BW222" s="165"/>
      <c r="BX222" s="165"/>
      <c r="BY222" s="165"/>
      <c r="BZ222" s="165"/>
      <c r="CA222" s="165"/>
      <c r="CB222" s="165"/>
      <c r="CC222" s="165"/>
      <c r="CD222" s="165"/>
      <c r="CE222" s="165"/>
      <c r="CF222" s="165"/>
      <c r="CG222" s="165"/>
      <c r="CH222" s="165"/>
      <c r="CI222" s="170"/>
      <c r="CJ222" s="165"/>
      <c r="CK222" s="165"/>
      <c r="CL222" s="165"/>
      <c r="CM222" s="165"/>
      <c r="CN222" s="170"/>
      <c r="CO222" s="165"/>
      <c r="CP222" s="165"/>
      <c r="CQ222" s="165"/>
    </row>
    <row r="223" spans="2:95" hidden="1" outlineLevel="1" x14ac:dyDescent="0.25">
      <c r="B223" s="156" t="str">
        <f>Table1[[#Headers],[Total Testes]]</f>
        <v>Total Testes</v>
      </c>
      <c r="C223" s="154" t="str">
        <f t="shared" si="19"/>
        <v>PROTECTION_RL_ESTT_CLLTRL_LCTN_INT</v>
      </c>
      <c r="D223" s="153" t="s">
        <v>1114</v>
      </c>
      <c r="E223" s="153" t="s">
        <v>1133</v>
      </c>
      <c r="G223" s="172">
        <f>INDEX(Table1[[Especificação]:[Total Testes]],MATCH(Sheet1!C223,Table1[CONCAT],0),MATCH(Sheet1!B223,Table1[[#Headers],[Especificação]:[Total Testes]],0))</f>
        <v>0</v>
      </c>
      <c r="H223" s="191">
        <f t="shared" si="20"/>
        <v>0</v>
      </c>
      <c r="I223" s="193"/>
      <c r="J223" s="170"/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  <c r="AA223" s="165"/>
      <c r="AB223" s="165"/>
      <c r="AC223" s="165"/>
      <c r="AD223" s="165"/>
      <c r="AE223" s="165"/>
      <c r="AF223" s="165"/>
      <c r="AG223" s="165"/>
      <c r="AH223" s="165"/>
      <c r="AI223" s="165"/>
      <c r="AJ223" s="165"/>
      <c r="AK223" s="165"/>
      <c r="AL223" s="165"/>
      <c r="AM223" s="165"/>
      <c r="AN223" s="165"/>
      <c r="AO223" s="165"/>
      <c r="AP223" s="165"/>
      <c r="AQ223" s="165"/>
      <c r="AR223" s="165"/>
      <c r="AS223" s="165"/>
      <c r="AT223" s="165"/>
      <c r="AU223" s="165"/>
      <c r="AV223" s="165"/>
      <c r="AW223" s="165"/>
      <c r="AX223" s="165"/>
      <c r="AY223" s="165"/>
      <c r="AZ223" s="165"/>
      <c r="BA223" s="165"/>
      <c r="BB223" s="170"/>
      <c r="BC223" s="165"/>
      <c r="BD223" s="165"/>
      <c r="BE223" s="165"/>
      <c r="BF223" s="165"/>
      <c r="BG223" s="165"/>
      <c r="BH223" s="165"/>
      <c r="BI223" s="165"/>
      <c r="BJ223" s="165"/>
      <c r="BK223" s="165"/>
      <c r="BL223" s="165"/>
      <c r="BM223" s="165"/>
      <c r="BN223" s="165"/>
      <c r="BO223" s="165"/>
      <c r="BP223" s="165"/>
      <c r="BQ223" s="165"/>
      <c r="BR223" s="165"/>
      <c r="BS223" s="165"/>
      <c r="BT223" s="165"/>
      <c r="BU223" s="165"/>
      <c r="BV223" s="165"/>
      <c r="BW223" s="165"/>
      <c r="BX223" s="165"/>
      <c r="BY223" s="165"/>
      <c r="BZ223" s="165"/>
      <c r="CA223" s="165"/>
      <c r="CB223" s="165"/>
      <c r="CC223" s="165"/>
      <c r="CD223" s="165"/>
      <c r="CE223" s="165"/>
      <c r="CF223" s="165"/>
      <c r="CG223" s="165"/>
      <c r="CH223" s="165"/>
      <c r="CI223" s="170"/>
      <c r="CJ223" s="165"/>
      <c r="CK223" s="165"/>
      <c r="CL223" s="165"/>
      <c r="CM223" s="165"/>
      <c r="CN223" s="170"/>
      <c r="CO223" s="165"/>
      <c r="CP223" s="165"/>
      <c r="CQ223" s="165"/>
    </row>
    <row r="224" spans="2:95" hidden="1" outlineLevel="1" x14ac:dyDescent="0.25">
      <c r="B224" s="156" t="str">
        <f>Table1[[#Headers],[Total Testes]]</f>
        <v>Total Testes</v>
      </c>
      <c r="C224" s="154" t="str">
        <f t="shared" si="19"/>
        <v>PROTECTION_RL_ESTT_CTY</v>
      </c>
      <c r="D224" s="153" t="s">
        <v>1114</v>
      </c>
      <c r="E224" s="153" t="s">
        <v>1136</v>
      </c>
      <c r="G224" s="172">
        <f>INDEX(Table1[[Especificação]:[Total Testes]],MATCH(Sheet1!C224,Table1[CONCAT],0),MATCH(Sheet1!B224,Table1[[#Headers],[Especificação]:[Total Testes]],0))</f>
        <v>0</v>
      </c>
      <c r="H224" s="191">
        <f t="shared" si="20"/>
        <v>0</v>
      </c>
      <c r="I224" s="193"/>
      <c r="J224" s="170"/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  <c r="AA224" s="165"/>
      <c r="AB224" s="165"/>
      <c r="AC224" s="165"/>
      <c r="AD224" s="165"/>
      <c r="AE224" s="165"/>
      <c r="AF224" s="165"/>
      <c r="AG224" s="165"/>
      <c r="AH224" s="165"/>
      <c r="AI224" s="165"/>
      <c r="AJ224" s="165"/>
      <c r="AK224" s="165"/>
      <c r="AL224" s="165"/>
      <c r="AM224" s="165"/>
      <c r="AN224" s="165"/>
      <c r="AO224" s="165"/>
      <c r="AP224" s="165"/>
      <c r="AQ224" s="165"/>
      <c r="AR224" s="165"/>
      <c r="AS224" s="165"/>
      <c r="AT224" s="165"/>
      <c r="AU224" s="165"/>
      <c r="AV224" s="165"/>
      <c r="AW224" s="165"/>
      <c r="AX224" s="165"/>
      <c r="AY224" s="165"/>
      <c r="AZ224" s="165"/>
      <c r="BA224" s="165"/>
      <c r="BB224" s="170"/>
      <c r="BC224" s="165"/>
      <c r="BD224" s="165"/>
      <c r="BE224" s="165"/>
      <c r="BF224" s="165"/>
      <c r="BG224" s="165"/>
      <c r="BH224" s="165"/>
      <c r="BI224" s="165"/>
      <c r="BJ224" s="165"/>
      <c r="BK224" s="165"/>
      <c r="BL224" s="165"/>
      <c r="BM224" s="165"/>
      <c r="BN224" s="165"/>
      <c r="BO224" s="165"/>
      <c r="BP224" s="165"/>
      <c r="BQ224" s="165"/>
      <c r="BR224" s="165"/>
      <c r="BS224" s="165"/>
      <c r="BT224" s="165"/>
      <c r="BU224" s="165"/>
      <c r="BV224" s="165"/>
      <c r="BW224" s="165"/>
      <c r="BX224" s="165"/>
      <c r="BY224" s="165"/>
      <c r="BZ224" s="165"/>
      <c r="CA224" s="165"/>
      <c r="CB224" s="165"/>
      <c r="CC224" s="165"/>
      <c r="CD224" s="165"/>
      <c r="CE224" s="165"/>
      <c r="CF224" s="165"/>
      <c r="CG224" s="165"/>
      <c r="CH224" s="165"/>
      <c r="CI224" s="170"/>
      <c r="CJ224" s="165"/>
      <c r="CK224" s="165"/>
      <c r="CL224" s="165"/>
      <c r="CM224" s="165"/>
      <c r="CN224" s="170"/>
      <c r="CO224" s="165"/>
      <c r="CP224" s="165"/>
      <c r="CQ224" s="165"/>
    </row>
    <row r="225" spans="1:95" collapsed="1" x14ac:dyDescent="0.25">
      <c r="B225" s="156"/>
      <c r="C225" s="211" t="s">
        <v>1711</v>
      </c>
      <c r="D225" s="178"/>
      <c r="E225" s="179"/>
      <c r="F225" s="205"/>
      <c r="G225" s="205">
        <f>H225*8</f>
        <v>32</v>
      </c>
      <c r="H225" s="208">
        <f>ROUNDUP(Auxiliar!$E$12*H156,0)</f>
        <v>4</v>
      </c>
      <c r="I225" s="222">
        <f t="shared" ref="I225" si="21">SUM(J225:CQ225)-H225</f>
        <v>4</v>
      </c>
      <c r="J225" s="170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5"/>
      <c r="AH225" s="165"/>
      <c r="AI225" s="165"/>
      <c r="AJ225" s="165"/>
      <c r="AK225" s="165"/>
      <c r="AL225" s="165"/>
      <c r="AM225" s="165"/>
      <c r="AN225" s="165"/>
      <c r="AO225" s="165"/>
      <c r="AP225" s="165"/>
      <c r="AQ225" s="165"/>
      <c r="AR225" s="165"/>
      <c r="AS225" s="165"/>
      <c r="AT225" s="165"/>
      <c r="AU225" s="165"/>
      <c r="AV225" s="165"/>
      <c r="AW225" s="165"/>
      <c r="AX225" s="165"/>
      <c r="AY225" s="165"/>
      <c r="AZ225" s="165"/>
      <c r="BA225" s="165"/>
      <c r="BB225" s="170"/>
      <c r="BC225" s="165"/>
      <c r="BD225" s="165"/>
      <c r="BE225" s="165"/>
      <c r="BF225" s="165"/>
      <c r="BG225" s="165"/>
      <c r="BH225" s="165"/>
      <c r="BI225" s="165"/>
      <c r="BJ225" s="165"/>
      <c r="BK225" s="165"/>
      <c r="BL225" s="165"/>
      <c r="BM225" s="165"/>
      <c r="BN225" s="165"/>
      <c r="BO225" s="165"/>
      <c r="BP225" s="165"/>
      <c r="BQ225" s="165">
        <v>1.9</v>
      </c>
      <c r="BR225" s="165">
        <v>2</v>
      </c>
      <c r="BS225" s="165">
        <v>2</v>
      </c>
      <c r="BT225" s="165">
        <v>2</v>
      </c>
      <c r="BU225" s="165">
        <v>0.1</v>
      </c>
      <c r="BV225" s="165"/>
      <c r="BW225" s="165"/>
      <c r="BX225" s="165"/>
      <c r="BY225" s="165"/>
      <c r="BZ225" s="165"/>
      <c r="CA225" s="165"/>
      <c r="CB225" s="165"/>
      <c r="CC225" s="165"/>
      <c r="CD225" s="165"/>
      <c r="CE225" s="165"/>
      <c r="CF225" s="165"/>
      <c r="CG225" s="165"/>
      <c r="CH225" s="165"/>
      <c r="CI225" s="170"/>
      <c r="CJ225" s="165"/>
      <c r="CK225" s="165"/>
      <c r="CL225" s="165"/>
      <c r="CM225" s="165"/>
      <c r="CN225" s="170"/>
      <c r="CO225" s="165"/>
      <c r="CP225" s="165"/>
      <c r="CQ225" s="165"/>
    </row>
    <row r="226" spans="1:95" x14ac:dyDescent="0.25">
      <c r="A226"/>
      <c r="B226"/>
      <c r="C226"/>
      <c r="D226"/>
      <c r="E226"/>
      <c r="F226" s="218"/>
      <c r="G226"/>
      <c r="H226"/>
      <c r="I226"/>
      <c r="J226"/>
      <c r="K226"/>
      <c r="L226"/>
      <c r="M226"/>
      <c r="N226"/>
    </row>
    <row r="231" spans="1:95" x14ac:dyDescent="0.25">
      <c r="C231" s="143" t="s">
        <v>1729</v>
      </c>
    </row>
    <row r="232" spans="1:95" x14ac:dyDescent="0.25">
      <c r="C232" s="143" t="s">
        <v>1730</v>
      </c>
    </row>
  </sheetData>
  <conditionalFormatting sqref="I10:I225">
    <cfRule type="cellIs" dxfId="18" priority="4" operator="notEqual">
      <formula>0</formula>
    </cfRule>
    <cfRule type="cellIs" dxfId="17" priority="10" operator="equal">
      <formula>0</formula>
    </cfRule>
  </conditionalFormatting>
  <conditionalFormatting sqref="J9:J225">
    <cfRule type="cellIs" dxfId="16" priority="8" operator="greaterThan">
      <formula>0</formula>
    </cfRule>
  </conditionalFormatting>
  <conditionalFormatting sqref="J2:BU2">
    <cfRule type="cellIs" dxfId="15" priority="1" operator="equal">
      <formula>0</formula>
    </cfRule>
    <cfRule type="cellIs" dxfId="14" priority="2" operator="greaterThan">
      <formula>0</formula>
    </cfRule>
    <cfRule type="cellIs" dxfId="13" priority="3" operator="lessThan">
      <formula>0</formula>
    </cfRule>
  </conditionalFormatting>
  <conditionalFormatting sqref="K9:BA225 BC9:CH225 CJ9:CM225 CO9:CQ225">
    <cfRule type="cellIs" dxfId="12" priority="9" operator="notEqual">
      <formula>0</formula>
    </cfRule>
  </conditionalFormatting>
  <conditionalFormatting sqref="BB9:BB225">
    <cfRule type="cellIs" dxfId="11" priority="7" operator="greaterThan">
      <formula>0</formula>
    </cfRule>
  </conditionalFormatting>
  <conditionalFormatting sqref="CI9:CI225">
    <cfRule type="cellIs" dxfId="10" priority="5" operator="greaterThan">
      <formula>0</formula>
    </cfRule>
  </conditionalFormatting>
  <conditionalFormatting sqref="CN9:CN225">
    <cfRule type="cellIs" dxfId="9" priority="6" operator="greaterThan">
      <formula>0</formula>
    </cfRule>
  </conditionalFormatting>
  <pageMargins left="0.7" right="0.7" top="0.75" bottom="0.75" header="0.3" footer="0.3"/>
  <pageSetup paperSize="9" orientation="portrait" r:id="rId1"/>
  <ignoredErrors>
    <ignoredError sqref="H66 H87 H15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2:N73"/>
  <sheetViews>
    <sheetView showGridLines="0" topLeftCell="A28" workbookViewId="0">
      <selection activeCell="C25" sqref="C25"/>
    </sheetView>
  </sheetViews>
  <sheetFormatPr defaultColWidth="0" defaultRowHeight="13.8" x14ac:dyDescent="0.25"/>
  <cols>
    <col min="1" max="1" width="2.69921875" customWidth="1"/>
    <col min="2" max="2" width="20" bestFit="1" customWidth="1"/>
    <col min="3" max="3" width="24" customWidth="1"/>
    <col min="4" max="4" width="8.69921875" bestFit="1" customWidth="1"/>
    <col min="5" max="5" width="62.69921875" customWidth="1"/>
    <col min="6" max="6" width="9.3984375" bestFit="1" customWidth="1"/>
    <col min="7" max="7" width="28.69921875" hidden="1" customWidth="1"/>
    <col min="8" max="8" width="14.59765625" hidden="1" customWidth="1"/>
    <col min="9" max="9" width="29.8984375" hidden="1" customWidth="1"/>
    <col min="10" max="10" width="27.19921875" hidden="1" customWidth="1"/>
    <col min="11" max="11" width="18.5" hidden="1" customWidth="1"/>
    <col min="12" max="12" width="16.5" hidden="1" customWidth="1"/>
    <col min="13" max="13" width="8.69921875" hidden="1" customWidth="1"/>
    <col min="14" max="14" width="76.59765625" hidden="1" customWidth="1"/>
    <col min="15" max="16384" width="8.69921875" hidden="1"/>
  </cols>
  <sheetData>
    <row r="2" spans="2:12" x14ac:dyDescent="0.25">
      <c r="B2" s="70" t="s">
        <v>1622</v>
      </c>
      <c r="C2" s="69">
        <f>COUNTIFS('LISTA - Setembro2024'!$K$3:$K$539,"Y")</f>
        <v>174</v>
      </c>
    </row>
    <row r="4" spans="2:12" x14ac:dyDescent="0.25">
      <c r="B4" s="64" t="s">
        <v>1614</v>
      </c>
      <c r="C4" s="64" t="s">
        <v>1615</v>
      </c>
      <c r="D4" s="64" t="s">
        <v>1613</v>
      </c>
      <c r="E4" s="64" t="s">
        <v>1616</v>
      </c>
      <c r="H4" s="57" t="s">
        <v>1396</v>
      </c>
      <c r="I4" s="57" t="s">
        <v>1603</v>
      </c>
      <c r="J4" s="57" t="s">
        <v>1568</v>
      </c>
      <c r="K4" s="57" t="s">
        <v>1584</v>
      </c>
      <c r="L4" s="58" t="s">
        <v>1613</v>
      </c>
    </row>
    <row r="5" spans="2:12" x14ac:dyDescent="0.25">
      <c r="B5" s="248" t="s">
        <v>1570</v>
      </c>
      <c r="C5" s="65" t="s">
        <v>1618</v>
      </c>
      <c r="D5" s="72">
        <f>GETPIVOTDATA("[Measures].[Count of ID Data field / Field order]",$H$4,"[Range].[STATUS]","[Range].[STATUS].&amp;[Novo Campo]","[Range].[AMBITO]","[Range].[AMBITO].&amp;[ESTR &amp; GD &amp; PILAR3]","[Range].[Status Data Lake]","[Range].[Status Data Lake].&amp;[n/a]","[Range].[Leveraged Finance]","[Range].[Leveraged Finance].&amp;[Y]")</f>
        <v>1</v>
      </c>
      <c r="E5" s="65" t="s">
        <v>1625</v>
      </c>
      <c r="H5" s="54" t="s">
        <v>11</v>
      </c>
      <c r="I5" s="54" t="s">
        <v>1565</v>
      </c>
      <c r="J5" s="54" t="s">
        <v>1599</v>
      </c>
      <c r="K5" s="54" t="s">
        <v>1563</v>
      </c>
      <c r="L5" s="58">
        <v>1</v>
      </c>
    </row>
    <row r="6" spans="2:12" x14ac:dyDescent="0.25">
      <c r="B6" s="248"/>
      <c r="C6" s="65" t="s">
        <v>1601</v>
      </c>
      <c r="D6" s="72">
        <f>GETPIVOTDATA("[Measures].[Count of ID Data field / Field order]",$H$4,"[Range].[STATUS]","[Range].[STATUS].&amp;[Novo Campo]","[Range].[AMBITO]","[Range].[AMBITO].&amp;[LF]","[Range].[Status Data Lake]","[Range].[Status Data Lake].&amp;[n/a]","[Range].[Leveraged Finance]","[Range].[Leveraged Finance].&amp;[Y]")</f>
        <v>19</v>
      </c>
      <c r="E6" s="65" t="s">
        <v>1625</v>
      </c>
      <c r="H6" s="55"/>
      <c r="I6" s="54" t="s">
        <v>1609</v>
      </c>
      <c r="J6" s="54" t="s">
        <v>1610</v>
      </c>
      <c r="K6" s="54" t="s">
        <v>1563</v>
      </c>
      <c r="L6" s="58">
        <v>2</v>
      </c>
    </row>
    <row r="7" spans="2:12" ht="79.2" x14ac:dyDescent="0.25">
      <c r="B7" s="65" t="s">
        <v>1617</v>
      </c>
      <c r="C7" s="65" t="s">
        <v>1618</v>
      </c>
      <c r="D7" s="65">
        <f>SUM(L50:L72)</f>
        <v>154</v>
      </c>
      <c r="E7" s="65" t="s">
        <v>1698</v>
      </c>
      <c r="H7" s="55"/>
      <c r="I7" s="55"/>
      <c r="J7" s="54" t="s">
        <v>1599</v>
      </c>
      <c r="K7" s="54" t="s">
        <v>1563</v>
      </c>
      <c r="L7" s="58">
        <v>2</v>
      </c>
    </row>
    <row r="8" spans="2:12" x14ac:dyDescent="0.25">
      <c r="B8" s="66"/>
      <c r="C8" s="67" t="s">
        <v>1621</v>
      </c>
      <c r="D8" s="68">
        <f>SUM(D5:D7)</f>
        <v>174</v>
      </c>
      <c r="E8" s="66"/>
      <c r="H8" s="55"/>
      <c r="I8" s="54" t="s">
        <v>1566</v>
      </c>
      <c r="J8" s="60" t="s">
        <v>1599</v>
      </c>
      <c r="K8" s="54" t="s">
        <v>1563</v>
      </c>
      <c r="L8" s="58">
        <v>2</v>
      </c>
    </row>
    <row r="9" spans="2:12" x14ac:dyDescent="0.25">
      <c r="H9" s="55"/>
      <c r="I9" s="54" t="s">
        <v>1607</v>
      </c>
      <c r="J9" s="62" t="s">
        <v>1596</v>
      </c>
      <c r="K9" s="54" t="s">
        <v>1563</v>
      </c>
      <c r="L9" s="58">
        <v>1</v>
      </c>
    </row>
    <row r="10" spans="2:12" x14ac:dyDescent="0.25">
      <c r="H10" s="55"/>
      <c r="I10" s="55"/>
      <c r="J10" s="60" t="s">
        <v>1610</v>
      </c>
      <c r="K10" s="54" t="s">
        <v>1563</v>
      </c>
      <c r="L10" s="58">
        <v>3</v>
      </c>
    </row>
    <row r="11" spans="2:12" x14ac:dyDescent="0.25">
      <c r="B11" s="70" t="s">
        <v>1623</v>
      </c>
      <c r="C11" s="69">
        <f>COUNTIFS('LISTA - Setembro2024'!$K$3:$K$539,"N")</f>
        <v>362</v>
      </c>
      <c r="H11" s="55"/>
      <c r="I11" s="55"/>
      <c r="J11" s="60" t="s">
        <v>1599</v>
      </c>
      <c r="K11" s="54" t="s">
        <v>1563</v>
      </c>
      <c r="L11" s="58">
        <v>3</v>
      </c>
    </row>
    <row r="12" spans="2:12" x14ac:dyDescent="0.25">
      <c r="H12" s="55"/>
      <c r="I12" s="54" t="s">
        <v>1608</v>
      </c>
      <c r="J12" s="60" t="s">
        <v>1610</v>
      </c>
      <c r="K12" s="54" t="s">
        <v>1563</v>
      </c>
      <c r="L12" s="58">
        <v>2</v>
      </c>
    </row>
    <row r="13" spans="2:12" x14ac:dyDescent="0.25">
      <c r="H13" s="55"/>
      <c r="I13" s="55"/>
      <c r="J13" s="60" t="s">
        <v>1599</v>
      </c>
      <c r="K13" s="54" t="s">
        <v>1563</v>
      </c>
      <c r="L13" s="58">
        <v>2</v>
      </c>
    </row>
    <row r="14" spans="2:12" x14ac:dyDescent="0.25">
      <c r="B14" s="64" t="s">
        <v>1614</v>
      </c>
      <c r="C14" s="64" t="s">
        <v>1615</v>
      </c>
      <c r="D14" s="64" t="s">
        <v>1613</v>
      </c>
      <c r="E14" s="64" t="s">
        <v>1616</v>
      </c>
      <c r="H14" s="55"/>
      <c r="I14" s="54" t="s">
        <v>1570</v>
      </c>
      <c r="J14" s="61" t="s">
        <v>1600</v>
      </c>
      <c r="K14" s="54" t="s">
        <v>1563</v>
      </c>
      <c r="L14" s="58">
        <v>12</v>
      </c>
    </row>
    <row r="15" spans="2:12" ht="26.4" x14ac:dyDescent="0.25">
      <c r="B15" s="249" t="s">
        <v>1606</v>
      </c>
      <c r="C15" s="65" t="s">
        <v>1618</v>
      </c>
      <c r="D15" s="140">
        <f>GETPIVOTDATA("[Measures].[Count of ID Data field / Field order]",$H$4,"[Range].[STATUS]","[Range].[STATUS].&amp;[Nova Tabela]","[Range].[AMBITO]","[Range].[AMBITO].&amp;[ESTR &amp; GD &amp; PILAR3]","[Range].[Status Data Lake]","[Range].[Status Data Lake].&amp;[n/a]","[Range].[Leveraged Finance]","[Range].[Leveraged Finance].&amp;[N]")</f>
        <v>1</v>
      </c>
      <c r="E15" s="65" t="s">
        <v>1687</v>
      </c>
      <c r="H15" s="55"/>
      <c r="I15" s="55"/>
      <c r="J15" s="62" t="s">
        <v>1567</v>
      </c>
      <c r="K15" s="54" t="s">
        <v>1563</v>
      </c>
      <c r="L15" s="58">
        <v>25</v>
      </c>
    </row>
    <row r="16" spans="2:12" x14ac:dyDescent="0.25">
      <c r="B16" s="251"/>
      <c r="C16" s="65" t="s">
        <v>1610</v>
      </c>
      <c r="D16" s="65">
        <f>GETPIVOTDATA("[Measures].[Count of ID Data field / Field order]",$H$4,"[Range].[STATUS]","[Range].[STATUS].&amp;[Nova Tabela]","[Range].[AMBITO]","[Range].[AMBITO].&amp;[GD &amp; PILAR3]","[Range].[Status Data Lake]","[Range].[Status Data Lake].&amp;[n/a]","[Range].[Leveraged Finance]","[Range].[Leveraged Finance].&amp;[N]")+GETPIVOTDATA("[Measures].[Count of ID Data field / Field order]",$H$4,"[Range].[STATUS]","[Range].[STATUS].&amp;[Nova Tabela - Campo existente]","[Range].[AMBITO]","[Range].[AMBITO].&amp;[GD &amp; PILAR3]","[Range].[Status Data Lake]","[Range].[Status Data Lake].&amp;[n/a]","[Range].[Leveraged Finance]","[Range].[Leveraged Finance].&amp;[N]")</f>
        <v>5</v>
      </c>
      <c r="E16" s="65" t="s">
        <v>1624</v>
      </c>
      <c r="H16" s="55"/>
      <c r="I16" s="55"/>
      <c r="J16" s="62" t="s">
        <v>1611</v>
      </c>
      <c r="K16" s="54" t="s">
        <v>1563</v>
      </c>
      <c r="L16" s="58">
        <v>7</v>
      </c>
    </row>
    <row r="17" spans="2:12" x14ac:dyDescent="0.25">
      <c r="B17" s="250"/>
      <c r="C17" s="65" t="s">
        <v>1599</v>
      </c>
      <c r="D17" s="65">
        <f>GETPIVOTDATA("[Measures].[Count of ID Data field / Field order]",$H$4,"[Range].[STATUS]","[Range].[STATUS].&amp;[Nova Tabela]","[Range].[AMBITO]","[Range].[AMBITO].&amp;[PILAR3]","[Range].[Status Data Lake]","[Range].[Status Data Lake].&amp;[n/a]","[Range].[Leveraged Finance]","[Range].[Leveraged Finance].&amp;[N]")+GETPIVOTDATA("[Measures].[Count of ID Data field / Field order]",$H$4,"[Range].[STATUS]","[Range].[STATUS].&amp;[Nova Tabela - Campo existente]","[Range].[AMBITO]","[Range].[AMBITO].&amp;[PILAR3]","[Range].[Status Data Lake]","[Range].[Status Data Lake].&amp;[n/a]","[Range].[Leveraged Finance]","[Range].[Leveraged Finance].&amp;[N]")</f>
        <v>5</v>
      </c>
      <c r="E17" s="65" t="s">
        <v>1624</v>
      </c>
      <c r="H17" s="55"/>
      <c r="I17" s="55"/>
      <c r="J17" s="60" t="s">
        <v>1598</v>
      </c>
      <c r="K17" s="54" t="s">
        <v>1563</v>
      </c>
      <c r="L17" s="58">
        <v>1</v>
      </c>
    </row>
    <row r="18" spans="2:12" x14ac:dyDescent="0.25">
      <c r="B18" s="249" t="s">
        <v>1570</v>
      </c>
      <c r="C18" s="65" t="s">
        <v>1567</v>
      </c>
      <c r="D18" s="140">
        <f>GETPIVOTDATA("[Measures].[Count of ID Data field / Field order]",$H$4,"[Range].[STATUS]","[Range].[STATUS].&amp;[Novo Campo]","[Range].[AMBITO]","[Range].[AMBITO].&amp;[ESTR]","[Range].[Status Data Lake]","[Range].[Status Data Lake].&amp;[n/a]","[Range].[Leveraged Finance]","[Range].[Leveraged Finance].&amp;[N]")</f>
        <v>25</v>
      </c>
      <c r="E18" s="65" t="s">
        <v>1625</v>
      </c>
      <c r="H18" s="55"/>
      <c r="I18" s="55"/>
      <c r="J18" s="60" t="s">
        <v>1610</v>
      </c>
      <c r="K18" s="54" t="s">
        <v>1563</v>
      </c>
      <c r="L18" s="58">
        <v>1</v>
      </c>
    </row>
    <row r="19" spans="2:12" x14ac:dyDescent="0.25">
      <c r="B19" s="251"/>
      <c r="C19" s="65" t="s">
        <v>1626</v>
      </c>
      <c r="D19" s="140">
        <f>GETPIVOTDATA("[Measures].[Count of ID Data field / Field order]",$H$4,"[Range].[STATUS]","[Range].[STATUS].&amp;[Novo Campo]","[Range].[AMBITO]","[Range].[AMBITO].&amp;[ESTR &amp; GFINANCE]","[Range].[Status Data Lake]","[Range].[Status Data Lake].&amp;[n/a]","[Range].[Leveraged Finance]","[Range].[Leveraged Finance].&amp;[N]")</f>
        <v>7</v>
      </c>
      <c r="E19" s="65" t="s">
        <v>1625</v>
      </c>
      <c r="H19" s="55"/>
      <c r="I19" s="55"/>
      <c r="J19" s="54" t="s">
        <v>1599</v>
      </c>
      <c r="K19" s="54" t="s">
        <v>1563</v>
      </c>
      <c r="L19" s="58">
        <v>29</v>
      </c>
    </row>
    <row r="20" spans="2:12" x14ac:dyDescent="0.25">
      <c r="B20" s="251"/>
      <c r="C20" s="65" t="s">
        <v>1610</v>
      </c>
      <c r="D20" s="65">
        <f>GETPIVOTDATA("[Measures].[Count of ID Data field / Field order]",$H$4,"[Range].[STATUS]","[Range].[STATUS].&amp;[Novo Campo]","[Range].[AMBITO]","[Range].[AMBITO].&amp;[GD &amp; PILAR3]","[Range].[Status Data Lake]","[Range].[Status Data Lake].&amp;[n/a]","[Range].[Leveraged Finance]","[Range].[Leveraged Finance].&amp;[N]")</f>
        <v>1</v>
      </c>
      <c r="E20" s="65" t="s">
        <v>1625</v>
      </c>
      <c r="H20" s="55"/>
      <c r="I20" s="54" t="s">
        <v>1605</v>
      </c>
      <c r="J20" s="54" t="s">
        <v>1567</v>
      </c>
      <c r="K20" s="54" t="s">
        <v>1577</v>
      </c>
      <c r="L20" s="58">
        <v>9</v>
      </c>
    </row>
    <row r="21" spans="2:12" x14ac:dyDescent="0.25">
      <c r="B21" s="251"/>
      <c r="C21" s="65" t="s">
        <v>1599</v>
      </c>
      <c r="D21" s="65">
        <f>GETPIVOTDATA("[Measures].[Count of ID Data field / Field order]",$H$4,"[Range].[STATUS]","[Range].[STATUS].&amp;[Novo Campo]","[Range].[AMBITO]","[Range].[AMBITO].&amp;[PILAR3]","[Range].[Status Data Lake]","[Range].[Status Data Lake].&amp;[n/a]","[Range].[Leveraged Finance]","[Range].[Leveraged Finance].&amp;[N]")</f>
        <v>29</v>
      </c>
      <c r="E21" s="65" t="s">
        <v>1625</v>
      </c>
      <c r="H21" s="55"/>
      <c r="I21" s="55"/>
      <c r="J21" s="55"/>
      <c r="K21" s="59" t="s">
        <v>1575</v>
      </c>
      <c r="L21" s="128">
        <v>15</v>
      </c>
    </row>
    <row r="22" spans="2:12" x14ac:dyDescent="0.25">
      <c r="B22" s="251"/>
      <c r="C22" s="65" t="s">
        <v>1598</v>
      </c>
      <c r="D22" s="65">
        <f>GETPIVOTDATA("[Measures].[Count of ID Data field / Field order]",$H$4,"[Range].[STATUS]","[Range].[STATUS].&amp;[Novo Campo]","[Range].[AMBITO]","[Range].[AMBITO].&amp;[GD]","[Range].[Status Data Lake]","[Range].[Status Data Lake].&amp;[n/a]","[Range].[Leveraged Finance]","[Range].[Leveraged Finance].&amp;[N]")</f>
        <v>1</v>
      </c>
      <c r="E22" s="65" t="s">
        <v>1625</v>
      </c>
      <c r="H22" s="55"/>
      <c r="I22" s="55"/>
      <c r="J22" s="55"/>
      <c r="K22" s="59" t="s">
        <v>1576</v>
      </c>
      <c r="L22" s="128">
        <v>1</v>
      </c>
    </row>
    <row r="23" spans="2:12" ht="26.4" x14ac:dyDescent="0.25">
      <c r="B23" s="250"/>
      <c r="C23" s="65" t="s">
        <v>7</v>
      </c>
      <c r="D23" s="140">
        <f>GETPIVOTDATA("[Measures].[Count of ID Data field / Field order]",$H$4,"[Range].[STATUS]","[Range].[STATUS].&amp;[Novo Campo]","[Range].[AMBITO]","[Range].[AMBITO].&amp;[ESG_RISKS]","[Range].[Status Data Lake]","[Range].[Status Data Lake].&amp;[n/a]","[Range].[Leveraged Finance]","[Range].[Leveraged Finance].&amp;[N]")</f>
        <v>12</v>
      </c>
      <c r="E23" s="65" t="s">
        <v>1630</v>
      </c>
      <c r="H23" s="55"/>
      <c r="I23" s="55"/>
      <c r="J23" s="55"/>
      <c r="K23" s="59" t="s">
        <v>1580</v>
      </c>
      <c r="L23" s="128">
        <v>13</v>
      </c>
    </row>
    <row r="24" spans="2:12" x14ac:dyDescent="0.25">
      <c r="B24" s="71" t="s">
        <v>1627</v>
      </c>
      <c r="C24" s="65" t="s">
        <v>1599</v>
      </c>
      <c r="D24" s="65">
        <f>GETPIVOTDATA("[Measures].[Count of ID Data field / Field order]",$H$4,"[Range].[STATUS]","[Range].[STATUS].&amp;[Nome campo alterado]","[Range].[AMBITO]","[Range].[AMBITO].&amp;[PILAR3]","[Range].[Status Data Lake]","[Range].[Status Data Lake].&amp;[n/a]","[Range].[Leveraged Finance]","[Range].[Leveraged Finance].&amp;[N]")</f>
        <v>2</v>
      </c>
      <c r="E24" s="65" t="s">
        <v>1629</v>
      </c>
      <c r="H24" s="55"/>
      <c r="I24" s="55"/>
      <c r="J24" s="55"/>
      <c r="K24" s="59" t="s">
        <v>1583</v>
      </c>
      <c r="L24" s="128">
        <v>1</v>
      </c>
    </row>
    <row r="25" spans="2:12" ht="66" x14ac:dyDescent="0.25">
      <c r="B25" s="65" t="s">
        <v>1617</v>
      </c>
      <c r="C25" s="65" t="s">
        <v>15</v>
      </c>
      <c r="D25" s="65">
        <f>SUM(L20:L47)</f>
        <v>269</v>
      </c>
      <c r="E25" s="65" t="s">
        <v>1631</v>
      </c>
      <c r="H25" s="55"/>
      <c r="I25" s="55"/>
      <c r="J25" s="55"/>
      <c r="K25" s="59" t="s">
        <v>1581</v>
      </c>
      <c r="L25" s="128">
        <v>7</v>
      </c>
    </row>
    <row r="26" spans="2:12" x14ac:dyDescent="0.25">
      <c r="B26" s="66"/>
      <c r="C26" s="67" t="s">
        <v>1628</v>
      </c>
      <c r="D26" s="68">
        <f>SUM(D15:D25)</f>
        <v>357</v>
      </c>
      <c r="E26" s="66"/>
      <c r="H26" s="55"/>
      <c r="I26" s="55"/>
      <c r="J26" s="55"/>
      <c r="K26" s="59" t="s">
        <v>1574</v>
      </c>
      <c r="L26" s="128">
        <v>2</v>
      </c>
    </row>
    <row r="27" spans="2:12" x14ac:dyDescent="0.25">
      <c r="B27" s="249" t="s">
        <v>1565</v>
      </c>
      <c r="C27" s="65" t="s">
        <v>1610</v>
      </c>
      <c r="D27" s="65">
        <f>GETPIVOTDATA("[Measures].[Count of ID Data field / Field order]",$H$4,"[Range].[STATUS]","[Range].[STATUS].&amp;[Campo eliminado - troca tabela]","[Range].[AMBITO]","[Range].[AMBITO].&amp;[GD &amp; PILAR3]","[Range].[Status Data Lake]","[Range].[Status Data Lake].&amp;[n/a]","[Range].[Leveraged Finance]","[Range].[Leveraged Finance].&amp;[N]")</f>
        <v>2</v>
      </c>
      <c r="E27" s="65" t="s">
        <v>1624</v>
      </c>
      <c r="H27" s="55"/>
      <c r="I27" s="55"/>
      <c r="J27" s="55"/>
      <c r="K27" s="59" t="s">
        <v>1578</v>
      </c>
      <c r="L27" s="128">
        <v>36</v>
      </c>
    </row>
    <row r="28" spans="2:12" x14ac:dyDescent="0.25">
      <c r="B28" s="250"/>
      <c r="C28" s="65" t="s">
        <v>1599</v>
      </c>
      <c r="D28" s="65">
        <f>GETPIVOTDATA("[Measures].[Count of ID Data field / Field order]",$H$4,"[Range].[STATUS]","[Range].[STATUS].&amp;[Campo eliminado]","[Range].[AMBITO]","[Range].[AMBITO].&amp;[PILAR3]","[Range].[Status Data Lake]","[Range].[Status Data Lake].&amp;[n/a]","[Range].[Leveraged Finance]","[Range].[Leveraged Finance].&amp;[N]")+GETPIVOTDATA("[Measures].[Count of ID Data field / Field order]",$H$4,"[Range].[STATUS]","[Range].[STATUS].&amp;[Campo eliminado - troca tabela]","[Range].[AMBITO]","[Range].[AMBITO].&amp;[PILAR3]","[Range].[Status Data Lake]","[Range].[Status Data Lake].&amp;[n/a]","[Range].[Leveraged Finance]","[Range].[Leveraged Finance].&amp;[N]")</f>
        <v>3</v>
      </c>
      <c r="E28" s="65" t="s">
        <v>1624</v>
      </c>
      <c r="H28" s="55"/>
      <c r="I28" s="55"/>
      <c r="J28" s="55"/>
      <c r="K28" s="59" t="s">
        <v>1579</v>
      </c>
      <c r="L28" s="128">
        <v>6</v>
      </c>
    </row>
    <row r="29" spans="2:12" x14ac:dyDescent="0.25">
      <c r="B29" s="66"/>
      <c r="C29" s="67"/>
      <c r="D29" s="73">
        <f>D26+SUM(D27:D28)</f>
        <v>362</v>
      </c>
      <c r="E29" s="66"/>
      <c r="H29" s="55"/>
      <c r="I29" s="55"/>
      <c r="J29" s="55"/>
      <c r="K29" s="59" t="s">
        <v>1573</v>
      </c>
      <c r="L29" s="128">
        <v>73</v>
      </c>
    </row>
    <row r="30" spans="2:12" x14ac:dyDescent="0.25">
      <c r="H30" s="55"/>
      <c r="I30" s="55"/>
      <c r="J30" s="54" t="s">
        <v>1597</v>
      </c>
      <c r="K30" s="54" t="s">
        <v>1581</v>
      </c>
      <c r="L30" s="58">
        <v>1</v>
      </c>
    </row>
    <row r="31" spans="2:12" x14ac:dyDescent="0.25">
      <c r="H31" s="55"/>
      <c r="I31" s="55"/>
      <c r="J31" s="55"/>
      <c r="K31" s="59" t="s">
        <v>1573</v>
      </c>
      <c r="L31" s="128">
        <v>1</v>
      </c>
    </row>
    <row r="32" spans="2:12" x14ac:dyDescent="0.25">
      <c r="H32" s="55"/>
      <c r="I32" s="55"/>
      <c r="J32" s="54" t="s">
        <v>1596</v>
      </c>
      <c r="K32" s="54" t="s">
        <v>1580</v>
      </c>
      <c r="L32" s="58">
        <v>1</v>
      </c>
    </row>
    <row r="33" spans="2:12" x14ac:dyDescent="0.25">
      <c r="B33" s="139"/>
      <c r="C33" s="138"/>
      <c r="D33" s="138"/>
      <c r="E33" s="138"/>
      <c r="H33" s="55"/>
      <c r="I33" s="55"/>
      <c r="J33" s="55"/>
      <c r="K33" s="59" t="s">
        <v>1574</v>
      </c>
      <c r="L33" s="128">
        <v>1</v>
      </c>
    </row>
    <row r="34" spans="2:12" x14ac:dyDescent="0.25">
      <c r="B34" s="138"/>
      <c r="C34" s="138"/>
      <c r="D34" s="138"/>
      <c r="E34" s="138"/>
      <c r="H34" s="55"/>
      <c r="I34" s="55"/>
      <c r="J34" s="55"/>
      <c r="K34" s="59" t="s">
        <v>1578</v>
      </c>
      <c r="L34" s="128">
        <v>3</v>
      </c>
    </row>
    <row r="35" spans="2:12" x14ac:dyDescent="0.25">
      <c r="B35" s="138"/>
      <c r="C35" s="138"/>
      <c r="D35" s="138"/>
      <c r="E35" s="138"/>
      <c r="H35" s="55"/>
      <c r="I35" s="55"/>
      <c r="J35" s="55"/>
      <c r="K35" s="59" t="s">
        <v>1573</v>
      </c>
      <c r="L35" s="128">
        <v>6</v>
      </c>
    </row>
    <row r="36" spans="2:12" x14ac:dyDescent="0.25">
      <c r="B36" s="138"/>
      <c r="C36" s="138"/>
      <c r="D36" s="138"/>
      <c r="E36" s="138"/>
      <c r="H36" s="55"/>
      <c r="I36" s="55"/>
      <c r="J36" s="54" t="s">
        <v>1611</v>
      </c>
      <c r="K36" s="54" t="s">
        <v>1573</v>
      </c>
      <c r="L36" s="58">
        <v>1</v>
      </c>
    </row>
    <row r="37" spans="2:12" x14ac:dyDescent="0.25">
      <c r="B37" s="138"/>
      <c r="C37" s="138"/>
      <c r="D37" s="138"/>
      <c r="E37" s="138"/>
      <c r="H37" s="55"/>
      <c r="I37" s="55"/>
      <c r="J37" s="54" t="s">
        <v>1612</v>
      </c>
      <c r="K37" s="54" t="s">
        <v>1577</v>
      </c>
      <c r="L37" s="58">
        <v>1</v>
      </c>
    </row>
    <row r="38" spans="2:12" x14ac:dyDescent="0.25">
      <c r="B38" s="138"/>
      <c r="C38" s="138"/>
      <c r="D38" s="138"/>
      <c r="E38" s="138"/>
      <c r="H38" s="55"/>
      <c r="I38" s="55"/>
      <c r="J38" s="55"/>
      <c r="K38" s="59" t="s">
        <v>1575</v>
      </c>
      <c r="L38" s="128">
        <v>2</v>
      </c>
    </row>
    <row r="39" spans="2:12" x14ac:dyDescent="0.25">
      <c r="B39" s="141"/>
      <c r="C39" s="138" t="s">
        <v>1689</v>
      </c>
      <c r="D39" s="138"/>
      <c r="E39" s="138"/>
      <c r="H39" s="55"/>
      <c r="I39" s="55"/>
      <c r="J39" s="55"/>
      <c r="K39" s="59" t="s">
        <v>1576</v>
      </c>
      <c r="L39" s="128">
        <v>1</v>
      </c>
    </row>
    <row r="40" spans="2:12" x14ac:dyDescent="0.25">
      <c r="B40" s="141"/>
      <c r="C40" s="138" t="s">
        <v>1686</v>
      </c>
      <c r="D40" s="138"/>
      <c r="E40" s="138"/>
      <c r="H40" s="55"/>
      <c r="I40" s="55"/>
      <c r="J40" s="55"/>
      <c r="K40" s="59" t="s">
        <v>1580</v>
      </c>
      <c r="L40" s="128">
        <v>1</v>
      </c>
    </row>
    <row r="41" spans="2:12" x14ac:dyDescent="0.25">
      <c r="B41" s="138"/>
      <c r="C41" s="138"/>
      <c r="D41" s="138"/>
      <c r="E41" s="138"/>
      <c r="H41" s="55"/>
      <c r="I41" s="55"/>
      <c r="J41" s="55"/>
      <c r="K41" s="59" t="s">
        <v>1578</v>
      </c>
      <c r="L41" s="128">
        <v>3</v>
      </c>
    </row>
    <row r="42" spans="2:12" x14ac:dyDescent="0.25">
      <c r="B42" s="138" t="s">
        <v>1688</v>
      </c>
      <c r="C42" s="138"/>
      <c r="D42" s="138"/>
      <c r="E42" s="138"/>
      <c r="H42" s="55"/>
      <c r="I42" s="55"/>
      <c r="J42" s="55"/>
      <c r="K42" s="59" t="s">
        <v>1573</v>
      </c>
      <c r="L42" s="128">
        <v>6</v>
      </c>
    </row>
    <row r="43" spans="2:12" x14ac:dyDescent="0.25">
      <c r="B43" s="138" t="s">
        <v>1690</v>
      </c>
      <c r="C43" s="138"/>
      <c r="D43" s="138"/>
      <c r="E43" s="138"/>
      <c r="H43" s="55"/>
      <c r="I43" s="55"/>
      <c r="J43" s="54" t="s">
        <v>1598</v>
      </c>
      <c r="K43" s="54" t="s">
        <v>1577</v>
      </c>
      <c r="L43" s="58">
        <v>1</v>
      </c>
    </row>
    <row r="44" spans="2:12" x14ac:dyDescent="0.25">
      <c r="B44" s="138" t="s">
        <v>1691</v>
      </c>
      <c r="H44" s="55"/>
      <c r="I44" s="55"/>
      <c r="J44" s="55"/>
      <c r="K44" s="59" t="s">
        <v>1563</v>
      </c>
      <c r="L44" s="128">
        <v>25</v>
      </c>
    </row>
    <row r="45" spans="2:12" x14ac:dyDescent="0.25">
      <c r="H45" s="55"/>
      <c r="I45" s="55"/>
      <c r="J45" s="54" t="s">
        <v>1610</v>
      </c>
      <c r="K45" s="54" t="s">
        <v>1563</v>
      </c>
      <c r="L45" s="58">
        <v>4</v>
      </c>
    </row>
    <row r="46" spans="2:12" x14ac:dyDescent="0.25">
      <c r="H46" s="55"/>
      <c r="I46" s="55"/>
      <c r="J46" s="54" t="s">
        <v>1599</v>
      </c>
      <c r="K46" s="54" t="s">
        <v>1577</v>
      </c>
      <c r="L46" s="58">
        <v>1</v>
      </c>
    </row>
    <row r="47" spans="2:12" x14ac:dyDescent="0.25">
      <c r="H47" s="55"/>
      <c r="I47" s="55"/>
      <c r="J47" s="55"/>
      <c r="K47" s="59" t="s">
        <v>1563</v>
      </c>
      <c r="L47" s="128">
        <v>47</v>
      </c>
    </row>
    <row r="48" spans="2:12" x14ac:dyDescent="0.25">
      <c r="H48" s="54" t="s">
        <v>13</v>
      </c>
      <c r="I48" s="54" t="s">
        <v>1570</v>
      </c>
      <c r="J48" s="62" t="s">
        <v>1596</v>
      </c>
      <c r="K48" s="54" t="s">
        <v>1563</v>
      </c>
      <c r="L48" s="58">
        <v>1</v>
      </c>
    </row>
    <row r="49" spans="8:12" x14ac:dyDescent="0.25">
      <c r="H49" s="55"/>
      <c r="I49" s="55"/>
      <c r="J49" s="61" t="s">
        <v>1601</v>
      </c>
      <c r="K49" s="54" t="s">
        <v>1563</v>
      </c>
      <c r="L49" s="58">
        <v>19</v>
      </c>
    </row>
    <row r="50" spans="8:12" x14ac:dyDescent="0.25">
      <c r="H50" s="55"/>
      <c r="I50" s="54" t="s">
        <v>1605</v>
      </c>
      <c r="J50" s="54" t="s">
        <v>1567</v>
      </c>
      <c r="K50" s="54" t="s">
        <v>1577</v>
      </c>
      <c r="L50" s="58">
        <v>6</v>
      </c>
    </row>
    <row r="51" spans="8:12" x14ac:dyDescent="0.25">
      <c r="H51" s="55"/>
      <c r="I51" s="55"/>
      <c r="J51" s="55"/>
      <c r="K51" s="59" t="s">
        <v>1575</v>
      </c>
      <c r="L51" s="128">
        <v>19</v>
      </c>
    </row>
    <row r="52" spans="8:12" x14ac:dyDescent="0.25">
      <c r="H52" s="55"/>
      <c r="I52" s="55"/>
      <c r="J52" s="55"/>
      <c r="K52" s="59" t="s">
        <v>1576</v>
      </c>
      <c r="L52" s="128">
        <v>6</v>
      </c>
    </row>
    <row r="53" spans="8:12" x14ac:dyDescent="0.25">
      <c r="H53" s="55"/>
      <c r="I53" s="55"/>
      <c r="J53" s="55"/>
      <c r="K53" s="59" t="s">
        <v>1580</v>
      </c>
      <c r="L53" s="128">
        <v>5</v>
      </c>
    </row>
    <row r="54" spans="8:12" x14ac:dyDescent="0.25">
      <c r="H54" s="55"/>
      <c r="I54" s="55"/>
      <c r="J54" s="55"/>
      <c r="K54" s="59" t="s">
        <v>1581</v>
      </c>
      <c r="L54" s="128">
        <v>7</v>
      </c>
    </row>
    <row r="55" spans="8:12" x14ac:dyDescent="0.25">
      <c r="H55" s="55"/>
      <c r="I55" s="55"/>
      <c r="J55" s="55"/>
      <c r="K55" s="59" t="s">
        <v>1574</v>
      </c>
      <c r="L55" s="128">
        <v>4</v>
      </c>
    </row>
    <row r="56" spans="8:12" x14ac:dyDescent="0.25">
      <c r="H56" s="55"/>
      <c r="I56" s="55"/>
      <c r="J56" s="55"/>
      <c r="K56" s="59" t="s">
        <v>1582</v>
      </c>
      <c r="L56" s="128">
        <v>10</v>
      </c>
    </row>
    <row r="57" spans="8:12" x14ac:dyDescent="0.25">
      <c r="H57" s="55"/>
      <c r="I57" s="55"/>
      <c r="J57" s="55"/>
      <c r="K57" s="59" t="s">
        <v>1578</v>
      </c>
      <c r="L57" s="128">
        <v>11</v>
      </c>
    </row>
    <row r="58" spans="8:12" x14ac:dyDescent="0.25">
      <c r="H58" s="55"/>
      <c r="I58" s="55"/>
      <c r="J58" s="55"/>
      <c r="K58" s="59" t="s">
        <v>1579</v>
      </c>
      <c r="L58" s="128">
        <v>4</v>
      </c>
    </row>
    <row r="59" spans="8:12" x14ac:dyDescent="0.25">
      <c r="H59" s="55"/>
      <c r="I59" s="55"/>
      <c r="J59" s="55"/>
      <c r="K59" s="59" t="s">
        <v>1573</v>
      </c>
      <c r="L59" s="128">
        <v>45</v>
      </c>
    </row>
    <row r="60" spans="8:12" x14ac:dyDescent="0.25">
      <c r="H60" s="55"/>
      <c r="I60" s="55"/>
      <c r="J60" s="54" t="s">
        <v>1597</v>
      </c>
      <c r="K60" s="54" t="s">
        <v>1581</v>
      </c>
      <c r="L60" s="58">
        <v>2</v>
      </c>
    </row>
    <row r="61" spans="8:12" x14ac:dyDescent="0.25">
      <c r="H61" s="55"/>
      <c r="I61" s="55"/>
      <c r="J61" s="55"/>
      <c r="K61" s="59" t="s">
        <v>1578</v>
      </c>
      <c r="L61" s="128">
        <v>1</v>
      </c>
    </row>
    <row r="62" spans="8:12" x14ac:dyDescent="0.25">
      <c r="H62" s="55"/>
      <c r="I62" s="55"/>
      <c r="J62" s="55"/>
      <c r="K62" s="59" t="s">
        <v>1573</v>
      </c>
      <c r="L62" s="128">
        <v>1</v>
      </c>
    </row>
    <row r="63" spans="8:12" x14ac:dyDescent="0.25">
      <c r="H63" s="55"/>
      <c r="I63" s="55"/>
      <c r="J63" s="54" t="s">
        <v>1596</v>
      </c>
      <c r="K63" s="54" t="s">
        <v>1575</v>
      </c>
      <c r="L63" s="58">
        <v>1</v>
      </c>
    </row>
    <row r="64" spans="8:12" x14ac:dyDescent="0.25">
      <c r="H64" s="55"/>
      <c r="I64" s="55"/>
      <c r="J64" s="55"/>
      <c r="K64" s="59" t="s">
        <v>1580</v>
      </c>
      <c r="L64" s="128">
        <v>2</v>
      </c>
    </row>
    <row r="65" spans="8:12" x14ac:dyDescent="0.25">
      <c r="H65" s="55"/>
      <c r="I65" s="55"/>
      <c r="J65" s="55"/>
      <c r="K65" s="59" t="s">
        <v>1581</v>
      </c>
      <c r="L65" s="128">
        <v>1</v>
      </c>
    </row>
    <row r="66" spans="8:12" x14ac:dyDescent="0.25">
      <c r="H66" s="55"/>
      <c r="I66" s="55"/>
      <c r="J66" s="55"/>
      <c r="K66" s="59" t="s">
        <v>1573</v>
      </c>
      <c r="L66" s="128">
        <v>8</v>
      </c>
    </row>
    <row r="67" spans="8:12" x14ac:dyDescent="0.25">
      <c r="H67" s="55"/>
      <c r="I67" s="55"/>
      <c r="J67" s="54" t="s">
        <v>1612</v>
      </c>
      <c r="K67" s="54" t="s">
        <v>1577</v>
      </c>
      <c r="L67" s="58">
        <v>1</v>
      </c>
    </row>
    <row r="68" spans="8:12" x14ac:dyDescent="0.25">
      <c r="H68" s="55"/>
      <c r="I68" s="55"/>
      <c r="J68" s="55"/>
      <c r="K68" s="59" t="s">
        <v>1575</v>
      </c>
      <c r="L68" s="128">
        <v>4</v>
      </c>
    </row>
    <row r="69" spans="8:12" x14ac:dyDescent="0.25">
      <c r="H69" s="55"/>
      <c r="I69" s="55"/>
      <c r="J69" s="55"/>
      <c r="K69" s="59" t="s">
        <v>1580</v>
      </c>
      <c r="L69" s="128">
        <v>1</v>
      </c>
    </row>
    <row r="70" spans="8:12" x14ac:dyDescent="0.25">
      <c r="H70" s="55"/>
      <c r="I70" s="55"/>
      <c r="J70" s="55"/>
      <c r="K70" s="59" t="s">
        <v>1574</v>
      </c>
      <c r="L70" s="128">
        <v>2</v>
      </c>
    </row>
    <row r="71" spans="8:12" x14ac:dyDescent="0.25">
      <c r="H71" s="55"/>
      <c r="I71" s="55"/>
      <c r="J71" s="55"/>
      <c r="K71" s="59" t="s">
        <v>1578</v>
      </c>
      <c r="L71" s="128">
        <v>3</v>
      </c>
    </row>
    <row r="72" spans="8:12" x14ac:dyDescent="0.25">
      <c r="H72" s="56"/>
      <c r="I72" s="56"/>
      <c r="J72" s="56"/>
      <c r="K72" s="63" t="s">
        <v>1573</v>
      </c>
      <c r="L72" s="129">
        <v>10</v>
      </c>
    </row>
    <row r="73" spans="8:12" ht="29.4" customHeight="1" x14ac:dyDescent="0.25"/>
  </sheetData>
  <mergeCells count="4">
    <mergeCell ref="B5:B6"/>
    <mergeCell ref="B27:B28"/>
    <mergeCell ref="B15:B17"/>
    <mergeCell ref="B18:B23"/>
  </mergeCell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CQ242"/>
  <sheetViews>
    <sheetView showGridLines="0" zoomScale="90" zoomScaleNormal="90" workbookViewId="0">
      <pane xSplit="9" ySplit="8" topLeftCell="BQ20" activePane="bottomRight" state="frozen"/>
      <selection pane="topRight" activeCell="J1" sqref="J1"/>
      <selection pane="bottomLeft" activeCell="A9" sqref="A9"/>
      <selection pane="bottomRight" activeCell="C22" sqref="A22:XFD22"/>
    </sheetView>
  </sheetViews>
  <sheetFormatPr defaultColWidth="5.59765625" defaultRowHeight="13.8" outlineLevelRow="1" x14ac:dyDescent="0.25"/>
  <cols>
    <col min="1" max="1" width="2.69921875" style="145" customWidth="1"/>
    <col min="2" max="2" width="2.69921875" style="142" customWidth="1"/>
    <col min="3" max="3" width="39.8984375" style="143" customWidth="1"/>
    <col min="4" max="4" width="20.69921875" style="144" customWidth="1"/>
    <col min="5" max="5" width="3.59765625" style="144" customWidth="1"/>
    <col min="6" max="6" width="15.69921875" style="173" customWidth="1"/>
    <col min="7" max="7" width="18.69921875" style="144" customWidth="1"/>
    <col min="8" max="8" width="18.69921875" style="187" customWidth="1"/>
    <col min="9" max="9" width="9.5" style="145" bestFit="1" customWidth="1"/>
    <col min="10" max="14" width="5.59765625" style="145"/>
  </cols>
  <sheetData>
    <row r="1" spans="1:95" x14ac:dyDescent="0.25">
      <c r="H1" s="185">
        <f>I1/8</f>
        <v>81.400000000000048</v>
      </c>
      <c r="I1" s="225">
        <f>SUM(J1:CA1)</f>
        <v>651.20000000000039</v>
      </c>
      <c r="K1" s="145">
        <f>K4*8</f>
        <v>0</v>
      </c>
      <c r="L1" s="145">
        <f t="shared" ref="L1:BU1" si="0">L4*8</f>
        <v>0</v>
      </c>
      <c r="M1" s="145">
        <f t="shared" si="0"/>
        <v>0</v>
      </c>
      <c r="N1" s="145">
        <f t="shared" si="0"/>
        <v>0</v>
      </c>
      <c r="O1" s="145">
        <f t="shared" si="0"/>
        <v>0</v>
      </c>
      <c r="P1" s="145">
        <f t="shared" si="0"/>
        <v>0</v>
      </c>
      <c r="Q1" s="145">
        <f t="shared" si="0"/>
        <v>0</v>
      </c>
      <c r="R1" s="145">
        <f t="shared" si="0"/>
        <v>0</v>
      </c>
      <c r="S1" s="145">
        <f t="shared" si="0"/>
        <v>0</v>
      </c>
      <c r="T1" s="145">
        <f t="shared" si="0"/>
        <v>0</v>
      </c>
      <c r="U1" s="145">
        <f t="shared" si="0"/>
        <v>0</v>
      </c>
      <c r="V1" s="145">
        <f t="shared" si="0"/>
        <v>0</v>
      </c>
      <c r="W1" s="145">
        <f t="shared" si="0"/>
        <v>0</v>
      </c>
      <c r="X1" s="145">
        <f t="shared" si="0"/>
        <v>0</v>
      </c>
      <c r="Y1" s="145">
        <f t="shared" si="0"/>
        <v>17.600000000000001</v>
      </c>
      <c r="Z1" s="145">
        <f t="shared" si="0"/>
        <v>17.600000000000001</v>
      </c>
      <c r="AA1" s="145">
        <f t="shared" si="0"/>
        <v>17.600000000000001</v>
      </c>
      <c r="AB1" s="145">
        <f t="shared" si="0"/>
        <v>17.600000000000001</v>
      </c>
      <c r="AC1" s="145">
        <f t="shared" si="0"/>
        <v>17.600000000000001</v>
      </c>
      <c r="AD1" s="145">
        <f t="shared" si="0"/>
        <v>17.600000000000001</v>
      </c>
      <c r="AE1" s="145">
        <f t="shared" si="0"/>
        <v>17.600000000000001</v>
      </c>
      <c r="AF1" s="145">
        <f t="shared" si="0"/>
        <v>17.600000000000001</v>
      </c>
      <c r="AG1" s="145">
        <f t="shared" si="0"/>
        <v>17.600000000000001</v>
      </c>
      <c r="AH1" s="145">
        <f t="shared" si="0"/>
        <v>17.600000000000001</v>
      </c>
      <c r="AI1" s="145">
        <f t="shared" si="0"/>
        <v>17.600000000000001</v>
      </c>
      <c r="AJ1" s="145">
        <f t="shared" si="0"/>
        <v>17.600000000000001</v>
      </c>
      <c r="AK1" s="145">
        <f t="shared" si="0"/>
        <v>17.600000000000001</v>
      </c>
      <c r="AL1" s="145">
        <f t="shared" si="0"/>
        <v>17.600000000000001</v>
      </c>
      <c r="AM1" s="145">
        <f t="shared" si="0"/>
        <v>17.600000000000001</v>
      </c>
      <c r="AN1" s="145">
        <f t="shared" si="0"/>
        <v>17.600000000000001</v>
      </c>
      <c r="AO1" s="145">
        <f t="shared" si="0"/>
        <v>17.600000000000001</v>
      </c>
      <c r="AP1" s="145">
        <f t="shared" si="0"/>
        <v>17.600000000000001</v>
      </c>
      <c r="AQ1" s="145">
        <f t="shared" si="0"/>
        <v>17.600000000000001</v>
      </c>
      <c r="AR1" s="145">
        <f t="shared" si="0"/>
        <v>17.600000000000001</v>
      </c>
      <c r="AS1" s="145">
        <f t="shared" si="0"/>
        <v>17.600000000000001</v>
      </c>
      <c r="AT1" s="145">
        <f t="shared" si="0"/>
        <v>17.600000000000001</v>
      </c>
      <c r="AU1" s="145">
        <f t="shared" si="0"/>
        <v>17.600000000000001</v>
      </c>
      <c r="AV1" s="145">
        <f t="shared" si="0"/>
        <v>17.600000000000001</v>
      </c>
      <c r="AW1" s="145">
        <f t="shared" si="0"/>
        <v>17.600000000000001</v>
      </c>
      <c r="AX1" s="145">
        <f t="shared" si="0"/>
        <v>17.600000000000001</v>
      </c>
      <c r="AY1" s="145">
        <f t="shared" si="0"/>
        <v>17.600000000000001</v>
      </c>
      <c r="AZ1" s="145">
        <f t="shared" si="0"/>
        <v>17.600000000000001</v>
      </c>
      <c r="BA1" s="145">
        <f t="shared" si="0"/>
        <v>17.600000000000001</v>
      </c>
      <c r="BB1" s="145">
        <f t="shared" si="0"/>
        <v>0</v>
      </c>
      <c r="BC1" s="145">
        <f t="shared" si="0"/>
        <v>17.600000000000001</v>
      </c>
      <c r="BD1" s="145">
        <f t="shared" si="0"/>
        <v>17.600000000000001</v>
      </c>
      <c r="BE1" s="145">
        <f t="shared" si="0"/>
        <v>17.600000000000001</v>
      </c>
      <c r="BF1" s="145">
        <f t="shared" si="0"/>
        <v>17.600000000000001</v>
      </c>
      <c r="BG1" s="145">
        <f t="shared" si="0"/>
        <v>17.600000000000001</v>
      </c>
      <c r="BH1" s="145">
        <f t="shared" si="0"/>
        <v>17.600000000000001</v>
      </c>
      <c r="BI1" s="145">
        <f t="shared" si="0"/>
        <v>17.600000000000001</v>
      </c>
      <c r="BJ1" s="145">
        <f t="shared" si="0"/>
        <v>17.600000000000001</v>
      </c>
      <c r="BK1" s="145">
        <f t="shared" si="0"/>
        <v>0</v>
      </c>
      <c r="BL1" s="145">
        <f t="shared" si="0"/>
        <v>0</v>
      </c>
      <c r="BM1" s="145">
        <f t="shared" si="0"/>
        <v>0</v>
      </c>
      <c r="BN1" s="145">
        <f t="shared" si="0"/>
        <v>0</v>
      </c>
      <c r="BO1" s="145">
        <f t="shared" si="0"/>
        <v>0</v>
      </c>
      <c r="BP1" s="145">
        <f t="shared" si="0"/>
        <v>0</v>
      </c>
      <c r="BQ1" s="145">
        <f t="shared" si="0"/>
        <v>0</v>
      </c>
      <c r="BR1" s="145">
        <f t="shared" si="0"/>
        <v>0</v>
      </c>
      <c r="BS1" s="145">
        <f t="shared" si="0"/>
        <v>0</v>
      </c>
      <c r="BT1" s="145">
        <f t="shared" si="0"/>
        <v>0</v>
      </c>
      <c r="BU1" s="145">
        <f t="shared" si="0"/>
        <v>0</v>
      </c>
      <c r="BV1" s="145">
        <f t="shared" ref="BV1:BZ1" si="1">BV4*8</f>
        <v>0</v>
      </c>
      <c r="BW1" s="145">
        <f t="shared" si="1"/>
        <v>0</v>
      </c>
      <c r="BX1" s="145">
        <f t="shared" si="1"/>
        <v>0</v>
      </c>
      <c r="BY1" s="145">
        <f t="shared" si="1"/>
        <v>0</v>
      </c>
      <c r="BZ1" s="145">
        <f t="shared" si="1"/>
        <v>0</v>
      </c>
      <c r="CA1" s="145">
        <f t="shared" ref="CA1" si="2">CA4*8</f>
        <v>0</v>
      </c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</row>
    <row r="2" spans="1:95" x14ac:dyDescent="0.25">
      <c r="A2" s="150"/>
      <c r="B2" s="147"/>
      <c r="C2" s="148"/>
      <c r="D2" s="149"/>
      <c r="E2" s="149"/>
      <c r="F2" s="217"/>
      <c r="G2" s="149"/>
      <c r="H2" s="186"/>
      <c r="I2" s="152" t="s">
        <v>1707</v>
      </c>
      <c r="J2" s="151"/>
      <c r="K2" s="151">
        <f t="shared" ref="K2:BU2" si="3">K3-K4</f>
        <v>3.2</v>
      </c>
      <c r="L2" s="151">
        <f t="shared" si="3"/>
        <v>3.2</v>
      </c>
      <c r="M2" s="151">
        <f t="shared" si="3"/>
        <v>3.2</v>
      </c>
      <c r="N2" s="151">
        <f t="shared" si="3"/>
        <v>3.2</v>
      </c>
      <c r="O2" s="151">
        <f t="shared" si="3"/>
        <v>3.2</v>
      </c>
      <c r="P2" s="151">
        <f t="shared" si="3"/>
        <v>3.2</v>
      </c>
      <c r="Q2" s="151">
        <f t="shared" si="3"/>
        <v>3.2</v>
      </c>
      <c r="R2" s="151">
        <f t="shared" si="3"/>
        <v>3.2</v>
      </c>
      <c r="S2" s="151">
        <f t="shared" si="3"/>
        <v>3.2</v>
      </c>
      <c r="T2" s="151">
        <f t="shared" si="3"/>
        <v>3.2</v>
      </c>
      <c r="U2" s="151">
        <f t="shared" si="3"/>
        <v>3.2</v>
      </c>
      <c r="V2" s="151">
        <f t="shared" si="3"/>
        <v>3.2</v>
      </c>
      <c r="W2" s="151">
        <f t="shared" si="3"/>
        <v>3.2</v>
      </c>
      <c r="X2" s="151">
        <f t="shared" si="3"/>
        <v>3.2</v>
      </c>
      <c r="Y2" s="151">
        <f t="shared" si="3"/>
        <v>0</v>
      </c>
      <c r="Z2" s="151">
        <f t="shared" si="3"/>
        <v>0</v>
      </c>
      <c r="AA2" s="151">
        <f t="shared" si="3"/>
        <v>0</v>
      </c>
      <c r="AB2" s="151">
        <f t="shared" si="3"/>
        <v>0</v>
      </c>
      <c r="AC2" s="151">
        <f t="shared" si="3"/>
        <v>0</v>
      </c>
      <c r="AD2" s="151">
        <f t="shared" si="3"/>
        <v>0</v>
      </c>
      <c r="AE2" s="151">
        <f t="shared" si="3"/>
        <v>0</v>
      </c>
      <c r="AF2" s="151">
        <f t="shared" si="3"/>
        <v>0</v>
      </c>
      <c r="AG2" s="151">
        <f t="shared" si="3"/>
        <v>0</v>
      </c>
      <c r="AH2" s="151">
        <f t="shared" si="3"/>
        <v>0</v>
      </c>
      <c r="AI2" s="151">
        <f t="shared" si="3"/>
        <v>0</v>
      </c>
      <c r="AJ2" s="151">
        <f t="shared" si="3"/>
        <v>0</v>
      </c>
      <c r="AK2" s="151">
        <f t="shared" si="3"/>
        <v>0</v>
      </c>
      <c r="AL2" s="151">
        <f t="shared" si="3"/>
        <v>0</v>
      </c>
      <c r="AM2" s="151">
        <f t="shared" si="3"/>
        <v>-1.4000000000000001</v>
      </c>
      <c r="AN2" s="151">
        <f t="shared" si="3"/>
        <v>-2.2000000000000002</v>
      </c>
      <c r="AO2" s="151">
        <f t="shared" si="3"/>
        <v>-2.2000000000000002</v>
      </c>
      <c r="AP2" s="151">
        <f t="shared" si="3"/>
        <v>-2.2000000000000002</v>
      </c>
      <c r="AQ2" s="151">
        <f t="shared" si="3"/>
        <v>-2.2000000000000002</v>
      </c>
      <c r="AR2" s="151">
        <f t="shared" si="3"/>
        <v>-2.2000000000000002</v>
      </c>
      <c r="AS2" s="151">
        <f t="shared" si="3"/>
        <v>-2.2000000000000002</v>
      </c>
      <c r="AT2" s="151">
        <f t="shared" si="3"/>
        <v>-2.2000000000000002</v>
      </c>
      <c r="AU2" s="151">
        <f t="shared" si="3"/>
        <v>0</v>
      </c>
      <c r="AV2" s="151">
        <f t="shared" si="3"/>
        <v>0</v>
      </c>
      <c r="AW2" s="151">
        <f t="shared" si="3"/>
        <v>0</v>
      </c>
      <c r="AX2" s="151">
        <f t="shared" si="3"/>
        <v>0</v>
      </c>
      <c r="AY2" s="151">
        <f t="shared" si="3"/>
        <v>0</v>
      </c>
      <c r="AZ2" s="151">
        <f t="shared" si="3"/>
        <v>0</v>
      </c>
      <c r="BA2" s="151">
        <f t="shared" si="3"/>
        <v>0</v>
      </c>
      <c r="BB2" s="151"/>
      <c r="BC2" s="151">
        <f t="shared" si="3"/>
        <v>0</v>
      </c>
      <c r="BD2" s="151">
        <f t="shared" si="3"/>
        <v>0</v>
      </c>
      <c r="BE2" s="151">
        <f t="shared" si="3"/>
        <v>0</v>
      </c>
      <c r="BF2" s="151">
        <f t="shared" si="3"/>
        <v>0</v>
      </c>
      <c r="BG2" s="151">
        <f t="shared" si="3"/>
        <v>0</v>
      </c>
      <c r="BH2" s="151">
        <f t="shared" si="3"/>
        <v>-0.90000000000000013</v>
      </c>
      <c r="BI2" s="151">
        <f t="shared" si="3"/>
        <v>-0.90000000000000013</v>
      </c>
      <c r="BJ2" s="151">
        <f t="shared" si="3"/>
        <v>-0.90000000000000013</v>
      </c>
      <c r="BK2" s="151">
        <f t="shared" si="3"/>
        <v>0</v>
      </c>
      <c r="BL2" s="151">
        <f t="shared" si="3"/>
        <v>0</v>
      </c>
      <c r="BM2" s="151">
        <f t="shared" si="3"/>
        <v>0</v>
      </c>
      <c r="BN2" s="151">
        <f t="shared" si="3"/>
        <v>0</v>
      </c>
      <c r="BO2" s="151">
        <f t="shared" si="3"/>
        <v>0</v>
      </c>
      <c r="BP2" s="151">
        <f t="shared" si="3"/>
        <v>0</v>
      </c>
      <c r="BQ2" s="151">
        <f t="shared" si="3"/>
        <v>0</v>
      </c>
      <c r="BR2" s="151">
        <f t="shared" si="3"/>
        <v>0</v>
      </c>
      <c r="BS2" s="151">
        <f t="shared" si="3"/>
        <v>0</v>
      </c>
      <c r="BT2" s="151">
        <f t="shared" si="3"/>
        <v>0</v>
      </c>
      <c r="BU2" s="151">
        <f t="shared" si="3"/>
        <v>0</v>
      </c>
      <c r="BV2" s="151">
        <f t="shared" ref="BV2:BZ2" si="4">BV3-BV4</f>
        <v>0</v>
      </c>
      <c r="BW2" s="151">
        <f t="shared" si="4"/>
        <v>0</v>
      </c>
      <c r="BX2" s="151">
        <f t="shared" si="4"/>
        <v>0</v>
      </c>
      <c r="BY2" s="151">
        <f t="shared" si="4"/>
        <v>0</v>
      </c>
      <c r="BZ2" s="151">
        <f t="shared" si="4"/>
        <v>0</v>
      </c>
      <c r="CA2" s="151">
        <f t="shared" ref="CA2" si="5">CA3-CA4</f>
        <v>0</v>
      </c>
    </row>
    <row r="3" spans="1:95" x14ac:dyDescent="0.25">
      <c r="A3" s="150"/>
      <c r="B3" s="147"/>
      <c r="C3" s="148"/>
      <c r="D3" s="149"/>
      <c r="E3" s="149"/>
      <c r="F3" s="217"/>
      <c r="G3" s="149"/>
      <c r="H3" s="186"/>
      <c r="I3" s="152" t="s">
        <v>1706</v>
      </c>
      <c r="J3" s="152"/>
      <c r="K3" s="152">
        <f t="shared" ref="K3:BA3" si="6">SUM(K9:K231)</f>
        <v>3.2</v>
      </c>
      <c r="L3" s="152">
        <f t="shared" si="6"/>
        <v>3.2</v>
      </c>
      <c r="M3" s="152">
        <f t="shared" si="6"/>
        <v>3.2</v>
      </c>
      <c r="N3" s="152">
        <f t="shared" si="6"/>
        <v>3.2</v>
      </c>
      <c r="O3" s="152">
        <f t="shared" si="6"/>
        <v>3.2</v>
      </c>
      <c r="P3" s="152">
        <f t="shared" si="6"/>
        <v>3.2</v>
      </c>
      <c r="Q3" s="152">
        <f t="shared" si="6"/>
        <v>3.2</v>
      </c>
      <c r="R3" s="152">
        <f t="shared" si="6"/>
        <v>3.2</v>
      </c>
      <c r="S3" s="152">
        <f t="shared" si="6"/>
        <v>3.2</v>
      </c>
      <c r="T3" s="152">
        <f t="shared" si="6"/>
        <v>3.2</v>
      </c>
      <c r="U3" s="152">
        <f t="shared" si="6"/>
        <v>3.2</v>
      </c>
      <c r="V3" s="152">
        <f t="shared" si="6"/>
        <v>3.2</v>
      </c>
      <c r="W3" s="152">
        <f t="shared" si="6"/>
        <v>3.2</v>
      </c>
      <c r="X3" s="152">
        <f t="shared" si="6"/>
        <v>3.2</v>
      </c>
      <c r="Y3" s="152">
        <f t="shared" si="6"/>
        <v>2.2000000000000002</v>
      </c>
      <c r="Z3" s="152">
        <f t="shared" si="6"/>
        <v>2.2000000000000002</v>
      </c>
      <c r="AA3" s="152">
        <f t="shared" si="6"/>
        <v>2.2000000000000002</v>
      </c>
      <c r="AB3" s="152">
        <f t="shared" si="6"/>
        <v>2.2000000000000002</v>
      </c>
      <c r="AC3" s="152">
        <f t="shared" si="6"/>
        <v>2.2000000000000002</v>
      </c>
      <c r="AD3" s="152">
        <f t="shared" si="6"/>
        <v>2.2000000000000002</v>
      </c>
      <c r="AE3" s="152">
        <f t="shared" si="6"/>
        <v>2.2000000000000002</v>
      </c>
      <c r="AF3" s="152">
        <f t="shared" si="6"/>
        <v>2.2000000000000002</v>
      </c>
      <c r="AG3" s="152">
        <f t="shared" si="6"/>
        <v>2.2000000000000002</v>
      </c>
      <c r="AH3" s="152">
        <f t="shared" si="6"/>
        <v>2.2000000000000002</v>
      </c>
      <c r="AI3" s="152">
        <f t="shared" si="6"/>
        <v>2.2000000000000002</v>
      </c>
      <c r="AJ3" s="152">
        <f t="shared" si="6"/>
        <v>2.2000000000000002</v>
      </c>
      <c r="AK3" s="152">
        <f t="shared" si="6"/>
        <v>2.2000000000000002</v>
      </c>
      <c r="AL3" s="152">
        <f t="shared" si="6"/>
        <v>2.1999999999999997</v>
      </c>
      <c r="AM3" s="152">
        <f t="shared" si="6"/>
        <v>0.8</v>
      </c>
      <c r="AN3" s="152">
        <f t="shared" si="6"/>
        <v>0</v>
      </c>
      <c r="AO3" s="152">
        <f t="shared" si="6"/>
        <v>0</v>
      </c>
      <c r="AP3" s="152">
        <f t="shared" si="6"/>
        <v>0</v>
      </c>
      <c r="AQ3" s="152">
        <f t="shared" si="6"/>
        <v>0</v>
      </c>
      <c r="AR3" s="152">
        <f t="shared" si="6"/>
        <v>0</v>
      </c>
      <c r="AS3" s="152">
        <f t="shared" si="6"/>
        <v>0</v>
      </c>
      <c r="AT3" s="152">
        <f t="shared" si="6"/>
        <v>0</v>
      </c>
      <c r="AU3" s="152">
        <f t="shared" si="6"/>
        <v>2.2000000000000002</v>
      </c>
      <c r="AV3" s="152">
        <f t="shared" si="6"/>
        <v>2.2000000000000002</v>
      </c>
      <c r="AW3" s="152">
        <f t="shared" si="6"/>
        <v>2.2000000000000002</v>
      </c>
      <c r="AX3" s="152">
        <f t="shared" si="6"/>
        <v>2.2000000000000002</v>
      </c>
      <c r="AY3" s="152">
        <f t="shared" si="6"/>
        <v>2.2000000000000002</v>
      </c>
      <c r="AZ3" s="152">
        <f t="shared" si="6"/>
        <v>2.2000000000000002</v>
      </c>
      <c r="BA3" s="152">
        <f t="shared" si="6"/>
        <v>2.2000000000000002</v>
      </c>
      <c r="BB3" s="152"/>
      <c r="BC3" s="152">
        <f t="shared" ref="BC3:CA3" si="7">SUM(BC9:BC231)</f>
        <v>2.2000000000000002</v>
      </c>
      <c r="BD3" s="152">
        <f t="shared" si="7"/>
        <v>2.2000000000000002</v>
      </c>
      <c r="BE3" s="152">
        <f t="shared" si="7"/>
        <v>2.2000000000000002</v>
      </c>
      <c r="BF3" s="152">
        <f t="shared" si="7"/>
        <v>2.2000000000000002</v>
      </c>
      <c r="BG3" s="152">
        <f t="shared" si="7"/>
        <v>2.2000000000000002</v>
      </c>
      <c r="BH3" s="152">
        <f t="shared" si="7"/>
        <v>1.3</v>
      </c>
      <c r="BI3" s="152">
        <f t="shared" si="7"/>
        <v>1.3</v>
      </c>
      <c r="BJ3" s="152">
        <f t="shared" si="7"/>
        <v>1.3</v>
      </c>
      <c r="BK3" s="152">
        <f t="shared" si="7"/>
        <v>0</v>
      </c>
      <c r="BL3" s="152">
        <f t="shared" si="7"/>
        <v>0</v>
      </c>
      <c r="BM3" s="152">
        <f t="shared" si="7"/>
        <v>0</v>
      </c>
      <c r="BN3" s="152">
        <f t="shared" si="7"/>
        <v>0</v>
      </c>
      <c r="BO3" s="152">
        <f t="shared" si="7"/>
        <v>0</v>
      </c>
      <c r="BP3" s="152">
        <f t="shared" si="7"/>
        <v>0</v>
      </c>
      <c r="BQ3" s="152">
        <f t="shared" si="7"/>
        <v>0</v>
      </c>
      <c r="BR3" s="152">
        <f t="shared" si="7"/>
        <v>0</v>
      </c>
      <c r="BS3" s="152">
        <f t="shared" si="7"/>
        <v>0</v>
      </c>
      <c r="BT3" s="152">
        <f t="shared" si="7"/>
        <v>0</v>
      </c>
      <c r="BU3" s="152">
        <f t="shared" si="7"/>
        <v>0</v>
      </c>
      <c r="BV3" s="152">
        <f t="shared" si="7"/>
        <v>0</v>
      </c>
      <c r="BW3" s="152">
        <f t="shared" si="7"/>
        <v>0</v>
      </c>
      <c r="BX3" s="152">
        <f t="shared" si="7"/>
        <v>0</v>
      </c>
      <c r="BY3" s="152">
        <f t="shared" si="7"/>
        <v>0</v>
      </c>
      <c r="BZ3" s="152">
        <f t="shared" si="7"/>
        <v>0</v>
      </c>
      <c r="CA3" s="152">
        <f t="shared" si="7"/>
        <v>0</v>
      </c>
      <c r="CE3" s="152"/>
      <c r="CF3" s="152"/>
      <c r="CG3" s="152"/>
      <c r="CH3" s="152"/>
      <c r="CI3" s="152"/>
      <c r="CJ3" s="152"/>
      <c r="CK3" s="152"/>
      <c r="CL3" s="152"/>
      <c r="CM3" s="152"/>
      <c r="CN3" s="152"/>
      <c r="CO3" s="152"/>
      <c r="CP3" s="152"/>
      <c r="CQ3" s="152"/>
    </row>
    <row r="4" spans="1:95" x14ac:dyDescent="0.25">
      <c r="A4" s="150"/>
      <c r="B4" s="147"/>
      <c r="C4" s="148"/>
      <c r="D4" s="149"/>
      <c r="E4" s="149"/>
      <c r="F4" s="217"/>
      <c r="G4" s="223"/>
      <c r="H4" s="186"/>
      <c r="I4" s="152" t="s">
        <v>1705</v>
      </c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>
        <v>2.2000000000000002</v>
      </c>
      <c r="Z4" s="152">
        <v>2.2000000000000002</v>
      </c>
      <c r="AA4" s="152">
        <v>2.2000000000000002</v>
      </c>
      <c r="AB4" s="152">
        <v>2.2000000000000002</v>
      </c>
      <c r="AC4" s="152">
        <v>2.2000000000000002</v>
      </c>
      <c r="AD4" s="152">
        <v>2.2000000000000002</v>
      </c>
      <c r="AE4" s="152">
        <v>2.2000000000000002</v>
      </c>
      <c r="AF4" s="152">
        <v>2.2000000000000002</v>
      </c>
      <c r="AG4" s="152">
        <v>2.2000000000000002</v>
      </c>
      <c r="AH4" s="152">
        <v>2.2000000000000002</v>
      </c>
      <c r="AI4" s="152">
        <v>2.2000000000000002</v>
      </c>
      <c r="AJ4" s="152">
        <v>2.2000000000000002</v>
      </c>
      <c r="AK4" s="152">
        <v>2.2000000000000002</v>
      </c>
      <c r="AL4" s="152">
        <v>2.2000000000000002</v>
      </c>
      <c r="AM4" s="152">
        <v>2.2000000000000002</v>
      </c>
      <c r="AN4" s="152">
        <v>2.2000000000000002</v>
      </c>
      <c r="AO4" s="152">
        <v>2.2000000000000002</v>
      </c>
      <c r="AP4" s="152">
        <v>2.2000000000000002</v>
      </c>
      <c r="AQ4" s="152">
        <v>2.2000000000000002</v>
      </c>
      <c r="AR4" s="152">
        <v>2.2000000000000002</v>
      </c>
      <c r="AS4" s="152">
        <v>2.2000000000000002</v>
      </c>
      <c r="AT4" s="152">
        <v>2.2000000000000002</v>
      </c>
      <c r="AU4" s="152">
        <v>2.2000000000000002</v>
      </c>
      <c r="AV4" s="152">
        <v>2.2000000000000002</v>
      </c>
      <c r="AW4" s="152">
        <v>2.2000000000000002</v>
      </c>
      <c r="AX4" s="152">
        <v>2.2000000000000002</v>
      </c>
      <c r="AY4" s="152">
        <v>2.2000000000000002</v>
      </c>
      <c r="AZ4" s="152">
        <v>2.2000000000000002</v>
      </c>
      <c r="BA4" s="152">
        <v>2.2000000000000002</v>
      </c>
      <c r="BB4" s="152"/>
      <c r="BC4" s="152">
        <v>2.2000000000000002</v>
      </c>
      <c r="BD4" s="152">
        <v>2.2000000000000002</v>
      </c>
      <c r="BE4" s="152">
        <v>2.2000000000000002</v>
      </c>
      <c r="BF4" s="152">
        <v>2.2000000000000002</v>
      </c>
      <c r="BG4" s="152">
        <v>2.2000000000000002</v>
      </c>
      <c r="BH4" s="152">
        <v>2.2000000000000002</v>
      </c>
      <c r="BI4" s="152">
        <v>2.2000000000000002</v>
      </c>
      <c r="BJ4" s="152">
        <v>2.2000000000000002</v>
      </c>
      <c r="BK4" s="152">
        <v>0</v>
      </c>
      <c r="BL4" s="152">
        <v>0</v>
      </c>
      <c r="BM4" s="152">
        <v>0</v>
      </c>
      <c r="BN4" s="152">
        <v>0</v>
      </c>
      <c r="BO4" s="152">
        <v>0</v>
      </c>
      <c r="BP4" s="152">
        <v>0</v>
      </c>
      <c r="BQ4" s="152">
        <v>0</v>
      </c>
      <c r="BR4" s="152">
        <v>0</v>
      </c>
      <c r="BS4" s="152">
        <v>0</v>
      </c>
      <c r="BT4" s="152">
        <v>0</v>
      </c>
      <c r="BU4" s="152">
        <v>0</v>
      </c>
      <c r="BV4" s="152">
        <v>0</v>
      </c>
      <c r="BW4" s="152">
        <v>0</v>
      </c>
      <c r="BX4" s="152">
        <v>0</v>
      </c>
      <c r="BY4" s="152">
        <v>0</v>
      </c>
      <c r="BZ4" s="152">
        <v>0</v>
      </c>
      <c r="CA4" s="152">
        <v>0</v>
      </c>
      <c r="CE4" s="152"/>
      <c r="CF4" s="152"/>
      <c r="CG4" s="152"/>
      <c r="CH4" s="152"/>
      <c r="CI4" s="152"/>
      <c r="CJ4" s="152"/>
      <c r="CK4" s="152"/>
      <c r="CL4" s="152"/>
      <c r="CM4" s="152"/>
      <c r="CN4" s="152"/>
      <c r="CO4" s="152"/>
      <c r="CP4" s="152"/>
      <c r="CQ4" s="152"/>
    </row>
    <row r="5" spans="1:95" x14ac:dyDescent="0.25">
      <c r="G5"/>
      <c r="H5"/>
      <c r="J5" s="146" t="s">
        <v>1701</v>
      </c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 t="s">
        <v>1702</v>
      </c>
      <c r="AH5" s="146"/>
      <c r="AI5" s="146"/>
      <c r="AJ5" s="146"/>
      <c r="AK5" s="146"/>
      <c r="AL5" s="146"/>
      <c r="AM5" s="146"/>
      <c r="AN5" s="146"/>
      <c r="AO5" s="146"/>
      <c r="AP5" s="146"/>
      <c r="AQ5" s="146"/>
      <c r="AR5" s="146"/>
      <c r="AS5" s="146"/>
      <c r="AT5" s="146"/>
      <c r="AU5" s="146"/>
      <c r="AV5" s="146"/>
      <c r="AW5" s="146"/>
      <c r="AX5" s="146"/>
      <c r="AY5" s="146"/>
      <c r="AZ5" s="146"/>
      <c r="BA5" s="146" t="s">
        <v>1703</v>
      </c>
      <c r="BB5" s="146"/>
      <c r="BC5" s="146"/>
      <c r="BD5" s="146"/>
      <c r="BE5" s="146"/>
      <c r="BF5" s="146"/>
      <c r="BG5" s="146"/>
      <c r="BH5" s="146"/>
      <c r="BI5" s="146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 t="s">
        <v>1704</v>
      </c>
      <c r="BW5" s="146"/>
      <c r="BX5" s="146"/>
      <c r="BY5" s="146"/>
      <c r="BZ5" s="146"/>
      <c r="CA5" s="146"/>
      <c r="CB5" s="146"/>
      <c r="CC5" s="146"/>
      <c r="CD5" s="146"/>
      <c r="CE5" s="146"/>
      <c r="CF5" s="146"/>
      <c r="CG5" s="146"/>
      <c r="CH5" s="146"/>
      <c r="CI5" s="146"/>
      <c r="CJ5" s="146"/>
      <c r="CK5" s="146"/>
      <c r="CL5" s="146"/>
      <c r="CM5" s="146"/>
      <c r="CN5" s="146"/>
      <c r="CO5" s="146"/>
      <c r="CP5" s="146"/>
      <c r="CQ5" s="146"/>
    </row>
    <row r="6" spans="1:95" ht="16.2" x14ac:dyDescent="0.25">
      <c r="D6" s="143"/>
      <c r="E6" s="143"/>
      <c r="G6"/>
      <c r="H6"/>
      <c r="J6" s="167">
        <f>J8</f>
        <v>45658</v>
      </c>
      <c r="K6" s="167">
        <f t="shared" ref="K6:BV6" si="8">K8</f>
        <v>45659</v>
      </c>
      <c r="L6" s="167">
        <f t="shared" si="8"/>
        <v>45660</v>
      </c>
      <c r="M6" s="167">
        <f t="shared" si="8"/>
        <v>45663</v>
      </c>
      <c r="N6" s="167">
        <f t="shared" si="8"/>
        <v>45664</v>
      </c>
      <c r="O6" s="167">
        <f t="shared" si="8"/>
        <v>45665</v>
      </c>
      <c r="P6" s="167">
        <f t="shared" si="8"/>
        <v>45666</v>
      </c>
      <c r="Q6" s="167">
        <f t="shared" si="8"/>
        <v>45667</v>
      </c>
      <c r="R6" s="167">
        <f t="shared" si="8"/>
        <v>45670</v>
      </c>
      <c r="S6" s="167">
        <f t="shared" si="8"/>
        <v>45671</v>
      </c>
      <c r="T6" s="167">
        <f t="shared" si="8"/>
        <v>45672</v>
      </c>
      <c r="U6" s="167">
        <f t="shared" si="8"/>
        <v>45673</v>
      </c>
      <c r="V6" s="167">
        <f t="shared" si="8"/>
        <v>45674</v>
      </c>
      <c r="W6" s="167">
        <f t="shared" si="8"/>
        <v>45677</v>
      </c>
      <c r="X6" s="167">
        <f t="shared" si="8"/>
        <v>45678</v>
      </c>
      <c r="Y6" s="167">
        <f t="shared" si="8"/>
        <v>45679</v>
      </c>
      <c r="Z6" s="167">
        <f t="shared" si="8"/>
        <v>45680</v>
      </c>
      <c r="AA6" s="167">
        <f t="shared" si="8"/>
        <v>45681</v>
      </c>
      <c r="AB6" s="167">
        <f t="shared" si="8"/>
        <v>45684</v>
      </c>
      <c r="AC6" s="167">
        <f t="shared" si="8"/>
        <v>45685</v>
      </c>
      <c r="AD6" s="167">
        <f t="shared" si="8"/>
        <v>45686</v>
      </c>
      <c r="AE6" s="167">
        <f t="shared" si="8"/>
        <v>45687</v>
      </c>
      <c r="AF6" s="167">
        <f t="shared" si="8"/>
        <v>45688</v>
      </c>
      <c r="AG6" s="167">
        <f t="shared" si="8"/>
        <v>45691</v>
      </c>
      <c r="AH6" s="167">
        <f t="shared" si="8"/>
        <v>45692</v>
      </c>
      <c r="AI6" s="167">
        <f t="shared" si="8"/>
        <v>45693</v>
      </c>
      <c r="AJ6" s="167">
        <f t="shared" si="8"/>
        <v>45694</v>
      </c>
      <c r="AK6" s="167">
        <f t="shared" si="8"/>
        <v>45695</v>
      </c>
      <c r="AL6" s="167">
        <f t="shared" si="8"/>
        <v>45698</v>
      </c>
      <c r="AM6" s="167">
        <f t="shared" si="8"/>
        <v>45699</v>
      </c>
      <c r="AN6" s="167">
        <f t="shared" si="8"/>
        <v>45700</v>
      </c>
      <c r="AO6" s="167">
        <f t="shared" si="8"/>
        <v>45701</v>
      </c>
      <c r="AP6" s="167">
        <f t="shared" si="8"/>
        <v>45702</v>
      </c>
      <c r="AQ6" s="167">
        <f t="shared" si="8"/>
        <v>45705</v>
      </c>
      <c r="AR6" s="167">
        <f t="shared" si="8"/>
        <v>45706</v>
      </c>
      <c r="AS6" s="167">
        <f t="shared" si="8"/>
        <v>45707</v>
      </c>
      <c r="AT6" s="167">
        <f t="shared" si="8"/>
        <v>45708</v>
      </c>
      <c r="AU6" s="167">
        <f t="shared" si="8"/>
        <v>45709</v>
      </c>
      <c r="AV6" s="167">
        <f t="shared" si="8"/>
        <v>45712</v>
      </c>
      <c r="AW6" s="167">
        <f t="shared" si="8"/>
        <v>45713</v>
      </c>
      <c r="AX6" s="167">
        <f t="shared" si="8"/>
        <v>45714</v>
      </c>
      <c r="AY6" s="167">
        <f t="shared" si="8"/>
        <v>45715</v>
      </c>
      <c r="AZ6" s="167">
        <f t="shared" si="8"/>
        <v>45716</v>
      </c>
      <c r="BA6" s="167">
        <f t="shared" si="8"/>
        <v>45719</v>
      </c>
      <c r="BB6" s="167">
        <f t="shared" si="8"/>
        <v>45720</v>
      </c>
      <c r="BC6" s="167">
        <f t="shared" si="8"/>
        <v>45721</v>
      </c>
      <c r="BD6" s="167">
        <f t="shared" si="8"/>
        <v>45722</v>
      </c>
      <c r="BE6" s="167">
        <f t="shared" si="8"/>
        <v>45723</v>
      </c>
      <c r="BF6" s="167">
        <f t="shared" si="8"/>
        <v>45726</v>
      </c>
      <c r="BG6" s="167">
        <f t="shared" si="8"/>
        <v>45727</v>
      </c>
      <c r="BH6" s="167">
        <f t="shared" si="8"/>
        <v>45728</v>
      </c>
      <c r="BI6" s="167">
        <f t="shared" si="8"/>
        <v>45729</v>
      </c>
      <c r="BJ6" s="167">
        <f t="shared" si="8"/>
        <v>45730</v>
      </c>
      <c r="BK6" s="167">
        <f t="shared" si="8"/>
        <v>45733</v>
      </c>
      <c r="BL6" s="167">
        <f t="shared" si="8"/>
        <v>45734</v>
      </c>
      <c r="BM6" s="167">
        <f t="shared" si="8"/>
        <v>45735</v>
      </c>
      <c r="BN6" s="167">
        <f t="shared" si="8"/>
        <v>45736</v>
      </c>
      <c r="BO6" s="167">
        <f t="shared" si="8"/>
        <v>45737</v>
      </c>
      <c r="BP6" s="167">
        <f t="shared" si="8"/>
        <v>45740</v>
      </c>
      <c r="BQ6" s="167">
        <f t="shared" si="8"/>
        <v>45741</v>
      </c>
      <c r="BR6" s="167">
        <f t="shared" si="8"/>
        <v>45742</v>
      </c>
      <c r="BS6" s="167">
        <f t="shared" si="8"/>
        <v>45743</v>
      </c>
      <c r="BT6" s="167">
        <f t="shared" si="8"/>
        <v>45744</v>
      </c>
      <c r="BU6" s="167">
        <f t="shared" si="8"/>
        <v>45747</v>
      </c>
      <c r="BV6" s="167">
        <f t="shared" si="8"/>
        <v>45748</v>
      </c>
      <c r="BW6" s="167">
        <f t="shared" ref="BW6:CQ6" si="9">BW8</f>
        <v>45749</v>
      </c>
      <c r="BX6" s="167">
        <f t="shared" si="9"/>
        <v>45750</v>
      </c>
      <c r="BY6" s="167">
        <f t="shared" si="9"/>
        <v>45751</v>
      </c>
      <c r="BZ6" s="167">
        <f t="shared" si="9"/>
        <v>45754</v>
      </c>
      <c r="CA6" s="167">
        <f t="shared" si="9"/>
        <v>45755</v>
      </c>
      <c r="CB6" s="167">
        <f t="shared" si="9"/>
        <v>45756</v>
      </c>
      <c r="CC6" s="167">
        <f t="shared" si="9"/>
        <v>45757</v>
      </c>
      <c r="CD6" s="167">
        <f t="shared" si="9"/>
        <v>45758</v>
      </c>
      <c r="CE6" s="167">
        <f t="shared" si="9"/>
        <v>45761</v>
      </c>
      <c r="CF6" s="167">
        <f t="shared" si="9"/>
        <v>45762</v>
      </c>
      <c r="CG6" s="167">
        <f t="shared" si="9"/>
        <v>45763</v>
      </c>
      <c r="CH6" s="167">
        <f t="shared" si="9"/>
        <v>45764</v>
      </c>
      <c r="CI6" s="167">
        <f t="shared" si="9"/>
        <v>45765</v>
      </c>
      <c r="CJ6" s="167">
        <f t="shared" si="9"/>
        <v>45768</v>
      </c>
      <c r="CK6" s="167">
        <f t="shared" si="9"/>
        <v>45769</v>
      </c>
      <c r="CL6" s="167">
        <f t="shared" si="9"/>
        <v>45770</v>
      </c>
      <c r="CM6" s="167">
        <f t="shared" si="9"/>
        <v>45771</v>
      </c>
      <c r="CN6" s="167">
        <f t="shared" si="9"/>
        <v>45772</v>
      </c>
      <c r="CO6" s="167">
        <f t="shared" si="9"/>
        <v>45775</v>
      </c>
      <c r="CP6" s="167">
        <f t="shared" si="9"/>
        <v>45776</v>
      </c>
      <c r="CQ6" s="167">
        <f t="shared" si="9"/>
        <v>45777</v>
      </c>
    </row>
    <row r="7" spans="1:95" ht="17.399999999999999" hidden="1" x14ac:dyDescent="0.25">
      <c r="D7" s="143"/>
      <c r="E7" s="143"/>
      <c r="G7" s="143"/>
      <c r="H7" s="188"/>
      <c r="I7" s="169">
        <v>45657</v>
      </c>
      <c r="J7" s="168">
        <f>WORKDAY(I7,1)</f>
        <v>45658</v>
      </c>
      <c r="K7" s="168">
        <f t="shared" ref="K7:N8" si="10">WORKDAY(J7,1)</f>
        <v>45659</v>
      </c>
      <c r="L7" s="168">
        <f t="shared" si="10"/>
        <v>45660</v>
      </c>
      <c r="M7" s="168">
        <v>4</v>
      </c>
      <c r="N7" s="168">
        <f t="shared" si="10"/>
        <v>5</v>
      </c>
      <c r="O7" s="168">
        <f>WORKDAY(N7,1)</f>
        <v>6</v>
      </c>
      <c r="P7" s="168">
        <f t="shared" ref="P7:S8" si="11">WORKDAY(O7,1)</f>
        <v>9</v>
      </c>
      <c r="Q7" s="168">
        <f t="shared" si="11"/>
        <v>10</v>
      </c>
      <c r="R7" s="168">
        <f t="shared" si="11"/>
        <v>11</v>
      </c>
      <c r="S7" s="168">
        <f t="shared" si="11"/>
        <v>12</v>
      </c>
      <c r="T7" s="168">
        <f>WORKDAY(S7,1)</f>
        <v>13</v>
      </c>
      <c r="U7" s="168">
        <f t="shared" ref="U7:AJ8" si="12">WORKDAY(T7,1)</f>
        <v>16</v>
      </c>
      <c r="V7" s="168">
        <f t="shared" si="12"/>
        <v>17</v>
      </c>
      <c r="W7" s="168">
        <f t="shared" si="12"/>
        <v>18</v>
      </c>
      <c r="X7" s="168">
        <f t="shared" si="12"/>
        <v>19</v>
      </c>
    </row>
    <row r="8" spans="1:95" ht="17.399999999999999" x14ac:dyDescent="0.25">
      <c r="D8" s="143"/>
      <c r="E8" s="143"/>
      <c r="F8" s="173" t="s">
        <v>1613</v>
      </c>
      <c r="G8" s="173" t="s">
        <v>1708</v>
      </c>
      <c r="H8" s="192" t="s">
        <v>1728</v>
      </c>
      <c r="I8" s="202" t="s">
        <v>1707</v>
      </c>
      <c r="J8" s="168">
        <f>WORKDAY(I7,1)</f>
        <v>45658</v>
      </c>
      <c r="K8" s="168">
        <f t="shared" si="10"/>
        <v>45659</v>
      </c>
      <c r="L8" s="168">
        <f t="shared" si="10"/>
        <v>45660</v>
      </c>
      <c r="M8" s="168">
        <f t="shared" si="10"/>
        <v>45663</v>
      </c>
      <c r="N8" s="168">
        <f t="shared" si="10"/>
        <v>45664</v>
      </c>
      <c r="O8" s="168">
        <f>WORKDAY(N8,1)</f>
        <v>45665</v>
      </c>
      <c r="P8" s="168">
        <f t="shared" si="11"/>
        <v>45666</v>
      </c>
      <c r="Q8" s="168">
        <f t="shared" si="11"/>
        <v>45667</v>
      </c>
      <c r="R8" s="168">
        <f t="shared" si="11"/>
        <v>45670</v>
      </c>
      <c r="S8" s="168">
        <f t="shared" si="11"/>
        <v>45671</v>
      </c>
      <c r="T8" s="168">
        <f>WORKDAY(S8,1)</f>
        <v>45672</v>
      </c>
      <c r="U8" s="168">
        <f t="shared" si="12"/>
        <v>45673</v>
      </c>
      <c r="V8" s="168">
        <f t="shared" si="12"/>
        <v>45674</v>
      </c>
      <c r="W8" s="168">
        <f t="shared" si="12"/>
        <v>45677</v>
      </c>
      <c r="X8" s="168">
        <f t="shared" si="12"/>
        <v>45678</v>
      </c>
      <c r="Y8" s="168">
        <f t="shared" si="12"/>
        <v>45679</v>
      </c>
      <c r="Z8" s="168">
        <f t="shared" si="12"/>
        <v>45680</v>
      </c>
      <c r="AA8" s="168">
        <f t="shared" si="12"/>
        <v>45681</v>
      </c>
      <c r="AB8" s="168">
        <f t="shared" si="12"/>
        <v>45684</v>
      </c>
      <c r="AC8" s="168">
        <f t="shared" si="12"/>
        <v>45685</v>
      </c>
      <c r="AD8" s="168">
        <f t="shared" si="12"/>
        <v>45686</v>
      </c>
      <c r="AE8" s="168">
        <f t="shared" si="12"/>
        <v>45687</v>
      </c>
      <c r="AF8" s="168">
        <f t="shared" si="12"/>
        <v>45688</v>
      </c>
      <c r="AG8" s="168">
        <f t="shared" si="12"/>
        <v>45691</v>
      </c>
      <c r="AH8" s="168">
        <f t="shared" si="12"/>
        <v>45692</v>
      </c>
      <c r="AI8" s="168">
        <f t="shared" si="12"/>
        <v>45693</v>
      </c>
      <c r="AJ8" s="168">
        <f t="shared" si="12"/>
        <v>45694</v>
      </c>
      <c r="AK8" s="168">
        <f t="shared" ref="AK8:CQ8" si="13">WORKDAY(AJ8,1)</f>
        <v>45695</v>
      </c>
      <c r="AL8" s="168">
        <f t="shared" si="13"/>
        <v>45698</v>
      </c>
      <c r="AM8" s="168">
        <f t="shared" si="13"/>
        <v>45699</v>
      </c>
      <c r="AN8" s="168">
        <f t="shared" si="13"/>
        <v>45700</v>
      </c>
      <c r="AO8" s="168">
        <f t="shared" si="13"/>
        <v>45701</v>
      </c>
      <c r="AP8" s="168">
        <f t="shared" si="13"/>
        <v>45702</v>
      </c>
      <c r="AQ8" s="168">
        <f t="shared" si="13"/>
        <v>45705</v>
      </c>
      <c r="AR8" s="168">
        <f t="shared" si="13"/>
        <v>45706</v>
      </c>
      <c r="AS8" s="168">
        <f t="shared" si="13"/>
        <v>45707</v>
      </c>
      <c r="AT8" s="168">
        <f t="shared" si="13"/>
        <v>45708</v>
      </c>
      <c r="AU8" s="168">
        <f t="shared" si="13"/>
        <v>45709</v>
      </c>
      <c r="AV8" s="168">
        <f t="shared" si="13"/>
        <v>45712</v>
      </c>
      <c r="AW8" s="168">
        <f t="shared" si="13"/>
        <v>45713</v>
      </c>
      <c r="AX8" s="168">
        <f t="shared" si="13"/>
        <v>45714</v>
      </c>
      <c r="AY8" s="168">
        <f t="shared" si="13"/>
        <v>45715</v>
      </c>
      <c r="AZ8" s="168">
        <f t="shared" si="13"/>
        <v>45716</v>
      </c>
      <c r="BA8" s="168">
        <f t="shared" si="13"/>
        <v>45719</v>
      </c>
      <c r="BB8" s="168">
        <f t="shared" si="13"/>
        <v>45720</v>
      </c>
      <c r="BC8" s="168">
        <f t="shared" si="13"/>
        <v>45721</v>
      </c>
      <c r="BD8" s="168">
        <f t="shared" si="13"/>
        <v>45722</v>
      </c>
      <c r="BE8" s="168">
        <f t="shared" si="13"/>
        <v>45723</v>
      </c>
      <c r="BF8" s="168">
        <f t="shared" si="13"/>
        <v>45726</v>
      </c>
      <c r="BG8" s="168">
        <f t="shared" si="13"/>
        <v>45727</v>
      </c>
      <c r="BH8" s="168">
        <f t="shared" si="13"/>
        <v>45728</v>
      </c>
      <c r="BI8" s="168">
        <f t="shared" si="13"/>
        <v>45729</v>
      </c>
      <c r="BJ8" s="168">
        <f t="shared" si="13"/>
        <v>45730</v>
      </c>
      <c r="BK8" s="168">
        <f t="shared" si="13"/>
        <v>45733</v>
      </c>
      <c r="BL8" s="168">
        <f t="shared" si="13"/>
        <v>45734</v>
      </c>
      <c r="BM8" s="168">
        <f t="shared" si="13"/>
        <v>45735</v>
      </c>
      <c r="BN8" s="168">
        <f t="shared" si="13"/>
        <v>45736</v>
      </c>
      <c r="BO8" s="168">
        <f t="shared" si="13"/>
        <v>45737</v>
      </c>
      <c r="BP8" s="168">
        <f t="shared" si="13"/>
        <v>45740</v>
      </c>
      <c r="BQ8" s="168">
        <f t="shared" si="13"/>
        <v>45741</v>
      </c>
      <c r="BR8" s="168">
        <f t="shared" si="13"/>
        <v>45742</v>
      </c>
      <c r="BS8" s="168">
        <f t="shared" si="13"/>
        <v>45743</v>
      </c>
      <c r="BT8" s="168">
        <f t="shared" si="13"/>
        <v>45744</v>
      </c>
      <c r="BU8" s="168">
        <f t="shared" si="13"/>
        <v>45747</v>
      </c>
      <c r="BV8" s="168">
        <f t="shared" si="13"/>
        <v>45748</v>
      </c>
      <c r="BW8" s="168">
        <f t="shared" si="13"/>
        <v>45749</v>
      </c>
      <c r="BX8" s="168">
        <f t="shared" si="13"/>
        <v>45750</v>
      </c>
      <c r="BY8" s="168">
        <f t="shared" si="13"/>
        <v>45751</v>
      </c>
      <c r="BZ8" s="168">
        <f>WORKDAY(BY8,1)</f>
        <v>45754</v>
      </c>
      <c r="CA8" s="168">
        <f t="shared" si="13"/>
        <v>45755</v>
      </c>
      <c r="CB8" s="168">
        <f t="shared" si="13"/>
        <v>45756</v>
      </c>
      <c r="CC8" s="168">
        <f t="shared" si="13"/>
        <v>45757</v>
      </c>
      <c r="CD8" s="168">
        <f t="shared" si="13"/>
        <v>45758</v>
      </c>
      <c r="CE8" s="168">
        <f t="shared" si="13"/>
        <v>45761</v>
      </c>
      <c r="CF8" s="168">
        <f t="shared" si="13"/>
        <v>45762</v>
      </c>
      <c r="CG8" s="168">
        <f t="shared" si="13"/>
        <v>45763</v>
      </c>
      <c r="CH8" s="168">
        <f t="shared" si="13"/>
        <v>45764</v>
      </c>
      <c r="CI8" s="168">
        <f t="shared" si="13"/>
        <v>45765</v>
      </c>
      <c r="CJ8" s="168">
        <f t="shared" si="13"/>
        <v>45768</v>
      </c>
      <c r="CK8" s="168">
        <f t="shared" si="13"/>
        <v>45769</v>
      </c>
      <c r="CL8" s="168">
        <f t="shared" si="13"/>
        <v>45770</v>
      </c>
      <c r="CM8" s="168">
        <f t="shared" si="13"/>
        <v>45771</v>
      </c>
      <c r="CN8" s="168">
        <f t="shared" si="13"/>
        <v>45772</v>
      </c>
      <c r="CO8" s="168">
        <f t="shared" si="13"/>
        <v>45775</v>
      </c>
      <c r="CP8" s="168">
        <f t="shared" si="13"/>
        <v>45776</v>
      </c>
      <c r="CQ8" s="168">
        <f t="shared" si="13"/>
        <v>45777</v>
      </c>
    </row>
    <row r="9" spans="1:95" x14ac:dyDescent="0.25">
      <c r="G9" s="142"/>
      <c r="H9" s="185"/>
      <c r="J9" s="170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65"/>
      <c r="AZ9" s="165"/>
      <c r="BA9" s="165"/>
      <c r="BB9" s="170"/>
      <c r="BC9" s="165"/>
      <c r="BD9" s="165"/>
      <c r="BE9" s="165"/>
      <c r="BF9" s="165"/>
      <c r="BG9" s="165"/>
      <c r="BH9" s="165"/>
      <c r="BI9" s="165"/>
      <c r="BJ9" s="165"/>
      <c r="BK9" s="165"/>
      <c r="BL9" s="165"/>
      <c r="BM9" s="165"/>
      <c r="BN9" s="165"/>
      <c r="BO9" s="165"/>
      <c r="BP9" s="165"/>
      <c r="BQ9" s="165"/>
      <c r="BR9" s="165"/>
      <c r="BS9" s="165"/>
      <c r="BT9" s="165"/>
      <c r="BU9" s="165"/>
      <c r="BV9" s="165"/>
      <c r="BW9" s="165"/>
      <c r="BX9" s="165"/>
      <c r="BY9" s="165"/>
      <c r="BZ9" s="165"/>
      <c r="CA9" s="165"/>
      <c r="CB9" s="165"/>
      <c r="CC9" s="165"/>
      <c r="CD9" s="165"/>
      <c r="CE9" s="165"/>
      <c r="CF9" s="165"/>
      <c r="CG9" s="165"/>
      <c r="CH9" s="165"/>
      <c r="CI9" s="170"/>
      <c r="CJ9" s="165"/>
      <c r="CK9" s="165"/>
      <c r="CL9" s="165"/>
      <c r="CM9" s="165"/>
      <c r="CN9" s="170"/>
      <c r="CO9" s="165"/>
      <c r="CP9" s="165"/>
      <c r="CQ9" s="165"/>
    </row>
    <row r="10" spans="1:95" hidden="1" x14ac:dyDescent="0.25">
      <c r="C10" s="196" t="s">
        <v>1710</v>
      </c>
      <c r="D10" s="197"/>
      <c r="E10" s="198"/>
      <c r="F10" s="216" t="s">
        <v>1625</v>
      </c>
      <c r="G10" s="199">
        <f>H10*8*5</f>
        <v>0</v>
      </c>
      <c r="H10" s="200">
        <f>SUM(J10:M10)</f>
        <v>0</v>
      </c>
      <c r="I10" s="201"/>
      <c r="J10" s="170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70"/>
      <c r="BC10" s="194"/>
      <c r="BD10" s="194"/>
      <c r="BE10" s="194"/>
      <c r="BF10" s="194"/>
      <c r="BG10" s="194"/>
      <c r="BH10" s="194"/>
      <c r="BI10" s="194"/>
      <c r="BJ10" s="194"/>
      <c r="BK10" s="194"/>
      <c r="BL10" s="194"/>
      <c r="BM10" s="194"/>
      <c r="BN10" s="194"/>
      <c r="BO10" s="194"/>
      <c r="BP10" s="194"/>
      <c r="BQ10" s="194"/>
      <c r="BR10" s="194"/>
      <c r="BS10" s="194"/>
      <c r="BT10" s="194"/>
      <c r="BU10" s="194"/>
      <c r="BV10" s="165"/>
      <c r="BW10" s="165"/>
      <c r="BX10" s="165"/>
      <c r="BY10" s="165"/>
      <c r="BZ10" s="165"/>
      <c r="CA10" s="165"/>
      <c r="CB10" s="165"/>
      <c r="CC10" s="165"/>
      <c r="CD10" s="165"/>
      <c r="CE10" s="165"/>
      <c r="CF10" s="165"/>
      <c r="CG10" s="165"/>
      <c r="CH10" s="165"/>
      <c r="CI10" s="170"/>
      <c r="CJ10" s="165"/>
      <c r="CK10" s="165"/>
      <c r="CL10" s="165"/>
      <c r="CM10" s="165"/>
      <c r="CN10" s="170"/>
      <c r="CO10" s="165"/>
      <c r="CP10" s="165"/>
      <c r="CQ10" s="165"/>
    </row>
    <row r="11" spans="1:95" x14ac:dyDescent="0.25">
      <c r="C11" s="175" t="s">
        <v>1710</v>
      </c>
      <c r="E11" s="143"/>
      <c r="F11" s="173" t="s">
        <v>1625</v>
      </c>
      <c r="G11" s="142">
        <f>H11*8</f>
        <v>70.400000000000006</v>
      </c>
      <c r="H11" s="185">
        <f>SUM(J11:BU11)</f>
        <v>8.8000000000000007</v>
      </c>
      <c r="I11" s="221">
        <f>SUM(J11:BU11)-H11</f>
        <v>0</v>
      </c>
      <c r="J11" s="170"/>
      <c r="K11" s="165">
        <v>0.2</v>
      </c>
      <c r="L11" s="165">
        <v>0.2</v>
      </c>
      <c r="M11" s="165">
        <v>0.2</v>
      </c>
      <c r="N11" s="165">
        <v>0.2</v>
      </c>
      <c r="O11" s="165">
        <v>0.2</v>
      </c>
      <c r="P11" s="165">
        <v>0.2</v>
      </c>
      <c r="Q11" s="165">
        <v>0.2</v>
      </c>
      <c r="R11" s="165">
        <v>0.2</v>
      </c>
      <c r="S11" s="165">
        <v>0.2</v>
      </c>
      <c r="T11" s="165">
        <v>0.2</v>
      </c>
      <c r="U11" s="165">
        <v>0.2</v>
      </c>
      <c r="V11" s="165">
        <v>0.2</v>
      </c>
      <c r="W11" s="165">
        <v>0.2</v>
      </c>
      <c r="X11" s="165">
        <v>0.2</v>
      </c>
      <c r="Y11" s="165">
        <v>0.2</v>
      </c>
      <c r="Z11" s="165">
        <v>0.2</v>
      </c>
      <c r="AA11" s="165">
        <v>0.2</v>
      </c>
      <c r="AB11" s="165">
        <v>0.2</v>
      </c>
      <c r="AC11" s="165">
        <v>0.2</v>
      </c>
      <c r="AD11" s="165">
        <v>0.2</v>
      </c>
      <c r="AE11" s="165">
        <v>0.2</v>
      </c>
      <c r="AF11" s="165">
        <v>0.2</v>
      </c>
      <c r="AG11" s="165">
        <v>0.2</v>
      </c>
      <c r="AH11" s="165">
        <v>0.2</v>
      </c>
      <c r="AI11" s="165">
        <v>0.2</v>
      </c>
      <c r="AJ11" s="165">
        <v>0.2</v>
      </c>
      <c r="AK11" s="165">
        <v>0.2</v>
      </c>
      <c r="AL11" s="165">
        <v>0.2</v>
      </c>
      <c r="AM11" s="165">
        <v>0.2</v>
      </c>
      <c r="AN11" s="244"/>
      <c r="AO11" s="244"/>
      <c r="AP11" s="244"/>
      <c r="AQ11" s="244"/>
      <c r="AR11" s="244"/>
      <c r="AS11" s="244"/>
      <c r="AT11" s="244"/>
      <c r="AU11" s="165">
        <v>0.2</v>
      </c>
      <c r="AV11" s="165">
        <v>0.2</v>
      </c>
      <c r="AW11" s="165">
        <v>0.2</v>
      </c>
      <c r="AX11" s="165">
        <v>0.2</v>
      </c>
      <c r="AY11" s="165">
        <v>0.2</v>
      </c>
      <c r="AZ11" s="165">
        <v>0.2</v>
      </c>
      <c r="BA11" s="165">
        <v>0.2</v>
      </c>
      <c r="BB11" s="170"/>
      <c r="BC11" s="165">
        <v>0.2</v>
      </c>
      <c r="BD11" s="165">
        <v>0.2</v>
      </c>
      <c r="BE11" s="165">
        <v>0.2</v>
      </c>
      <c r="BF11" s="165">
        <v>0.2</v>
      </c>
      <c r="BG11" s="165">
        <v>0.2</v>
      </c>
      <c r="BH11" s="165">
        <v>0.2</v>
      </c>
      <c r="BI11" s="165">
        <v>0.2</v>
      </c>
      <c r="BJ11" s="165">
        <v>0.2</v>
      </c>
      <c r="BK11" s="165"/>
      <c r="BL11" s="165"/>
      <c r="BM11" s="165"/>
      <c r="BN11" s="165"/>
      <c r="BO11" s="165"/>
      <c r="BP11" s="165"/>
      <c r="BQ11" s="165"/>
      <c r="BR11" s="165"/>
      <c r="BS11" s="165"/>
      <c r="BT11" s="165"/>
      <c r="BU11" s="165"/>
      <c r="BV11" s="165"/>
      <c r="BW11" s="165"/>
      <c r="BX11" s="165"/>
      <c r="BY11" s="165"/>
      <c r="BZ11" s="165"/>
      <c r="CA11" s="165"/>
      <c r="CB11" s="165"/>
      <c r="CC11" s="165"/>
      <c r="CD11" s="165"/>
      <c r="CE11" s="165"/>
      <c r="CF11" s="165"/>
      <c r="CG11" s="165"/>
      <c r="CH11" s="165"/>
      <c r="CI11" s="170"/>
      <c r="CJ11" s="165"/>
      <c r="CK11" s="165"/>
      <c r="CL11" s="165"/>
      <c r="CM11" s="165"/>
      <c r="CN11" s="170"/>
      <c r="CO11" s="165"/>
      <c r="CP11" s="165"/>
      <c r="CQ11" s="165"/>
    </row>
    <row r="12" spans="1:95" x14ac:dyDescent="0.25">
      <c r="C12" s="177" t="s">
        <v>1739</v>
      </c>
      <c r="D12" s="178"/>
      <c r="E12" s="179"/>
      <c r="F12" s="205"/>
      <c r="G12" s="180">
        <f>SUM(G13:G14)</f>
        <v>336</v>
      </c>
      <c r="H12" s="189">
        <f>ROUND(SUM(H13:H14),1)</f>
        <v>42</v>
      </c>
      <c r="I12" s="226">
        <f>SUM(J12:CQ12)-H12</f>
        <v>0</v>
      </c>
      <c r="J12" s="170"/>
      <c r="K12" s="194">
        <v>3</v>
      </c>
      <c r="L12" s="194">
        <v>3</v>
      </c>
      <c r="M12" s="194">
        <v>3</v>
      </c>
      <c r="N12" s="194">
        <v>3</v>
      </c>
      <c r="O12" s="194">
        <v>3</v>
      </c>
      <c r="P12" s="194">
        <v>3</v>
      </c>
      <c r="Q12" s="194">
        <v>3</v>
      </c>
      <c r="R12" s="194">
        <v>3</v>
      </c>
      <c r="S12" s="194">
        <v>3</v>
      </c>
      <c r="T12" s="194">
        <v>3</v>
      </c>
      <c r="U12" s="194">
        <v>3</v>
      </c>
      <c r="V12" s="194">
        <v>3</v>
      </c>
      <c r="W12" s="194">
        <v>3</v>
      </c>
      <c r="X12" s="194">
        <v>3</v>
      </c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65"/>
      <c r="AZ12" s="165"/>
      <c r="BA12" s="165"/>
      <c r="BB12" s="170"/>
      <c r="BC12" s="165"/>
      <c r="BD12" s="165"/>
      <c r="BE12" s="165"/>
      <c r="BF12" s="165"/>
      <c r="BG12" s="165"/>
      <c r="BH12" s="165"/>
      <c r="BI12" s="165"/>
      <c r="BJ12" s="165"/>
      <c r="BK12" s="165"/>
      <c r="BL12" s="165"/>
      <c r="BM12" s="165"/>
      <c r="BN12" s="165"/>
      <c r="BO12" s="165"/>
      <c r="BP12" s="165"/>
      <c r="BQ12" s="165"/>
      <c r="BR12" s="165"/>
      <c r="BS12" s="165"/>
      <c r="BT12" s="165"/>
      <c r="BU12" s="165"/>
      <c r="BV12" s="165"/>
      <c r="BW12" s="165"/>
      <c r="BX12" s="165"/>
      <c r="BY12" s="165"/>
      <c r="BZ12" s="165"/>
      <c r="CA12" s="165"/>
      <c r="CB12" s="165"/>
      <c r="CC12" s="165"/>
      <c r="CD12" s="165"/>
      <c r="CE12" s="165"/>
      <c r="CF12" s="165"/>
      <c r="CG12" s="165"/>
      <c r="CH12" s="165"/>
      <c r="CI12" s="170"/>
      <c r="CJ12" s="165"/>
      <c r="CK12" s="165"/>
      <c r="CL12" s="165"/>
      <c r="CM12" s="165"/>
      <c r="CN12" s="170"/>
      <c r="CO12" s="165"/>
      <c r="CP12" s="165"/>
      <c r="CQ12" s="165"/>
    </row>
    <row r="13" spans="1:95" outlineLevel="1" x14ac:dyDescent="0.25">
      <c r="B13" s="171"/>
      <c r="C13" s="183" t="s">
        <v>1727</v>
      </c>
      <c r="D13" s="182"/>
      <c r="E13" s="153"/>
      <c r="F13" s="172"/>
      <c r="G13" s="171">
        <v>16</v>
      </c>
      <c r="H13" s="190">
        <f>ROUNDUP(G13/8,1)</f>
        <v>2</v>
      </c>
      <c r="I13" s="193"/>
      <c r="J13" s="170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65"/>
      <c r="AZ13" s="165"/>
      <c r="BA13" s="165"/>
      <c r="BB13" s="170"/>
      <c r="BC13" s="165"/>
      <c r="BD13" s="165"/>
      <c r="BE13" s="165"/>
      <c r="BF13" s="165"/>
      <c r="BG13" s="165"/>
      <c r="BH13" s="165"/>
      <c r="BI13" s="165"/>
      <c r="BJ13" s="165"/>
      <c r="BK13" s="165"/>
      <c r="BL13" s="165"/>
      <c r="BM13" s="165"/>
      <c r="BN13" s="165"/>
      <c r="BO13" s="165"/>
      <c r="BP13" s="165"/>
      <c r="BQ13" s="165"/>
      <c r="BR13" s="165"/>
      <c r="BS13" s="165"/>
      <c r="BT13" s="165"/>
      <c r="BU13" s="165"/>
      <c r="BV13" s="165"/>
      <c r="BW13" s="165"/>
      <c r="BX13" s="165"/>
      <c r="BY13" s="165"/>
      <c r="BZ13" s="165"/>
      <c r="CA13" s="165"/>
      <c r="CB13" s="165"/>
      <c r="CC13" s="165"/>
      <c r="CD13" s="165"/>
      <c r="CE13" s="165"/>
      <c r="CF13" s="165"/>
      <c r="CG13" s="165"/>
      <c r="CH13" s="165"/>
      <c r="CI13" s="170"/>
      <c r="CJ13" s="165"/>
      <c r="CK13" s="165"/>
      <c r="CL13" s="165"/>
      <c r="CM13" s="165"/>
      <c r="CN13" s="170"/>
      <c r="CO13" s="165"/>
      <c r="CP13" s="165"/>
      <c r="CQ13" s="165"/>
    </row>
    <row r="14" spans="1:95" outlineLevel="1" x14ac:dyDescent="0.25">
      <c r="B14" s="171"/>
      <c r="C14" s="183" t="s">
        <v>1711</v>
      </c>
      <c r="D14" s="182"/>
      <c r="E14" s="153"/>
      <c r="F14" s="172"/>
      <c r="G14" s="171">
        <f>(13*8*3)+8</f>
        <v>320</v>
      </c>
      <c r="H14" s="190">
        <f>ROUNDUP(G14/8,1)</f>
        <v>40</v>
      </c>
      <c r="I14" s="193"/>
      <c r="J14" s="170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5"/>
      <c r="AX14" s="165"/>
      <c r="AY14" s="165"/>
      <c r="AZ14" s="165"/>
      <c r="BA14" s="165"/>
      <c r="BB14" s="170"/>
      <c r="BC14" s="165"/>
      <c r="BD14" s="165"/>
      <c r="BE14" s="165"/>
      <c r="BF14" s="165"/>
      <c r="BG14" s="165"/>
      <c r="BH14" s="165"/>
      <c r="BI14" s="165"/>
      <c r="BJ14" s="165"/>
      <c r="BK14" s="165"/>
      <c r="BL14" s="165"/>
      <c r="BM14" s="165"/>
      <c r="BN14" s="165"/>
      <c r="BO14" s="165"/>
      <c r="BP14" s="165"/>
      <c r="BQ14" s="165"/>
      <c r="BR14" s="165"/>
      <c r="BS14" s="165"/>
      <c r="BT14" s="165"/>
      <c r="BU14" s="165"/>
      <c r="BV14" s="165"/>
      <c r="BW14" s="165"/>
      <c r="BX14" s="165"/>
      <c r="BY14" s="165"/>
      <c r="BZ14" s="165"/>
      <c r="CA14" s="165"/>
      <c r="CB14" s="165"/>
      <c r="CC14" s="165"/>
      <c r="CD14" s="165"/>
      <c r="CE14" s="165"/>
      <c r="CF14" s="165"/>
      <c r="CG14" s="165"/>
      <c r="CH14" s="165"/>
      <c r="CI14" s="170"/>
      <c r="CJ14" s="165"/>
      <c r="CK14" s="165"/>
      <c r="CL14" s="165"/>
      <c r="CM14" s="165"/>
      <c r="CN14" s="170"/>
      <c r="CO14" s="165"/>
      <c r="CP14" s="165"/>
      <c r="CQ14" s="165"/>
    </row>
    <row r="15" spans="1:95" x14ac:dyDescent="0.25">
      <c r="C15" s="177" t="s">
        <v>1740</v>
      </c>
      <c r="D15" s="178"/>
      <c r="E15" s="179"/>
      <c r="F15" s="205"/>
      <c r="G15" s="180">
        <f>SUM(G16:G20)</f>
        <v>60</v>
      </c>
      <c r="H15" s="189">
        <f>ROUND(SUM(H16:H20),1)</f>
        <v>7.5</v>
      </c>
      <c r="I15" s="226">
        <f>SUM(I16:I20)</f>
        <v>0</v>
      </c>
      <c r="J15" s="170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247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5"/>
      <c r="AW15" s="165"/>
      <c r="AX15" s="165"/>
      <c r="AY15" s="165"/>
      <c r="AZ15" s="165"/>
      <c r="BA15" s="165"/>
      <c r="BB15" s="170"/>
      <c r="BC15" s="165"/>
      <c r="BD15" s="165"/>
      <c r="BE15" s="165"/>
      <c r="BF15" s="165"/>
      <c r="BG15" s="165"/>
      <c r="BH15" s="165"/>
      <c r="BI15" s="165"/>
      <c r="BJ15" s="165"/>
      <c r="BK15" s="165"/>
      <c r="BL15" s="165"/>
      <c r="BM15" s="165"/>
      <c r="BN15" s="165"/>
      <c r="BO15" s="165"/>
      <c r="BP15" s="165"/>
      <c r="BQ15" s="165"/>
      <c r="BR15" s="165"/>
      <c r="BS15" s="165"/>
      <c r="BT15" s="165"/>
      <c r="BU15" s="165"/>
      <c r="BV15" s="165"/>
      <c r="BW15" s="165"/>
      <c r="BX15" s="165"/>
      <c r="BY15" s="165"/>
      <c r="BZ15" s="165"/>
      <c r="CA15" s="165"/>
      <c r="CB15" s="165"/>
      <c r="CC15" s="165"/>
      <c r="CD15" s="165"/>
      <c r="CE15" s="165"/>
      <c r="CF15" s="165"/>
      <c r="CG15" s="165"/>
      <c r="CH15" s="165"/>
      <c r="CI15" s="170"/>
      <c r="CJ15" s="165"/>
      <c r="CK15" s="165"/>
      <c r="CL15" s="165"/>
      <c r="CM15" s="165"/>
      <c r="CN15" s="170"/>
      <c r="CO15" s="165"/>
      <c r="CP15" s="165"/>
      <c r="CQ15" s="165"/>
    </row>
    <row r="16" spans="1:95" outlineLevel="1" x14ac:dyDescent="0.25">
      <c r="B16" s="171"/>
      <c r="C16" s="183" t="s">
        <v>1733</v>
      </c>
      <c r="D16" s="182"/>
      <c r="E16" s="153"/>
      <c r="F16" s="172"/>
      <c r="G16" s="171">
        <v>4</v>
      </c>
      <c r="H16" s="190">
        <f t="shared" ref="H16:H20" si="14">ROUND(G16/8,2)</f>
        <v>0.5</v>
      </c>
      <c r="I16" s="193">
        <f t="shared" ref="I16:I20" si="15">SUM(J16:CQ16)-H16</f>
        <v>0</v>
      </c>
      <c r="J16" s="170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>
        <v>0.5</v>
      </c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5"/>
      <c r="AX16" s="165"/>
      <c r="AY16" s="165"/>
      <c r="AZ16" s="165"/>
      <c r="BA16" s="165"/>
      <c r="BB16" s="170"/>
      <c r="BC16" s="165"/>
      <c r="BD16" s="165"/>
      <c r="BE16" s="165"/>
      <c r="BF16" s="165"/>
      <c r="BG16" s="165"/>
      <c r="BH16" s="165"/>
      <c r="BI16" s="165"/>
      <c r="BJ16" s="165"/>
      <c r="BK16" s="165"/>
      <c r="BL16" s="165"/>
      <c r="BM16" s="165"/>
      <c r="BN16" s="165"/>
      <c r="BO16" s="165"/>
      <c r="BP16" s="165"/>
      <c r="BQ16" s="165"/>
      <c r="BR16" s="165"/>
      <c r="BS16" s="165"/>
      <c r="BT16" s="165"/>
      <c r="BU16" s="165"/>
      <c r="BV16" s="165"/>
      <c r="BW16" s="165"/>
      <c r="BX16" s="165"/>
      <c r="BY16" s="165"/>
      <c r="BZ16" s="165"/>
      <c r="CA16" s="165"/>
      <c r="CB16" s="165"/>
      <c r="CC16" s="165"/>
      <c r="CD16" s="165"/>
      <c r="CE16" s="165"/>
      <c r="CF16" s="165"/>
      <c r="CG16" s="165"/>
      <c r="CH16" s="165"/>
      <c r="CI16" s="170"/>
      <c r="CJ16" s="165"/>
      <c r="CK16" s="165"/>
      <c r="CL16" s="165"/>
      <c r="CM16" s="165"/>
      <c r="CN16" s="170"/>
      <c r="CO16" s="165"/>
      <c r="CP16" s="165"/>
      <c r="CQ16" s="165"/>
    </row>
    <row r="17" spans="1:95" outlineLevel="1" x14ac:dyDescent="0.25">
      <c r="B17" s="171"/>
      <c r="C17" s="183" t="s">
        <v>1735</v>
      </c>
      <c r="D17" s="182"/>
      <c r="E17" s="153"/>
      <c r="F17" s="172"/>
      <c r="G17" s="171">
        <v>8</v>
      </c>
      <c r="H17" s="190">
        <f t="shared" si="14"/>
        <v>1</v>
      </c>
      <c r="I17" s="193">
        <f t="shared" si="15"/>
        <v>0</v>
      </c>
      <c r="J17" s="170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>
        <v>1</v>
      </c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70"/>
      <c r="BC17" s="165"/>
      <c r="BD17" s="165"/>
      <c r="BE17" s="165"/>
      <c r="BF17" s="165"/>
      <c r="BG17" s="165"/>
      <c r="BH17" s="165"/>
      <c r="BI17" s="165"/>
      <c r="BJ17" s="165"/>
      <c r="BK17" s="165"/>
      <c r="BL17" s="165"/>
      <c r="BM17" s="165"/>
      <c r="BN17" s="165"/>
      <c r="BO17" s="165"/>
      <c r="BP17" s="165"/>
      <c r="BQ17" s="165"/>
      <c r="BR17" s="165"/>
      <c r="BS17" s="165"/>
      <c r="BT17" s="165"/>
      <c r="BU17" s="165"/>
      <c r="BV17" s="165"/>
      <c r="BW17" s="165"/>
      <c r="BX17" s="165"/>
      <c r="BY17" s="165"/>
      <c r="BZ17" s="165"/>
      <c r="CA17" s="165"/>
      <c r="CB17" s="165"/>
      <c r="CC17" s="165"/>
      <c r="CD17" s="165"/>
      <c r="CE17" s="165"/>
      <c r="CF17" s="165"/>
      <c r="CG17" s="165"/>
      <c r="CH17" s="165"/>
      <c r="CI17" s="170"/>
      <c r="CJ17" s="165"/>
      <c r="CK17" s="165"/>
      <c r="CL17" s="165"/>
      <c r="CM17" s="165"/>
      <c r="CN17" s="170"/>
      <c r="CO17" s="165"/>
      <c r="CP17" s="165"/>
      <c r="CQ17" s="165"/>
    </row>
    <row r="18" spans="1:95" outlineLevel="1" x14ac:dyDescent="0.25">
      <c r="A18" s="145" t="s">
        <v>1738</v>
      </c>
      <c r="B18" s="171"/>
      <c r="C18" s="183" t="s">
        <v>1734</v>
      </c>
      <c r="D18" s="182"/>
      <c r="E18" s="153"/>
      <c r="F18" s="172"/>
      <c r="G18" s="171">
        <v>8</v>
      </c>
      <c r="H18" s="190">
        <f t="shared" si="14"/>
        <v>1</v>
      </c>
      <c r="I18" s="193">
        <f t="shared" si="15"/>
        <v>0</v>
      </c>
      <c r="J18" s="170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165"/>
      <c r="AT18" s="165"/>
      <c r="AU18" s="165">
        <v>1</v>
      </c>
      <c r="AV18" s="165"/>
      <c r="AW18" s="165"/>
      <c r="AX18" s="165"/>
      <c r="AY18" s="165"/>
      <c r="AZ18" s="165"/>
      <c r="BA18" s="165"/>
      <c r="BB18" s="170"/>
      <c r="BC18" s="165"/>
      <c r="BD18" s="165"/>
      <c r="BE18" s="165"/>
      <c r="BF18" s="165"/>
      <c r="BG18" s="165"/>
      <c r="BH18" s="165"/>
      <c r="BI18" s="165"/>
      <c r="BJ18" s="165"/>
      <c r="BK18" s="165"/>
      <c r="BL18" s="165"/>
      <c r="BM18" s="165"/>
      <c r="BN18" s="165"/>
      <c r="BO18" s="165"/>
      <c r="BP18" s="165"/>
      <c r="BQ18" s="165"/>
      <c r="BR18" s="165"/>
      <c r="BS18" s="165"/>
      <c r="BT18" s="165"/>
      <c r="BU18" s="165"/>
      <c r="BV18" s="165"/>
      <c r="BW18" s="165"/>
      <c r="BX18" s="165"/>
      <c r="BY18" s="165"/>
      <c r="BZ18" s="165"/>
      <c r="CA18" s="165"/>
      <c r="CB18" s="165"/>
      <c r="CC18" s="165"/>
      <c r="CD18" s="165"/>
      <c r="CE18" s="165"/>
      <c r="CF18" s="165"/>
      <c r="CG18" s="165"/>
      <c r="CH18" s="165"/>
      <c r="CI18" s="170"/>
      <c r="CJ18" s="165"/>
      <c r="CK18" s="165"/>
      <c r="CL18" s="165"/>
      <c r="CM18" s="165"/>
      <c r="CN18" s="170"/>
      <c r="CO18" s="165"/>
      <c r="CP18" s="165"/>
      <c r="CQ18" s="165"/>
    </row>
    <row r="19" spans="1:95" outlineLevel="1" x14ac:dyDescent="0.25">
      <c r="A19" s="145" t="s">
        <v>1738</v>
      </c>
      <c r="B19" s="171"/>
      <c r="C19" s="183" t="s">
        <v>1736</v>
      </c>
      <c r="D19" s="182"/>
      <c r="E19" s="153"/>
      <c r="F19" s="172"/>
      <c r="G19" s="171">
        <f>5*8</f>
        <v>40</v>
      </c>
      <c r="H19" s="190">
        <f t="shared" si="14"/>
        <v>5</v>
      </c>
      <c r="I19" s="193">
        <f t="shared" si="15"/>
        <v>0</v>
      </c>
      <c r="J19" s="170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65"/>
      <c r="AU19" s="165">
        <v>1</v>
      </c>
      <c r="AV19" s="165">
        <v>1</v>
      </c>
      <c r="AW19" s="165">
        <v>1</v>
      </c>
      <c r="AX19" s="165">
        <v>1</v>
      </c>
      <c r="AY19" s="165">
        <v>1</v>
      </c>
      <c r="AZ19" s="165"/>
      <c r="BA19" s="165"/>
      <c r="BB19" s="170"/>
      <c r="BC19" s="165"/>
      <c r="BD19" s="165"/>
      <c r="BE19" s="165"/>
      <c r="BF19" s="165"/>
      <c r="BG19" s="165"/>
      <c r="BH19" s="165"/>
      <c r="BI19" s="165"/>
      <c r="BJ19" s="165"/>
      <c r="BK19" s="165"/>
      <c r="BL19" s="165"/>
      <c r="BM19" s="165"/>
      <c r="BN19" s="165"/>
      <c r="BO19" s="165"/>
      <c r="BP19" s="165"/>
      <c r="BQ19" s="165"/>
      <c r="BR19" s="165"/>
      <c r="BS19" s="165"/>
      <c r="BT19" s="165"/>
      <c r="BU19" s="165"/>
      <c r="BV19" s="165"/>
      <c r="BW19" s="165"/>
      <c r="BX19" s="165"/>
      <c r="BY19" s="165"/>
      <c r="BZ19" s="165"/>
      <c r="CA19" s="165"/>
      <c r="CB19" s="165"/>
      <c r="CC19" s="165"/>
      <c r="CD19" s="165"/>
      <c r="CE19" s="165"/>
      <c r="CF19" s="165"/>
      <c r="CG19" s="165"/>
      <c r="CH19" s="165"/>
      <c r="CI19" s="170"/>
      <c r="CJ19" s="165"/>
      <c r="CK19" s="165"/>
      <c r="CL19" s="165"/>
      <c r="CM19" s="165"/>
      <c r="CN19" s="170"/>
      <c r="CO19" s="165"/>
      <c r="CP19" s="165"/>
      <c r="CQ19" s="165"/>
    </row>
    <row r="20" spans="1:95" outlineLevel="1" x14ac:dyDescent="0.25">
      <c r="A20" s="228" t="s">
        <v>1738</v>
      </c>
      <c r="B20" s="229"/>
      <c r="C20" s="230" t="s">
        <v>1737</v>
      </c>
      <c r="D20" s="231"/>
      <c r="E20" s="232"/>
      <c r="F20" s="233"/>
      <c r="G20" s="229">
        <v>0</v>
      </c>
      <c r="H20" s="234">
        <f t="shared" si="14"/>
        <v>0</v>
      </c>
      <c r="I20" s="235">
        <f t="shared" si="15"/>
        <v>0</v>
      </c>
      <c r="J20" s="170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70"/>
      <c r="BC20" s="165"/>
      <c r="BD20" s="165"/>
      <c r="BE20" s="165"/>
      <c r="BF20" s="165"/>
      <c r="BG20" s="165"/>
      <c r="BH20" s="165"/>
      <c r="BI20" s="165"/>
      <c r="BJ20" s="165"/>
      <c r="BK20" s="165"/>
      <c r="BL20" s="165"/>
      <c r="BM20" s="165"/>
      <c r="BN20" s="165"/>
      <c r="BO20" s="165"/>
      <c r="BP20" s="165"/>
      <c r="BQ20" s="165"/>
      <c r="BR20" s="165"/>
      <c r="BS20" s="165"/>
      <c r="BT20" s="165"/>
      <c r="BU20" s="165"/>
      <c r="BV20" s="165"/>
      <c r="BW20" s="165"/>
      <c r="BX20" s="165"/>
      <c r="BY20" s="165"/>
      <c r="BZ20" s="165"/>
      <c r="CA20" s="165"/>
      <c r="CB20" s="165"/>
      <c r="CC20" s="165"/>
      <c r="CD20" s="165"/>
      <c r="CE20" s="165"/>
      <c r="CF20" s="165"/>
      <c r="CG20" s="165"/>
      <c r="CH20" s="165"/>
      <c r="CI20" s="170"/>
      <c r="CJ20" s="165"/>
      <c r="CK20" s="165"/>
      <c r="CL20" s="165"/>
      <c r="CM20" s="165"/>
      <c r="CN20" s="170"/>
      <c r="CO20" s="165"/>
      <c r="CP20" s="165"/>
      <c r="CQ20" s="165"/>
    </row>
    <row r="21" spans="1:95" x14ac:dyDescent="0.25">
      <c r="C21" s="177" t="s">
        <v>1725</v>
      </c>
      <c r="D21" s="178"/>
      <c r="E21" s="179"/>
      <c r="F21" s="205">
        <f>F22+F71</f>
        <v>54</v>
      </c>
      <c r="G21" s="180">
        <f>G22+G71+G92+G161+G230</f>
        <v>367.5</v>
      </c>
      <c r="H21" s="180">
        <f>H22+H71+H92+H161+H230</f>
        <v>46.2</v>
      </c>
      <c r="I21" s="204"/>
      <c r="J21" s="170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5"/>
      <c r="BB21" s="170"/>
      <c r="BC21" s="165"/>
      <c r="BD21" s="165"/>
      <c r="BE21" s="165"/>
      <c r="BF21" s="165"/>
      <c r="BG21" s="165"/>
      <c r="BH21" s="165"/>
      <c r="BI21" s="165"/>
      <c r="BJ21" s="165"/>
      <c r="BK21" s="165"/>
      <c r="BL21" s="165"/>
      <c r="BM21" s="165"/>
      <c r="BN21" s="165"/>
      <c r="BO21" s="165"/>
      <c r="BP21" s="165"/>
      <c r="BQ21" s="165"/>
      <c r="BR21" s="165"/>
      <c r="BS21" s="165"/>
      <c r="BT21" s="165"/>
      <c r="BU21" s="165"/>
      <c r="BV21" s="165"/>
      <c r="BW21" s="165"/>
      <c r="BX21" s="165"/>
      <c r="BY21" s="165"/>
      <c r="BZ21" s="165"/>
      <c r="CA21" s="165"/>
      <c r="CB21" s="165"/>
      <c r="CC21" s="165"/>
      <c r="CD21" s="165"/>
      <c r="CE21" s="165"/>
      <c r="CF21" s="165"/>
      <c r="CG21" s="165"/>
      <c r="CH21" s="165"/>
      <c r="CI21" s="170"/>
      <c r="CJ21" s="165"/>
      <c r="CK21" s="165"/>
      <c r="CL21" s="165"/>
      <c r="CM21" s="165"/>
      <c r="CN21" s="170"/>
      <c r="CO21" s="165"/>
      <c r="CP21" s="165"/>
      <c r="CQ21" s="165"/>
    </row>
    <row r="22" spans="1:95" x14ac:dyDescent="0.25">
      <c r="B22" s="156"/>
      <c r="C22" s="212" t="s">
        <v>1720</v>
      </c>
      <c r="D22" s="178"/>
      <c r="E22" s="179"/>
      <c r="F22" s="205">
        <f>COUNTA(E23:E64)</f>
        <v>42</v>
      </c>
      <c r="G22" s="205">
        <f>SUM(G23:G64)</f>
        <v>112</v>
      </c>
      <c r="H22" s="208">
        <f>ROUND(SUM(H23:H64),1)</f>
        <v>14.2</v>
      </c>
      <c r="I22" s="222">
        <f>SUM(J22:CQ22)-H22</f>
        <v>0</v>
      </c>
      <c r="J22" s="170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>
        <v>0.5</v>
      </c>
      <c r="Z22" s="165">
        <v>0.5</v>
      </c>
      <c r="AA22" s="165">
        <v>0.5</v>
      </c>
      <c r="AB22" s="165">
        <v>0.5</v>
      </c>
      <c r="AC22" s="165">
        <v>0.5</v>
      </c>
      <c r="AD22" s="165">
        <v>0.5</v>
      </c>
      <c r="AE22" s="165">
        <v>0.5</v>
      </c>
      <c r="AF22" s="165">
        <v>0.9</v>
      </c>
      <c r="AG22" s="165">
        <v>1.5</v>
      </c>
      <c r="AH22" s="165">
        <v>1.5</v>
      </c>
      <c r="AI22" s="165">
        <v>1.5</v>
      </c>
      <c r="AJ22" s="165">
        <v>1.5</v>
      </c>
      <c r="AK22" s="165">
        <v>1.5</v>
      </c>
      <c r="AL22" s="165">
        <v>1.7</v>
      </c>
      <c r="AM22" s="165">
        <v>0.6</v>
      </c>
      <c r="AN22" s="165"/>
      <c r="AO22" s="165"/>
      <c r="AP22" s="165"/>
      <c r="AQ22" s="165"/>
      <c r="AR22" s="165"/>
      <c r="AS22" s="165"/>
      <c r="AT22" s="165"/>
      <c r="AU22" s="165"/>
      <c r="AV22" s="165"/>
      <c r="AW22" s="165"/>
      <c r="AX22" s="165"/>
      <c r="AY22" s="165"/>
      <c r="AZ22" s="165"/>
      <c r="BA22" s="165"/>
      <c r="BB22" s="170"/>
      <c r="BC22" s="165"/>
      <c r="BD22" s="165"/>
      <c r="BE22" s="165"/>
      <c r="BF22" s="165"/>
      <c r="BG22" s="165"/>
      <c r="BH22" s="165"/>
      <c r="BI22" s="165"/>
      <c r="BJ22" s="165"/>
      <c r="BK22" s="165"/>
      <c r="BL22" s="165"/>
      <c r="BM22" s="165"/>
      <c r="BN22" s="165"/>
      <c r="BO22" s="165"/>
      <c r="BP22" s="165"/>
      <c r="BQ22" s="165"/>
      <c r="BR22" s="165"/>
      <c r="BS22" s="165"/>
      <c r="BT22" s="165"/>
      <c r="BU22" s="165"/>
      <c r="BV22" s="165"/>
      <c r="BW22" s="165"/>
      <c r="BX22" s="165"/>
      <c r="BY22" s="165"/>
      <c r="BZ22" s="165"/>
      <c r="CA22" s="165"/>
      <c r="CB22" s="165"/>
      <c r="CC22" s="165"/>
      <c r="CD22" s="165"/>
      <c r="CE22" s="165"/>
      <c r="CF22" s="165"/>
      <c r="CG22" s="165"/>
      <c r="CH22" s="165"/>
      <c r="CI22" s="170"/>
      <c r="CJ22" s="165"/>
      <c r="CK22" s="165"/>
      <c r="CL22" s="165"/>
      <c r="CM22" s="165"/>
      <c r="CN22" s="170"/>
      <c r="CO22" s="165"/>
      <c r="CP22" s="165"/>
      <c r="CQ22" s="165"/>
    </row>
    <row r="23" spans="1:95" outlineLevel="1" x14ac:dyDescent="0.25">
      <c r="B23" s="156" t="str">
        <f>Table1[[#Headers],[Especificação]]</f>
        <v>Especificação</v>
      </c>
      <c r="C23" s="184" t="str">
        <f t="shared" ref="C23:C78" si="16">D23&amp;"_"&amp;E23</f>
        <v>ENTITY_TXNMY_ELGBL_CAPEX_W</v>
      </c>
      <c r="D23" s="153" t="s">
        <v>10</v>
      </c>
      <c r="E23" s="153" t="s">
        <v>1402</v>
      </c>
      <c r="G23" s="172">
        <f>INDEX(Table1[[Especificação]:[Total Testes]],MATCH('Sheet1 (2)'!C23,Table1[CONCAT],0),MATCH('Sheet1 (2)'!B23,Table1[[#Headers],[Especificação]:[Total Testes]],0))</f>
        <v>8</v>
      </c>
      <c r="H23" s="191">
        <f>ROUND(G23/8,2)</f>
        <v>1</v>
      </c>
      <c r="I23" s="222"/>
      <c r="J23" s="170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5"/>
      <c r="AO23" s="165"/>
      <c r="AP23" s="165"/>
      <c r="AQ23" s="165"/>
      <c r="AR23" s="165"/>
      <c r="AS23" s="165"/>
      <c r="AT23" s="165"/>
      <c r="AU23" s="165"/>
      <c r="AV23" s="165"/>
      <c r="AW23" s="165"/>
      <c r="AX23" s="165"/>
      <c r="AY23" s="165"/>
      <c r="AZ23" s="165"/>
      <c r="BA23" s="165"/>
      <c r="BB23" s="170"/>
      <c r="BC23" s="165"/>
      <c r="BD23" s="165"/>
      <c r="BE23" s="165"/>
      <c r="BF23" s="165"/>
      <c r="BG23" s="165"/>
      <c r="BH23" s="165"/>
      <c r="BI23" s="165"/>
      <c r="BJ23" s="165"/>
      <c r="BK23" s="165"/>
      <c r="BL23" s="165"/>
      <c r="BM23" s="165"/>
      <c r="BN23" s="165"/>
      <c r="BO23" s="165"/>
      <c r="BP23" s="165"/>
      <c r="BQ23" s="165"/>
      <c r="BR23" s="165"/>
      <c r="BS23" s="165"/>
      <c r="BT23" s="165"/>
      <c r="BU23" s="165"/>
      <c r="BV23" s="165"/>
      <c r="BW23" s="165"/>
      <c r="BX23" s="165"/>
      <c r="BY23" s="165"/>
      <c r="BZ23" s="165"/>
      <c r="CA23" s="165"/>
      <c r="CB23" s="165"/>
      <c r="CC23" s="165"/>
      <c r="CD23" s="165"/>
      <c r="CE23" s="165"/>
      <c r="CF23" s="165"/>
      <c r="CG23" s="165"/>
      <c r="CH23" s="165"/>
      <c r="CI23" s="170"/>
      <c r="CJ23" s="165"/>
      <c r="CK23" s="165"/>
      <c r="CL23" s="165"/>
      <c r="CM23" s="165"/>
      <c r="CN23" s="170"/>
      <c r="CO23" s="165"/>
      <c r="CP23" s="165"/>
      <c r="CQ23" s="165"/>
    </row>
    <row r="24" spans="1:95" outlineLevel="1" x14ac:dyDescent="0.25">
      <c r="B24" s="156" t="str">
        <f>Table1[[#Headers],[Especificação]]</f>
        <v>Especificação</v>
      </c>
      <c r="C24" s="184" t="str">
        <f t="shared" si="16"/>
        <v>ENTITY_TXNMY_ELGBL_TRNVR_W</v>
      </c>
      <c r="D24" s="153" t="s">
        <v>10</v>
      </c>
      <c r="E24" s="153" t="s">
        <v>1405</v>
      </c>
      <c r="G24" s="172">
        <f>INDEX(Table1[[Especificação]:[Total Testes]],MATCH('Sheet1 (2)'!C24,Table1[CONCAT],0),MATCH('Sheet1 (2)'!B24,Table1[[#Headers],[Especificação]:[Total Testes]],0))</f>
        <v>8</v>
      </c>
      <c r="H24" s="191">
        <f t="shared" ref="H24:H55" si="17">ROUND(G24/8,2)</f>
        <v>1</v>
      </c>
      <c r="I24" s="222"/>
      <c r="J24" s="170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5"/>
      <c r="AX24" s="165"/>
      <c r="AY24" s="165"/>
      <c r="AZ24" s="165"/>
      <c r="BA24" s="165"/>
      <c r="BB24" s="170"/>
      <c r="BC24" s="165"/>
      <c r="BD24" s="165"/>
      <c r="BE24" s="165"/>
      <c r="BF24" s="165"/>
      <c r="BG24" s="165"/>
      <c r="BH24" s="165"/>
      <c r="BI24" s="165"/>
      <c r="BJ24" s="165"/>
      <c r="BK24" s="165"/>
      <c r="BL24" s="165"/>
      <c r="BM24" s="165"/>
      <c r="BN24" s="165"/>
      <c r="BO24" s="165"/>
      <c r="BP24" s="165"/>
      <c r="BQ24" s="165"/>
      <c r="BR24" s="165"/>
      <c r="BS24" s="165"/>
      <c r="BT24" s="165"/>
      <c r="BU24" s="165"/>
      <c r="BV24" s="165"/>
      <c r="BW24" s="165"/>
      <c r="BX24" s="165"/>
      <c r="BY24" s="165"/>
      <c r="BZ24" s="165"/>
      <c r="CA24" s="165"/>
      <c r="CB24" s="165"/>
      <c r="CC24" s="165"/>
      <c r="CD24" s="165"/>
      <c r="CE24" s="165"/>
      <c r="CF24" s="165"/>
      <c r="CG24" s="165"/>
      <c r="CH24" s="165"/>
      <c r="CI24" s="170"/>
      <c r="CJ24" s="165"/>
      <c r="CK24" s="165"/>
      <c r="CL24" s="165"/>
      <c r="CM24" s="165"/>
      <c r="CN24" s="170"/>
      <c r="CO24" s="165"/>
      <c r="CP24" s="165"/>
      <c r="CQ24" s="165"/>
    </row>
    <row r="25" spans="1:95" outlineLevel="1" x14ac:dyDescent="0.25">
      <c r="B25" s="156" t="str">
        <f>Table1[[#Headers],[Especificação]]</f>
        <v>Especificação</v>
      </c>
      <c r="C25" s="184" t="str">
        <f t="shared" si="16"/>
        <v>ENTITY_TXNMY_ELGBL_CAPEX_P</v>
      </c>
      <c r="D25" s="153" t="s">
        <v>10</v>
      </c>
      <c r="E25" s="153" t="s">
        <v>1408</v>
      </c>
      <c r="G25" s="172">
        <f>INDEX(Table1[[Especificação]:[Total Testes]],MATCH('Sheet1 (2)'!C25,Table1[CONCAT],0),MATCH('Sheet1 (2)'!B25,Table1[[#Headers],[Especificação]:[Total Testes]],0))</f>
        <v>1</v>
      </c>
      <c r="H25" s="191">
        <f t="shared" si="17"/>
        <v>0.13</v>
      </c>
      <c r="I25" s="222"/>
      <c r="J25" s="170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  <c r="AO25" s="165"/>
      <c r="AP25" s="165"/>
      <c r="AQ25" s="165"/>
      <c r="AR25" s="165"/>
      <c r="AS25" s="165"/>
      <c r="AT25" s="165"/>
      <c r="AU25" s="165"/>
      <c r="AV25" s="165"/>
      <c r="AW25" s="165"/>
      <c r="AX25" s="165"/>
      <c r="AY25" s="165"/>
      <c r="AZ25" s="165"/>
      <c r="BA25" s="165"/>
      <c r="BB25" s="170"/>
      <c r="BC25" s="165"/>
      <c r="BD25" s="165"/>
      <c r="BE25" s="165"/>
      <c r="BF25" s="165"/>
      <c r="BG25" s="165"/>
      <c r="BH25" s="165"/>
      <c r="BI25" s="165"/>
      <c r="BJ25" s="165"/>
      <c r="BK25" s="165"/>
      <c r="BL25" s="165"/>
      <c r="BM25" s="165"/>
      <c r="BN25" s="165"/>
      <c r="BO25" s="165"/>
      <c r="BP25" s="165"/>
      <c r="BQ25" s="165"/>
      <c r="BR25" s="165"/>
      <c r="BS25" s="165"/>
      <c r="BT25" s="165"/>
      <c r="BU25" s="165"/>
      <c r="BV25" s="165"/>
      <c r="BW25" s="165"/>
      <c r="BX25" s="165"/>
      <c r="BY25" s="165"/>
      <c r="BZ25" s="165"/>
      <c r="CA25" s="165"/>
      <c r="CB25" s="165"/>
      <c r="CC25" s="165"/>
      <c r="CD25" s="165"/>
      <c r="CE25" s="165"/>
      <c r="CF25" s="165"/>
      <c r="CG25" s="165"/>
      <c r="CH25" s="165"/>
      <c r="CI25" s="170"/>
      <c r="CJ25" s="165"/>
      <c r="CK25" s="165"/>
      <c r="CL25" s="165"/>
      <c r="CM25" s="165"/>
      <c r="CN25" s="170"/>
      <c r="CO25" s="165"/>
      <c r="CP25" s="165"/>
      <c r="CQ25" s="165"/>
    </row>
    <row r="26" spans="1:95" outlineLevel="1" x14ac:dyDescent="0.25">
      <c r="B26" s="156" t="str">
        <f>Table1[[#Headers],[Especificação]]</f>
        <v>Especificação</v>
      </c>
      <c r="C26" s="184" t="str">
        <f t="shared" si="16"/>
        <v>ENTITY_TXNMY_ELGBL_TRNVR_P</v>
      </c>
      <c r="D26" s="153" t="s">
        <v>10</v>
      </c>
      <c r="E26" s="153" t="s">
        <v>1411</v>
      </c>
      <c r="G26" s="172">
        <f>INDEX(Table1[[Especificação]:[Total Testes]],MATCH('Sheet1 (2)'!C26,Table1[CONCAT],0),MATCH('Sheet1 (2)'!B26,Table1[[#Headers],[Especificação]:[Total Testes]],0))</f>
        <v>1</v>
      </c>
      <c r="H26" s="191">
        <f t="shared" si="17"/>
        <v>0.13</v>
      </c>
      <c r="I26" s="222"/>
      <c r="J26" s="170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5"/>
      <c r="BB26" s="170"/>
      <c r="BC26" s="165"/>
      <c r="BD26" s="165"/>
      <c r="BE26" s="165"/>
      <c r="BF26" s="165"/>
      <c r="BG26" s="165"/>
      <c r="BH26" s="165"/>
      <c r="BI26" s="165"/>
      <c r="BJ26" s="165"/>
      <c r="BK26" s="165"/>
      <c r="BL26" s="165"/>
      <c r="BM26" s="165"/>
      <c r="BN26" s="165"/>
      <c r="BO26" s="165"/>
      <c r="BP26" s="165"/>
      <c r="BQ26" s="165"/>
      <c r="BR26" s="165"/>
      <c r="BS26" s="165"/>
      <c r="BT26" s="165"/>
      <c r="BU26" s="165"/>
      <c r="BV26" s="165"/>
      <c r="BW26" s="165"/>
      <c r="BX26" s="165"/>
      <c r="BY26" s="165"/>
      <c r="BZ26" s="165"/>
      <c r="CA26" s="165"/>
      <c r="CB26" s="165"/>
      <c r="CC26" s="165"/>
      <c r="CD26" s="165"/>
      <c r="CE26" s="165"/>
      <c r="CF26" s="165"/>
      <c r="CG26" s="165"/>
      <c r="CH26" s="165"/>
      <c r="CI26" s="170"/>
      <c r="CJ26" s="165"/>
      <c r="CK26" s="165"/>
      <c r="CL26" s="165"/>
      <c r="CM26" s="165"/>
      <c r="CN26" s="170"/>
      <c r="CO26" s="165"/>
      <c r="CP26" s="165"/>
      <c r="CQ26" s="165"/>
    </row>
    <row r="27" spans="1:95" outlineLevel="1" x14ac:dyDescent="0.25">
      <c r="B27" s="156" t="str">
        <f>Table1[[#Headers],[Especificação]]</f>
        <v>Especificação</v>
      </c>
      <c r="C27" s="184" t="str">
        <f t="shared" si="16"/>
        <v>ENTITY_TXNMY_ELGBL_CAPEX_B</v>
      </c>
      <c r="D27" s="153" t="s">
        <v>10</v>
      </c>
      <c r="E27" s="153" t="s">
        <v>1414</v>
      </c>
      <c r="G27" s="172">
        <f>INDEX(Table1[[Especificação]:[Total Testes]],MATCH('Sheet1 (2)'!C27,Table1[CONCAT],0),MATCH('Sheet1 (2)'!B27,Table1[[#Headers],[Especificação]:[Total Testes]],0))</f>
        <v>1</v>
      </c>
      <c r="H27" s="191">
        <f t="shared" si="17"/>
        <v>0.13</v>
      </c>
      <c r="I27" s="222"/>
      <c r="J27" s="170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65"/>
      <c r="BA27" s="165"/>
      <c r="BB27" s="170"/>
      <c r="BC27" s="165"/>
      <c r="BD27" s="165"/>
      <c r="BE27" s="165"/>
      <c r="BF27" s="165"/>
      <c r="BG27" s="165"/>
      <c r="BH27" s="165"/>
      <c r="BI27" s="165"/>
      <c r="BJ27" s="165"/>
      <c r="BK27" s="165"/>
      <c r="BL27" s="165"/>
      <c r="BM27" s="165"/>
      <c r="BN27" s="165"/>
      <c r="BO27" s="165"/>
      <c r="BP27" s="165"/>
      <c r="BQ27" s="165"/>
      <c r="BR27" s="165"/>
      <c r="BS27" s="165"/>
      <c r="BT27" s="165"/>
      <c r="BU27" s="165"/>
      <c r="BV27" s="165"/>
      <c r="BW27" s="165"/>
      <c r="BX27" s="165"/>
      <c r="BY27" s="165"/>
      <c r="BZ27" s="165"/>
      <c r="CA27" s="165"/>
      <c r="CB27" s="165"/>
      <c r="CC27" s="165"/>
      <c r="CD27" s="165"/>
      <c r="CE27" s="165"/>
      <c r="CF27" s="165"/>
      <c r="CG27" s="165"/>
      <c r="CH27" s="165"/>
      <c r="CI27" s="170"/>
      <c r="CJ27" s="165"/>
      <c r="CK27" s="165"/>
      <c r="CL27" s="165"/>
      <c r="CM27" s="165"/>
      <c r="CN27" s="170"/>
      <c r="CO27" s="165"/>
      <c r="CP27" s="165"/>
      <c r="CQ27" s="165"/>
    </row>
    <row r="28" spans="1:95" outlineLevel="1" x14ac:dyDescent="0.25">
      <c r="B28" s="156" t="str">
        <f>Table1[[#Headers],[Especificação]]</f>
        <v>Especificação</v>
      </c>
      <c r="C28" s="184" t="str">
        <f t="shared" si="16"/>
        <v>ENTITY_TXNMY_ELGBL_TRNVR_B</v>
      </c>
      <c r="D28" s="153" t="s">
        <v>10</v>
      </c>
      <c r="E28" s="153" t="s">
        <v>1417</v>
      </c>
      <c r="G28" s="172">
        <f>INDEX(Table1[[Especificação]:[Total Testes]],MATCH('Sheet1 (2)'!C28,Table1[CONCAT],0),MATCH('Sheet1 (2)'!B28,Table1[[#Headers],[Especificação]:[Total Testes]],0))</f>
        <v>1</v>
      </c>
      <c r="H28" s="191">
        <f t="shared" si="17"/>
        <v>0.13</v>
      </c>
      <c r="I28" s="222"/>
      <c r="J28" s="170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5"/>
      <c r="BB28" s="170"/>
      <c r="BC28" s="165"/>
      <c r="BD28" s="165"/>
      <c r="BE28" s="165"/>
      <c r="BF28" s="165"/>
      <c r="BG28" s="165"/>
      <c r="BH28" s="165"/>
      <c r="BI28" s="165"/>
      <c r="BJ28" s="165"/>
      <c r="BK28" s="165"/>
      <c r="BL28" s="165"/>
      <c r="BM28" s="165"/>
      <c r="BN28" s="165"/>
      <c r="BO28" s="165"/>
      <c r="BP28" s="165"/>
      <c r="BQ28" s="165"/>
      <c r="BR28" s="165"/>
      <c r="BS28" s="165"/>
      <c r="BT28" s="165"/>
      <c r="BU28" s="165"/>
      <c r="BV28" s="165"/>
      <c r="BW28" s="165"/>
      <c r="BX28" s="165"/>
      <c r="BY28" s="165"/>
      <c r="BZ28" s="165"/>
      <c r="CA28" s="165"/>
      <c r="CB28" s="165"/>
      <c r="CC28" s="165"/>
      <c r="CD28" s="165"/>
      <c r="CE28" s="165"/>
      <c r="CF28" s="165"/>
      <c r="CG28" s="165"/>
      <c r="CH28" s="165"/>
      <c r="CI28" s="170"/>
      <c r="CJ28" s="165"/>
      <c r="CK28" s="165"/>
      <c r="CL28" s="165"/>
      <c r="CM28" s="165"/>
      <c r="CN28" s="170"/>
      <c r="CO28" s="165"/>
      <c r="CP28" s="165"/>
      <c r="CQ28" s="165"/>
    </row>
    <row r="29" spans="1:95" outlineLevel="1" x14ac:dyDescent="0.25">
      <c r="B29" s="156" t="str">
        <f>Table1[[#Headers],[Especificação]]</f>
        <v>Especificação</v>
      </c>
      <c r="C29" s="184" t="str">
        <f t="shared" si="16"/>
        <v>ENTITY_TXNMY_ELGBL_CAPEX_CE</v>
      </c>
      <c r="D29" s="153" t="s">
        <v>10</v>
      </c>
      <c r="E29" s="153" t="s">
        <v>1420</v>
      </c>
      <c r="G29" s="172">
        <f>INDEX(Table1[[Especificação]:[Total Testes]],MATCH('Sheet1 (2)'!C29,Table1[CONCAT],0),MATCH('Sheet1 (2)'!B29,Table1[[#Headers],[Especificação]:[Total Testes]],0))</f>
        <v>1</v>
      </c>
      <c r="H29" s="191">
        <f t="shared" si="17"/>
        <v>0.13</v>
      </c>
      <c r="I29" s="222"/>
      <c r="J29" s="170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65"/>
      <c r="AY29" s="165"/>
      <c r="AZ29" s="165"/>
      <c r="BA29" s="165"/>
      <c r="BB29" s="170"/>
      <c r="BC29" s="165"/>
      <c r="BD29" s="165"/>
      <c r="BE29" s="165"/>
      <c r="BF29" s="165"/>
      <c r="BG29" s="165"/>
      <c r="BH29" s="165"/>
      <c r="BI29" s="165"/>
      <c r="BJ29" s="165"/>
      <c r="BK29" s="165"/>
      <c r="BL29" s="165"/>
      <c r="BM29" s="165"/>
      <c r="BN29" s="165"/>
      <c r="BO29" s="165"/>
      <c r="BP29" s="165"/>
      <c r="BQ29" s="165"/>
      <c r="BR29" s="165"/>
      <c r="BS29" s="165"/>
      <c r="BT29" s="165"/>
      <c r="BU29" s="165"/>
      <c r="BV29" s="165"/>
      <c r="BW29" s="165"/>
      <c r="BX29" s="165"/>
      <c r="BY29" s="165"/>
      <c r="BZ29" s="165"/>
      <c r="CA29" s="165"/>
      <c r="CB29" s="165"/>
      <c r="CC29" s="165"/>
      <c r="CD29" s="165"/>
      <c r="CE29" s="165"/>
      <c r="CF29" s="165"/>
      <c r="CG29" s="165"/>
      <c r="CH29" s="165"/>
      <c r="CI29" s="170"/>
      <c r="CJ29" s="165"/>
      <c r="CK29" s="165"/>
      <c r="CL29" s="165"/>
      <c r="CM29" s="165"/>
      <c r="CN29" s="170"/>
      <c r="CO29" s="165"/>
      <c r="CP29" s="165"/>
      <c r="CQ29" s="165"/>
    </row>
    <row r="30" spans="1:95" outlineLevel="1" x14ac:dyDescent="0.25">
      <c r="B30" s="156" t="str">
        <f>Table1[[#Headers],[Especificação]]</f>
        <v>Especificação</v>
      </c>
      <c r="C30" s="184" t="str">
        <f t="shared" si="16"/>
        <v>ENTITY_TXNMY_ELGBL_TRNVR_CE</v>
      </c>
      <c r="D30" s="153" t="s">
        <v>10</v>
      </c>
      <c r="E30" s="153" t="s">
        <v>1423</v>
      </c>
      <c r="G30" s="172">
        <f>INDEX(Table1[[Especificação]:[Total Testes]],MATCH('Sheet1 (2)'!C30,Table1[CONCAT],0),MATCH('Sheet1 (2)'!B30,Table1[[#Headers],[Especificação]:[Total Testes]],0))</f>
        <v>1</v>
      </c>
      <c r="H30" s="191">
        <f t="shared" si="17"/>
        <v>0.13</v>
      </c>
      <c r="I30" s="222"/>
      <c r="J30" s="170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5"/>
      <c r="AY30" s="165"/>
      <c r="AZ30" s="165"/>
      <c r="BA30" s="165"/>
      <c r="BB30" s="170"/>
      <c r="BC30" s="165"/>
      <c r="BD30" s="165"/>
      <c r="BE30" s="165"/>
      <c r="BF30" s="165"/>
      <c r="BG30" s="165"/>
      <c r="BH30" s="165"/>
      <c r="BI30" s="165"/>
      <c r="BJ30" s="165"/>
      <c r="BK30" s="165"/>
      <c r="BL30" s="165"/>
      <c r="BM30" s="165"/>
      <c r="BN30" s="165"/>
      <c r="BO30" s="165"/>
      <c r="BP30" s="165"/>
      <c r="BQ30" s="165"/>
      <c r="BR30" s="165"/>
      <c r="BS30" s="165"/>
      <c r="BT30" s="165"/>
      <c r="BU30" s="165"/>
      <c r="BV30" s="165"/>
      <c r="BW30" s="165"/>
      <c r="BX30" s="165"/>
      <c r="BY30" s="165"/>
      <c r="BZ30" s="165"/>
      <c r="CA30" s="165"/>
      <c r="CB30" s="165"/>
      <c r="CC30" s="165"/>
      <c r="CD30" s="165"/>
      <c r="CE30" s="165"/>
      <c r="CF30" s="165"/>
      <c r="CG30" s="165"/>
      <c r="CH30" s="165"/>
      <c r="CI30" s="170"/>
      <c r="CJ30" s="165"/>
      <c r="CK30" s="165"/>
      <c r="CL30" s="165"/>
      <c r="CM30" s="165"/>
      <c r="CN30" s="170"/>
      <c r="CO30" s="165"/>
      <c r="CP30" s="165"/>
      <c r="CQ30" s="165"/>
    </row>
    <row r="31" spans="1:95" outlineLevel="1" x14ac:dyDescent="0.25">
      <c r="B31" s="156" t="str">
        <f>Table1[[#Headers],[Especificação]]</f>
        <v>Especificação</v>
      </c>
      <c r="C31" s="184" t="str">
        <f t="shared" si="16"/>
        <v>ENTITY_PURE_CAPEX_P</v>
      </c>
      <c r="D31" s="153" t="s">
        <v>10</v>
      </c>
      <c r="E31" s="153" t="s">
        <v>1426</v>
      </c>
      <c r="G31" s="172">
        <f>INDEX(Table1[[Especificação]:[Total Testes]],MATCH('Sheet1 (2)'!C31,Table1[CONCAT],0),MATCH('Sheet1 (2)'!B31,Table1[[#Headers],[Especificação]:[Total Testes]],0))</f>
        <v>1</v>
      </c>
      <c r="H31" s="191">
        <f t="shared" si="17"/>
        <v>0.13</v>
      </c>
      <c r="I31" s="222"/>
      <c r="J31" s="170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5"/>
      <c r="AZ31" s="165"/>
      <c r="BA31" s="165"/>
      <c r="BB31" s="170"/>
      <c r="BC31" s="165"/>
      <c r="BD31" s="165"/>
      <c r="BE31" s="165"/>
      <c r="BF31" s="165"/>
      <c r="BG31" s="165"/>
      <c r="BH31" s="165"/>
      <c r="BI31" s="165"/>
      <c r="BJ31" s="165"/>
      <c r="BK31" s="165"/>
      <c r="BL31" s="165"/>
      <c r="BM31" s="165"/>
      <c r="BN31" s="165"/>
      <c r="BO31" s="165"/>
      <c r="BP31" s="165"/>
      <c r="BQ31" s="165"/>
      <c r="BR31" s="165"/>
      <c r="BS31" s="165"/>
      <c r="BT31" s="165"/>
      <c r="BU31" s="165"/>
      <c r="BV31" s="165"/>
      <c r="BW31" s="165"/>
      <c r="BX31" s="165"/>
      <c r="BY31" s="165"/>
      <c r="BZ31" s="165"/>
      <c r="CA31" s="165"/>
      <c r="CB31" s="165"/>
      <c r="CC31" s="165"/>
      <c r="CD31" s="165"/>
      <c r="CE31" s="165"/>
      <c r="CF31" s="165"/>
      <c r="CG31" s="165"/>
      <c r="CH31" s="165"/>
      <c r="CI31" s="170"/>
      <c r="CJ31" s="165"/>
      <c r="CK31" s="165"/>
      <c r="CL31" s="165"/>
      <c r="CM31" s="165"/>
      <c r="CN31" s="170"/>
      <c r="CO31" s="165"/>
      <c r="CP31" s="165"/>
      <c r="CQ31" s="165"/>
    </row>
    <row r="32" spans="1:95" outlineLevel="1" x14ac:dyDescent="0.25">
      <c r="B32" s="156" t="str">
        <f>Table1[[#Headers],[Especificação]]</f>
        <v>Especificação</v>
      </c>
      <c r="C32" s="184" t="str">
        <f t="shared" si="16"/>
        <v>ENTITY_PURE_TRNVR_P</v>
      </c>
      <c r="D32" s="153" t="s">
        <v>10</v>
      </c>
      <c r="E32" s="153" t="s">
        <v>1429</v>
      </c>
      <c r="G32" s="172">
        <f>INDEX(Table1[[Especificação]:[Total Testes]],MATCH('Sheet1 (2)'!C32,Table1[CONCAT],0),MATCH('Sheet1 (2)'!B32,Table1[[#Headers],[Especificação]:[Total Testes]],0))</f>
        <v>1</v>
      </c>
      <c r="H32" s="191">
        <f t="shared" si="17"/>
        <v>0.13</v>
      </c>
      <c r="I32" s="222"/>
      <c r="J32" s="170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70"/>
      <c r="BC32" s="165"/>
      <c r="BD32" s="165"/>
      <c r="BE32" s="165"/>
      <c r="BF32" s="165"/>
      <c r="BG32" s="165"/>
      <c r="BH32" s="165"/>
      <c r="BI32" s="165"/>
      <c r="BJ32" s="165"/>
      <c r="BK32" s="165"/>
      <c r="BL32" s="165"/>
      <c r="BM32" s="165"/>
      <c r="BN32" s="165"/>
      <c r="BO32" s="165"/>
      <c r="BP32" s="165"/>
      <c r="BQ32" s="165"/>
      <c r="BR32" s="165"/>
      <c r="BS32" s="165"/>
      <c r="BT32" s="165"/>
      <c r="BU32" s="165"/>
      <c r="BV32" s="165"/>
      <c r="BW32" s="165"/>
      <c r="BX32" s="165"/>
      <c r="BY32" s="165"/>
      <c r="BZ32" s="165"/>
      <c r="CA32" s="165"/>
      <c r="CB32" s="165"/>
      <c r="CC32" s="165"/>
      <c r="CD32" s="165"/>
      <c r="CE32" s="165"/>
      <c r="CF32" s="165"/>
      <c r="CG32" s="165"/>
      <c r="CH32" s="165"/>
      <c r="CI32" s="170"/>
      <c r="CJ32" s="165"/>
      <c r="CK32" s="165"/>
      <c r="CL32" s="165"/>
      <c r="CM32" s="165"/>
      <c r="CN32" s="170"/>
      <c r="CO32" s="165"/>
      <c r="CP32" s="165"/>
      <c r="CQ32" s="165"/>
    </row>
    <row r="33" spans="2:95" outlineLevel="1" x14ac:dyDescent="0.25">
      <c r="B33" s="156" t="str">
        <f>Table1[[#Headers],[Especificação]]</f>
        <v>Especificação</v>
      </c>
      <c r="C33" s="184" t="str">
        <f t="shared" si="16"/>
        <v>ENTITY_PURE_CAPEX_B</v>
      </c>
      <c r="D33" s="153" t="s">
        <v>10</v>
      </c>
      <c r="E33" s="153" t="s">
        <v>1432</v>
      </c>
      <c r="G33" s="172">
        <f>INDEX(Table1[[Especificação]:[Total Testes]],MATCH('Sheet1 (2)'!C33,Table1[CONCAT],0),MATCH('Sheet1 (2)'!B33,Table1[[#Headers],[Especificação]:[Total Testes]],0))</f>
        <v>1</v>
      </c>
      <c r="H33" s="191">
        <f t="shared" si="17"/>
        <v>0.13</v>
      </c>
      <c r="I33" s="222"/>
      <c r="J33" s="170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5"/>
      <c r="AY33" s="165"/>
      <c r="AZ33" s="165"/>
      <c r="BA33" s="165"/>
      <c r="BB33" s="170"/>
      <c r="BC33" s="165"/>
      <c r="BD33" s="165"/>
      <c r="BE33" s="165"/>
      <c r="BF33" s="165"/>
      <c r="BG33" s="165"/>
      <c r="BH33" s="165"/>
      <c r="BI33" s="165"/>
      <c r="BJ33" s="165"/>
      <c r="BK33" s="165"/>
      <c r="BL33" s="165"/>
      <c r="BM33" s="165"/>
      <c r="BN33" s="165"/>
      <c r="BO33" s="165"/>
      <c r="BP33" s="165"/>
      <c r="BQ33" s="165"/>
      <c r="BR33" s="165"/>
      <c r="BS33" s="165"/>
      <c r="BT33" s="165"/>
      <c r="BU33" s="165"/>
      <c r="BV33" s="165"/>
      <c r="BW33" s="165"/>
      <c r="BX33" s="165"/>
      <c r="BY33" s="165"/>
      <c r="BZ33" s="165"/>
      <c r="CA33" s="165"/>
      <c r="CB33" s="165"/>
      <c r="CC33" s="165"/>
      <c r="CD33" s="165"/>
      <c r="CE33" s="165"/>
      <c r="CF33" s="165"/>
      <c r="CG33" s="165"/>
      <c r="CH33" s="165"/>
      <c r="CI33" s="170"/>
      <c r="CJ33" s="165"/>
      <c r="CK33" s="165"/>
      <c r="CL33" s="165"/>
      <c r="CM33" s="165"/>
      <c r="CN33" s="170"/>
      <c r="CO33" s="165"/>
      <c r="CP33" s="165"/>
      <c r="CQ33" s="165"/>
    </row>
    <row r="34" spans="2:95" outlineLevel="1" x14ac:dyDescent="0.25">
      <c r="B34" s="156" t="str">
        <f>Table1[[#Headers],[Especificação]]</f>
        <v>Especificação</v>
      </c>
      <c r="C34" s="184" t="str">
        <f t="shared" si="16"/>
        <v>ENTITY_PURE_TRNVR_B</v>
      </c>
      <c r="D34" s="153" t="s">
        <v>10</v>
      </c>
      <c r="E34" s="153" t="s">
        <v>1435</v>
      </c>
      <c r="G34" s="172">
        <f>INDEX(Table1[[Especificação]:[Total Testes]],MATCH('Sheet1 (2)'!C34,Table1[CONCAT],0),MATCH('Sheet1 (2)'!B34,Table1[[#Headers],[Especificação]:[Total Testes]],0))</f>
        <v>1</v>
      </c>
      <c r="H34" s="191">
        <f t="shared" si="17"/>
        <v>0.13</v>
      </c>
      <c r="I34" s="222"/>
      <c r="J34" s="170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5"/>
      <c r="AW34" s="165"/>
      <c r="AX34" s="165"/>
      <c r="AY34" s="165"/>
      <c r="AZ34" s="165"/>
      <c r="BA34" s="165"/>
      <c r="BB34" s="170"/>
      <c r="BC34" s="165"/>
      <c r="BD34" s="165"/>
      <c r="BE34" s="165"/>
      <c r="BF34" s="165"/>
      <c r="BG34" s="165"/>
      <c r="BH34" s="165"/>
      <c r="BI34" s="165"/>
      <c r="BJ34" s="165"/>
      <c r="BK34" s="165"/>
      <c r="BL34" s="165"/>
      <c r="BM34" s="165"/>
      <c r="BN34" s="165"/>
      <c r="BO34" s="165"/>
      <c r="BP34" s="165"/>
      <c r="BQ34" s="165"/>
      <c r="BR34" s="165"/>
      <c r="BS34" s="165"/>
      <c r="BT34" s="165"/>
      <c r="BU34" s="165"/>
      <c r="BV34" s="165"/>
      <c r="BW34" s="165"/>
      <c r="BX34" s="165"/>
      <c r="BY34" s="165"/>
      <c r="BZ34" s="165"/>
      <c r="CA34" s="165"/>
      <c r="CB34" s="165"/>
      <c r="CC34" s="165"/>
      <c r="CD34" s="165"/>
      <c r="CE34" s="165"/>
      <c r="CF34" s="165"/>
      <c r="CG34" s="165"/>
      <c r="CH34" s="165"/>
      <c r="CI34" s="170"/>
      <c r="CJ34" s="165"/>
      <c r="CK34" s="165"/>
      <c r="CL34" s="165"/>
      <c r="CM34" s="165"/>
      <c r="CN34" s="170"/>
      <c r="CO34" s="165"/>
      <c r="CP34" s="165"/>
      <c r="CQ34" s="165"/>
    </row>
    <row r="35" spans="2:95" outlineLevel="1" x14ac:dyDescent="0.25">
      <c r="B35" s="156" t="str">
        <f>Table1[[#Headers],[Especificação]]</f>
        <v>Especificação</v>
      </c>
      <c r="C35" s="184" t="str">
        <f t="shared" si="16"/>
        <v>ENTITY_PURE_CAPEX_W</v>
      </c>
      <c r="D35" s="153" t="s">
        <v>10</v>
      </c>
      <c r="E35" s="153" t="s">
        <v>1438</v>
      </c>
      <c r="G35" s="172">
        <f>INDEX(Table1[[Especificação]:[Total Testes]],MATCH('Sheet1 (2)'!C35,Table1[CONCAT],0),MATCH('Sheet1 (2)'!B35,Table1[[#Headers],[Especificação]:[Total Testes]],0))</f>
        <v>1</v>
      </c>
      <c r="H35" s="191">
        <f t="shared" si="17"/>
        <v>0.13</v>
      </c>
      <c r="I35" s="222"/>
      <c r="J35" s="170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5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70"/>
      <c r="BC35" s="165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65"/>
      <c r="BP35" s="165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65"/>
      <c r="CC35" s="165"/>
      <c r="CD35" s="165"/>
      <c r="CE35" s="165"/>
      <c r="CF35" s="165"/>
      <c r="CG35" s="165"/>
      <c r="CH35" s="165"/>
      <c r="CI35" s="170"/>
      <c r="CJ35" s="165"/>
      <c r="CK35" s="165"/>
      <c r="CL35" s="165"/>
      <c r="CM35" s="165"/>
      <c r="CN35" s="170"/>
      <c r="CO35" s="165"/>
      <c r="CP35" s="165"/>
      <c r="CQ35" s="165"/>
    </row>
    <row r="36" spans="2:95" outlineLevel="1" x14ac:dyDescent="0.25">
      <c r="B36" s="156" t="str">
        <f>Table1[[#Headers],[Especificação]]</f>
        <v>Especificação</v>
      </c>
      <c r="C36" s="184" t="str">
        <f t="shared" si="16"/>
        <v>ENTITY_PURE_TRNVR_W</v>
      </c>
      <c r="D36" s="153" t="s">
        <v>10</v>
      </c>
      <c r="E36" s="153" t="s">
        <v>1441</v>
      </c>
      <c r="G36" s="172">
        <f>INDEX(Table1[[Especificação]:[Total Testes]],MATCH('Sheet1 (2)'!C36,Table1[CONCAT],0),MATCH('Sheet1 (2)'!B36,Table1[[#Headers],[Especificação]:[Total Testes]],0))</f>
        <v>1</v>
      </c>
      <c r="H36" s="191">
        <f t="shared" si="17"/>
        <v>0.13</v>
      </c>
      <c r="I36" s="222"/>
      <c r="J36" s="170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5"/>
      <c r="AV36" s="165"/>
      <c r="AW36" s="165"/>
      <c r="AX36" s="165"/>
      <c r="AY36" s="165"/>
      <c r="AZ36" s="165"/>
      <c r="BA36" s="165"/>
      <c r="BB36" s="170"/>
      <c r="BC36" s="165"/>
      <c r="BD36" s="165"/>
      <c r="BE36" s="165"/>
      <c r="BF36" s="165"/>
      <c r="BG36" s="165"/>
      <c r="BH36" s="165"/>
      <c r="BI36" s="165"/>
      <c r="BJ36" s="165"/>
      <c r="BK36" s="165"/>
      <c r="BL36" s="165"/>
      <c r="BM36" s="165"/>
      <c r="BN36" s="165"/>
      <c r="BO36" s="165"/>
      <c r="BP36" s="165"/>
      <c r="BQ36" s="165"/>
      <c r="BR36" s="165"/>
      <c r="BS36" s="165"/>
      <c r="BT36" s="165"/>
      <c r="BU36" s="165"/>
      <c r="BV36" s="165"/>
      <c r="BW36" s="165"/>
      <c r="BX36" s="165"/>
      <c r="BY36" s="165"/>
      <c r="BZ36" s="165"/>
      <c r="CA36" s="165"/>
      <c r="CB36" s="165"/>
      <c r="CC36" s="165"/>
      <c r="CD36" s="165"/>
      <c r="CE36" s="165"/>
      <c r="CF36" s="165"/>
      <c r="CG36" s="165"/>
      <c r="CH36" s="165"/>
      <c r="CI36" s="170"/>
      <c r="CJ36" s="165"/>
      <c r="CK36" s="165"/>
      <c r="CL36" s="165"/>
      <c r="CM36" s="165"/>
      <c r="CN36" s="170"/>
      <c r="CO36" s="165"/>
      <c r="CP36" s="165"/>
      <c r="CQ36" s="165"/>
    </row>
    <row r="37" spans="2:95" outlineLevel="1" x14ac:dyDescent="0.25">
      <c r="B37" s="156" t="str">
        <f>Table1[[#Headers],[Especificação]]</f>
        <v>Especificação</v>
      </c>
      <c r="C37" s="184" t="str">
        <f t="shared" si="16"/>
        <v>ENTITY_PURE_CAPEX_CE</v>
      </c>
      <c r="D37" s="153" t="s">
        <v>10</v>
      </c>
      <c r="E37" s="153" t="s">
        <v>1444</v>
      </c>
      <c r="G37" s="172">
        <f>INDEX(Table1[[Especificação]:[Total Testes]],MATCH('Sheet1 (2)'!C37,Table1[CONCAT],0),MATCH('Sheet1 (2)'!B37,Table1[[#Headers],[Especificação]:[Total Testes]],0))</f>
        <v>1</v>
      </c>
      <c r="H37" s="191">
        <f t="shared" si="17"/>
        <v>0.13</v>
      </c>
      <c r="I37" s="222"/>
      <c r="J37" s="170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5"/>
      <c r="AV37" s="165"/>
      <c r="AW37" s="165"/>
      <c r="AX37" s="165"/>
      <c r="AY37" s="165"/>
      <c r="AZ37" s="165"/>
      <c r="BA37" s="165"/>
      <c r="BB37" s="170"/>
      <c r="BC37" s="165"/>
      <c r="BD37" s="165"/>
      <c r="BE37" s="165"/>
      <c r="BF37" s="165"/>
      <c r="BG37" s="165"/>
      <c r="BH37" s="165"/>
      <c r="BI37" s="165"/>
      <c r="BJ37" s="165"/>
      <c r="BK37" s="165"/>
      <c r="BL37" s="165"/>
      <c r="BM37" s="165"/>
      <c r="BN37" s="165"/>
      <c r="BO37" s="165"/>
      <c r="BP37" s="165"/>
      <c r="BQ37" s="165"/>
      <c r="BR37" s="165"/>
      <c r="BS37" s="165"/>
      <c r="BT37" s="165"/>
      <c r="BU37" s="165"/>
      <c r="BV37" s="165"/>
      <c r="BW37" s="165"/>
      <c r="BX37" s="165"/>
      <c r="BY37" s="165"/>
      <c r="BZ37" s="165"/>
      <c r="CA37" s="165"/>
      <c r="CB37" s="165"/>
      <c r="CC37" s="165"/>
      <c r="CD37" s="165"/>
      <c r="CE37" s="165"/>
      <c r="CF37" s="165"/>
      <c r="CG37" s="165"/>
      <c r="CH37" s="165"/>
      <c r="CI37" s="170"/>
      <c r="CJ37" s="165"/>
      <c r="CK37" s="165"/>
      <c r="CL37" s="165"/>
      <c r="CM37" s="165"/>
      <c r="CN37" s="170"/>
      <c r="CO37" s="165"/>
      <c r="CP37" s="165"/>
      <c r="CQ37" s="165"/>
    </row>
    <row r="38" spans="2:95" outlineLevel="1" x14ac:dyDescent="0.25">
      <c r="B38" s="156" t="str">
        <f>Table1[[#Headers],[Especificação]]</f>
        <v>Especificação</v>
      </c>
      <c r="C38" s="184" t="str">
        <f t="shared" si="16"/>
        <v>ENTITY_PURE_TRNVR_CE</v>
      </c>
      <c r="D38" s="153" t="s">
        <v>10</v>
      </c>
      <c r="E38" s="153" t="s">
        <v>1447</v>
      </c>
      <c r="G38" s="172">
        <f>INDEX(Table1[[Especificação]:[Total Testes]],MATCH('Sheet1 (2)'!C38,Table1[CONCAT],0),MATCH('Sheet1 (2)'!B38,Table1[[#Headers],[Especificação]:[Total Testes]],0))</f>
        <v>1</v>
      </c>
      <c r="H38" s="191">
        <f t="shared" si="17"/>
        <v>0.13</v>
      </c>
      <c r="I38" s="222"/>
      <c r="J38" s="170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5"/>
      <c r="AO38" s="165"/>
      <c r="AP38" s="165"/>
      <c r="AQ38" s="165"/>
      <c r="AR38" s="165"/>
      <c r="AS38" s="165"/>
      <c r="AT38" s="165"/>
      <c r="AU38" s="165"/>
      <c r="AV38" s="165"/>
      <c r="AW38" s="165"/>
      <c r="AX38" s="165"/>
      <c r="AY38" s="165"/>
      <c r="AZ38" s="165"/>
      <c r="BA38" s="165"/>
      <c r="BB38" s="170"/>
      <c r="BC38" s="165"/>
      <c r="BD38" s="165"/>
      <c r="BE38" s="165"/>
      <c r="BF38" s="165"/>
      <c r="BG38" s="165"/>
      <c r="BH38" s="165"/>
      <c r="BI38" s="165"/>
      <c r="BJ38" s="165"/>
      <c r="BK38" s="165"/>
      <c r="BL38" s="165"/>
      <c r="BM38" s="165"/>
      <c r="BN38" s="165"/>
      <c r="BO38" s="165"/>
      <c r="BP38" s="165"/>
      <c r="BQ38" s="165"/>
      <c r="BR38" s="165"/>
      <c r="BS38" s="165"/>
      <c r="BT38" s="165"/>
      <c r="BU38" s="165"/>
      <c r="BV38" s="165"/>
      <c r="BW38" s="165"/>
      <c r="BX38" s="165"/>
      <c r="BY38" s="165"/>
      <c r="BZ38" s="165"/>
      <c r="CA38" s="165"/>
      <c r="CB38" s="165"/>
      <c r="CC38" s="165"/>
      <c r="CD38" s="165"/>
      <c r="CE38" s="165"/>
      <c r="CF38" s="165"/>
      <c r="CG38" s="165"/>
      <c r="CH38" s="165"/>
      <c r="CI38" s="170"/>
      <c r="CJ38" s="165"/>
      <c r="CK38" s="165"/>
      <c r="CL38" s="165"/>
      <c r="CM38" s="165"/>
      <c r="CN38" s="170"/>
      <c r="CO38" s="165"/>
      <c r="CP38" s="165"/>
      <c r="CQ38" s="165"/>
    </row>
    <row r="39" spans="2:95" outlineLevel="1" x14ac:dyDescent="0.25">
      <c r="B39" s="156" t="str">
        <f>Table1[[#Headers],[Especificação]]</f>
        <v>Especificação</v>
      </c>
      <c r="C39" s="184" t="str">
        <f t="shared" si="16"/>
        <v>ENTITY_ENBLNG_CAPEX_W</v>
      </c>
      <c r="D39" s="153" t="s">
        <v>10</v>
      </c>
      <c r="E39" s="153" t="s">
        <v>1450</v>
      </c>
      <c r="G39" s="172">
        <f>INDEX(Table1[[Especificação]:[Total Testes]],MATCH('Sheet1 (2)'!C39,Table1[CONCAT],0),MATCH('Sheet1 (2)'!B39,Table1[[#Headers],[Especificação]:[Total Testes]],0))</f>
        <v>1</v>
      </c>
      <c r="H39" s="191">
        <f t="shared" si="17"/>
        <v>0.13</v>
      </c>
      <c r="I39" s="222"/>
      <c r="J39" s="170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  <c r="AK39" s="165"/>
      <c r="AL39" s="165"/>
      <c r="AM39" s="165"/>
      <c r="AN39" s="165"/>
      <c r="AO39" s="165"/>
      <c r="AP39" s="165"/>
      <c r="AQ39" s="165"/>
      <c r="AR39" s="165"/>
      <c r="AS39" s="165"/>
      <c r="AT39" s="165"/>
      <c r="AU39" s="165"/>
      <c r="AV39" s="165"/>
      <c r="AW39" s="165"/>
      <c r="AX39" s="165"/>
      <c r="AY39" s="165"/>
      <c r="AZ39" s="165"/>
      <c r="BA39" s="165"/>
      <c r="BB39" s="170"/>
      <c r="BC39" s="165"/>
      <c r="BD39" s="165"/>
      <c r="BE39" s="165"/>
      <c r="BF39" s="165"/>
      <c r="BG39" s="165"/>
      <c r="BH39" s="165"/>
      <c r="BI39" s="165"/>
      <c r="BJ39" s="165"/>
      <c r="BK39" s="165"/>
      <c r="BL39" s="165"/>
      <c r="BM39" s="165"/>
      <c r="BN39" s="165"/>
      <c r="BO39" s="165"/>
      <c r="BP39" s="165"/>
      <c r="BQ39" s="165"/>
      <c r="BR39" s="165"/>
      <c r="BS39" s="165"/>
      <c r="BT39" s="165"/>
      <c r="BU39" s="165"/>
      <c r="BV39" s="165"/>
      <c r="BW39" s="165"/>
      <c r="BX39" s="165"/>
      <c r="BY39" s="165"/>
      <c r="BZ39" s="165"/>
      <c r="CA39" s="165"/>
      <c r="CB39" s="165"/>
      <c r="CC39" s="165"/>
      <c r="CD39" s="165"/>
      <c r="CE39" s="165"/>
      <c r="CF39" s="165"/>
      <c r="CG39" s="165"/>
      <c r="CH39" s="165"/>
      <c r="CI39" s="170"/>
      <c r="CJ39" s="165"/>
      <c r="CK39" s="165"/>
      <c r="CL39" s="165"/>
      <c r="CM39" s="165"/>
      <c r="CN39" s="170"/>
      <c r="CO39" s="165"/>
      <c r="CP39" s="165"/>
      <c r="CQ39" s="165"/>
    </row>
    <row r="40" spans="2:95" outlineLevel="1" x14ac:dyDescent="0.25">
      <c r="B40" s="156" t="str">
        <f>Table1[[#Headers],[Especificação]]</f>
        <v>Especificação</v>
      </c>
      <c r="C40" s="184" t="str">
        <f t="shared" si="16"/>
        <v>ENTITY_ENBLNG_TRNVR_W</v>
      </c>
      <c r="D40" s="153" t="s">
        <v>10</v>
      </c>
      <c r="E40" s="153" t="s">
        <v>1453</v>
      </c>
      <c r="G40" s="172">
        <f>INDEX(Table1[[Especificação]:[Total Testes]],MATCH('Sheet1 (2)'!C40,Table1[CONCAT],0),MATCH('Sheet1 (2)'!B40,Table1[[#Headers],[Especificação]:[Total Testes]],0))</f>
        <v>1</v>
      </c>
      <c r="H40" s="191">
        <f t="shared" si="17"/>
        <v>0.13</v>
      </c>
      <c r="I40" s="222"/>
      <c r="J40" s="170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  <c r="AF40" s="165"/>
      <c r="AG40" s="165"/>
      <c r="AH40" s="165"/>
      <c r="AI40" s="165"/>
      <c r="AJ40" s="165"/>
      <c r="AK40" s="165"/>
      <c r="AL40" s="165"/>
      <c r="AM40" s="165"/>
      <c r="AN40" s="165"/>
      <c r="AO40" s="165"/>
      <c r="AP40" s="165"/>
      <c r="AQ40" s="165"/>
      <c r="AR40" s="165"/>
      <c r="AS40" s="165"/>
      <c r="AT40" s="165"/>
      <c r="AU40" s="165"/>
      <c r="AV40" s="165"/>
      <c r="AW40" s="165"/>
      <c r="AX40" s="165"/>
      <c r="AY40" s="165"/>
      <c r="AZ40" s="165"/>
      <c r="BA40" s="165"/>
      <c r="BB40" s="170"/>
      <c r="BC40" s="165"/>
      <c r="BD40" s="165"/>
      <c r="BE40" s="165"/>
      <c r="BF40" s="165"/>
      <c r="BG40" s="165"/>
      <c r="BH40" s="165"/>
      <c r="BI40" s="165"/>
      <c r="BJ40" s="165"/>
      <c r="BK40" s="165"/>
      <c r="BL40" s="165"/>
      <c r="BM40" s="165"/>
      <c r="BN40" s="165"/>
      <c r="BO40" s="165"/>
      <c r="BP40" s="165"/>
      <c r="BQ40" s="165"/>
      <c r="BR40" s="165"/>
      <c r="BS40" s="165"/>
      <c r="BT40" s="165"/>
      <c r="BU40" s="165"/>
      <c r="BV40" s="165"/>
      <c r="BW40" s="165"/>
      <c r="BX40" s="165"/>
      <c r="BY40" s="165"/>
      <c r="BZ40" s="165"/>
      <c r="CA40" s="165"/>
      <c r="CB40" s="165"/>
      <c r="CC40" s="165"/>
      <c r="CD40" s="165"/>
      <c r="CE40" s="165"/>
      <c r="CF40" s="165"/>
      <c r="CG40" s="165"/>
      <c r="CH40" s="165"/>
      <c r="CI40" s="170"/>
      <c r="CJ40" s="165"/>
      <c r="CK40" s="165"/>
      <c r="CL40" s="165"/>
      <c r="CM40" s="165"/>
      <c r="CN40" s="170"/>
      <c r="CO40" s="165"/>
      <c r="CP40" s="165"/>
      <c r="CQ40" s="165"/>
    </row>
    <row r="41" spans="2:95" outlineLevel="1" x14ac:dyDescent="0.25">
      <c r="B41" s="156" t="str">
        <f>Table1[[#Headers],[Especificação]]</f>
        <v>Especificação</v>
      </c>
      <c r="C41" s="184" t="str">
        <f t="shared" si="16"/>
        <v>ENTITY_ENBLNG_CAPEX_CE</v>
      </c>
      <c r="D41" s="153" t="s">
        <v>10</v>
      </c>
      <c r="E41" s="153" t="s">
        <v>1456</v>
      </c>
      <c r="G41" s="172">
        <f>INDEX(Table1[[Especificação]:[Total Testes]],MATCH('Sheet1 (2)'!C41,Table1[CONCAT],0),MATCH('Sheet1 (2)'!B41,Table1[[#Headers],[Especificação]:[Total Testes]],0))</f>
        <v>1</v>
      </c>
      <c r="H41" s="191">
        <f t="shared" si="17"/>
        <v>0.13</v>
      </c>
      <c r="I41" s="222"/>
      <c r="J41" s="170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5"/>
      <c r="AO41" s="165"/>
      <c r="AP41" s="165"/>
      <c r="AQ41" s="165"/>
      <c r="AR41" s="165"/>
      <c r="AS41" s="165"/>
      <c r="AT41" s="165"/>
      <c r="AU41" s="165"/>
      <c r="AV41" s="165"/>
      <c r="AW41" s="165"/>
      <c r="AX41" s="165"/>
      <c r="AY41" s="165"/>
      <c r="AZ41" s="165"/>
      <c r="BA41" s="165"/>
      <c r="BB41" s="170"/>
      <c r="BC41" s="165"/>
      <c r="BD41" s="165"/>
      <c r="BE41" s="165"/>
      <c r="BF41" s="165"/>
      <c r="BG41" s="165"/>
      <c r="BH41" s="165"/>
      <c r="BI41" s="165"/>
      <c r="BJ41" s="165"/>
      <c r="BK41" s="165"/>
      <c r="BL41" s="165"/>
      <c r="BM41" s="165"/>
      <c r="BN41" s="165"/>
      <c r="BO41" s="165"/>
      <c r="BP41" s="165"/>
      <c r="BQ41" s="165"/>
      <c r="BR41" s="165"/>
      <c r="BS41" s="165"/>
      <c r="BT41" s="165"/>
      <c r="BU41" s="165"/>
      <c r="BV41" s="165"/>
      <c r="BW41" s="165"/>
      <c r="BX41" s="165"/>
      <c r="BY41" s="165"/>
      <c r="BZ41" s="165"/>
      <c r="CA41" s="165"/>
      <c r="CB41" s="165"/>
      <c r="CC41" s="165"/>
      <c r="CD41" s="165"/>
      <c r="CE41" s="165"/>
      <c r="CF41" s="165"/>
      <c r="CG41" s="165"/>
      <c r="CH41" s="165"/>
      <c r="CI41" s="170"/>
      <c r="CJ41" s="165"/>
      <c r="CK41" s="165"/>
      <c r="CL41" s="165"/>
      <c r="CM41" s="165"/>
      <c r="CN41" s="170"/>
      <c r="CO41" s="165"/>
      <c r="CP41" s="165"/>
      <c r="CQ41" s="165"/>
    </row>
    <row r="42" spans="2:95" outlineLevel="1" x14ac:dyDescent="0.25">
      <c r="B42" s="156" t="str">
        <f>Table1[[#Headers],[Especificação]]</f>
        <v>Especificação</v>
      </c>
      <c r="C42" s="184" t="str">
        <f t="shared" si="16"/>
        <v>ENTITY_ENBLNG_TRNVR_CE</v>
      </c>
      <c r="D42" s="153" t="s">
        <v>10</v>
      </c>
      <c r="E42" s="153" t="s">
        <v>1459</v>
      </c>
      <c r="G42" s="172">
        <f>INDEX(Table1[[Especificação]:[Total Testes]],MATCH('Sheet1 (2)'!C42,Table1[CONCAT],0),MATCH('Sheet1 (2)'!B42,Table1[[#Headers],[Especificação]:[Total Testes]],0))</f>
        <v>1</v>
      </c>
      <c r="H42" s="191">
        <f t="shared" si="17"/>
        <v>0.13</v>
      </c>
      <c r="I42" s="222"/>
      <c r="J42" s="170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  <c r="AS42" s="165"/>
      <c r="AT42" s="165"/>
      <c r="AU42" s="165"/>
      <c r="AV42" s="165"/>
      <c r="AW42" s="165"/>
      <c r="AX42" s="165"/>
      <c r="AY42" s="165"/>
      <c r="AZ42" s="165"/>
      <c r="BA42" s="165"/>
      <c r="BB42" s="170"/>
      <c r="BC42" s="165"/>
      <c r="BD42" s="165"/>
      <c r="BE42" s="165"/>
      <c r="BF42" s="165"/>
      <c r="BG42" s="165"/>
      <c r="BH42" s="165"/>
      <c r="BI42" s="165"/>
      <c r="BJ42" s="165"/>
      <c r="BK42" s="165"/>
      <c r="BL42" s="165"/>
      <c r="BM42" s="165"/>
      <c r="BN42" s="165"/>
      <c r="BO42" s="165"/>
      <c r="BP42" s="165"/>
      <c r="BQ42" s="165"/>
      <c r="BR42" s="165"/>
      <c r="BS42" s="165"/>
      <c r="BT42" s="165"/>
      <c r="BU42" s="165"/>
      <c r="BV42" s="165"/>
      <c r="BW42" s="165"/>
      <c r="BX42" s="165"/>
      <c r="BY42" s="165"/>
      <c r="BZ42" s="165"/>
      <c r="CA42" s="165"/>
      <c r="CB42" s="165"/>
      <c r="CC42" s="165"/>
      <c r="CD42" s="165"/>
      <c r="CE42" s="165"/>
      <c r="CF42" s="165"/>
      <c r="CG42" s="165"/>
      <c r="CH42" s="165"/>
      <c r="CI42" s="170"/>
      <c r="CJ42" s="165"/>
      <c r="CK42" s="165"/>
      <c r="CL42" s="165"/>
      <c r="CM42" s="165"/>
      <c r="CN42" s="170"/>
      <c r="CO42" s="165"/>
      <c r="CP42" s="165"/>
      <c r="CQ42" s="165"/>
    </row>
    <row r="43" spans="2:95" outlineLevel="1" x14ac:dyDescent="0.25">
      <c r="B43" s="156" t="str">
        <f>Table1[[#Headers],[Especificação]]</f>
        <v>Especificação</v>
      </c>
      <c r="C43" s="184" t="str">
        <f t="shared" si="16"/>
        <v>PROTECTION_BLDNG_AR</v>
      </c>
      <c r="D43" s="153" t="s">
        <v>1114</v>
      </c>
      <c r="E43" s="153" t="s">
        <v>1387</v>
      </c>
      <c r="G43" s="172">
        <f>INDEX(Table1[[Especificação]:[Total Testes]],MATCH('Sheet1 (2)'!C43,Table1[CONCAT],0),MATCH('Sheet1 (2)'!B43,Table1[[#Headers],[Especificação]:[Total Testes]],0))</f>
        <v>2</v>
      </c>
      <c r="H43" s="191">
        <f t="shared" si="17"/>
        <v>0.25</v>
      </c>
      <c r="I43" s="222"/>
      <c r="J43" s="170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  <c r="AK43" s="165"/>
      <c r="AL43" s="165"/>
      <c r="AM43" s="165"/>
      <c r="AN43" s="165"/>
      <c r="AO43" s="165"/>
      <c r="AP43" s="165"/>
      <c r="AQ43" s="165"/>
      <c r="AR43" s="165"/>
      <c r="AS43" s="165"/>
      <c r="AT43" s="165"/>
      <c r="AU43" s="165"/>
      <c r="AV43" s="165"/>
      <c r="AW43" s="165"/>
      <c r="AX43" s="165"/>
      <c r="AY43" s="165"/>
      <c r="AZ43" s="165"/>
      <c r="BA43" s="165"/>
      <c r="BB43" s="170"/>
      <c r="BC43" s="165"/>
      <c r="BD43" s="165"/>
      <c r="BE43" s="165"/>
      <c r="BF43" s="165"/>
      <c r="BG43" s="165"/>
      <c r="BH43" s="165"/>
      <c r="BI43" s="165"/>
      <c r="BJ43" s="165"/>
      <c r="BK43" s="165"/>
      <c r="BL43" s="165"/>
      <c r="BM43" s="165"/>
      <c r="BN43" s="165"/>
      <c r="BO43" s="165"/>
      <c r="BP43" s="165"/>
      <c r="BQ43" s="165"/>
      <c r="BR43" s="165"/>
      <c r="BS43" s="165"/>
      <c r="BT43" s="165"/>
      <c r="BU43" s="165"/>
      <c r="BV43" s="165"/>
      <c r="BW43" s="165"/>
      <c r="BX43" s="165"/>
      <c r="BY43" s="165"/>
      <c r="BZ43" s="165"/>
      <c r="CA43" s="165"/>
      <c r="CB43" s="165"/>
      <c r="CC43" s="165"/>
      <c r="CD43" s="165"/>
      <c r="CE43" s="165"/>
      <c r="CF43" s="165"/>
      <c r="CG43" s="165"/>
      <c r="CH43" s="165"/>
      <c r="CI43" s="170"/>
      <c r="CJ43" s="165"/>
      <c r="CK43" s="165"/>
      <c r="CL43" s="165"/>
      <c r="CM43" s="165"/>
      <c r="CN43" s="170"/>
      <c r="CO43" s="165"/>
      <c r="CP43" s="165"/>
      <c r="CQ43" s="165"/>
    </row>
    <row r="44" spans="2:95" outlineLevel="1" x14ac:dyDescent="0.25">
      <c r="B44" s="156" t="str">
        <f>Table1[[#Headers],[Especificação]]</f>
        <v>Especificação</v>
      </c>
      <c r="C44" s="184" t="str">
        <f t="shared" si="16"/>
        <v>PROTECTION_PRMRY_ENRGY_DMND_NN_RNWBL</v>
      </c>
      <c r="D44" s="153" t="s">
        <v>1114</v>
      </c>
      <c r="E44" s="153" t="s">
        <v>1521</v>
      </c>
      <c r="G44" s="172">
        <f>INDEX(Table1[[Especificação]:[Total Testes]],MATCH('Sheet1 (2)'!C44,Table1[CONCAT],0),MATCH('Sheet1 (2)'!B44,Table1[[#Headers],[Especificação]:[Total Testes]],0))</f>
        <v>10</v>
      </c>
      <c r="H44" s="191">
        <f t="shared" si="17"/>
        <v>1.25</v>
      </c>
      <c r="I44" s="222"/>
      <c r="J44" s="170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5"/>
      <c r="AO44" s="165"/>
      <c r="AP44" s="165"/>
      <c r="AQ44" s="165"/>
      <c r="AR44" s="165"/>
      <c r="AS44" s="165"/>
      <c r="AT44" s="165"/>
      <c r="AU44" s="165"/>
      <c r="AV44" s="165"/>
      <c r="AW44" s="165"/>
      <c r="AX44" s="165"/>
      <c r="AY44" s="165"/>
      <c r="AZ44" s="165"/>
      <c r="BA44" s="165"/>
      <c r="BB44" s="170"/>
      <c r="BC44" s="165"/>
      <c r="BD44" s="165"/>
      <c r="BE44" s="165"/>
      <c r="BF44" s="165"/>
      <c r="BG44" s="165"/>
      <c r="BH44" s="165"/>
      <c r="BI44" s="165"/>
      <c r="BJ44" s="165"/>
      <c r="BK44" s="165"/>
      <c r="BL44" s="165"/>
      <c r="BM44" s="165"/>
      <c r="BN44" s="165"/>
      <c r="BO44" s="165"/>
      <c r="BP44" s="165"/>
      <c r="BQ44" s="165"/>
      <c r="BR44" s="165"/>
      <c r="BS44" s="165"/>
      <c r="BT44" s="165"/>
      <c r="BU44" s="165"/>
      <c r="BV44" s="165"/>
      <c r="BW44" s="165"/>
      <c r="BX44" s="165"/>
      <c r="BY44" s="165"/>
      <c r="BZ44" s="165"/>
      <c r="CA44" s="165"/>
      <c r="CB44" s="165"/>
      <c r="CC44" s="165"/>
      <c r="CD44" s="165"/>
      <c r="CE44" s="165"/>
      <c r="CF44" s="165"/>
      <c r="CG44" s="165"/>
      <c r="CH44" s="165"/>
      <c r="CI44" s="170"/>
      <c r="CJ44" s="165"/>
      <c r="CK44" s="165"/>
      <c r="CL44" s="165"/>
      <c r="CM44" s="165"/>
      <c r="CN44" s="170"/>
      <c r="CO44" s="165"/>
      <c r="CP44" s="165"/>
      <c r="CQ44" s="165"/>
    </row>
    <row r="45" spans="2:95" outlineLevel="1" x14ac:dyDescent="0.25">
      <c r="B45" s="156" t="str">
        <f>Table1[[#Headers],[Especificação]]</f>
        <v>Especificação</v>
      </c>
      <c r="C45" s="184" t="str">
        <f>D45&amp;"_"&amp;E45</f>
        <v>PROTECTION_PRMRY_ENRGY_DMND_TTL</v>
      </c>
      <c r="D45" s="153" t="s">
        <v>1114</v>
      </c>
      <c r="E45" s="153" t="s">
        <v>1524</v>
      </c>
      <c r="G45" s="172">
        <f>INDEX(Table1[[Especificação]:[Total Testes]],MATCH('Sheet1 (2)'!C45,Table1[CONCAT],0),MATCH('Sheet1 (2)'!B45,Table1[[#Headers],[Especificação]:[Total Testes]],0))</f>
        <v>8</v>
      </c>
      <c r="H45" s="191">
        <f t="shared" si="17"/>
        <v>1</v>
      </c>
      <c r="I45" s="222"/>
      <c r="J45" s="170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  <c r="AK45" s="165"/>
      <c r="AL45" s="165"/>
      <c r="AM45" s="165"/>
      <c r="AN45" s="165"/>
      <c r="AO45" s="165"/>
      <c r="AP45" s="165"/>
      <c r="AQ45" s="165"/>
      <c r="AR45" s="165"/>
      <c r="AS45" s="165"/>
      <c r="AT45" s="165"/>
      <c r="AU45" s="165"/>
      <c r="AV45" s="165"/>
      <c r="AW45" s="165"/>
      <c r="AX45" s="165"/>
      <c r="AY45" s="165"/>
      <c r="AZ45" s="165"/>
      <c r="BA45" s="165"/>
      <c r="BB45" s="170"/>
      <c r="BC45" s="165"/>
      <c r="BD45" s="165"/>
      <c r="BE45" s="165"/>
      <c r="BF45" s="165"/>
      <c r="BG45" s="165"/>
      <c r="BH45" s="165"/>
      <c r="BI45" s="165"/>
      <c r="BJ45" s="165"/>
      <c r="BK45" s="165"/>
      <c r="BL45" s="165"/>
      <c r="BM45" s="165"/>
      <c r="BN45" s="165"/>
      <c r="BO45" s="165"/>
      <c r="BP45" s="165"/>
      <c r="BQ45" s="165"/>
      <c r="BR45" s="165"/>
      <c r="BS45" s="165"/>
      <c r="BT45" s="165"/>
      <c r="BU45" s="165"/>
      <c r="BV45" s="165"/>
      <c r="BW45" s="165"/>
      <c r="BX45" s="165"/>
      <c r="BY45" s="165"/>
      <c r="BZ45" s="165"/>
      <c r="CA45" s="165"/>
      <c r="CB45" s="165"/>
      <c r="CC45" s="165"/>
      <c r="CD45" s="165"/>
      <c r="CE45" s="165"/>
      <c r="CF45" s="165"/>
      <c r="CG45" s="165"/>
      <c r="CH45" s="165"/>
      <c r="CI45" s="170"/>
      <c r="CJ45" s="165"/>
      <c r="CK45" s="165"/>
      <c r="CL45" s="165"/>
      <c r="CM45" s="165"/>
      <c r="CN45" s="170"/>
      <c r="CO45" s="165"/>
      <c r="CP45" s="165"/>
      <c r="CQ45" s="165"/>
    </row>
    <row r="46" spans="2:95" outlineLevel="1" x14ac:dyDescent="0.25">
      <c r="B46" s="156" t="str">
        <f>Table1[[#Headers],[Especificação]]</f>
        <v>Especificação</v>
      </c>
      <c r="C46" s="184" t="str">
        <f t="shared" si="16"/>
        <v>PROTECTION_PRMRY_ENRGY_DMND_RFRNC_VL</v>
      </c>
      <c r="D46" s="153" t="s">
        <v>1114</v>
      </c>
      <c r="E46" s="153" t="s">
        <v>1527</v>
      </c>
      <c r="G46" s="172">
        <f>INDEX(Table1[[Especificação]:[Total Testes]],MATCH('Sheet1 (2)'!C46,Table1[CONCAT],0),MATCH('Sheet1 (2)'!B46,Table1[[#Headers],[Especificação]:[Total Testes]],0))</f>
        <v>8</v>
      </c>
      <c r="H46" s="191">
        <f t="shared" si="17"/>
        <v>1</v>
      </c>
      <c r="I46" s="222"/>
      <c r="J46" s="170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  <c r="AF46" s="165"/>
      <c r="AG46" s="165"/>
      <c r="AH46" s="165"/>
      <c r="AI46" s="165"/>
      <c r="AJ46" s="165"/>
      <c r="AK46" s="165"/>
      <c r="AL46" s="165"/>
      <c r="AM46" s="165"/>
      <c r="AN46" s="165"/>
      <c r="AO46" s="165"/>
      <c r="AP46" s="165"/>
      <c r="AQ46" s="165"/>
      <c r="AR46" s="165"/>
      <c r="AS46" s="165"/>
      <c r="AT46" s="165"/>
      <c r="AU46" s="165"/>
      <c r="AV46" s="165"/>
      <c r="AW46" s="165"/>
      <c r="AX46" s="165"/>
      <c r="AY46" s="165"/>
      <c r="AZ46" s="165"/>
      <c r="BA46" s="165"/>
      <c r="BB46" s="170"/>
      <c r="BC46" s="165"/>
      <c r="BD46" s="165"/>
      <c r="BE46" s="165"/>
      <c r="BF46" s="165"/>
      <c r="BG46" s="165"/>
      <c r="BH46" s="165"/>
      <c r="BI46" s="165"/>
      <c r="BJ46" s="165"/>
      <c r="BK46" s="165"/>
      <c r="BL46" s="165"/>
      <c r="BM46" s="165"/>
      <c r="BN46" s="165"/>
      <c r="BO46" s="165"/>
      <c r="BP46" s="165"/>
      <c r="BQ46" s="165"/>
      <c r="BR46" s="165"/>
      <c r="BS46" s="165"/>
      <c r="BT46" s="165"/>
      <c r="BU46" s="165"/>
      <c r="BV46" s="165"/>
      <c r="BW46" s="165"/>
      <c r="BX46" s="165"/>
      <c r="BY46" s="165"/>
      <c r="BZ46" s="165"/>
      <c r="CA46" s="165"/>
      <c r="CB46" s="165"/>
      <c r="CC46" s="165"/>
      <c r="CD46" s="165"/>
      <c r="CE46" s="165"/>
      <c r="CF46" s="165"/>
      <c r="CG46" s="165"/>
      <c r="CH46" s="165"/>
      <c r="CI46" s="170"/>
      <c r="CJ46" s="165"/>
      <c r="CK46" s="165"/>
      <c r="CL46" s="165"/>
      <c r="CM46" s="165"/>
      <c r="CN46" s="170"/>
      <c r="CO46" s="165"/>
      <c r="CP46" s="165"/>
      <c r="CQ46" s="165"/>
    </row>
    <row r="47" spans="2:95" outlineLevel="1" x14ac:dyDescent="0.25">
      <c r="B47" s="156" t="str">
        <f>Table1[[#Headers],[Especificação]]</f>
        <v>Especificação</v>
      </c>
      <c r="C47" s="184" t="str">
        <f t="shared" si="16"/>
        <v>PROTECTION_RL_ESTT_CLMT_ZN</v>
      </c>
      <c r="D47" s="153" t="s">
        <v>1114</v>
      </c>
      <c r="E47" s="153" t="s">
        <v>1530</v>
      </c>
      <c r="G47" s="172">
        <f>INDEX(Table1[[Especificação]:[Total Testes]],MATCH('Sheet1 (2)'!C47,Table1[CONCAT],0),MATCH('Sheet1 (2)'!B47,Table1[[#Headers],[Especificação]:[Total Testes]],0))</f>
        <v>8</v>
      </c>
      <c r="H47" s="191">
        <f t="shared" si="17"/>
        <v>1</v>
      </c>
      <c r="I47" s="222"/>
      <c r="J47" s="170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5"/>
      <c r="AO47" s="165"/>
      <c r="AP47" s="165"/>
      <c r="AQ47" s="165"/>
      <c r="AR47" s="165"/>
      <c r="AS47" s="165"/>
      <c r="AT47" s="165"/>
      <c r="AU47" s="165"/>
      <c r="AV47" s="165"/>
      <c r="AW47" s="165"/>
      <c r="AX47" s="165"/>
      <c r="AY47" s="165"/>
      <c r="AZ47" s="165"/>
      <c r="BA47" s="165"/>
      <c r="BB47" s="170"/>
      <c r="BC47" s="165"/>
      <c r="BD47" s="165"/>
      <c r="BE47" s="165"/>
      <c r="BF47" s="165"/>
      <c r="BG47" s="165"/>
      <c r="BH47" s="165"/>
      <c r="BI47" s="165"/>
      <c r="BJ47" s="165"/>
      <c r="BK47" s="165"/>
      <c r="BL47" s="165"/>
      <c r="BM47" s="165"/>
      <c r="BN47" s="165"/>
      <c r="BO47" s="165"/>
      <c r="BP47" s="165"/>
      <c r="BQ47" s="165"/>
      <c r="BR47" s="165"/>
      <c r="BS47" s="165"/>
      <c r="BT47" s="165"/>
      <c r="BU47" s="165"/>
      <c r="BV47" s="165"/>
      <c r="BW47" s="165"/>
      <c r="BX47" s="165"/>
      <c r="BY47" s="165"/>
      <c r="BZ47" s="165"/>
      <c r="CA47" s="165"/>
      <c r="CB47" s="165"/>
      <c r="CC47" s="165"/>
      <c r="CD47" s="165"/>
      <c r="CE47" s="165"/>
      <c r="CF47" s="165"/>
      <c r="CG47" s="165"/>
      <c r="CH47" s="165"/>
      <c r="CI47" s="170"/>
      <c r="CJ47" s="165"/>
      <c r="CK47" s="165"/>
      <c r="CL47" s="165"/>
      <c r="CM47" s="165"/>
      <c r="CN47" s="170"/>
      <c r="CO47" s="165"/>
      <c r="CP47" s="165"/>
      <c r="CQ47" s="165"/>
    </row>
    <row r="48" spans="2:95" outlineLevel="1" x14ac:dyDescent="0.25">
      <c r="B48" s="156" t="str">
        <f>Table1[[#Headers],[Especificação]]</f>
        <v>Especificação</v>
      </c>
      <c r="C48" s="184" t="str">
        <f t="shared" si="16"/>
        <v>INSTR_ACTIVITY_FLG_SBSTNTL_CNTRBTN</v>
      </c>
      <c r="D48" s="153" t="s">
        <v>1542</v>
      </c>
      <c r="E48" s="153" t="s">
        <v>1554</v>
      </c>
      <c r="G48" s="172">
        <f>INDEX(Table1[[Especificação]:[Total Testes]],MATCH('Sheet1 (2)'!C48,Table1[CONCAT],0),MATCH('Sheet1 (2)'!B48,Table1[[#Headers],[Especificação]:[Total Testes]],0))</f>
        <v>4</v>
      </c>
      <c r="H48" s="191">
        <f t="shared" si="17"/>
        <v>0.5</v>
      </c>
      <c r="I48" s="222"/>
      <c r="J48" s="170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  <c r="AC48" s="165"/>
      <c r="AD48" s="165"/>
      <c r="AE48" s="165"/>
      <c r="AF48" s="165"/>
      <c r="AG48" s="165"/>
      <c r="AH48" s="165"/>
      <c r="AI48" s="165"/>
      <c r="AJ48" s="165"/>
      <c r="AK48" s="165"/>
      <c r="AL48" s="165"/>
      <c r="AM48" s="165"/>
      <c r="AN48" s="165"/>
      <c r="AO48" s="165"/>
      <c r="AP48" s="165"/>
      <c r="AQ48" s="165"/>
      <c r="AR48" s="165"/>
      <c r="AS48" s="165"/>
      <c r="AT48" s="165"/>
      <c r="AU48" s="165"/>
      <c r="AV48" s="165"/>
      <c r="AW48" s="165"/>
      <c r="AX48" s="165"/>
      <c r="AY48" s="165"/>
      <c r="AZ48" s="165"/>
      <c r="BA48" s="165"/>
      <c r="BB48" s="170"/>
      <c r="BC48" s="165"/>
      <c r="BD48" s="165"/>
      <c r="BE48" s="165"/>
      <c r="BF48" s="165"/>
      <c r="BG48" s="165"/>
      <c r="BH48" s="165"/>
      <c r="BI48" s="165"/>
      <c r="BJ48" s="165"/>
      <c r="BK48" s="165"/>
      <c r="BL48" s="165"/>
      <c r="BM48" s="165"/>
      <c r="BN48" s="165"/>
      <c r="BO48" s="165"/>
      <c r="BP48" s="165"/>
      <c r="BQ48" s="165"/>
      <c r="BR48" s="165"/>
      <c r="BS48" s="165"/>
      <c r="BT48" s="165"/>
      <c r="BU48" s="165"/>
      <c r="BV48" s="165"/>
      <c r="BW48" s="165"/>
      <c r="BX48" s="165"/>
      <c r="BY48" s="165"/>
      <c r="BZ48" s="165"/>
      <c r="CA48" s="165"/>
      <c r="CB48" s="165"/>
      <c r="CC48" s="165"/>
      <c r="CD48" s="165"/>
      <c r="CE48" s="165"/>
      <c r="CF48" s="165"/>
      <c r="CG48" s="165"/>
      <c r="CH48" s="165"/>
      <c r="CI48" s="170"/>
      <c r="CJ48" s="165"/>
      <c r="CK48" s="165"/>
      <c r="CL48" s="165"/>
      <c r="CM48" s="165"/>
      <c r="CN48" s="170"/>
      <c r="CO48" s="165"/>
      <c r="CP48" s="165"/>
      <c r="CQ48" s="165"/>
    </row>
    <row r="49" spans="2:95" outlineLevel="1" x14ac:dyDescent="0.25">
      <c r="B49" s="156" t="str">
        <f>Table1[[#Headers],[Especificação]]</f>
        <v>Especificação</v>
      </c>
      <c r="C49" s="184" t="str">
        <f t="shared" si="16"/>
        <v>INSTRUMENT_IFRS9_BHVRL_MTRTY</v>
      </c>
      <c r="D49" s="153" t="s">
        <v>414</v>
      </c>
      <c r="E49" s="153" t="s">
        <v>614</v>
      </c>
      <c r="G49" s="172">
        <f>INDEX(Table1[[Especificação]:[Total Testes]],MATCH('Sheet1 (2)'!C49,Table1[CONCAT],0),MATCH('Sheet1 (2)'!B49,Table1[[#Headers],[Especificação]:[Total Testes]],0))</f>
        <v>1</v>
      </c>
      <c r="H49" s="191">
        <f t="shared" si="17"/>
        <v>0.13</v>
      </c>
      <c r="I49" s="222"/>
      <c r="J49" s="170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  <c r="AD49" s="165"/>
      <c r="AE49" s="165"/>
      <c r="AF49" s="165"/>
      <c r="AG49" s="165"/>
      <c r="AH49" s="165"/>
      <c r="AI49" s="165"/>
      <c r="AJ49" s="165"/>
      <c r="AK49" s="165"/>
      <c r="AL49" s="165"/>
      <c r="AM49" s="165"/>
      <c r="AN49" s="165"/>
      <c r="AO49" s="165"/>
      <c r="AP49" s="165"/>
      <c r="AQ49" s="165"/>
      <c r="AR49" s="165"/>
      <c r="AS49" s="165"/>
      <c r="AT49" s="165"/>
      <c r="AU49" s="165"/>
      <c r="AV49" s="165"/>
      <c r="AW49" s="165"/>
      <c r="AX49" s="165"/>
      <c r="AY49" s="165"/>
      <c r="AZ49" s="165"/>
      <c r="BA49" s="165"/>
      <c r="BB49" s="170"/>
      <c r="BC49" s="165"/>
      <c r="BD49" s="165"/>
      <c r="BE49" s="165"/>
      <c r="BF49" s="165"/>
      <c r="BG49" s="165"/>
      <c r="BH49" s="165"/>
      <c r="BI49" s="165"/>
      <c r="BJ49" s="165"/>
      <c r="BK49" s="165"/>
      <c r="BL49" s="165"/>
      <c r="BM49" s="165"/>
      <c r="BN49" s="165"/>
      <c r="BO49" s="165"/>
      <c r="BP49" s="165"/>
      <c r="BQ49" s="165"/>
      <c r="BR49" s="165"/>
      <c r="BS49" s="165"/>
      <c r="BT49" s="165"/>
      <c r="BU49" s="165"/>
      <c r="BV49" s="165"/>
      <c r="BW49" s="165"/>
      <c r="BX49" s="165"/>
      <c r="BY49" s="165"/>
      <c r="BZ49" s="165"/>
      <c r="CA49" s="165"/>
      <c r="CB49" s="165"/>
      <c r="CC49" s="165"/>
      <c r="CD49" s="165"/>
      <c r="CE49" s="165"/>
      <c r="CF49" s="165"/>
      <c r="CG49" s="165"/>
      <c r="CH49" s="165"/>
      <c r="CI49" s="170"/>
      <c r="CJ49" s="165"/>
      <c r="CK49" s="165"/>
      <c r="CL49" s="165"/>
      <c r="CM49" s="165"/>
      <c r="CN49" s="170"/>
      <c r="CO49" s="165"/>
      <c r="CP49" s="165"/>
      <c r="CQ49" s="165"/>
    </row>
    <row r="50" spans="2:95" outlineLevel="1" x14ac:dyDescent="0.25">
      <c r="B50" s="156" t="str">
        <f>Table1[[#Headers],[Especificação]]</f>
        <v>Especificação</v>
      </c>
      <c r="C50" s="184" t="str">
        <f t="shared" si="16"/>
        <v>INSTRUMENT_LTV</v>
      </c>
      <c r="D50" s="153" t="s">
        <v>414</v>
      </c>
      <c r="E50" s="153" t="s">
        <v>724</v>
      </c>
      <c r="G50" s="172">
        <f>INDEX(Table1[[Especificação]:[Total Testes]],MATCH('Sheet1 (2)'!C50,Table1[CONCAT],0),MATCH('Sheet1 (2)'!B50,Table1[[#Headers],[Especificação]:[Total Testes]],0))</f>
        <v>1</v>
      </c>
      <c r="H50" s="191">
        <f t="shared" si="17"/>
        <v>0.13</v>
      </c>
      <c r="I50" s="222"/>
      <c r="J50" s="170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5"/>
      <c r="AO50" s="165"/>
      <c r="AP50" s="165"/>
      <c r="AQ50" s="165"/>
      <c r="AR50" s="165"/>
      <c r="AS50" s="165"/>
      <c r="AT50" s="165"/>
      <c r="AU50" s="165"/>
      <c r="AV50" s="165"/>
      <c r="AW50" s="165"/>
      <c r="AX50" s="165"/>
      <c r="AY50" s="165"/>
      <c r="AZ50" s="165"/>
      <c r="BA50" s="165"/>
      <c r="BB50" s="170"/>
      <c r="BC50" s="165"/>
      <c r="BD50" s="165"/>
      <c r="BE50" s="165"/>
      <c r="BF50" s="165"/>
      <c r="BG50" s="165"/>
      <c r="BH50" s="165"/>
      <c r="BI50" s="165"/>
      <c r="BJ50" s="165"/>
      <c r="BK50" s="165"/>
      <c r="BL50" s="165"/>
      <c r="BM50" s="165"/>
      <c r="BN50" s="165"/>
      <c r="BO50" s="165"/>
      <c r="BP50" s="165"/>
      <c r="BQ50" s="165"/>
      <c r="BR50" s="165"/>
      <c r="BS50" s="165"/>
      <c r="BT50" s="165"/>
      <c r="BU50" s="165"/>
      <c r="BV50" s="165"/>
      <c r="BW50" s="165"/>
      <c r="BX50" s="165"/>
      <c r="BY50" s="165"/>
      <c r="BZ50" s="165"/>
      <c r="CA50" s="165"/>
      <c r="CB50" s="165"/>
      <c r="CC50" s="165"/>
      <c r="CD50" s="165"/>
      <c r="CE50" s="165"/>
      <c r="CF50" s="165"/>
      <c r="CG50" s="165"/>
      <c r="CH50" s="165"/>
      <c r="CI50" s="170"/>
      <c r="CJ50" s="165"/>
      <c r="CK50" s="165"/>
      <c r="CL50" s="165"/>
      <c r="CM50" s="165"/>
      <c r="CN50" s="170"/>
      <c r="CO50" s="165"/>
      <c r="CP50" s="165"/>
      <c r="CQ50" s="165"/>
    </row>
    <row r="51" spans="2:95" outlineLevel="1" x14ac:dyDescent="0.25">
      <c r="B51" s="156" t="str">
        <f>Table1[[#Headers],[Especificação]]</f>
        <v>Especificação</v>
      </c>
      <c r="C51" s="184" t="str">
        <f t="shared" si="16"/>
        <v>INSTRUMENT_LTV_INCPTN</v>
      </c>
      <c r="D51" s="153" t="s">
        <v>414</v>
      </c>
      <c r="E51" s="153" t="s">
        <v>727</v>
      </c>
      <c r="G51" s="172">
        <f>INDEX(Table1[[Especificação]:[Total Testes]],MATCH('Sheet1 (2)'!C51,Table1[CONCAT],0),MATCH('Sheet1 (2)'!B51,Table1[[#Headers],[Especificação]:[Total Testes]],0))</f>
        <v>1</v>
      </c>
      <c r="H51" s="191">
        <f t="shared" si="17"/>
        <v>0.13</v>
      </c>
      <c r="I51" s="222"/>
      <c r="J51" s="170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  <c r="AE51" s="165"/>
      <c r="AF51" s="165"/>
      <c r="AG51" s="165"/>
      <c r="AH51" s="165"/>
      <c r="AI51" s="165"/>
      <c r="AJ51" s="165"/>
      <c r="AK51" s="165"/>
      <c r="AL51" s="165"/>
      <c r="AM51" s="165"/>
      <c r="AN51" s="165"/>
      <c r="AO51" s="165"/>
      <c r="AP51" s="165"/>
      <c r="AQ51" s="165"/>
      <c r="AR51" s="165"/>
      <c r="AS51" s="165"/>
      <c r="AT51" s="165"/>
      <c r="AU51" s="165"/>
      <c r="AV51" s="165"/>
      <c r="AW51" s="165"/>
      <c r="AX51" s="165"/>
      <c r="AY51" s="165"/>
      <c r="AZ51" s="165"/>
      <c r="BA51" s="165"/>
      <c r="BB51" s="170"/>
      <c r="BC51" s="165"/>
      <c r="BD51" s="165"/>
      <c r="BE51" s="165"/>
      <c r="BF51" s="165"/>
      <c r="BG51" s="165"/>
      <c r="BH51" s="165"/>
      <c r="BI51" s="165"/>
      <c r="BJ51" s="165"/>
      <c r="BK51" s="165"/>
      <c r="BL51" s="165"/>
      <c r="BM51" s="165"/>
      <c r="BN51" s="165"/>
      <c r="BO51" s="165"/>
      <c r="BP51" s="165"/>
      <c r="BQ51" s="165"/>
      <c r="BR51" s="165"/>
      <c r="BS51" s="165"/>
      <c r="BT51" s="165"/>
      <c r="BU51" s="165"/>
      <c r="BV51" s="165"/>
      <c r="BW51" s="165"/>
      <c r="BX51" s="165"/>
      <c r="BY51" s="165"/>
      <c r="BZ51" s="165"/>
      <c r="CA51" s="165"/>
      <c r="CB51" s="165"/>
      <c r="CC51" s="165"/>
      <c r="CD51" s="165"/>
      <c r="CE51" s="165"/>
      <c r="CF51" s="165"/>
      <c r="CG51" s="165"/>
      <c r="CH51" s="165"/>
      <c r="CI51" s="170"/>
      <c r="CJ51" s="165"/>
      <c r="CK51" s="165"/>
      <c r="CL51" s="165"/>
      <c r="CM51" s="165"/>
      <c r="CN51" s="170"/>
      <c r="CO51" s="165"/>
      <c r="CP51" s="165"/>
      <c r="CQ51" s="165"/>
    </row>
    <row r="52" spans="2:95" outlineLevel="1" x14ac:dyDescent="0.25">
      <c r="B52" s="156" t="str">
        <f>Table1[[#Headers],[Especificação]]</f>
        <v>Especificação</v>
      </c>
      <c r="C52" s="184" t="str">
        <f t="shared" si="16"/>
        <v>INSTRUMENT_ANNLSD_AGRD_RT</v>
      </c>
      <c r="D52" s="153" t="s">
        <v>414</v>
      </c>
      <c r="E52" s="153" t="s">
        <v>757</v>
      </c>
      <c r="G52" s="172">
        <f>INDEX(Table1[[Especificação]:[Total Testes]],MATCH('Sheet1 (2)'!C52,Table1[CONCAT],0),MATCH('Sheet1 (2)'!B52,Table1[[#Headers],[Especificação]:[Total Testes]],0))</f>
        <v>1</v>
      </c>
      <c r="H52" s="191">
        <f t="shared" si="17"/>
        <v>0.13</v>
      </c>
      <c r="I52" s="222"/>
      <c r="J52" s="170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5"/>
      <c r="AP52" s="165"/>
      <c r="AQ52" s="165"/>
      <c r="AR52" s="165"/>
      <c r="AS52" s="165"/>
      <c r="AT52" s="165"/>
      <c r="AU52" s="165"/>
      <c r="AV52" s="165"/>
      <c r="AW52" s="165"/>
      <c r="AX52" s="165"/>
      <c r="AY52" s="165"/>
      <c r="AZ52" s="165"/>
      <c r="BA52" s="165"/>
      <c r="BB52" s="170"/>
      <c r="BC52" s="165"/>
      <c r="BD52" s="165"/>
      <c r="BE52" s="165"/>
      <c r="BF52" s="165"/>
      <c r="BG52" s="165"/>
      <c r="BH52" s="165"/>
      <c r="BI52" s="165"/>
      <c r="BJ52" s="165"/>
      <c r="BK52" s="165"/>
      <c r="BL52" s="165"/>
      <c r="BM52" s="165"/>
      <c r="BN52" s="165"/>
      <c r="BO52" s="165"/>
      <c r="BP52" s="165"/>
      <c r="BQ52" s="165"/>
      <c r="BR52" s="165"/>
      <c r="BS52" s="165"/>
      <c r="BT52" s="165"/>
      <c r="BU52" s="165"/>
      <c r="BV52" s="165"/>
      <c r="BW52" s="165"/>
      <c r="BX52" s="165"/>
      <c r="BY52" s="165"/>
      <c r="BZ52" s="165"/>
      <c r="CA52" s="165"/>
      <c r="CB52" s="165"/>
      <c r="CC52" s="165"/>
      <c r="CD52" s="165"/>
      <c r="CE52" s="165"/>
      <c r="CF52" s="165"/>
      <c r="CG52" s="165"/>
      <c r="CH52" s="165"/>
      <c r="CI52" s="170"/>
      <c r="CJ52" s="165"/>
      <c r="CK52" s="165"/>
      <c r="CL52" s="165"/>
      <c r="CM52" s="165"/>
      <c r="CN52" s="170"/>
      <c r="CO52" s="165"/>
      <c r="CP52" s="165"/>
      <c r="CQ52" s="165"/>
    </row>
    <row r="53" spans="2:95" outlineLevel="1" x14ac:dyDescent="0.25">
      <c r="B53" s="156" t="str">
        <f>Table1[[#Headers],[Especificação]]</f>
        <v>Especificação</v>
      </c>
      <c r="C53" s="184" t="str">
        <f t="shared" si="16"/>
        <v>INSTRUMENT_EIR_INCPTN</v>
      </c>
      <c r="D53" s="153" t="s">
        <v>414</v>
      </c>
      <c r="E53" s="153" t="s">
        <v>763</v>
      </c>
      <c r="G53" s="172">
        <f>INDEX(Table1[[Especificação]:[Total Testes]],MATCH('Sheet1 (2)'!C53,Table1[CONCAT],0),MATCH('Sheet1 (2)'!B53,Table1[[#Headers],[Especificação]:[Total Testes]],0))</f>
        <v>1</v>
      </c>
      <c r="H53" s="191">
        <f t="shared" si="17"/>
        <v>0.13</v>
      </c>
      <c r="I53" s="222"/>
      <c r="J53" s="170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5"/>
      <c r="AO53" s="165"/>
      <c r="AP53" s="165"/>
      <c r="AQ53" s="165"/>
      <c r="AR53" s="165"/>
      <c r="AS53" s="165"/>
      <c r="AT53" s="165"/>
      <c r="AU53" s="165"/>
      <c r="AV53" s="165"/>
      <c r="AW53" s="165"/>
      <c r="AX53" s="165"/>
      <c r="AY53" s="165"/>
      <c r="AZ53" s="165"/>
      <c r="BA53" s="165"/>
      <c r="BB53" s="170"/>
      <c r="BC53" s="165"/>
      <c r="BD53" s="165"/>
      <c r="BE53" s="165"/>
      <c r="BF53" s="165"/>
      <c r="BG53" s="165"/>
      <c r="BH53" s="165"/>
      <c r="BI53" s="165"/>
      <c r="BJ53" s="165"/>
      <c r="BK53" s="165"/>
      <c r="BL53" s="165"/>
      <c r="BM53" s="165"/>
      <c r="BN53" s="165"/>
      <c r="BO53" s="165"/>
      <c r="BP53" s="165"/>
      <c r="BQ53" s="165"/>
      <c r="BR53" s="165"/>
      <c r="BS53" s="165"/>
      <c r="BT53" s="165"/>
      <c r="BU53" s="165"/>
      <c r="BV53" s="165"/>
      <c r="BW53" s="165"/>
      <c r="BX53" s="165"/>
      <c r="BY53" s="165"/>
      <c r="BZ53" s="165"/>
      <c r="CA53" s="165"/>
      <c r="CB53" s="165"/>
      <c r="CC53" s="165"/>
      <c r="CD53" s="165"/>
      <c r="CE53" s="165"/>
      <c r="CF53" s="165"/>
      <c r="CG53" s="165"/>
      <c r="CH53" s="165"/>
      <c r="CI53" s="170"/>
      <c r="CJ53" s="165"/>
      <c r="CK53" s="165"/>
      <c r="CL53" s="165"/>
      <c r="CM53" s="165"/>
      <c r="CN53" s="170"/>
      <c r="CO53" s="165"/>
      <c r="CP53" s="165"/>
      <c r="CQ53" s="165"/>
    </row>
    <row r="54" spans="2:95" outlineLevel="1" x14ac:dyDescent="0.25">
      <c r="B54" s="156" t="str">
        <f>Table1[[#Headers],[Especificação]]</f>
        <v>Especificação</v>
      </c>
      <c r="C54" s="184" t="str">
        <f t="shared" si="16"/>
        <v>INSTRUMENT_NW_BSNSS</v>
      </c>
      <c r="D54" s="153" t="s">
        <v>414</v>
      </c>
      <c r="E54" s="153" t="s">
        <v>973</v>
      </c>
      <c r="G54" s="172">
        <f>INDEX(Table1[[Especificação]:[Total Testes]],MATCH('Sheet1 (2)'!C54,Table1[CONCAT],0),MATCH('Sheet1 (2)'!B54,Table1[[#Headers],[Especificação]:[Total Testes]],0))</f>
        <v>10</v>
      </c>
      <c r="H54" s="191">
        <f t="shared" si="17"/>
        <v>1.25</v>
      </c>
      <c r="I54" s="222"/>
      <c r="J54" s="170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65"/>
      <c r="AD54" s="165"/>
      <c r="AE54" s="165"/>
      <c r="AF54" s="165"/>
      <c r="AG54" s="165"/>
      <c r="AH54" s="165"/>
      <c r="AI54" s="165"/>
      <c r="AJ54" s="165"/>
      <c r="AK54" s="165"/>
      <c r="AL54" s="165"/>
      <c r="AM54" s="165"/>
      <c r="AN54" s="165"/>
      <c r="AO54" s="165"/>
      <c r="AP54" s="165"/>
      <c r="AQ54" s="165"/>
      <c r="AR54" s="165"/>
      <c r="AS54" s="165"/>
      <c r="AT54" s="165"/>
      <c r="AU54" s="165"/>
      <c r="AV54" s="165"/>
      <c r="AW54" s="165"/>
      <c r="AX54" s="165"/>
      <c r="AY54" s="165"/>
      <c r="AZ54" s="165"/>
      <c r="BA54" s="165"/>
      <c r="BB54" s="170"/>
      <c r="BC54" s="165"/>
      <c r="BD54" s="165"/>
      <c r="BE54" s="165"/>
      <c r="BF54" s="165"/>
      <c r="BG54" s="165"/>
      <c r="BH54" s="165"/>
      <c r="BI54" s="165"/>
      <c r="BJ54" s="165"/>
      <c r="BK54" s="165"/>
      <c r="BL54" s="165"/>
      <c r="BM54" s="165"/>
      <c r="BN54" s="165"/>
      <c r="BO54" s="165"/>
      <c r="BP54" s="165"/>
      <c r="BQ54" s="165"/>
      <c r="BR54" s="165"/>
      <c r="BS54" s="165"/>
      <c r="BT54" s="165"/>
      <c r="BU54" s="165"/>
      <c r="BV54" s="165"/>
      <c r="BW54" s="165"/>
      <c r="BX54" s="165"/>
      <c r="BY54" s="165"/>
      <c r="BZ54" s="165"/>
      <c r="CA54" s="165"/>
      <c r="CB54" s="165"/>
      <c r="CC54" s="165"/>
      <c r="CD54" s="165"/>
      <c r="CE54" s="165"/>
      <c r="CF54" s="165"/>
      <c r="CG54" s="165"/>
      <c r="CH54" s="165"/>
      <c r="CI54" s="170"/>
      <c r="CJ54" s="165"/>
      <c r="CK54" s="165"/>
      <c r="CL54" s="165"/>
      <c r="CM54" s="165"/>
      <c r="CN54" s="170"/>
      <c r="CO54" s="165"/>
      <c r="CP54" s="165"/>
      <c r="CQ54" s="165"/>
    </row>
    <row r="55" spans="2:95" outlineLevel="1" x14ac:dyDescent="0.25">
      <c r="B55" s="156" t="str">
        <f>Table1[[#Headers],[Especificação]]</f>
        <v>Especificação</v>
      </c>
      <c r="C55" s="184" t="str">
        <f t="shared" si="16"/>
        <v>PROTECTION_YR_CNSTRCTN</v>
      </c>
      <c r="D55" s="153" t="s">
        <v>1114</v>
      </c>
      <c r="E55" s="153" t="s">
        <v>1290</v>
      </c>
      <c r="G55" s="172">
        <f>INDEX(Table1[[Especificação]:[Total Testes]],MATCH('Sheet1 (2)'!C55,Table1[CONCAT],0),MATCH('Sheet1 (2)'!B55,Table1[[#Headers],[Especificação]:[Total Testes]],0))</f>
        <v>8</v>
      </c>
      <c r="H55" s="191">
        <f t="shared" si="17"/>
        <v>1</v>
      </c>
      <c r="I55" s="222"/>
      <c r="J55" s="170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5"/>
      <c r="AD55" s="165"/>
      <c r="AE55" s="165"/>
      <c r="AF55" s="165"/>
      <c r="AG55" s="165"/>
      <c r="AH55" s="165"/>
      <c r="AI55" s="165"/>
      <c r="AJ55" s="165"/>
      <c r="AK55" s="165"/>
      <c r="AL55" s="165"/>
      <c r="AM55" s="165"/>
      <c r="AN55" s="165"/>
      <c r="AO55" s="165"/>
      <c r="AP55" s="165"/>
      <c r="AQ55" s="165"/>
      <c r="AR55" s="165"/>
      <c r="AS55" s="165"/>
      <c r="AT55" s="165"/>
      <c r="AU55" s="165"/>
      <c r="AV55" s="165"/>
      <c r="AW55" s="165"/>
      <c r="AX55" s="165"/>
      <c r="AY55" s="165"/>
      <c r="AZ55" s="165"/>
      <c r="BA55" s="165"/>
      <c r="BB55" s="170"/>
      <c r="BC55" s="165"/>
      <c r="BD55" s="165"/>
      <c r="BE55" s="165"/>
      <c r="BF55" s="165"/>
      <c r="BG55" s="165"/>
      <c r="BH55" s="165"/>
      <c r="BI55" s="165"/>
      <c r="BJ55" s="165"/>
      <c r="BK55" s="165"/>
      <c r="BL55" s="165"/>
      <c r="BM55" s="165"/>
      <c r="BN55" s="165"/>
      <c r="BO55" s="165"/>
      <c r="BP55" s="165"/>
      <c r="BQ55" s="165"/>
      <c r="BR55" s="165"/>
      <c r="BS55" s="165"/>
      <c r="BT55" s="165"/>
      <c r="BU55" s="165"/>
      <c r="BV55" s="165"/>
      <c r="BW55" s="165"/>
      <c r="BX55" s="165"/>
      <c r="BY55" s="165"/>
      <c r="BZ55" s="165"/>
      <c r="CA55" s="165"/>
      <c r="CB55" s="165"/>
      <c r="CC55" s="165"/>
      <c r="CD55" s="165"/>
      <c r="CE55" s="165"/>
      <c r="CF55" s="165"/>
      <c r="CG55" s="165"/>
      <c r="CH55" s="165"/>
      <c r="CI55" s="170"/>
      <c r="CJ55" s="165"/>
      <c r="CK55" s="165"/>
      <c r="CL55" s="165"/>
      <c r="CM55" s="165"/>
      <c r="CN55" s="170"/>
      <c r="CO55" s="165"/>
      <c r="CP55" s="165"/>
      <c r="CQ55" s="165"/>
    </row>
    <row r="56" spans="2:95" outlineLevel="1" x14ac:dyDescent="0.25">
      <c r="B56" s="156" t="str">
        <f>Table1[[#Headers],[Especificação]]</f>
        <v>Especificação</v>
      </c>
      <c r="C56" s="184" t="str">
        <f t="shared" ref="C56:C70" si="18">D56&amp;"_"&amp;E56</f>
        <v>INSTRUMENT_TYP_OFF_BLNC_PRDCT</v>
      </c>
      <c r="D56" s="153" t="s">
        <v>414</v>
      </c>
      <c r="E56" s="153" t="s">
        <v>1351</v>
      </c>
      <c r="G56" s="172">
        <f>INDEX(Table1[[Especificação]:[Total Testes]],MATCH('Sheet1 (2)'!C56,Table1[CONCAT],0),MATCH('Sheet1 (2)'!B56,Table1[[#Headers],[Especificação]:[Total Testes]],0))</f>
        <v>1</v>
      </c>
      <c r="H56" s="191">
        <f t="shared" ref="H56:H70" si="19">ROUND(G56/8,2)</f>
        <v>0.13</v>
      </c>
      <c r="I56" s="222"/>
      <c r="J56" s="170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5"/>
      <c r="AO56" s="165"/>
      <c r="AP56" s="165"/>
      <c r="AQ56" s="165"/>
      <c r="AR56" s="165"/>
      <c r="AS56" s="165"/>
      <c r="AT56" s="165"/>
      <c r="AU56" s="165"/>
      <c r="AV56" s="165"/>
      <c r="AW56" s="165"/>
      <c r="AX56" s="165"/>
      <c r="AY56" s="165"/>
      <c r="AZ56" s="165"/>
      <c r="BA56" s="165"/>
      <c r="BB56" s="170"/>
      <c r="BC56" s="165"/>
      <c r="BD56" s="165"/>
      <c r="BE56" s="165"/>
      <c r="BF56" s="165"/>
      <c r="BG56" s="165"/>
      <c r="BH56" s="165"/>
      <c r="BI56" s="165"/>
      <c r="BJ56" s="165"/>
      <c r="BK56" s="165"/>
      <c r="BL56" s="165"/>
      <c r="BM56" s="165"/>
      <c r="BN56" s="165"/>
      <c r="BO56" s="165"/>
      <c r="BP56" s="165"/>
      <c r="BQ56" s="165"/>
      <c r="BR56" s="165"/>
      <c r="BS56" s="165"/>
      <c r="BT56" s="165"/>
      <c r="BU56" s="165"/>
      <c r="BV56" s="165"/>
      <c r="BW56" s="165"/>
      <c r="BX56" s="165"/>
      <c r="BY56" s="165"/>
      <c r="BZ56" s="165"/>
      <c r="CA56" s="165"/>
      <c r="CB56" s="165"/>
      <c r="CC56" s="165"/>
      <c r="CD56" s="165"/>
      <c r="CE56" s="165"/>
      <c r="CF56" s="165"/>
      <c r="CG56" s="165"/>
      <c r="CH56" s="165"/>
      <c r="CI56" s="170"/>
      <c r="CJ56" s="165"/>
      <c r="CK56" s="165"/>
      <c r="CL56" s="165"/>
      <c r="CM56" s="165"/>
      <c r="CN56" s="170"/>
      <c r="CO56" s="165"/>
      <c r="CP56" s="165"/>
      <c r="CQ56" s="165"/>
    </row>
    <row r="57" spans="2:95" outlineLevel="1" x14ac:dyDescent="0.25">
      <c r="B57" s="156" t="str">
        <f>Table1[[#Headers],[Especificação]]</f>
        <v>Especificação</v>
      </c>
      <c r="C57" s="184" t="str">
        <f t="shared" si="18"/>
        <v>INSTR_PROTECTION_TYP_RLTN</v>
      </c>
      <c r="D57" s="153" t="s">
        <v>1101</v>
      </c>
      <c r="E57" s="153" t="s">
        <v>1384</v>
      </c>
      <c r="G57" s="172">
        <f>INDEX(Table1[[Especificação]:[Total Testes]],MATCH('Sheet1 (2)'!C57,Table1[CONCAT],0),MATCH('Sheet1 (2)'!B57,Table1[[#Headers],[Especificação]:[Total Testes]],0))</f>
        <v>4</v>
      </c>
      <c r="H57" s="191">
        <f t="shared" si="19"/>
        <v>0.5</v>
      </c>
      <c r="I57" s="222"/>
      <c r="J57" s="170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65"/>
      <c r="AD57" s="165"/>
      <c r="AE57" s="165"/>
      <c r="AF57" s="165"/>
      <c r="AG57" s="165"/>
      <c r="AH57" s="165"/>
      <c r="AI57" s="165"/>
      <c r="AJ57" s="165"/>
      <c r="AK57" s="165"/>
      <c r="AL57" s="165"/>
      <c r="AM57" s="165"/>
      <c r="AN57" s="165"/>
      <c r="AO57" s="165"/>
      <c r="AP57" s="165"/>
      <c r="AQ57" s="165"/>
      <c r="AR57" s="165"/>
      <c r="AS57" s="165"/>
      <c r="AT57" s="165"/>
      <c r="AU57" s="165"/>
      <c r="AV57" s="165"/>
      <c r="AW57" s="165"/>
      <c r="AX57" s="165"/>
      <c r="AY57" s="165"/>
      <c r="AZ57" s="165"/>
      <c r="BA57" s="165"/>
      <c r="BB57" s="170"/>
      <c r="BC57" s="165"/>
      <c r="BD57" s="165"/>
      <c r="BE57" s="165"/>
      <c r="BF57" s="165"/>
      <c r="BG57" s="165"/>
      <c r="BH57" s="165"/>
      <c r="BI57" s="165"/>
      <c r="BJ57" s="165"/>
      <c r="BK57" s="165"/>
      <c r="BL57" s="165"/>
      <c r="BM57" s="165"/>
      <c r="BN57" s="165"/>
      <c r="BO57" s="165"/>
      <c r="BP57" s="165"/>
      <c r="BQ57" s="165"/>
      <c r="BR57" s="165"/>
      <c r="BS57" s="165"/>
      <c r="BT57" s="165"/>
      <c r="BU57" s="165"/>
      <c r="BV57" s="165"/>
      <c r="BW57" s="165"/>
      <c r="BX57" s="165"/>
      <c r="BY57" s="165"/>
      <c r="BZ57" s="165"/>
      <c r="CA57" s="165"/>
      <c r="CB57" s="165"/>
      <c r="CC57" s="165"/>
      <c r="CD57" s="165"/>
      <c r="CE57" s="165"/>
      <c r="CF57" s="165"/>
      <c r="CG57" s="165"/>
      <c r="CH57" s="165"/>
      <c r="CI57" s="170"/>
      <c r="CJ57" s="165"/>
      <c r="CK57" s="165"/>
      <c r="CL57" s="165"/>
      <c r="CM57" s="165"/>
      <c r="CN57" s="170"/>
      <c r="CO57" s="165"/>
      <c r="CP57" s="165"/>
      <c r="CQ57" s="165"/>
    </row>
    <row r="58" spans="2:95" outlineLevel="1" x14ac:dyDescent="0.25">
      <c r="B58" s="156" t="str">
        <f>Table1[[#Headers],[Especificação]]</f>
        <v>Especificação</v>
      </c>
      <c r="C58" s="184" t="str">
        <f t="shared" si="18"/>
        <v>INSTR_ACTIVITY_COD_SOC</v>
      </c>
      <c r="D58" s="153" t="s">
        <v>1542</v>
      </c>
      <c r="E58" s="153" t="s">
        <v>12</v>
      </c>
      <c r="G58" s="172">
        <f>INDEX(Table1[[Especificação]:[Total Testes]],MATCH('Sheet1 (2)'!C58,Table1[CONCAT],0),MATCH('Sheet1 (2)'!B58,Table1[[#Headers],[Especificação]:[Total Testes]],0))</f>
        <v>1</v>
      </c>
      <c r="H58" s="191">
        <f t="shared" si="19"/>
        <v>0.13</v>
      </c>
      <c r="I58" s="222"/>
      <c r="J58" s="170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  <c r="AK58" s="165"/>
      <c r="AL58" s="165"/>
      <c r="AM58" s="165"/>
      <c r="AN58" s="165"/>
      <c r="AO58" s="165"/>
      <c r="AP58" s="165"/>
      <c r="AQ58" s="165"/>
      <c r="AR58" s="165"/>
      <c r="AS58" s="165"/>
      <c r="AT58" s="165"/>
      <c r="AU58" s="165"/>
      <c r="AV58" s="165"/>
      <c r="AW58" s="165"/>
      <c r="AX58" s="165"/>
      <c r="AY58" s="165"/>
      <c r="AZ58" s="165"/>
      <c r="BA58" s="165"/>
      <c r="BB58" s="170"/>
      <c r="BC58" s="165"/>
      <c r="BD58" s="165"/>
      <c r="BE58" s="165"/>
      <c r="BF58" s="165"/>
      <c r="BG58" s="165"/>
      <c r="BH58" s="165"/>
      <c r="BI58" s="165"/>
      <c r="BJ58" s="165"/>
      <c r="BK58" s="165"/>
      <c r="BL58" s="165"/>
      <c r="BM58" s="165"/>
      <c r="BN58" s="165"/>
      <c r="BO58" s="165"/>
      <c r="BP58" s="165"/>
      <c r="BQ58" s="165"/>
      <c r="BR58" s="165"/>
      <c r="BS58" s="165"/>
      <c r="BT58" s="165"/>
      <c r="BU58" s="165"/>
      <c r="BV58" s="165"/>
      <c r="BW58" s="165"/>
      <c r="BX58" s="165"/>
      <c r="BY58" s="165"/>
      <c r="BZ58" s="165"/>
      <c r="CA58" s="165"/>
      <c r="CB58" s="165"/>
      <c r="CC58" s="165"/>
      <c r="CD58" s="165"/>
      <c r="CE58" s="165"/>
      <c r="CF58" s="165"/>
      <c r="CG58" s="165"/>
      <c r="CH58" s="165"/>
      <c r="CI58" s="170"/>
      <c r="CJ58" s="165"/>
      <c r="CK58" s="165"/>
      <c r="CL58" s="165"/>
      <c r="CM58" s="165"/>
      <c r="CN58" s="170"/>
      <c r="CO58" s="165"/>
      <c r="CP58" s="165"/>
      <c r="CQ58" s="165"/>
    </row>
    <row r="59" spans="2:95" outlineLevel="1" x14ac:dyDescent="0.25">
      <c r="B59" s="156" t="str">
        <f>Table1[[#Headers],[Especificação]]</f>
        <v>Especificação</v>
      </c>
      <c r="C59" s="184" t="str">
        <f t="shared" si="18"/>
        <v>INSTR_ACTIVITY_DT_RFRNC</v>
      </c>
      <c r="D59" s="153" t="s">
        <v>1542</v>
      </c>
      <c r="E59" s="153" t="s">
        <v>38</v>
      </c>
      <c r="G59" s="172">
        <f>INDEX(Table1[[Especificação]:[Total Testes]],MATCH('Sheet1 (2)'!C59,Table1[CONCAT],0),MATCH('Sheet1 (2)'!B59,Table1[[#Headers],[Especificação]:[Total Testes]],0))</f>
        <v>1</v>
      </c>
      <c r="H59" s="191">
        <f t="shared" si="19"/>
        <v>0.13</v>
      </c>
      <c r="I59" s="222"/>
      <c r="J59" s="170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65"/>
      <c r="AZ59" s="165"/>
      <c r="BA59" s="165"/>
      <c r="BB59" s="170"/>
      <c r="BC59" s="165"/>
      <c r="BD59" s="165"/>
      <c r="BE59" s="165"/>
      <c r="BF59" s="165"/>
      <c r="BG59" s="165"/>
      <c r="BH59" s="165"/>
      <c r="BI59" s="165"/>
      <c r="BJ59" s="165"/>
      <c r="BK59" s="165"/>
      <c r="BL59" s="165"/>
      <c r="BM59" s="165"/>
      <c r="BN59" s="165"/>
      <c r="BO59" s="165"/>
      <c r="BP59" s="165"/>
      <c r="BQ59" s="165"/>
      <c r="BR59" s="165"/>
      <c r="BS59" s="165"/>
      <c r="BT59" s="165"/>
      <c r="BU59" s="165"/>
      <c r="BV59" s="165"/>
      <c r="BW59" s="165"/>
      <c r="BX59" s="165"/>
      <c r="BY59" s="165"/>
      <c r="BZ59" s="165"/>
      <c r="CA59" s="165"/>
      <c r="CB59" s="165"/>
      <c r="CC59" s="165"/>
      <c r="CD59" s="165"/>
      <c r="CE59" s="165"/>
      <c r="CF59" s="165"/>
      <c r="CG59" s="165"/>
      <c r="CH59" s="165"/>
      <c r="CI59" s="170"/>
      <c r="CJ59" s="165"/>
      <c r="CK59" s="165"/>
      <c r="CL59" s="165"/>
      <c r="CM59" s="165"/>
      <c r="CN59" s="170"/>
      <c r="CO59" s="165"/>
      <c r="CP59" s="165"/>
      <c r="CQ59" s="165"/>
    </row>
    <row r="60" spans="2:95" outlineLevel="1" x14ac:dyDescent="0.25">
      <c r="B60" s="156" t="str">
        <f>Table1[[#Headers],[Especificação]]</f>
        <v>Especificação</v>
      </c>
      <c r="C60" s="184" t="str">
        <f t="shared" si="18"/>
        <v>INSTR_ACTIVITY_INSTRMNT_ID</v>
      </c>
      <c r="D60" s="153" t="s">
        <v>1542</v>
      </c>
      <c r="E60" s="153" t="s">
        <v>405</v>
      </c>
      <c r="G60" s="172">
        <f>INDEX(Table1[[Especificação]:[Total Testes]],MATCH('Sheet1 (2)'!C60,Table1[CONCAT],0),MATCH('Sheet1 (2)'!B60,Table1[[#Headers],[Especificação]:[Total Testes]],0))</f>
        <v>1</v>
      </c>
      <c r="H60" s="191">
        <f t="shared" si="19"/>
        <v>0.13</v>
      </c>
      <c r="I60" s="222"/>
      <c r="J60" s="170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5"/>
      <c r="AX60" s="165"/>
      <c r="AY60" s="165"/>
      <c r="AZ60" s="165"/>
      <c r="BA60" s="165"/>
      <c r="BB60" s="170"/>
      <c r="BC60" s="165"/>
      <c r="BD60" s="165"/>
      <c r="BE60" s="165"/>
      <c r="BF60" s="165"/>
      <c r="BG60" s="165"/>
      <c r="BH60" s="165"/>
      <c r="BI60" s="165"/>
      <c r="BJ60" s="165"/>
      <c r="BK60" s="165"/>
      <c r="BL60" s="165"/>
      <c r="BM60" s="165"/>
      <c r="BN60" s="165"/>
      <c r="BO60" s="165"/>
      <c r="BP60" s="165"/>
      <c r="BQ60" s="165"/>
      <c r="BR60" s="165"/>
      <c r="BS60" s="165"/>
      <c r="BT60" s="165"/>
      <c r="BU60" s="165"/>
      <c r="BV60" s="165"/>
      <c r="BW60" s="165"/>
      <c r="BX60" s="165"/>
      <c r="BY60" s="165"/>
      <c r="BZ60" s="165"/>
      <c r="CA60" s="165"/>
      <c r="CB60" s="165"/>
      <c r="CC60" s="165"/>
      <c r="CD60" s="165"/>
      <c r="CE60" s="165"/>
      <c r="CF60" s="165"/>
      <c r="CG60" s="165"/>
      <c r="CH60" s="165"/>
      <c r="CI60" s="170"/>
      <c r="CJ60" s="165"/>
      <c r="CK60" s="165"/>
      <c r="CL60" s="165"/>
      <c r="CM60" s="165"/>
      <c r="CN60" s="170"/>
      <c r="CO60" s="165"/>
      <c r="CP60" s="165"/>
      <c r="CQ60" s="165"/>
    </row>
    <row r="61" spans="2:95" outlineLevel="1" x14ac:dyDescent="0.25">
      <c r="B61" s="156" t="str">
        <f>Table1[[#Headers],[Especificação]]</f>
        <v>Especificação</v>
      </c>
      <c r="C61" s="184" t="str">
        <f t="shared" si="18"/>
        <v>INSTR_ACTIVITY_PRCNTG_ACTVTY</v>
      </c>
      <c r="D61" s="153" t="s">
        <v>1542</v>
      </c>
      <c r="E61" s="153" t="s">
        <v>1548</v>
      </c>
      <c r="G61" s="172">
        <f>INDEX(Table1[[Especificação]:[Total Testes]],MATCH('Sheet1 (2)'!C61,Table1[CONCAT],0),MATCH('Sheet1 (2)'!B61,Table1[[#Headers],[Especificação]:[Total Testes]],0))</f>
        <v>4</v>
      </c>
      <c r="H61" s="191">
        <f t="shared" si="19"/>
        <v>0.5</v>
      </c>
      <c r="I61" s="222"/>
      <c r="J61" s="170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65"/>
      <c r="AG61" s="165"/>
      <c r="AH61" s="165"/>
      <c r="AI61" s="165"/>
      <c r="AJ61" s="165"/>
      <c r="AK61" s="165"/>
      <c r="AL61" s="165"/>
      <c r="AM61" s="165"/>
      <c r="AN61" s="165"/>
      <c r="AO61" s="165"/>
      <c r="AP61" s="165"/>
      <c r="AQ61" s="165"/>
      <c r="AR61" s="165"/>
      <c r="AS61" s="165"/>
      <c r="AT61" s="165"/>
      <c r="AU61" s="165"/>
      <c r="AV61" s="165"/>
      <c r="AW61" s="165"/>
      <c r="AX61" s="165"/>
      <c r="AY61" s="165"/>
      <c r="AZ61" s="165"/>
      <c r="BA61" s="165"/>
      <c r="BB61" s="170"/>
      <c r="BC61" s="165"/>
      <c r="BD61" s="165"/>
      <c r="BE61" s="165"/>
      <c r="BF61" s="165"/>
      <c r="BG61" s="165"/>
      <c r="BH61" s="165"/>
      <c r="BI61" s="165"/>
      <c r="BJ61" s="165"/>
      <c r="BK61" s="165"/>
      <c r="BL61" s="165"/>
      <c r="BM61" s="165"/>
      <c r="BN61" s="165"/>
      <c r="BO61" s="165"/>
      <c r="BP61" s="165"/>
      <c r="BQ61" s="165"/>
      <c r="BR61" s="165"/>
      <c r="BS61" s="165"/>
      <c r="BT61" s="165"/>
      <c r="BU61" s="165"/>
      <c r="BV61" s="165"/>
      <c r="BW61" s="165"/>
      <c r="BX61" s="165"/>
      <c r="BY61" s="165"/>
      <c r="BZ61" s="165"/>
      <c r="CA61" s="165"/>
      <c r="CB61" s="165"/>
      <c r="CC61" s="165"/>
      <c r="CD61" s="165"/>
      <c r="CE61" s="165"/>
      <c r="CF61" s="165"/>
      <c r="CG61" s="165"/>
      <c r="CH61" s="165"/>
      <c r="CI61" s="170"/>
      <c r="CJ61" s="165"/>
      <c r="CK61" s="165"/>
      <c r="CL61" s="165"/>
      <c r="CM61" s="165"/>
      <c r="CN61" s="170"/>
      <c r="CO61" s="165"/>
      <c r="CP61" s="165"/>
      <c r="CQ61" s="165"/>
    </row>
    <row r="62" spans="2:95" outlineLevel="1" x14ac:dyDescent="0.25">
      <c r="B62" s="156" t="str">
        <f>Table1[[#Headers],[Especificação]]</f>
        <v>Especificação</v>
      </c>
      <c r="C62" s="184" t="str">
        <f t="shared" si="18"/>
        <v>ENTITY_ENTTY_NM</v>
      </c>
      <c r="D62" s="153" t="s">
        <v>10</v>
      </c>
      <c r="E62" s="153" t="s">
        <v>59</v>
      </c>
      <c r="G62" s="172">
        <f>INDEX(Table1[[Especificação]:[Total Testes]],MATCH('Sheet1 (2)'!C62,Table1[CONCAT],0),MATCH('Sheet1 (2)'!B62,Table1[[#Headers],[Especificação]:[Total Testes]],0))</f>
        <v>1</v>
      </c>
      <c r="H62" s="191">
        <f t="shared" si="19"/>
        <v>0.13</v>
      </c>
      <c r="I62" s="222"/>
      <c r="J62" s="170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5"/>
      <c r="AO62" s="165"/>
      <c r="AP62" s="165"/>
      <c r="AQ62" s="165"/>
      <c r="AR62" s="165"/>
      <c r="AS62" s="165"/>
      <c r="AT62" s="165"/>
      <c r="AU62" s="165"/>
      <c r="AV62" s="165"/>
      <c r="AW62" s="165"/>
      <c r="AX62" s="165"/>
      <c r="AY62" s="165"/>
      <c r="AZ62" s="165"/>
      <c r="BA62" s="165"/>
      <c r="BB62" s="170"/>
      <c r="BC62" s="165"/>
      <c r="BD62" s="165"/>
      <c r="BE62" s="165"/>
      <c r="BF62" s="165"/>
      <c r="BG62" s="165"/>
      <c r="BH62" s="165"/>
      <c r="BI62" s="165"/>
      <c r="BJ62" s="165"/>
      <c r="BK62" s="165"/>
      <c r="BL62" s="165"/>
      <c r="BM62" s="165"/>
      <c r="BN62" s="165"/>
      <c r="BO62" s="165"/>
      <c r="BP62" s="165"/>
      <c r="BQ62" s="165"/>
      <c r="BR62" s="165"/>
      <c r="BS62" s="165"/>
      <c r="BT62" s="165"/>
      <c r="BU62" s="165"/>
      <c r="BV62" s="165"/>
      <c r="BW62" s="165"/>
      <c r="BX62" s="165"/>
      <c r="BY62" s="165"/>
      <c r="BZ62" s="165"/>
      <c r="CA62" s="165"/>
      <c r="CB62" s="165"/>
      <c r="CC62" s="165"/>
      <c r="CD62" s="165"/>
      <c r="CE62" s="165"/>
      <c r="CF62" s="165"/>
      <c r="CG62" s="165"/>
      <c r="CH62" s="165"/>
      <c r="CI62" s="170"/>
      <c r="CJ62" s="165"/>
      <c r="CK62" s="165"/>
      <c r="CL62" s="165"/>
      <c r="CM62" s="165"/>
      <c r="CN62" s="170"/>
      <c r="CO62" s="165"/>
      <c r="CP62" s="165"/>
      <c r="CQ62" s="165"/>
    </row>
    <row r="63" spans="2:95" outlineLevel="1" x14ac:dyDescent="0.25">
      <c r="B63" s="156" t="str">
        <f>Table1[[#Headers],[Especificação]]</f>
        <v>Especificação</v>
      </c>
      <c r="C63" s="184" t="str">
        <f t="shared" si="18"/>
        <v>ENTITY_EC_GRP_NM</v>
      </c>
      <c r="D63" s="153" t="s">
        <v>10</v>
      </c>
      <c r="E63" s="153" t="s">
        <v>284</v>
      </c>
      <c r="G63" s="172">
        <f>INDEX(Table1[[Especificação]:[Total Testes]],MATCH('Sheet1 (2)'!C63,Table1[CONCAT],0),MATCH('Sheet1 (2)'!B63,Table1[[#Headers],[Especificação]:[Total Testes]],0))</f>
        <v>1</v>
      </c>
      <c r="H63" s="191">
        <f t="shared" si="19"/>
        <v>0.13</v>
      </c>
      <c r="I63" s="222"/>
      <c r="J63" s="170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  <c r="AK63" s="165"/>
      <c r="AL63" s="165"/>
      <c r="AM63" s="165"/>
      <c r="AN63" s="165"/>
      <c r="AO63" s="165"/>
      <c r="AP63" s="165"/>
      <c r="AQ63" s="165"/>
      <c r="AR63" s="165"/>
      <c r="AS63" s="165"/>
      <c r="AT63" s="165"/>
      <c r="AU63" s="165"/>
      <c r="AV63" s="165"/>
      <c r="AW63" s="165"/>
      <c r="AX63" s="165"/>
      <c r="AY63" s="165"/>
      <c r="AZ63" s="165"/>
      <c r="BA63" s="165"/>
      <c r="BB63" s="170"/>
      <c r="BC63" s="165"/>
      <c r="BD63" s="165"/>
      <c r="BE63" s="165"/>
      <c r="BF63" s="165"/>
      <c r="BG63" s="165"/>
      <c r="BH63" s="165"/>
      <c r="BI63" s="165"/>
      <c r="BJ63" s="165"/>
      <c r="BK63" s="165"/>
      <c r="BL63" s="165"/>
      <c r="BM63" s="165"/>
      <c r="BN63" s="165"/>
      <c r="BO63" s="165"/>
      <c r="BP63" s="165"/>
      <c r="BQ63" s="165"/>
      <c r="BR63" s="165"/>
      <c r="BS63" s="165"/>
      <c r="BT63" s="165"/>
      <c r="BU63" s="165"/>
      <c r="BV63" s="165"/>
      <c r="BW63" s="165"/>
      <c r="BX63" s="165"/>
      <c r="BY63" s="165"/>
      <c r="BZ63" s="165"/>
      <c r="CA63" s="165"/>
      <c r="CB63" s="165"/>
      <c r="CC63" s="165"/>
      <c r="CD63" s="165"/>
      <c r="CE63" s="165"/>
      <c r="CF63" s="165"/>
      <c r="CG63" s="165"/>
      <c r="CH63" s="165"/>
      <c r="CI63" s="170"/>
      <c r="CJ63" s="165"/>
      <c r="CK63" s="165"/>
      <c r="CL63" s="165"/>
      <c r="CM63" s="165"/>
      <c r="CN63" s="170"/>
      <c r="CO63" s="165"/>
      <c r="CP63" s="165"/>
      <c r="CQ63" s="165"/>
    </row>
    <row r="64" spans="2:95" outlineLevel="1" x14ac:dyDescent="0.25">
      <c r="B64" s="156" t="str">
        <f>Table1[[#Headers],[Especificação]]</f>
        <v>Especificação</v>
      </c>
      <c r="C64" s="184" t="str">
        <f t="shared" si="18"/>
        <v>INSTRUMENT_FRBRNC_STTS_INSTRMNT</v>
      </c>
      <c r="D64" s="153" t="s">
        <v>414</v>
      </c>
      <c r="E64" s="153" t="s">
        <v>501</v>
      </c>
      <c r="G64" s="172">
        <f>INDEX(Table1[[Especificação]:[Total Testes]],MATCH('Sheet1 (2)'!C64,Table1[CONCAT],0),MATCH('Sheet1 (2)'!B64,Table1[[#Headers],[Especificação]:[Total Testes]],0))</f>
        <v>1</v>
      </c>
      <c r="H64" s="191">
        <f t="shared" si="19"/>
        <v>0.13</v>
      </c>
      <c r="I64" s="222"/>
      <c r="J64" s="170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  <c r="AD64" s="165"/>
      <c r="AE64" s="165"/>
      <c r="AF64" s="165"/>
      <c r="AG64" s="165"/>
      <c r="AH64" s="165"/>
      <c r="AI64" s="165"/>
      <c r="AJ64" s="165"/>
      <c r="AK64" s="165"/>
      <c r="AL64" s="165"/>
      <c r="AM64" s="165"/>
      <c r="AN64" s="165"/>
      <c r="AO64" s="165"/>
      <c r="AP64" s="165"/>
      <c r="AQ64" s="165"/>
      <c r="AR64" s="165"/>
      <c r="AS64" s="165"/>
      <c r="AT64" s="165"/>
      <c r="AU64" s="165"/>
      <c r="AV64" s="165"/>
      <c r="AW64" s="165"/>
      <c r="AX64" s="165"/>
      <c r="AY64" s="165"/>
      <c r="AZ64" s="165"/>
      <c r="BA64" s="165"/>
      <c r="BB64" s="170"/>
      <c r="BC64" s="165"/>
      <c r="BD64" s="165"/>
      <c r="BE64" s="165"/>
      <c r="BF64" s="165"/>
      <c r="BG64" s="165"/>
      <c r="BH64" s="165"/>
      <c r="BI64" s="165"/>
      <c r="BJ64" s="165"/>
      <c r="BK64" s="165"/>
      <c r="BL64" s="165"/>
      <c r="BM64" s="165"/>
      <c r="BN64" s="165"/>
      <c r="BO64" s="165"/>
      <c r="BP64" s="165"/>
      <c r="BQ64" s="165"/>
      <c r="BR64" s="165"/>
      <c r="BS64" s="165"/>
      <c r="BT64" s="165"/>
      <c r="BU64" s="165"/>
      <c r="BV64" s="165"/>
      <c r="BW64" s="165"/>
      <c r="BX64" s="165"/>
      <c r="BY64" s="165"/>
      <c r="BZ64" s="165"/>
      <c r="CA64" s="165"/>
      <c r="CB64" s="165"/>
      <c r="CC64" s="165"/>
      <c r="CD64" s="165"/>
      <c r="CE64" s="165"/>
      <c r="CF64" s="165"/>
      <c r="CG64" s="165"/>
      <c r="CH64" s="165"/>
      <c r="CI64" s="170"/>
      <c r="CJ64" s="165"/>
      <c r="CK64" s="165"/>
      <c r="CL64" s="165"/>
      <c r="CM64" s="165"/>
      <c r="CN64" s="170"/>
      <c r="CO64" s="165"/>
      <c r="CP64" s="165"/>
      <c r="CQ64" s="165"/>
    </row>
    <row r="65" spans="1:95" outlineLevel="1" x14ac:dyDescent="0.25">
      <c r="A65" s="228"/>
      <c r="B65" s="236" t="str">
        <f>Table1[[#Headers],[Especificação]]</f>
        <v>Especificação</v>
      </c>
      <c r="C65" s="241" t="str">
        <f t="shared" si="18"/>
        <v>INSTRUMENT_FLG_MNMM_SFGRDS</v>
      </c>
      <c r="D65" s="232" t="s">
        <v>414</v>
      </c>
      <c r="E65" s="232" t="s">
        <v>1480</v>
      </c>
      <c r="F65" s="238"/>
      <c r="G65" s="233">
        <f>INDEX(Table1[[Especificação]:[Total Testes]],MATCH('Sheet1 (2)'!C65,Table1[CONCAT],0),MATCH('Sheet1 (2)'!B65,Table1[[#Headers],[Especificação]:[Total Testes]],0))</f>
        <v>0</v>
      </c>
      <c r="H65" s="239">
        <f t="shared" si="19"/>
        <v>0</v>
      </c>
      <c r="I65" s="240"/>
      <c r="J65" s="170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  <c r="AF65" s="165"/>
      <c r="AG65" s="165"/>
      <c r="AH65" s="165"/>
      <c r="AI65" s="165"/>
      <c r="AJ65" s="165"/>
      <c r="AK65" s="165"/>
      <c r="AL65" s="165"/>
      <c r="AM65" s="165"/>
      <c r="AN65" s="165"/>
      <c r="AO65" s="165"/>
      <c r="AP65" s="165"/>
      <c r="AQ65" s="165"/>
      <c r="AR65" s="165"/>
      <c r="AS65" s="165"/>
      <c r="AT65" s="165"/>
      <c r="AU65" s="165"/>
      <c r="AV65" s="165"/>
      <c r="AW65" s="165"/>
      <c r="AX65" s="165"/>
      <c r="AY65" s="165"/>
      <c r="AZ65" s="165"/>
      <c r="BA65" s="165"/>
      <c r="BB65" s="170"/>
      <c r="BC65" s="165"/>
      <c r="BD65" s="165"/>
      <c r="BE65" s="165"/>
      <c r="BF65" s="165"/>
      <c r="BG65" s="165"/>
      <c r="BH65" s="165"/>
      <c r="BI65" s="165"/>
      <c r="BJ65" s="165"/>
      <c r="BK65" s="165"/>
      <c r="BL65" s="165"/>
      <c r="BM65" s="165"/>
      <c r="BN65" s="165"/>
      <c r="BO65" s="165"/>
      <c r="BP65" s="165"/>
      <c r="BQ65" s="165"/>
      <c r="BR65" s="165"/>
      <c r="BS65" s="165"/>
      <c r="BT65" s="165"/>
      <c r="BU65" s="165"/>
      <c r="BV65" s="165"/>
      <c r="BW65" s="165"/>
      <c r="BX65" s="165"/>
      <c r="BY65" s="165"/>
      <c r="BZ65" s="165"/>
      <c r="CA65" s="165"/>
      <c r="CB65" s="165"/>
      <c r="CC65" s="165"/>
      <c r="CD65" s="165"/>
      <c r="CE65" s="165"/>
      <c r="CF65" s="165"/>
      <c r="CG65" s="165"/>
      <c r="CH65" s="165"/>
      <c r="CI65" s="170"/>
      <c r="CJ65" s="165"/>
      <c r="CK65" s="165"/>
      <c r="CL65" s="165"/>
      <c r="CM65" s="165"/>
      <c r="CN65" s="170"/>
      <c r="CO65" s="165"/>
      <c r="CP65" s="165"/>
      <c r="CQ65" s="165"/>
    </row>
    <row r="66" spans="1:95" outlineLevel="1" x14ac:dyDescent="0.25">
      <c r="A66" s="228"/>
      <c r="B66" s="236" t="str">
        <f>Table1[[#Headers],[Especificação]]</f>
        <v>Especificação</v>
      </c>
      <c r="C66" s="241" t="str">
        <f t="shared" si="18"/>
        <v>PROTECTION_RL_ESTT_CRTFCTN</v>
      </c>
      <c r="D66" s="232" t="s">
        <v>1114</v>
      </c>
      <c r="E66" s="232" t="s">
        <v>1512</v>
      </c>
      <c r="F66" s="238"/>
      <c r="G66" s="233">
        <f>INDEX(Table1[[Especificação]:[Total Testes]],MATCH('Sheet1 (2)'!C66,Table1[CONCAT],0),MATCH('Sheet1 (2)'!B66,Table1[[#Headers],[Especificação]:[Total Testes]],0))</f>
        <v>0</v>
      </c>
      <c r="H66" s="239">
        <f t="shared" si="19"/>
        <v>0</v>
      </c>
      <c r="I66" s="240"/>
      <c r="J66" s="170"/>
      <c r="K66" s="165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  <c r="AD66" s="165"/>
      <c r="AE66" s="165"/>
      <c r="AF66" s="165"/>
      <c r="AG66" s="165"/>
      <c r="AH66" s="165"/>
      <c r="AI66" s="165"/>
      <c r="AJ66" s="165"/>
      <c r="AK66" s="165"/>
      <c r="AL66" s="165"/>
      <c r="AM66" s="165"/>
      <c r="AN66" s="165"/>
      <c r="AO66" s="165"/>
      <c r="AP66" s="165"/>
      <c r="AQ66" s="165"/>
      <c r="AR66" s="165"/>
      <c r="AS66" s="165"/>
      <c r="AT66" s="165"/>
      <c r="AU66" s="165"/>
      <c r="AV66" s="165"/>
      <c r="AW66" s="165"/>
      <c r="AX66" s="165"/>
      <c r="AY66" s="165"/>
      <c r="AZ66" s="165"/>
      <c r="BA66" s="165"/>
      <c r="BB66" s="170"/>
      <c r="BC66" s="165"/>
      <c r="BD66" s="165"/>
      <c r="BE66" s="165"/>
      <c r="BF66" s="165"/>
      <c r="BG66" s="165"/>
      <c r="BH66" s="165"/>
      <c r="BI66" s="165"/>
      <c r="BJ66" s="165"/>
      <c r="BK66" s="165"/>
      <c r="BL66" s="165"/>
      <c r="BM66" s="165"/>
      <c r="BN66" s="165"/>
      <c r="BO66" s="165"/>
      <c r="BP66" s="165"/>
      <c r="BQ66" s="165"/>
      <c r="BR66" s="165"/>
      <c r="BS66" s="165"/>
      <c r="BT66" s="165"/>
      <c r="BU66" s="165"/>
      <c r="BV66" s="165"/>
      <c r="BW66" s="165"/>
      <c r="BX66" s="165"/>
      <c r="BY66" s="165"/>
      <c r="BZ66" s="165"/>
      <c r="CA66" s="165"/>
      <c r="CB66" s="165"/>
      <c r="CC66" s="165"/>
      <c r="CD66" s="165"/>
      <c r="CE66" s="165"/>
      <c r="CF66" s="165"/>
      <c r="CG66" s="165"/>
      <c r="CH66" s="165"/>
      <c r="CI66" s="170"/>
      <c r="CJ66" s="165"/>
      <c r="CK66" s="165"/>
      <c r="CL66" s="165"/>
      <c r="CM66" s="165"/>
      <c r="CN66" s="170"/>
      <c r="CO66" s="165"/>
      <c r="CP66" s="165"/>
      <c r="CQ66" s="165"/>
    </row>
    <row r="67" spans="1:95" outlineLevel="1" x14ac:dyDescent="0.25">
      <c r="A67" s="228"/>
      <c r="B67" s="236" t="str">
        <f>Table1[[#Headers],[Especificação]]</f>
        <v>Especificação</v>
      </c>
      <c r="C67" s="241" t="str">
        <f t="shared" si="18"/>
        <v>PROTECTION_TYP_VHCL</v>
      </c>
      <c r="D67" s="232" t="s">
        <v>1114</v>
      </c>
      <c r="E67" s="232" t="s">
        <v>1515</v>
      </c>
      <c r="F67" s="238"/>
      <c r="G67" s="233">
        <f>INDEX(Table1[[Especificação]:[Total Testes]],MATCH('Sheet1 (2)'!C67,Table1[CONCAT],0),MATCH('Sheet1 (2)'!B67,Table1[[#Headers],[Especificação]:[Total Testes]],0))</f>
        <v>0</v>
      </c>
      <c r="H67" s="239">
        <f t="shared" si="19"/>
        <v>0</v>
      </c>
      <c r="I67" s="240"/>
      <c r="J67" s="170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  <c r="AD67" s="165"/>
      <c r="AE67" s="165"/>
      <c r="AF67" s="165"/>
      <c r="AG67" s="165"/>
      <c r="AH67" s="165"/>
      <c r="AI67" s="165"/>
      <c r="AJ67" s="165"/>
      <c r="AK67" s="165"/>
      <c r="AL67" s="165"/>
      <c r="AM67" s="165"/>
      <c r="AN67" s="165"/>
      <c r="AO67" s="165"/>
      <c r="AP67" s="165"/>
      <c r="AQ67" s="165"/>
      <c r="AR67" s="165"/>
      <c r="AS67" s="165"/>
      <c r="AT67" s="165"/>
      <c r="AU67" s="165"/>
      <c r="AV67" s="165"/>
      <c r="AW67" s="165"/>
      <c r="AX67" s="165"/>
      <c r="AY67" s="165"/>
      <c r="AZ67" s="165"/>
      <c r="BA67" s="165"/>
      <c r="BB67" s="170"/>
      <c r="BC67" s="165"/>
      <c r="BD67" s="165"/>
      <c r="BE67" s="165"/>
      <c r="BF67" s="165"/>
      <c r="BG67" s="165"/>
      <c r="BH67" s="165"/>
      <c r="BI67" s="165"/>
      <c r="BJ67" s="165"/>
      <c r="BK67" s="165"/>
      <c r="BL67" s="165"/>
      <c r="BM67" s="165"/>
      <c r="BN67" s="165"/>
      <c r="BO67" s="165"/>
      <c r="BP67" s="165"/>
      <c r="BQ67" s="165"/>
      <c r="BR67" s="165"/>
      <c r="BS67" s="165"/>
      <c r="BT67" s="165"/>
      <c r="BU67" s="165"/>
      <c r="BV67" s="165"/>
      <c r="BW67" s="165"/>
      <c r="BX67" s="165"/>
      <c r="BY67" s="165"/>
      <c r="BZ67" s="165"/>
      <c r="CA67" s="165"/>
      <c r="CB67" s="165"/>
      <c r="CC67" s="165"/>
      <c r="CD67" s="165"/>
      <c r="CE67" s="165"/>
      <c r="CF67" s="165"/>
      <c r="CG67" s="165"/>
      <c r="CH67" s="165"/>
      <c r="CI67" s="170"/>
      <c r="CJ67" s="165"/>
      <c r="CK67" s="165"/>
      <c r="CL67" s="165"/>
      <c r="CM67" s="165"/>
      <c r="CN67" s="170"/>
      <c r="CO67" s="165"/>
      <c r="CP67" s="165"/>
      <c r="CQ67" s="165"/>
    </row>
    <row r="68" spans="1:95" outlineLevel="1" x14ac:dyDescent="0.25">
      <c r="A68" s="228"/>
      <c r="B68" s="236" t="str">
        <f>Table1[[#Headers],[Especificação]]</f>
        <v>Especificação</v>
      </c>
      <c r="C68" s="241" t="str">
        <f t="shared" si="18"/>
        <v>PROTECTION_DT_RGSTRTN</v>
      </c>
      <c r="D68" s="232" t="s">
        <v>1114</v>
      </c>
      <c r="E68" s="232" t="s">
        <v>1518</v>
      </c>
      <c r="F68" s="238"/>
      <c r="G68" s="233">
        <f>INDEX(Table1[[Especificação]:[Total Testes]],MATCH('Sheet1 (2)'!C68,Table1[CONCAT],0),MATCH('Sheet1 (2)'!B68,Table1[[#Headers],[Especificação]:[Total Testes]],0))</f>
        <v>0</v>
      </c>
      <c r="H68" s="239">
        <f t="shared" si="19"/>
        <v>0</v>
      </c>
      <c r="I68" s="240"/>
      <c r="J68" s="170"/>
      <c r="K68" s="165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  <c r="AF68" s="165"/>
      <c r="AG68" s="165"/>
      <c r="AH68" s="165"/>
      <c r="AI68" s="165"/>
      <c r="AJ68" s="165"/>
      <c r="AK68" s="165"/>
      <c r="AL68" s="165"/>
      <c r="AM68" s="165"/>
      <c r="AN68" s="165"/>
      <c r="AO68" s="165"/>
      <c r="AP68" s="165"/>
      <c r="AQ68" s="165"/>
      <c r="AR68" s="165"/>
      <c r="AS68" s="165"/>
      <c r="AT68" s="165"/>
      <c r="AU68" s="165"/>
      <c r="AV68" s="165"/>
      <c r="AW68" s="165"/>
      <c r="AX68" s="165"/>
      <c r="AY68" s="165"/>
      <c r="AZ68" s="165"/>
      <c r="BA68" s="165"/>
      <c r="BB68" s="170"/>
      <c r="BC68" s="165"/>
      <c r="BD68" s="165"/>
      <c r="BE68" s="165"/>
      <c r="BF68" s="165"/>
      <c r="BG68" s="165"/>
      <c r="BH68" s="165"/>
      <c r="BI68" s="165"/>
      <c r="BJ68" s="165"/>
      <c r="BK68" s="165"/>
      <c r="BL68" s="165"/>
      <c r="BM68" s="165"/>
      <c r="BN68" s="165"/>
      <c r="BO68" s="165"/>
      <c r="BP68" s="165"/>
      <c r="BQ68" s="165"/>
      <c r="BR68" s="165"/>
      <c r="BS68" s="165"/>
      <c r="BT68" s="165"/>
      <c r="BU68" s="165"/>
      <c r="BV68" s="165"/>
      <c r="BW68" s="165"/>
      <c r="BX68" s="165"/>
      <c r="BY68" s="165"/>
      <c r="BZ68" s="165"/>
      <c r="CA68" s="165"/>
      <c r="CB68" s="165"/>
      <c r="CC68" s="165"/>
      <c r="CD68" s="165"/>
      <c r="CE68" s="165"/>
      <c r="CF68" s="165"/>
      <c r="CG68" s="165"/>
      <c r="CH68" s="165"/>
      <c r="CI68" s="170"/>
      <c r="CJ68" s="165"/>
      <c r="CK68" s="165"/>
      <c r="CL68" s="165"/>
      <c r="CM68" s="165"/>
      <c r="CN68" s="170"/>
      <c r="CO68" s="165"/>
      <c r="CP68" s="165"/>
      <c r="CQ68" s="165"/>
    </row>
    <row r="69" spans="1:95" outlineLevel="1" x14ac:dyDescent="0.25">
      <c r="A69" s="228"/>
      <c r="B69" s="236" t="str">
        <f>Table1[[#Headers],[Especificação]]</f>
        <v>Especificação</v>
      </c>
      <c r="C69" s="241" t="str">
        <f t="shared" si="18"/>
        <v>INSTR_ACTIVITY_FLG_DNSH_CMPLNC</v>
      </c>
      <c r="D69" s="232" t="s">
        <v>1542</v>
      </c>
      <c r="E69" s="232" t="s">
        <v>1557</v>
      </c>
      <c r="F69" s="238"/>
      <c r="G69" s="233">
        <f>INDEX(Table1[[Especificação]:[Total Testes]],MATCH('Sheet1 (2)'!C69,Table1[CONCAT],0),MATCH('Sheet1 (2)'!B69,Table1[[#Headers],[Especificação]:[Total Testes]],0))</f>
        <v>0</v>
      </c>
      <c r="H69" s="239">
        <f t="shared" si="19"/>
        <v>0</v>
      </c>
      <c r="I69" s="240"/>
      <c r="J69" s="170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165"/>
      <c r="AH69" s="165"/>
      <c r="AI69" s="165"/>
      <c r="AJ69" s="165"/>
      <c r="AK69" s="165"/>
      <c r="AL69" s="165"/>
      <c r="AM69" s="165"/>
      <c r="AN69" s="165"/>
      <c r="AO69" s="165"/>
      <c r="AP69" s="165"/>
      <c r="AQ69" s="165"/>
      <c r="AR69" s="165"/>
      <c r="AS69" s="165"/>
      <c r="AT69" s="165"/>
      <c r="AU69" s="165"/>
      <c r="AV69" s="165"/>
      <c r="AW69" s="165"/>
      <c r="AX69" s="165"/>
      <c r="AY69" s="165"/>
      <c r="AZ69" s="165"/>
      <c r="BA69" s="165"/>
      <c r="BB69" s="170"/>
      <c r="BC69" s="165"/>
      <c r="BD69" s="165"/>
      <c r="BE69" s="165"/>
      <c r="BF69" s="165"/>
      <c r="BG69" s="165"/>
      <c r="BH69" s="165"/>
      <c r="BI69" s="165"/>
      <c r="BJ69" s="165"/>
      <c r="BK69" s="165"/>
      <c r="BL69" s="165"/>
      <c r="BM69" s="165"/>
      <c r="BN69" s="165"/>
      <c r="BO69" s="165"/>
      <c r="BP69" s="165"/>
      <c r="BQ69" s="165"/>
      <c r="BR69" s="165"/>
      <c r="BS69" s="165"/>
      <c r="BT69" s="165"/>
      <c r="BU69" s="165"/>
      <c r="BV69" s="165"/>
      <c r="BW69" s="165"/>
      <c r="BX69" s="165"/>
      <c r="BY69" s="165"/>
      <c r="BZ69" s="165"/>
      <c r="CA69" s="165"/>
      <c r="CB69" s="165"/>
      <c r="CC69" s="165"/>
      <c r="CD69" s="165"/>
      <c r="CE69" s="165"/>
      <c r="CF69" s="165"/>
      <c r="CG69" s="165"/>
      <c r="CH69" s="165"/>
      <c r="CI69" s="170"/>
      <c r="CJ69" s="165"/>
      <c r="CK69" s="165"/>
      <c r="CL69" s="165"/>
      <c r="CM69" s="165"/>
      <c r="CN69" s="170"/>
      <c r="CO69" s="165"/>
      <c r="CP69" s="165"/>
      <c r="CQ69" s="165"/>
    </row>
    <row r="70" spans="1:95" outlineLevel="1" x14ac:dyDescent="0.25">
      <c r="A70" s="228"/>
      <c r="B70" s="236" t="str">
        <f>Table1[[#Headers],[Especificação]]</f>
        <v>Especificação</v>
      </c>
      <c r="C70" s="241" t="str">
        <f t="shared" si="18"/>
        <v>INSTR_ACTIVITY_DNSH_DTL</v>
      </c>
      <c r="D70" s="232" t="s">
        <v>1542</v>
      </c>
      <c r="E70" s="232" t="s">
        <v>1560</v>
      </c>
      <c r="F70" s="238"/>
      <c r="G70" s="233">
        <f>INDEX(Table1[[Especificação]:[Total Testes]],MATCH('Sheet1 (2)'!C70,Table1[CONCAT],0),MATCH('Sheet1 (2)'!B70,Table1[[#Headers],[Especificação]:[Total Testes]],0))</f>
        <v>0</v>
      </c>
      <c r="H70" s="239">
        <f t="shared" si="19"/>
        <v>0</v>
      </c>
      <c r="I70" s="240"/>
      <c r="J70" s="170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  <c r="AK70" s="165"/>
      <c r="AL70" s="165"/>
      <c r="AM70" s="165"/>
      <c r="AN70" s="165"/>
      <c r="AO70" s="165"/>
      <c r="AP70" s="165"/>
      <c r="AQ70" s="165"/>
      <c r="AR70" s="165"/>
      <c r="AS70" s="165"/>
      <c r="AT70" s="165"/>
      <c r="AU70" s="165"/>
      <c r="AV70" s="165"/>
      <c r="AW70" s="165"/>
      <c r="AX70" s="165"/>
      <c r="AY70" s="165"/>
      <c r="AZ70" s="165"/>
      <c r="BA70" s="165"/>
      <c r="BB70" s="170"/>
      <c r="BC70" s="165"/>
      <c r="BD70" s="165"/>
      <c r="BE70" s="165"/>
      <c r="BF70" s="165"/>
      <c r="BG70" s="165"/>
      <c r="BH70" s="165"/>
      <c r="BI70" s="165"/>
      <c r="BJ70" s="165"/>
      <c r="BK70" s="165"/>
      <c r="BL70" s="165"/>
      <c r="BM70" s="165"/>
      <c r="BN70" s="165"/>
      <c r="BO70" s="165"/>
      <c r="BP70" s="165"/>
      <c r="BQ70" s="165"/>
      <c r="BR70" s="165"/>
      <c r="BS70" s="165"/>
      <c r="BT70" s="165"/>
      <c r="BU70" s="165"/>
      <c r="BV70" s="165"/>
      <c r="BW70" s="165"/>
      <c r="BX70" s="165"/>
      <c r="BY70" s="165"/>
      <c r="BZ70" s="165"/>
      <c r="CA70" s="165"/>
      <c r="CB70" s="165"/>
      <c r="CC70" s="165"/>
      <c r="CD70" s="165"/>
      <c r="CE70" s="165"/>
      <c r="CF70" s="165"/>
      <c r="CG70" s="165"/>
      <c r="CH70" s="165"/>
      <c r="CI70" s="170"/>
      <c r="CJ70" s="165"/>
      <c r="CK70" s="165"/>
      <c r="CL70" s="165"/>
      <c r="CM70" s="165"/>
      <c r="CN70" s="170"/>
      <c r="CO70" s="165"/>
      <c r="CP70" s="165"/>
      <c r="CQ70" s="165"/>
    </row>
    <row r="71" spans="1:95" x14ac:dyDescent="0.25">
      <c r="B71" s="156"/>
      <c r="C71" s="212" t="s">
        <v>1721</v>
      </c>
      <c r="D71" s="178"/>
      <c r="E71" s="179"/>
      <c r="F71" s="205">
        <f>+COUNTA(E72:E83)</f>
        <v>12</v>
      </c>
      <c r="G71" s="205">
        <f>SUM(G72:G83)</f>
        <v>25</v>
      </c>
      <c r="H71" s="208">
        <f>ROUND(SUM(H72:H83),1)</f>
        <v>3.1</v>
      </c>
      <c r="I71" s="222">
        <f t="shared" ref="I71:I92" si="20">SUM(J71:CQ71)-H71</f>
        <v>0</v>
      </c>
      <c r="J71" s="170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>
        <v>0.5</v>
      </c>
      <c r="AA71" s="165">
        <v>0.5</v>
      </c>
      <c r="AB71" s="165">
        <v>0.5</v>
      </c>
      <c r="AC71" s="165">
        <v>0.5</v>
      </c>
      <c r="AD71" s="165">
        <v>0.5</v>
      </c>
      <c r="AE71" s="165">
        <v>0.5</v>
      </c>
      <c r="AF71" s="165">
        <v>0.1</v>
      </c>
      <c r="AG71" s="165"/>
      <c r="AH71" s="165"/>
      <c r="AI71" s="165"/>
      <c r="AJ71" s="165"/>
      <c r="AK71" s="165"/>
      <c r="AL71" s="165"/>
      <c r="AM71" s="165"/>
      <c r="AN71" s="165"/>
      <c r="AO71" s="165"/>
      <c r="AP71" s="165"/>
      <c r="AQ71" s="165"/>
      <c r="AR71" s="165"/>
      <c r="AS71" s="165"/>
      <c r="AT71" s="165"/>
      <c r="AU71" s="165"/>
      <c r="AV71" s="165"/>
      <c r="AW71" s="165"/>
      <c r="AX71" s="165"/>
      <c r="AY71" s="165"/>
      <c r="AZ71" s="165"/>
      <c r="BA71" s="165"/>
      <c r="BB71" s="170"/>
      <c r="BC71" s="165"/>
      <c r="BD71" s="165"/>
      <c r="BE71" s="165"/>
      <c r="BF71" s="165"/>
      <c r="BG71" s="165"/>
      <c r="BH71" s="165"/>
      <c r="BI71" s="165"/>
      <c r="BJ71" s="165"/>
      <c r="BK71" s="165"/>
      <c r="BL71" s="165"/>
      <c r="BM71" s="165"/>
      <c r="BN71" s="165"/>
      <c r="BO71" s="165"/>
      <c r="BP71" s="165"/>
      <c r="BQ71" s="165"/>
      <c r="BR71" s="165"/>
      <c r="BS71" s="165"/>
      <c r="BT71" s="165"/>
      <c r="BU71" s="165"/>
      <c r="BV71" s="165"/>
      <c r="BW71" s="165"/>
      <c r="BX71" s="165"/>
      <c r="BY71" s="165"/>
      <c r="BZ71" s="165"/>
      <c r="CA71" s="165"/>
      <c r="CB71" s="165"/>
      <c r="CC71" s="165"/>
      <c r="CD71" s="165"/>
      <c r="CE71" s="165"/>
      <c r="CF71" s="165"/>
      <c r="CG71" s="165"/>
      <c r="CH71" s="165"/>
      <c r="CI71" s="170"/>
      <c r="CJ71" s="165"/>
      <c r="CK71" s="165"/>
      <c r="CL71" s="165"/>
      <c r="CM71" s="165"/>
      <c r="CN71" s="170"/>
      <c r="CO71" s="165"/>
      <c r="CP71" s="165"/>
      <c r="CQ71" s="165"/>
    </row>
    <row r="72" spans="1:95" outlineLevel="1" x14ac:dyDescent="0.25">
      <c r="B72" s="156" t="str">
        <f>Table1[[#Headers],[Especificação]]</f>
        <v>Especificação</v>
      </c>
      <c r="C72" s="154" t="str">
        <f t="shared" si="16"/>
        <v>ENTITY_GRP_ECNMC_ACTVTY</v>
      </c>
      <c r="D72" s="153" t="s">
        <v>10</v>
      </c>
      <c r="E72" s="153" t="s">
        <v>382</v>
      </c>
      <c r="G72" s="172">
        <f>INDEX(Table1[[Especificação]:[Total Testes]],MATCH('Sheet1 (2)'!C72,Table1[CONCAT],0),MATCH('Sheet1 (2)'!B72,Table1[[#Headers],[Especificação]:[Total Testes]],0))</f>
        <v>2</v>
      </c>
      <c r="H72" s="191">
        <f t="shared" ref="H72:H83" si="21">ROUND(G72/8,2)</f>
        <v>0.25</v>
      </c>
      <c r="I72" s="222"/>
      <c r="J72" s="170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5"/>
      <c r="AE72" s="165"/>
      <c r="AF72" s="165"/>
      <c r="AG72" s="165"/>
      <c r="AH72" s="165"/>
      <c r="AI72" s="165"/>
      <c r="AJ72" s="165"/>
      <c r="AK72" s="165"/>
      <c r="AL72" s="165"/>
      <c r="AM72" s="165"/>
      <c r="AN72" s="165"/>
      <c r="AO72" s="165"/>
      <c r="AP72" s="165"/>
      <c r="AQ72" s="165"/>
      <c r="AR72" s="165"/>
      <c r="AS72" s="165"/>
      <c r="AT72" s="165"/>
      <c r="AU72" s="165"/>
      <c r="AV72" s="165"/>
      <c r="AW72" s="165"/>
      <c r="AX72" s="165"/>
      <c r="AY72" s="165"/>
      <c r="AZ72" s="165"/>
      <c r="BA72" s="165"/>
      <c r="BB72" s="170"/>
      <c r="BC72" s="165"/>
      <c r="BD72" s="165"/>
      <c r="BE72" s="165"/>
      <c r="BF72" s="165"/>
      <c r="BG72" s="165"/>
      <c r="BH72" s="165"/>
      <c r="BI72" s="165"/>
      <c r="BJ72" s="165"/>
      <c r="BK72" s="165"/>
      <c r="BL72" s="165"/>
      <c r="BM72" s="165"/>
      <c r="BN72" s="165"/>
      <c r="BO72" s="165"/>
      <c r="BP72" s="165"/>
      <c r="BQ72" s="165"/>
      <c r="BR72" s="165"/>
      <c r="BS72" s="165"/>
      <c r="BT72" s="165"/>
      <c r="BU72" s="165"/>
      <c r="BV72" s="165"/>
      <c r="BW72" s="165"/>
      <c r="BX72" s="165"/>
      <c r="BY72" s="165"/>
      <c r="BZ72" s="165"/>
      <c r="CA72" s="165"/>
      <c r="CB72" s="165"/>
      <c r="CC72" s="165"/>
      <c r="CD72" s="165"/>
      <c r="CE72" s="165"/>
      <c r="CF72" s="165"/>
      <c r="CG72" s="165"/>
      <c r="CH72" s="165"/>
      <c r="CI72" s="170"/>
      <c r="CJ72" s="165"/>
      <c r="CK72" s="165"/>
      <c r="CL72" s="165"/>
      <c r="CM72" s="165"/>
      <c r="CN72" s="170"/>
      <c r="CO72" s="165"/>
      <c r="CP72" s="165"/>
      <c r="CQ72" s="165"/>
    </row>
    <row r="73" spans="1:95" outlineLevel="1" x14ac:dyDescent="0.25">
      <c r="B73" s="156" t="str">
        <f>Table1[[#Headers],[Especificação]]</f>
        <v>Especificação</v>
      </c>
      <c r="C73" s="154" t="str">
        <f t="shared" si="16"/>
        <v>PROTECTION_EPC_EMSSNS_LBL</v>
      </c>
      <c r="D73" s="153" t="s">
        <v>1114</v>
      </c>
      <c r="E73" s="153" t="s">
        <v>1238</v>
      </c>
      <c r="G73" s="172">
        <f>INDEX(Table1[[Especificação]:[Total Testes]],MATCH('Sheet1 (2)'!C73,Table1[CONCAT],0),MATCH('Sheet1 (2)'!B73,Table1[[#Headers],[Especificação]:[Total Testes]],0))</f>
        <v>2</v>
      </c>
      <c r="H73" s="191">
        <f t="shared" si="21"/>
        <v>0.25</v>
      </c>
      <c r="I73" s="222"/>
      <c r="J73" s="170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5"/>
      <c r="AE73" s="165"/>
      <c r="AF73" s="165"/>
      <c r="AG73" s="165"/>
      <c r="AH73" s="165"/>
      <c r="AI73" s="165"/>
      <c r="AJ73" s="165"/>
      <c r="AK73" s="165"/>
      <c r="AL73" s="165"/>
      <c r="AM73" s="165"/>
      <c r="AN73" s="165"/>
      <c r="AO73" s="165"/>
      <c r="AP73" s="165"/>
      <c r="AQ73" s="165"/>
      <c r="AR73" s="165"/>
      <c r="AS73" s="165"/>
      <c r="AT73" s="165"/>
      <c r="AU73" s="165"/>
      <c r="AV73" s="165"/>
      <c r="AW73" s="165"/>
      <c r="AX73" s="165"/>
      <c r="AY73" s="165"/>
      <c r="AZ73" s="165"/>
      <c r="BA73" s="165"/>
      <c r="BB73" s="170"/>
      <c r="BC73" s="165"/>
      <c r="BD73" s="165"/>
      <c r="BE73" s="165"/>
      <c r="BF73" s="165"/>
      <c r="BG73" s="165"/>
      <c r="BH73" s="165"/>
      <c r="BI73" s="165"/>
      <c r="BJ73" s="165"/>
      <c r="BK73" s="165"/>
      <c r="BL73" s="165"/>
      <c r="BM73" s="165"/>
      <c r="BN73" s="165"/>
      <c r="BO73" s="165"/>
      <c r="BP73" s="165"/>
      <c r="BQ73" s="165"/>
      <c r="BR73" s="165"/>
      <c r="BS73" s="165"/>
      <c r="BT73" s="165"/>
      <c r="BU73" s="165"/>
      <c r="BV73" s="165"/>
      <c r="BW73" s="165"/>
      <c r="BX73" s="165"/>
      <c r="BY73" s="165"/>
      <c r="BZ73" s="165"/>
      <c r="CA73" s="165"/>
      <c r="CB73" s="165"/>
      <c r="CC73" s="165"/>
      <c r="CD73" s="165"/>
      <c r="CE73" s="165"/>
      <c r="CF73" s="165"/>
      <c r="CG73" s="165"/>
      <c r="CH73" s="165"/>
      <c r="CI73" s="170"/>
      <c r="CJ73" s="165"/>
      <c r="CK73" s="165"/>
      <c r="CL73" s="165"/>
      <c r="CM73" s="165"/>
      <c r="CN73" s="170"/>
      <c r="CO73" s="165"/>
      <c r="CP73" s="165"/>
      <c r="CQ73" s="165"/>
    </row>
    <row r="74" spans="1:95" outlineLevel="1" x14ac:dyDescent="0.25">
      <c r="B74" s="156" t="str">
        <f>Table1[[#Headers],[Especificação]]</f>
        <v>Especificação</v>
      </c>
      <c r="C74" s="154" t="str">
        <f t="shared" si="16"/>
        <v>PROTECTION_TYP_EMSSNS_SCR</v>
      </c>
      <c r="D74" s="153" t="s">
        <v>1114</v>
      </c>
      <c r="E74" s="153" t="s">
        <v>1244</v>
      </c>
      <c r="G74" s="172">
        <f>INDEX(Table1[[Especificação]:[Total Testes]],MATCH('Sheet1 (2)'!C74,Table1[CONCAT],0),MATCH('Sheet1 (2)'!B74,Table1[[#Headers],[Especificação]:[Total Testes]],0))</f>
        <v>2</v>
      </c>
      <c r="H74" s="191">
        <f t="shared" si="21"/>
        <v>0.25</v>
      </c>
      <c r="I74" s="222"/>
      <c r="J74" s="170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  <c r="AD74" s="165"/>
      <c r="AE74" s="165"/>
      <c r="AF74" s="165"/>
      <c r="AG74" s="165"/>
      <c r="AH74" s="165"/>
      <c r="AI74" s="165"/>
      <c r="AJ74" s="165"/>
      <c r="AK74" s="165"/>
      <c r="AL74" s="165"/>
      <c r="AM74" s="165"/>
      <c r="AN74" s="165"/>
      <c r="AO74" s="165"/>
      <c r="AP74" s="165"/>
      <c r="AQ74" s="165"/>
      <c r="AR74" s="165"/>
      <c r="AS74" s="165"/>
      <c r="AT74" s="165"/>
      <c r="AU74" s="165"/>
      <c r="AV74" s="165"/>
      <c r="AW74" s="165"/>
      <c r="AX74" s="165"/>
      <c r="AY74" s="165"/>
      <c r="AZ74" s="165"/>
      <c r="BA74" s="165"/>
      <c r="BB74" s="170"/>
      <c r="BC74" s="165"/>
      <c r="BD74" s="165"/>
      <c r="BE74" s="165"/>
      <c r="BF74" s="165"/>
      <c r="BG74" s="165"/>
      <c r="BH74" s="165"/>
      <c r="BI74" s="165"/>
      <c r="BJ74" s="165"/>
      <c r="BK74" s="165"/>
      <c r="BL74" s="165"/>
      <c r="BM74" s="165"/>
      <c r="BN74" s="165"/>
      <c r="BO74" s="165"/>
      <c r="BP74" s="165"/>
      <c r="BQ74" s="165"/>
      <c r="BR74" s="165"/>
      <c r="BS74" s="165"/>
      <c r="BT74" s="165"/>
      <c r="BU74" s="165"/>
      <c r="BV74" s="165"/>
      <c r="BW74" s="165"/>
      <c r="BX74" s="165"/>
      <c r="BY74" s="165"/>
      <c r="BZ74" s="165"/>
      <c r="CA74" s="165"/>
      <c r="CB74" s="165"/>
      <c r="CC74" s="165"/>
      <c r="CD74" s="165"/>
      <c r="CE74" s="165"/>
      <c r="CF74" s="165"/>
      <c r="CG74" s="165"/>
      <c r="CH74" s="165"/>
      <c r="CI74" s="170"/>
      <c r="CJ74" s="165"/>
      <c r="CK74" s="165"/>
      <c r="CL74" s="165"/>
      <c r="CM74" s="165"/>
      <c r="CN74" s="170"/>
      <c r="CO74" s="165"/>
      <c r="CP74" s="165"/>
      <c r="CQ74" s="165"/>
    </row>
    <row r="75" spans="1:95" outlineLevel="1" x14ac:dyDescent="0.25">
      <c r="B75" s="156" t="str">
        <f>Table1[[#Headers],[Especificação]]</f>
        <v>Especificação</v>
      </c>
      <c r="C75" s="154" t="str">
        <f t="shared" si="16"/>
        <v>PROTECTION_EPC_EMSSNS_SCR</v>
      </c>
      <c r="D75" s="153" t="s">
        <v>1114</v>
      </c>
      <c r="E75" s="153" t="s">
        <v>1247</v>
      </c>
      <c r="G75" s="172">
        <f>INDEX(Table1[[Especificação]:[Total Testes]],MATCH('Sheet1 (2)'!C75,Table1[CONCAT],0),MATCH('Sheet1 (2)'!B75,Table1[[#Headers],[Especificação]:[Total Testes]],0))</f>
        <v>4</v>
      </c>
      <c r="H75" s="191">
        <f t="shared" si="21"/>
        <v>0.5</v>
      </c>
      <c r="I75" s="222"/>
      <c r="J75" s="170"/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  <c r="AA75" s="165"/>
      <c r="AB75" s="165"/>
      <c r="AC75" s="165"/>
      <c r="AD75" s="165"/>
      <c r="AE75" s="165"/>
      <c r="AF75" s="165"/>
      <c r="AG75" s="165"/>
      <c r="AH75" s="165"/>
      <c r="AI75" s="165"/>
      <c r="AJ75" s="165"/>
      <c r="AK75" s="165"/>
      <c r="AL75" s="165"/>
      <c r="AM75" s="165"/>
      <c r="AN75" s="165"/>
      <c r="AO75" s="165"/>
      <c r="AP75" s="165"/>
      <c r="AQ75" s="165"/>
      <c r="AR75" s="165"/>
      <c r="AS75" s="165"/>
      <c r="AT75" s="165"/>
      <c r="AU75" s="165"/>
      <c r="AV75" s="165"/>
      <c r="AW75" s="165"/>
      <c r="AX75" s="165"/>
      <c r="AY75" s="165"/>
      <c r="AZ75" s="165"/>
      <c r="BA75" s="165"/>
      <c r="BB75" s="170"/>
      <c r="BC75" s="165"/>
      <c r="BD75" s="165"/>
      <c r="BE75" s="165"/>
      <c r="BF75" s="165"/>
      <c r="BG75" s="165"/>
      <c r="BH75" s="165"/>
      <c r="BI75" s="165"/>
      <c r="BJ75" s="165"/>
      <c r="BK75" s="165"/>
      <c r="BL75" s="165"/>
      <c r="BM75" s="165"/>
      <c r="BN75" s="165"/>
      <c r="BO75" s="165"/>
      <c r="BP75" s="165"/>
      <c r="BQ75" s="165"/>
      <c r="BR75" s="165"/>
      <c r="BS75" s="165"/>
      <c r="BT75" s="165"/>
      <c r="BU75" s="165"/>
      <c r="BV75" s="165"/>
      <c r="BW75" s="165"/>
      <c r="BX75" s="165"/>
      <c r="BY75" s="165"/>
      <c r="BZ75" s="165"/>
      <c r="CA75" s="165"/>
      <c r="CB75" s="165"/>
      <c r="CC75" s="165"/>
      <c r="CD75" s="165"/>
      <c r="CE75" s="165"/>
      <c r="CF75" s="165"/>
      <c r="CG75" s="165"/>
      <c r="CH75" s="165"/>
      <c r="CI75" s="170"/>
      <c r="CJ75" s="165"/>
      <c r="CK75" s="165"/>
      <c r="CL75" s="165"/>
      <c r="CM75" s="165"/>
      <c r="CN75" s="170"/>
      <c r="CO75" s="165"/>
      <c r="CP75" s="165"/>
      <c r="CQ75" s="165"/>
    </row>
    <row r="76" spans="1:95" outlineLevel="1" x14ac:dyDescent="0.25">
      <c r="B76" s="156" t="str">
        <f>Table1[[#Headers],[Especificação]]</f>
        <v>Especificação</v>
      </c>
      <c r="C76" s="154" t="str">
        <f t="shared" si="16"/>
        <v>INSTRUMENT_INTRNL_SGMNT</v>
      </c>
      <c r="D76" s="153" t="s">
        <v>414</v>
      </c>
      <c r="E76" s="153" t="s">
        <v>50</v>
      </c>
      <c r="G76" s="172">
        <f>INDEX(Table1[[Especificação]:[Total Testes]],MATCH('Sheet1 (2)'!C76,Table1[CONCAT],0),MATCH('Sheet1 (2)'!B76,Table1[[#Headers],[Especificação]:[Total Testes]],0))</f>
        <v>2</v>
      </c>
      <c r="H76" s="191">
        <f t="shared" si="21"/>
        <v>0.25</v>
      </c>
      <c r="I76" s="222"/>
      <c r="J76" s="170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  <c r="AK76" s="165"/>
      <c r="AL76" s="165"/>
      <c r="AM76" s="165"/>
      <c r="AN76" s="165"/>
      <c r="AO76" s="165"/>
      <c r="AP76" s="165"/>
      <c r="AQ76" s="165"/>
      <c r="AR76" s="165"/>
      <c r="AS76" s="165"/>
      <c r="AT76" s="165"/>
      <c r="AU76" s="165"/>
      <c r="AV76" s="165"/>
      <c r="AW76" s="165"/>
      <c r="AX76" s="165"/>
      <c r="AY76" s="165"/>
      <c r="AZ76" s="165"/>
      <c r="BA76" s="165"/>
      <c r="BB76" s="170"/>
      <c r="BC76" s="165"/>
      <c r="BD76" s="165"/>
      <c r="BE76" s="165"/>
      <c r="BF76" s="165"/>
      <c r="BG76" s="165"/>
      <c r="BH76" s="165"/>
      <c r="BI76" s="165"/>
      <c r="BJ76" s="165"/>
      <c r="BK76" s="165"/>
      <c r="BL76" s="165"/>
      <c r="BM76" s="165"/>
      <c r="BN76" s="165"/>
      <c r="BO76" s="165"/>
      <c r="BP76" s="165"/>
      <c r="BQ76" s="165"/>
      <c r="BR76" s="165"/>
      <c r="BS76" s="165"/>
      <c r="BT76" s="165"/>
      <c r="BU76" s="165"/>
      <c r="BV76" s="165"/>
      <c r="BW76" s="165"/>
      <c r="BX76" s="165"/>
      <c r="BY76" s="165"/>
      <c r="BZ76" s="165"/>
      <c r="CA76" s="165"/>
      <c r="CB76" s="165"/>
      <c r="CC76" s="165"/>
      <c r="CD76" s="165"/>
      <c r="CE76" s="165"/>
      <c r="CF76" s="165"/>
      <c r="CG76" s="165"/>
      <c r="CH76" s="165"/>
      <c r="CI76" s="170"/>
      <c r="CJ76" s="165"/>
      <c r="CK76" s="165"/>
      <c r="CL76" s="165"/>
      <c r="CM76" s="165"/>
      <c r="CN76" s="170"/>
      <c r="CO76" s="165"/>
      <c r="CP76" s="165"/>
      <c r="CQ76" s="165"/>
    </row>
    <row r="77" spans="1:95" outlineLevel="1" x14ac:dyDescent="0.25">
      <c r="B77" s="156" t="str">
        <f>Table1[[#Headers],[Especificação]]</f>
        <v>Especificação</v>
      </c>
      <c r="C77" s="154" t="str">
        <f t="shared" si="16"/>
        <v>INSTRUMENT_EAD</v>
      </c>
      <c r="D77" s="153" t="s">
        <v>414</v>
      </c>
      <c r="E77" s="153" t="s">
        <v>617</v>
      </c>
      <c r="G77" s="172">
        <f>INDEX(Table1[[Especificação]:[Total Testes]],MATCH('Sheet1 (2)'!C77,Table1[CONCAT],0),MATCH('Sheet1 (2)'!B77,Table1[[#Headers],[Especificação]:[Total Testes]],0))</f>
        <v>1</v>
      </c>
      <c r="H77" s="191">
        <f t="shared" si="21"/>
        <v>0.13</v>
      </c>
      <c r="I77" s="222"/>
      <c r="J77" s="170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  <c r="AA77" s="165"/>
      <c r="AB77" s="165"/>
      <c r="AC77" s="165"/>
      <c r="AD77" s="165"/>
      <c r="AE77" s="165"/>
      <c r="AF77" s="165"/>
      <c r="AG77" s="165"/>
      <c r="AH77" s="165"/>
      <c r="AI77" s="165"/>
      <c r="AJ77" s="165"/>
      <c r="AK77" s="165"/>
      <c r="AL77" s="165"/>
      <c r="AM77" s="165"/>
      <c r="AN77" s="165"/>
      <c r="AO77" s="165"/>
      <c r="AP77" s="165"/>
      <c r="AQ77" s="165"/>
      <c r="AR77" s="165"/>
      <c r="AS77" s="165"/>
      <c r="AT77" s="165"/>
      <c r="AU77" s="165"/>
      <c r="AV77" s="165"/>
      <c r="AW77" s="165"/>
      <c r="AX77" s="165"/>
      <c r="AY77" s="165"/>
      <c r="AZ77" s="165"/>
      <c r="BA77" s="165"/>
      <c r="BB77" s="170"/>
      <c r="BC77" s="165"/>
      <c r="BD77" s="165"/>
      <c r="BE77" s="165"/>
      <c r="BF77" s="165"/>
      <c r="BG77" s="165"/>
      <c r="BH77" s="165"/>
      <c r="BI77" s="165"/>
      <c r="BJ77" s="165"/>
      <c r="BK77" s="165"/>
      <c r="BL77" s="165"/>
      <c r="BM77" s="165"/>
      <c r="BN77" s="165"/>
      <c r="BO77" s="165"/>
      <c r="BP77" s="165"/>
      <c r="BQ77" s="165"/>
      <c r="BR77" s="165"/>
      <c r="BS77" s="165"/>
      <c r="BT77" s="165"/>
      <c r="BU77" s="165"/>
      <c r="BV77" s="165"/>
      <c r="BW77" s="165"/>
      <c r="BX77" s="165"/>
      <c r="BY77" s="165"/>
      <c r="BZ77" s="165"/>
      <c r="CA77" s="165"/>
      <c r="CB77" s="165"/>
      <c r="CC77" s="165"/>
      <c r="CD77" s="165"/>
      <c r="CE77" s="165"/>
      <c r="CF77" s="165"/>
      <c r="CG77" s="165"/>
      <c r="CH77" s="165"/>
      <c r="CI77" s="170"/>
      <c r="CJ77" s="165"/>
      <c r="CK77" s="165"/>
      <c r="CL77" s="165"/>
      <c r="CM77" s="165"/>
      <c r="CN77" s="170"/>
      <c r="CO77" s="165"/>
      <c r="CP77" s="165"/>
      <c r="CQ77" s="165"/>
    </row>
    <row r="78" spans="1:95" outlineLevel="1" x14ac:dyDescent="0.25">
      <c r="B78" s="156" t="str">
        <f>Table1[[#Headers],[Especificação]]</f>
        <v>Especificação</v>
      </c>
      <c r="C78" s="154" t="str">
        <f t="shared" si="16"/>
        <v>INSTRUMENT_OFF_BLNC_SHT_AMNT_INSTRMNT</v>
      </c>
      <c r="D78" s="153" t="s">
        <v>414</v>
      </c>
      <c r="E78" s="153" t="s">
        <v>629</v>
      </c>
      <c r="G78" s="172">
        <f>INDEX(Table1[[Especificação]:[Total Testes]],MATCH('Sheet1 (2)'!C78,Table1[CONCAT],0),MATCH('Sheet1 (2)'!B78,Table1[[#Headers],[Especificação]:[Total Testes]],0))</f>
        <v>2</v>
      </c>
      <c r="H78" s="191">
        <f t="shared" si="21"/>
        <v>0.25</v>
      </c>
      <c r="I78" s="222"/>
      <c r="J78" s="170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  <c r="AA78" s="165"/>
      <c r="AB78" s="165"/>
      <c r="AC78" s="165"/>
      <c r="AD78" s="165"/>
      <c r="AE78" s="165"/>
      <c r="AF78" s="165"/>
      <c r="AG78" s="165"/>
      <c r="AH78" s="165"/>
      <c r="AI78" s="165"/>
      <c r="AJ78" s="165"/>
      <c r="AK78" s="165"/>
      <c r="AL78" s="165"/>
      <c r="AM78" s="165"/>
      <c r="AN78" s="165"/>
      <c r="AO78" s="165"/>
      <c r="AP78" s="165"/>
      <c r="AQ78" s="165"/>
      <c r="AR78" s="165"/>
      <c r="AS78" s="165"/>
      <c r="AT78" s="165"/>
      <c r="AU78" s="165"/>
      <c r="AV78" s="165"/>
      <c r="AW78" s="165"/>
      <c r="AX78" s="165"/>
      <c r="AY78" s="165"/>
      <c r="AZ78" s="165"/>
      <c r="BA78" s="165"/>
      <c r="BB78" s="170"/>
      <c r="BC78" s="165"/>
      <c r="BD78" s="165"/>
      <c r="BE78" s="165"/>
      <c r="BF78" s="165"/>
      <c r="BG78" s="165"/>
      <c r="BH78" s="165"/>
      <c r="BI78" s="165"/>
      <c r="BJ78" s="165"/>
      <c r="BK78" s="165"/>
      <c r="BL78" s="165"/>
      <c r="BM78" s="165"/>
      <c r="BN78" s="165"/>
      <c r="BO78" s="165"/>
      <c r="BP78" s="165"/>
      <c r="BQ78" s="165"/>
      <c r="BR78" s="165"/>
      <c r="BS78" s="165"/>
      <c r="BT78" s="165"/>
      <c r="BU78" s="165"/>
      <c r="BV78" s="165"/>
      <c r="BW78" s="165"/>
      <c r="BX78" s="165"/>
      <c r="BY78" s="165"/>
      <c r="BZ78" s="165"/>
      <c r="CA78" s="165"/>
      <c r="CB78" s="165"/>
      <c r="CC78" s="165"/>
      <c r="CD78" s="165"/>
      <c r="CE78" s="165"/>
      <c r="CF78" s="165"/>
      <c r="CG78" s="165"/>
      <c r="CH78" s="165"/>
      <c r="CI78" s="170"/>
      <c r="CJ78" s="165"/>
      <c r="CK78" s="165"/>
      <c r="CL78" s="165"/>
      <c r="CM78" s="165"/>
      <c r="CN78" s="170"/>
      <c r="CO78" s="165"/>
      <c r="CP78" s="165"/>
      <c r="CQ78" s="165"/>
    </row>
    <row r="79" spans="1:95" outlineLevel="1" x14ac:dyDescent="0.25">
      <c r="B79" s="156" t="str">
        <f>Table1[[#Headers],[Especificação]]</f>
        <v>Especificação</v>
      </c>
      <c r="C79" s="154" t="str">
        <f t="shared" ref="C79:C83" si="22">D79&amp;"_"&amp;E79</f>
        <v>INSTRUMENT_INTRNL_SGMNT_CAT_MSTA</v>
      </c>
      <c r="D79" s="153" t="s">
        <v>414</v>
      </c>
      <c r="E79" s="153" t="s">
        <v>943</v>
      </c>
      <c r="G79" s="172">
        <f>INDEX(Table1[[Especificação]:[Total Testes]],MATCH('Sheet1 (2)'!C79,Table1[CONCAT],0),MATCH('Sheet1 (2)'!B79,Table1[[#Headers],[Especificação]:[Total Testes]],0))</f>
        <v>2</v>
      </c>
      <c r="H79" s="191">
        <f t="shared" si="21"/>
        <v>0.25</v>
      </c>
      <c r="I79" s="222"/>
      <c r="J79" s="170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  <c r="AA79" s="165"/>
      <c r="AB79" s="165"/>
      <c r="AC79" s="165"/>
      <c r="AD79" s="165"/>
      <c r="AE79" s="165"/>
      <c r="AF79" s="165"/>
      <c r="AG79" s="165"/>
      <c r="AH79" s="165"/>
      <c r="AI79" s="165"/>
      <c r="AJ79" s="165"/>
      <c r="AK79" s="165"/>
      <c r="AL79" s="165"/>
      <c r="AM79" s="165"/>
      <c r="AN79" s="165"/>
      <c r="AO79" s="165"/>
      <c r="AP79" s="165"/>
      <c r="AQ79" s="165"/>
      <c r="AR79" s="165"/>
      <c r="AS79" s="165"/>
      <c r="AT79" s="165"/>
      <c r="AU79" s="165"/>
      <c r="AV79" s="165"/>
      <c r="AW79" s="165"/>
      <c r="AX79" s="165"/>
      <c r="AY79" s="165"/>
      <c r="AZ79" s="165"/>
      <c r="BA79" s="165"/>
      <c r="BB79" s="170"/>
      <c r="BC79" s="165"/>
      <c r="BD79" s="165"/>
      <c r="BE79" s="165"/>
      <c r="BF79" s="165"/>
      <c r="BG79" s="165"/>
      <c r="BH79" s="165"/>
      <c r="BI79" s="165"/>
      <c r="BJ79" s="165"/>
      <c r="BK79" s="165"/>
      <c r="BL79" s="165"/>
      <c r="BM79" s="165"/>
      <c r="BN79" s="165"/>
      <c r="BO79" s="165"/>
      <c r="BP79" s="165"/>
      <c r="BQ79" s="165"/>
      <c r="BR79" s="165"/>
      <c r="BS79" s="165"/>
      <c r="BT79" s="165"/>
      <c r="BU79" s="165"/>
      <c r="BV79" s="165"/>
      <c r="BW79" s="165"/>
      <c r="BX79" s="165"/>
      <c r="BY79" s="165"/>
      <c r="BZ79" s="165"/>
      <c r="CA79" s="165"/>
      <c r="CB79" s="165"/>
      <c r="CC79" s="165"/>
      <c r="CD79" s="165"/>
      <c r="CE79" s="165"/>
      <c r="CF79" s="165"/>
      <c r="CG79" s="165"/>
      <c r="CH79" s="165"/>
      <c r="CI79" s="170"/>
      <c r="CJ79" s="165"/>
      <c r="CK79" s="165"/>
      <c r="CL79" s="165"/>
      <c r="CM79" s="165"/>
      <c r="CN79" s="170"/>
      <c r="CO79" s="165"/>
      <c r="CP79" s="165"/>
      <c r="CQ79" s="165"/>
    </row>
    <row r="80" spans="1:95" outlineLevel="1" x14ac:dyDescent="0.25">
      <c r="B80" s="156" t="str">
        <f>Table1[[#Headers],[Especificação]]</f>
        <v>Especificação</v>
      </c>
      <c r="C80" s="154" t="str">
        <f t="shared" si="22"/>
        <v>INSTRUMENT_INTRNL_SGMNT_CATGSUB</v>
      </c>
      <c r="D80" s="153" t="s">
        <v>414</v>
      </c>
      <c r="E80" s="153" t="s">
        <v>946</v>
      </c>
      <c r="G80" s="172">
        <f>INDEX(Table1[[Especificação]:[Total Testes]],MATCH('Sheet1 (2)'!C80,Table1[CONCAT],0),MATCH('Sheet1 (2)'!B80,Table1[[#Headers],[Especificação]:[Total Testes]],0))</f>
        <v>2</v>
      </c>
      <c r="H80" s="191">
        <f t="shared" si="21"/>
        <v>0.25</v>
      </c>
      <c r="I80" s="222"/>
      <c r="J80" s="170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  <c r="AD80" s="165"/>
      <c r="AE80" s="165"/>
      <c r="AF80" s="165"/>
      <c r="AG80" s="165"/>
      <c r="AH80" s="165"/>
      <c r="AI80" s="165"/>
      <c r="AJ80" s="165"/>
      <c r="AK80" s="165"/>
      <c r="AL80" s="165"/>
      <c r="AM80" s="165"/>
      <c r="AN80" s="165"/>
      <c r="AO80" s="165"/>
      <c r="AP80" s="165"/>
      <c r="AQ80" s="165"/>
      <c r="AR80" s="165"/>
      <c r="AS80" s="165"/>
      <c r="AT80" s="165"/>
      <c r="AU80" s="165"/>
      <c r="AV80" s="165"/>
      <c r="AW80" s="165"/>
      <c r="AX80" s="165"/>
      <c r="AY80" s="165"/>
      <c r="AZ80" s="165"/>
      <c r="BA80" s="165"/>
      <c r="BB80" s="170"/>
      <c r="BC80" s="165"/>
      <c r="BD80" s="165"/>
      <c r="BE80" s="165"/>
      <c r="BF80" s="165"/>
      <c r="BG80" s="165"/>
      <c r="BH80" s="165"/>
      <c r="BI80" s="165"/>
      <c r="BJ80" s="165"/>
      <c r="BK80" s="165"/>
      <c r="BL80" s="165"/>
      <c r="BM80" s="165"/>
      <c r="BN80" s="165"/>
      <c r="BO80" s="165"/>
      <c r="BP80" s="165"/>
      <c r="BQ80" s="165"/>
      <c r="BR80" s="165"/>
      <c r="BS80" s="165"/>
      <c r="BT80" s="165"/>
      <c r="BU80" s="165"/>
      <c r="BV80" s="165"/>
      <c r="BW80" s="165"/>
      <c r="BX80" s="165"/>
      <c r="BY80" s="165"/>
      <c r="BZ80" s="165"/>
      <c r="CA80" s="165"/>
      <c r="CB80" s="165"/>
      <c r="CC80" s="165"/>
      <c r="CD80" s="165"/>
      <c r="CE80" s="165"/>
      <c r="CF80" s="165"/>
      <c r="CG80" s="165"/>
      <c r="CH80" s="165"/>
      <c r="CI80" s="170"/>
      <c r="CJ80" s="165"/>
      <c r="CK80" s="165"/>
      <c r="CL80" s="165"/>
      <c r="CM80" s="165"/>
      <c r="CN80" s="170"/>
      <c r="CO80" s="165"/>
      <c r="CP80" s="165"/>
      <c r="CQ80" s="165"/>
    </row>
    <row r="81" spans="1:95" outlineLevel="1" x14ac:dyDescent="0.25">
      <c r="B81" s="156" t="str">
        <f>Table1[[#Headers],[Especificação]]</f>
        <v>Especificação</v>
      </c>
      <c r="C81" s="154" t="str">
        <f t="shared" si="22"/>
        <v>PROTECTION_RL_ESTT_ADDRSS</v>
      </c>
      <c r="D81" s="153" t="s">
        <v>1114</v>
      </c>
      <c r="E81" s="153" t="s">
        <v>1127</v>
      </c>
      <c r="G81" s="172">
        <f>INDEX(Table1[[Especificação]:[Total Testes]],MATCH('Sheet1 (2)'!C81,Table1[CONCAT],0),MATCH('Sheet1 (2)'!B81,Table1[[#Headers],[Especificação]:[Total Testes]],0))</f>
        <v>2</v>
      </c>
      <c r="H81" s="191">
        <f t="shared" si="21"/>
        <v>0.25</v>
      </c>
      <c r="I81" s="222"/>
      <c r="J81" s="170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  <c r="AD81" s="165"/>
      <c r="AE81" s="165"/>
      <c r="AF81" s="165"/>
      <c r="AG81" s="165"/>
      <c r="AH81" s="165"/>
      <c r="AI81" s="165"/>
      <c r="AJ81" s="165"/>
      <c r="AK81" s="165"/>
      <c r="AL81" s="165"/>
      <c r="AM81" s="165"/>
      <c r="AN81" s="165"/>
      <c r="AO81" s="165"/>
      <c r="AP81" s="165"/>
      <c r="AQ81" s="165"/>
      <c r="AR81" s="165"/>
      <c r="AS81" s="165"/>
      <c r="AT81" s="165"/>
      <c r="AU81" s="165"/>
      <c r="AV81" s="165"/>
      <c r="AW81" s="165"/>
      <c r="AX81" s="165"/>
      <c r="AY81" s="165"/>
      <c r="AZ81" s="165"/>
      <c r="BA81" s="165"/>
      <c r="BB81" s="170"/>
      <c r="BC81" s="165"/>
      <c r="BD81" s="165"/>
      <c r="BE81" s="165"/>
      <c r="BF81" s="165"/>
      <c r="BG81" s="165"/>
      <c r="BH81" s="165"/>
      <c r="BI81" s="165"/>
      <c r="BJ81" s="165"/>
      <c r="BK81" s="165"/>
      <c r="BL81" s="165"/>
      <c r="BM81" s="165"/>
      <c r="BN81" s="165"/>
      <c r="BO81" s="165"/>
      <c r="BP81" s="165"/>
      <c r="BQ81" s="165"/>
      <c r="BR81" s="165"/>
      <c r="BS81" s="165"/>
      <c r="BT81" s="165"/>
      <c r="BU81" s="165"/>
      <c r="BV81" s="165"/>
      <c r="BW81" s="165"/>
      <c r="BX81" s="165"/>
      <c r="BY81" s="165"/>
      <c r="BZ81" s="165"/>
      <c r="CA81" s="165"/>
      <c r="CB81" s="165"/>
      <c r="CC81" s="165"/>
      <c r="CD81" s="165"/>
      <c r="CE81" s="165"/>
      <c r="CF81" s="165"/>
      <c r="CG81" s="165"/>
      <c r="CH81" s="165"/>
      <c r="CI81" s="170"/>
      <c r="CJ81" s="165"/>
      <c r="CK81" s="165"/>
      <c r="CL81" s="165"/>
      <c r="CM81" s="165"/>
      <c r="CN81" s="170"/>
      <c r="CO81" s="165"/>
      <c r="CP81" s="165"/>
      <c r="CQ81" s="165"/>
    </row>
    <row r="82" spans="1:95" outlineLevel="1" x14ac:dyDescent="0.25">
      <c r="B82" s="156" t="str">
        <f>Table1[[#Headers],[Especificação]]</f>
        <v>Especificação</v>
      </c>
      <c r="C82" s="154" t="str">
        <f t="shared" si="22"/>
        <v>PROTECTION_RL_ESTT_CLLTRL_LCTN_INT</v>
      </c>
      <c r="D82" s="153" t="s">
        <v>1114</v>
      </c>
      <c r="E82" s="153" t="s">
        <v>1133</v>
      </c>
      <c r="G82" s="172">
        <f>INDEX(Table1[[Especificação]:[Total Testes]],MATCH('Sheet1 (2)'!C82,Table1[CONCAT],0),MATCH('Sheet1 (2)'!B82,Table1[[#Headers],[Especificação]:[Total Testes]],0))</f>
        <v>2</v>
      </c>
      <c r="H82" s="191">
        <f t="shared" si="21"/>
        <v>0.25</v>
      </c>
      <c r="I82" s="222"/>
      <c r="J82" s="170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  <c r="AA82" s="165"/>
      <c r="AB82" s="165"/>
      <c r="AC82" s="165"/>
      <c r="AD82" s="165"/>
      <c r="AE82" s="165"/>
      <c r="AF82" s="165"/>
      <c r="AG82" s="165"/>
      <c r="AH82" s="165"/>
      <c r="AI82" s="165"/>
      <c r="AJ82" s="165"/>
      <c r="AK82" s="165"/>
      <c r="AL82" s="165"/>
      <c r="AM82" s="165"/>
      <c r="AN82" s="165"/>
      <c r="AO82" s="165"/>
      <c r="AP82" s="165"/>
      <c r="AQ82" s="165"/>
      <c r="AR82" s="165"/>
      <c r="AS82" s="165"/>
      <c r="AT82" s="165"/>
      <c r="AU82" s="165"/>
      <c r="AV82" s="165"/>
      <c r="AW82" s="165"/>
      <c r="AX82" s="165"/>
      <c r="AY82" s="165"/>
      <c r="AZ82" s="165"/>
      <c r="BA82" s="165"/>
      <c r="BB82" s="170"/>
      <c r="BC82" s="165"/>
      <c r="BD82" s="165"/>
      <c r="BE82" s="165"/>
      <c r="BF82" s="165"/>
      <c r="BG82" s="165"/>
      <c r="BH82" s="165"/>
      <c r="BI82" s="165"/>
      <c r="BJ82" s="165"/>
      <c r="BK82" s="165"/>
      <c r="BL82" s="165"/>
      <c r="BM82" s="165"/>
      <c r="BN82" s="165"/>
      <c r="BO82" s="165"/>
      <c r="BP82" s="165"/>
      <c r="BQ82" s="165"/>
      <c r="BR82" s="165"/>
      <c r="BS82" s="165"/>
      <c r="BT82" s="165"/>
      <c r="BU82" s="165"/>
      <c r="BV82" s="165"/>
      <c r="BW82" s="165"/>
      <c r="BX82" s="165"/>
      <c r="BY82" s="165"/>
      <c r="BZ82" s="165"/>
      <c r="CA82" s="165"/>
      <c r="CB82" s="165"/>
      <c r="CC82" s="165"/>
      <c r="CD82" s="165"/>
      <c r="CE82" s="165"/>
      <c r="CF82" s="165"/>
      <c r="CG82" s="165"/>
      <c r="CH82" s="165"/>
      <c r="CI82" s="170"/>
      <c r="CJ82" s="165"/>
      <c r="CK82" s="165"/>
      <c r="CL82" s="165"/>
      <c r="CM82" s="165"/>
      <c r="CN82" s="170"/>
      <c r="CO82" s="165"/>
      <c r="CP82" s="165"/>
      <c r="CQ82" s="165"/>
    </row>
    <row r="83" spans="1:95" outlineLevel="1" x14ac:dyDescent="0.25">
      <c r="B83" s="156" t="str">
        <f>Table1[[#Headers],[Especificação]]</f>
        <v>Especificação</v>
      </c>
      <c r="C83" s="154" t="str">
        <f t="shared" si="22"/>
        <v>PROTECTION_RL_ESTT_CTY</v>
      </c>
      <c r="D83" s="153" t="s">
        <v>1114</v>
      </c>
      <c r="E83" s="153" t="s">
        <v>1136</v>
      </c>
      <c r="G83" s="172">
        <f>INDEX(Table1[[Especificação]:[Total Testes]],MATCH('Sheet1 (2)'!C83,Table1[CONCAT],0),MATCH('Sheet1 (2)'!B83,Table1[[#Headers],[Especificação]:[Total Testes]],0))</f>
        <v>2</v>
      </c>
      <c r="H83" s="191">
        <f t="shared" si="21"/>
        <v>0.25</v>
      </c>
      <c r="I83" s="222"/>
      <c r="J83" s="170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  <c r="AK83" s="165"/>
      <c r="AL83" s="165"/>
      <c r="AM83" s="165"/>
      <c r="AN83" s="165"/>
      <c r="AO83" s="165"/>
      <c r="AP83" s="165"/>
      <c r="AQ83" s="165"/>
      <c r="AR83" s="165"/>
      <c r="AS83" s="165"/>
      <c r="AT83" s="165"/>
      <c r="AU83" s="165"/>
      <c r="AV83" s="165"/>
      <c r="AW83" s="165"/>
      <c r="AX83" s="165"/>
      <c r="AY83" s="165"/>
      <c r="AZ83" s="165"/>
      <c r="BA83" s="165"/>
      <c r="BB83" s="170"/>
      <c r="BC83" s="165"/>
      <c r="BD83" s="165"/>
      <c r="BE83" s="165"/>
      <c r="BF83" s="165"/>
      <c r="BG83" s="165"/>
      <c r="BH83" s="165"/>
      <c r="BI83" s="165"/>
      <c r="BJ83" s="165"/>
      <c r="BK83" s="165"/>
      <c r="BL83" s="165"/>
      <c r="BM83" s="165"/>
      <c r="BN83" s="165"/>
      <c r="BO83" s="165"/>
      <c r="BP83" s="165"/>
      <c r="BQ83" s="165"/>
      <c r="BR83" s="165"/>
      <c r="BS83" s="165"/>
      <c r="BT83" s="165"/>
      <c r="BU83" s="165"/>
      <c r="BV83" s="165"/>
      <c r="BW83" s="165"/>
      <c r="BX83" s="165"/>
      <c r="BY83" s="165"/>
      <c r="BZ83" s="165"/>
      <c r="CA83" s="165"/>
      <c r="CB83" s="165"/>
      <c r="CC83" s="165"/>
      <c r="CD83" s="165"/>
      <c r="CE83" s="165"/>
      <c r="CF83" s="165"/>
      <c r="CG83" s="165"/>
      <c r="CH83" s="165"/>
      <c r="CI83" s="170"/>
      <c r="CJ83" s="165"/>
      <c r="CK83" s="165"/>
      <c r="CL83" s="165"/>
      <c r="CM83" s="165"/>
      <c r="CN83" s="170"/>
      <c r="CO83" s="165"/>
      <c r="CP83" s="165"/>
      <c r="CQ83" s="165"/>
    </row>
    <row r="84" spans="1:95" outlineLevel="1" x14ac:dyDescent="0.25">
      <c r="A84" s="228"/>
      <c r="B84" s="236" t="str">
        <f>Table1[[#Headers],[Especificação]]</f>
        <v>Especificação</v>
      </c>
      <c r="C84" s="237" t="str">
        <f t="shared" ref="C84:C91" si="23">D84&amp;"_"&amp;E84</f>
        <v>PROTECTION_TYP_EMSSNS_LBL</v>
      </c>
      <c r="D84" s="232" t="s">
        <v>1114</v>
      </c>
      <c r="E84" s="232" t="s">
        <v>1235</v>
      </c>
      <c r="F84" s="238"/>
      <c r="G84" s="233">
        <f>INDEX(Table1[[Especificação]:[Total Testes]],MATCH('Sheet1 (2)'!C84,Table1[CONCAT],0),MATCH('Sheet1 (2)'!B84,Table1[[#Headers],[Especificação]:[Total Testes]],0))</f>
        <v>0</v>
      </c>
      <c r="H84" s="239">
        <f t="shared" ref="H84:H91" si="24">ROUND(G84/8,2)</f>
        <v>0</v>
      </c>
      <c r="I84" s="240"/>
      <c r="J84" s="170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  <c r="AA84" s="165"/>
      <c r="AB84" s="165"/>
      <c r="AC84" s="165"/>
      <c r="AD84" s="165"/>
      <c r="AE84" s="165"/>
      <c r="AF84" s="165"/>
      <c r="AG84" s="165"/>
      <c r="AH84" s="165"/>
      <c r="AI84" s="165"/>
      <c r="AJ84" s="165"/>
      <c r="AK84" s="165"/>
      <c r="AL84" s="165"/>
      <c r="AM84" s="165"/>
      <c r="AN84" s="165"/>
      <c r="AO84" s="165"/>
      <c r="AP84" s="165"/>
      <c r="AQ84" s="165"/>
      <c r="AR84" s="165"/>
      <c r="AS84" s="165"/>
      <c r="AT84" s="165"/>
      <c r="AU84" s="165"/>
      <c r="AV84" s="165"/>
      <c r="AW84" s="165"/>
      <c r="AX84" s="165"/>
      <c r="AY84" s="165"/>
      <c r="AZ84" s="165"/>
      <c r="BA84" s="165"/>
      <c r="BB84" s="170"/>
      <c r="BC84" s="165"/>
      <c r="BD84" s="165"/>
      <c r="BE84" s="165"/>
      <c r="BF84" s="165"/>
      <c r="BG84" s="165"/>
      <c r="BH84" s="165"/>
      <c r="BI84" s="165"/>
      <c r="BJ84" s="165"/>
      <c r="BK84" s="165"/>
      <c r="BL84" s="165"/>
      <c r="BM84" s="165"/>
      <c r="BN84" s="165"/>
      <c r="BO84" s="165"/>
      <c r="BP84" s="165"/>
      <c r="BQ84" s="165"/>
      <c r="BR84" s="165"/>
      <c r="BS84" s="165"/>
      <c r="BT84" s="165"/>
      <c r="BU84" s="165"/>
      <c r="BV84" s="165"/>
      <c r="BW84" s="165"/>
      <c r="BX84" s="165"/>
      <c r="BY84" s="165"/>
      <c r="BZ84" s="165"/>
      <c r="CA84" s="165"/>
      <c r="CB84" s="165"/>
      <c r="CC84" s="165"/>
      <c r="CD84" s="165"/>
      <c r="CE84" s="165"/>
      <c r="CF84" s="165"/>
      <c r="CG84" s="165"/>
      <c r="CH84" s="165"/>
      <c r="CI84" s="170"/>
      <c r="CJ84" s="165"/>
      <c r="CK84" s="165"/>
      <c r="CL84" s="165"/>
      <c r="CM84" s="165"/>
      <c r="CN84" s="170"/>
      <c r="CO84" s="165"/>
      <c r="CP84" s="165"/>
      <c r="CQ84" s="165"/>
    </row>
    <row r="85" spans="1:95" outlineLevel="1" x14ac:dyDescent="0.25">
      <c r="A85" s="228"/>
      <c r="B85" s="236" t="str">
        <f>Table1[[#Headers],[Especificação]]</f>
        <v>Especificação</v>
      </c>
      <c r="C85" s="237" t="str">
        <f t="shared" si="23"/>
        <v>PROTECTION_VHCL_EMSSNS_LBL</v>
      </c>
      <c r="D85" s="232" t="s">
        <v>1114</v>
      </c>
      <c r="E85" s="232" t="s">
        <v>1241</v>
      </c>
      <c r="F85" s="238"/>
      <c r="G85" s="233">
        <f>INDEX(Table1[[Especificação]:[Total Testes]],MATCH('Sheet1 (2)'!C85,Table1[CONCAT],0),MATCH('Sheet1 (2)'!B85,Table1[[#Headers],[Especificação]:[Total Testes]],0))</f>
        <v>0</v>
      </c>
      <c r="H85" s="239">
        <f t="shared" si="24"/>
        <v>0</v>
      </c>
      <c r="I85" s="240"/>
      <c r="J85" s="170"/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  <c r="AA85" s="165"/>
      <c r="AB85" s="165"/>
      <c r="AC85" s="165"/>
      <c r="AD85" s="165"/>
      <c r="AE85" s="165"/>
      <c r="AF85" s="165"/>
      <c r="AG85" s="165"/>
      <c r="AH85" s="165"/>
      <c r="AI85" s="165"/>
      <c r="AJ85" s="165"/>
      <c r="AK85" s="165"/>
      <c r="AL85" s="165"/>
      <c r="AM85" s="165"/>
      <c r="AN85" s="165"/>
      <c r="AO85" s="165"/>
      <c r="AP85" s="165"/>
      <c r="AQ85" s="165"/>
      <c r="AR85" s="165"/>
      <c r="AS85" s="165"/>
      <c r="AT85" s="165"/>
      <c r="AU85" s="165"/>
      <c r="AV85" s="165"/>
      <c r="AW85" s="165"/>
      <c r="AX85" s="165"/>
      <c r="AY85" s="165"/>
      <c r="AZ85" s="165"/>
      <c r="BA85" s="165"/>
      <c r="BB85" s="170"/>
      <c r="BC85" s="165"/>
      <c r="BD85" s="165"/>
      <c r="BE85" s="165"/>
      <c r="BF85" s="165"/>
      <c r="BG85" s="165"/>
      <c r="BH85" s="165"/>
      <c r="BI85" s="165"/>
      <c r="BJ85" s="165"/>
      <c r="BK85" s="165"/>
      <c r="BL85" s="165"/>
      <c r="BM85" s="165"/>
      <c r="BN85" s="165"/>
      <c r="BO85" s="165"/>
      <c r="BP85" s="165"/>
      <c r="BQ85" s="165"/>
      <c r="BR85" s="165"/>
      <c r="BS85" s="165"/>
      <c r="BT85" s="165"/>
      <c r="BU85" s="165"/>
      <c r="BV85" s="165"/>
      <c r="BW85" s="165"/>
      <c r="BX85" s="165"/>
      <c r="BY85" s="165"/>
      <c r="BZ85" s="165"/>
      <c r="CA85" s="165"/>
      <c r="CB85" s="165"/>
      <c r="CC85" s="165"/>
      <c r="CD85" s="165"/>
      <c r="CE85" s="165"/>
      <c r="CF85" s="165"/>
      <c r="CG85" s="165"/>
      <c r="CH85" s="165"/>
      <c r="CI85" s="170"/>
      <c r="CJ85" s="165"/>
      <c r="CK85" s="165"/>
      <c r="CL85" s="165"/>
      <c r="CM85" s="165"/>
      <c r="CN85" s="170"/>
      <c r="CO85" s="165"/>
      <c r="CP85" s="165"/>
      <c r="CQ85" s="165"/>
    </row>
    <row r="86" spans="1:95" outlineLevel="1" x14ac:dyDescent="0.25">
      <c r="A86" s="228"/>
      <c r="B86" s="236" t="str">
        <f>Table1[[#Headers],[Especificação]]</f>
        <v>Especificação</v>
      </c>
      <c r="C86" s="237" t="str">
        <f t="shared" si="23"/>
        <v>PROTECTION_VHCL_EMSSNS_SCR</v>
      </c>
      <c r="D86" s="232" t="s">
        <v>1114</v>
      </c>
      <c r="E86" s="232" t="s">
        <v>1250</v>
      </c>
      <c r="F86" s="238"/>
      <c r="G86" s="233">
        <f>INDEX(Table1[[Especificação]:[Total Testes]],MATCH('Sheet1 (2)'!C86,Table1[CONCAT],0),MATCH('Sheet1 (2)'!B86,Table1[[#Headers],[Especificação]:[Total Testes]],0))</f>
        <v>0</v>
      </c>
      <c r="H86" s="239">
        <f t="shared" si="24"/>
        <v>0</v>
      </c>
      <c r="I86" s="240"/>
      <c r="J86" s="170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  <c r="AA86" s="165"/>
      <c r="AB86" s="165"/>
      <c r="AC86" s="165"/>
      <c r="AD86" s="165"/>
      <c r="AE86" s="165"/>
      <c r="AF86" s="165"/>
      <c r="AG86" s="165"/>
      <c r="AH86" s="165"/>
      <c r="AI86" s="165"/>
      <c r="AJ86" s="165"/>
      <c r="AK86" s="165"/>
      <c r="AL86" s="165"/>
      <c r="AM86" s="165"/>
      <c r="AN86" s="165"/>
      <c r="AO86" s="165"/>
      <c r="AP86" s="165"/>
      <c r="AQ86" s="165"/>
      <c r="AR86" s="165"/>
      <c r="AS86" s="165"/>
      <c r="AT86" s="165"/>
      <c r="AU86" s="165"/>
      <c r="AV86" s="165"/>
      <c r="AW86" s="165"/>
      <c r="AX86" s="165"/>
      <c r="AY86" s="165"/>
      <c r="AZ86" s="165"/>
      <c r="BA86" s="165"/>
      <c r="BB86" s="170"/>
      <c r="BC86" s="165"/>
      <c r="BD86" s="165"/>
      <c r="BE86" s="165"/>
      <c r="BF86" s="165"/>
      <c r="BG86" s="165"/>
      <c r="BH86" s="165"/>
      <c r="BI86" s="165"/>
      <c r="BJ86" s="165"/>
      <c r="BK86" s="165"/>
      <c r="BL86" s="165"/>
      <c r="BM86" s="165"/>
      <c r="BN86" s="165"/>
      <c r="BO86" s="165"/>
      <c r="BP86" s="165"/>
      <c r="BQ86" s="165"/>
      <c r="BR86" s="165"/>
      <c r="BS86" s="165"/>
      <c r="BT86" s="165"/>
      <c r="BU86" s="165"/>
      <c r="BV86" s="165"/>
      <c r="BW86" s="165"/>
      <c r="BX86" s="165"/>
      <c r="BY86" s="165"/>
      <c r="BZ86" s="165"/>
      <c r="CA86" s="165"/>
      <c r="CB86" s="165"/>
      <c r="CC86" s="165"/>
      <c r="CD86" s="165"/>
      <c r="CE86" s="165"/>
      <c r="CF86" s="165"/>
      <c r="CG86" s="165"/>
      <c r="CH86" s="165"/>
      <c r="CI86" s="170"/>
      <c r="CJ86" s="165"/>
      <c r="CK86" s="165"/>
      <c r="CL86" s="165"/>
      <c r="CM86" s="165"/>
      <c r="CN86" s="170"/>
      <c r="CO86" s="165"/>
      <c r="CP86" s="165"/>
      <c r="CQ86" s="165"/>
    </row>
    <row r="87" spans="1:95" outlineLevel="1" x14ac:dyDescent="0.25">
      <c r="A87" s="228"/>
      <c r="B87" s="236" t="str">
        <f>Table1[[#Headers],[Especificação]]</f>
        <v>Especificação</v>
      </c>
      <c r="C87" s="237" t="str">
        <f t="shared" si="23"/>
        <v>PROTECTION_INSRNC_ID</v>
      </c>
      <c r="D87" s="232" t="s">
        <v>1114</v>
      </c>
      <c r="E87" s="232" t="s">
        <v>1275</v>
      </c>
      <c r="F87" s="238"/>
      <c r="G87" s="233">
        <f>INDEX(Table1[[Especificação]:[Total Testes]],MATCH('Sheet1 (2)'!C87,Table1[CONCAT],0),MATCH('Sheet1 (2)'!B87,Table1[[#Headers],[Especificação]:[Total Testes]],0))</f>
        <v>0</v>
      </c>
      <c r="H87" s="239">
        <f t="shared" si="24"/>
        <v>0</v>
      </c>
      <c r="I87" s="240"/>
      <c r="J87" s="170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  <c r="AD87" s="165"/>
      <c r="AE87" s="165"/>
      <c r="AF87" s="165"/>
      <c r="AG87" s="165"/>
      <c r="AH87" s="165"/>
      <c r="AI87" s="165"/>
      <c r="AJ87" s="165"/>
      <c r="AK87" s="165"/>
      <c r="AL87" s="165"/>
      <c r="AM87" s="165"/>
      <c r="AN87" s="165"/>
      <c r="AO87" s="165"/>
      <c r="AP87" s="165"/>
      <c r="AQ87" s="165"/>
      <c r="AR87" s="165"/>
      <c r="AS87" s="165"/>
      <c r="AT87" s="165"/>
      <c r="AU87" s="165"/>
      <c r="AV87" s="165"/>
      <c r="AW87" s="165"/>
      <c r="AX87" s="165"/>
      <c r="AY87" s="165"/>
      <c r="AZ87" s="165"/>
      <c r="BA87" s="165"/>
      <c r="BB87" s="170"/>
      <c r="BC87" s="165"/>
      <c r="BD87" s="165"/>
      <c r="BE87" s="165"/>
      <c r="BF87" s="165"/>
      <c r="BG87" s="165"/>
      <c r="BH87" s="165"/>
      <c r="BI87" s="165"/>
      <c r="BJ87" s="165"/>
      <c r="BK87" s="165"/>
      <c r="BL87" s="165"/>
      <c r="BM87" s="165"/>
      <c r="BN87" s="165"/>
      <c r="BO87" s="165"/>
      <c r="BP87" s="165"/>
      <c r="BQ87" s="165"/>
      <c r="BR87" s="165"/>
      <c r="BS87" s="165"/>
      <c r="BT87" s="165"/>
      <c r="BU87" s="165"/>
      <c r="BV87" s="165"/>
      <c r="BW87" s="165"/>
      <c r="BX87" s="165"/>
      <c r="BY87" s="165"/>
      <c r="BZ87" s="165"/>
      <c r="CA87" s="165"/>
      <c r="CB87" s="165"/>
      <c r="CC87" s="165"/>
      <c r="CD87" s="165"/>
      <c r="CE87" s="165"/>
      <c r="CF87" s="165"/>
      <c r="CG87" s="165"/>
      <c r="CH87" s="165"/>
      <c r="CI87" s="170"/>
      <c r="CJ87" s="165"/>
      <c r="CK87" s="165"/>
      <c r="CL87" s="165"/>
      <c r="CM87" s="165"/>
      <c r="CN87" s="170"/>
      <c r="CO87" s="165"/>
      <c r="CP87" s="165"/>
      <c r="CQ87" s="165"/>
    </row>
    <row r="88" spans="1:95" outlineLevel="1" x14ac:dyDescent="0.25">
      <c r="A88" s="228"/>
      <c r="B88" s="236" t="str">
        <f>Table1[[#Headers],[Especificação]]</f>
        <v>Especificação</v>
      </c>
      <c r="C88" s="237" t="str">
        <f t="shared" si="23"/>
        <v>PROTECTION_TYP_HZRDS_INSRD</v>
      </c>
      <c r="D88" s="232" t="s">
        <v>1114</v>
      </c>
      <c r="E88" s="232" t="s">
        <v>1278</v>
      </c>
      <c r="F88" s="238"/>
      <c r="G88" s="233">
        <f>INDEX(Table1[[Especificação]:[Total Testes]],MATCH('Sheet1 (2)'!C88,Table1[CONCAT],0),MATCH('Sheet1 (2)'!B88,Table1[[#Headers],[Especificação]:[Total Testes]],0))</f>
        <v>0</v>
      </c>
      <c r="H88" s="239">
        <f t="shared" si="24"/>
        <v>0</v>
      </c>
      <c r="I88" s="240"/>
      <c r="J88" s="170"/>
      <c r="K88" s="165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165"/>
      <c r="AF88" s="165"/>
      <c r="AG88" s="165"/>
      <c r="AH88" s="165"/>
      <c r="AI88" s="165"/>
      <c r="AJ88" s="165"/>
      <c r="AK88" s="165"/>
      <c r="AL88" s="165"/>
      <c r="AM88" s="165"/>
      <c r="AN88" s="165"/>
      <c r="AO88" s="165"/>
      <c r="AP88" s="165"/>
      <c r="AQ88" s="165"/>
      <c r="AR88" s="165"/>
      <c r="AS88" s="165"/>
      <c r="AT88" s="165"/>
      <c r="AU88" s="165"/>
      <c r="AV88" s="165"/>
      <c r="AW88" s="165"/>
      <c r="AX88" s="165"/>
      <c r="AY88" s="165"/>
      <c r="AZ88" s="165"/>
      <c r="BA88" s="165"/>
      <c r="BB88" s="170"/>
      <c r="BC88" s="165"/>
      <c r="BD88" s="165"/>
      <c r="BE88" s="165"/>
      <c r="BF88" s="165"/>
      <c r="BG88" s="165"/>
      <c r="BH88" s="165"/>
      <c r="BI88" s="165"/>
      <c r="BJ88" s="165"/>
      <c r="BK88" s="165"/>
      <c r="BL88" s="165"/>
      <c r="BM88" s="165"/>
      <c r="BN88" s="165"/>
      <c r="BO88" s="165"/>
      <c r="BP88" s="165"/>
      <c r="BQ88" s="165"/>
      <c r="BR88" s="165"/>
      <c r="BS88" s="165"/>
      <c r="BT88" s="165"/>
      <c r="BU88" s="165"/>
      <c r="BV88" s="165"/>
      <c r="BW88" s="165"/>
      <c r="BX88" s="165"/>
      <c r="BY88" s="165"/>
      <c r="BZ88" s="165"/>
      <c r="CA88" s="165"/>
      <c r="CB88" s="165"/>
      <c r="CC88" s="165"/>
      <c r="CD88" s="165"/>
      <c r="CE88" s="165"/>
      <c r="CF88" s="165"/>
      <c r="CG88" s="165"/>
      <c r="CH88" s="165"/>
      <c r="CI88" s="170"/>
      <c r="CJ88" s="165"/>
      <c r="CK88" s="165"/>
      <c r="CL88" s="165"/>
      <c r="CM88" s="165"/>
      <c r="CN88" s="170"/>
      <c r="CO88" s="165"/>
      <c r="CP88" s="165"/>
      <c r="CQ88" s="165"/>
    </row>
    <row r="89" spans="1:95" outlineLevel="1" x14ac:dyDescent="0.25">
      <c r="A89" s="228"/>
      <c r="B89" s="236" t="str">
        <f>Table1[[#Headers],[Especificação]]</f>
        <v>Especificação</v>
      </c>
      <c r="C89" s="237" t="str">
        <f t="shared" si="23"/>
        <v>PROTECTION_AMNT_CVRD_INSRNC</v>
      </c>
      <c r="D89" s="232" t="s">
        <v>1114</v>
      </c>
      <c r="E89" s="232" t="s">
        <v>1281</v>
      </c>
      <c r="F89" s="238"/>
      <c r="G89" s="233">
        <f>INDEX(Table1[[Especificação]:[Total Testes]],MATCH('Sheet1 (2)'!C89,Table1[CONCAT],0),MATCH('Sheet1 (2)'!B89,Table1[[#Headers],[Especificação]:[Total Testes]],0))</f>
        <v>0</v>
      </c>
      <c r="H89" s="239">
        <f t="shared" si="24"/>
        <v>0</v>
      </c>
      <c r="I89" s="240"/>
      <c r="J89" s="170"/>
      <c r="K89" s="165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  <c r="AD89" s="165"/>
      <c r="AE89" s="165"/>
      <c r="AF89" s="165"/>
      <c r="AG89" s="165"/>
      <c r="AH89" s="165"/>
      <c r="AI89" s="165"/>
      <c r="AJ89" s="165"/>
      <c r="AK89" s="165"/>
      <c r="AL89" s="165"/>
      <c r="AM89" s="165"/>
      <c r="AN89" s="165"/>
      <c r="AO89" s="165"/>
      <c r="AP89" s="165"/>
      <c r="AQ89" s="165"/>
      <c r="AR89" s="165"/>
      <c r="AS89" s="165"/>
      <c r="AT89" s="165"/>
      <c r="AU89" s="165"/>
      <c r="AV89" s="165"/>
      <c r="AW89" s="165"/>
      <c r="AX89" s="165"/>
      <c r="AY89" s="165"/>
      <c r="AZ89" s="165"/>
      <c r="BA89" s="165"/>
      <c r="BB89" s="170"/>
      <c r="BC89" s="165"/>
      <c r="BD89" s="165"/>
      <c r="BE89" s="165"/>
      <c r="BF89" s="165"/>
      <c r="BG89" s="165"/>
      <c r="BH89" s="165"/>
      <c r="BI89" s="165"/>
      <c r="BJ89" s="165"/>
      <c r="BK89" s="165"/>
      <c r="BL89" s="165"/>
      <c r="BM89" s="165"/>
      <c r="BN89" s="165"/>
      <c r="BO89" s="165"/>
      <c r="BP89" s="165"/>
      <c r="BQ89" s="165"/>
      <c r="BR89" s="165"/>
      <c r="BS89" s="165"/>
      <c r="BT89" s="165"/>
      <c r="BU89" s="165"/>
      <c r="BV89" s="165"/>
      <c r="BW89" s="165"/>
      <c r="BX89" s="165"/>
      <c r="BY89" s="165"/>
      <c r="BZ89" s="165"/>
      <c r="CA89" s="165"/>
      <c r="CB89" s="165"/>
      <c r="CC89" s="165"/>
      <c r="CD89" s="165"/>
      <c r="CE89" s="165"/>
      <c r="CF89" s="165"/>
      <c r="CG89" s="165"/>
      <c r="CH89" s="165"/>
      <c r="CI89" s="170"/>
      <c r="CJ89" s="165"/>
      <c r="CK89" s="165"/>
      <c r="CL89" s="165"/>
      <c r="CM89" s="165"/>
      <c r="CN89" s="170"/>
      <c r="CO89" s="165"/>
      <c r="CP89" s="165"/>
      <c r="CQ89" s="165"/>
    </row>
    <row r="90" spans="1:95" outlineLevel="1" x14ac:dyDescent="0.25">
      <c r="A90" s="228"/>
      <c r="B90" s="236" t="str">
        <f>Table1[[#Headers],[Especificação]]</f>
        <v>Especificação</v>
      </c>
      <c r="C90" s="237" t="str">
        <f t="shared" si="23"/>
        <v>PROTECTION_DT_MTRTY_INSRNC</v>
      </c>
      <c r="D90" s="232" t="s">
        <v>1114</v>
      </c>
      <c r="E90" s="232" t="s">
        <v>1284</v>
      </c>
      <c r="F90" s="238"/>
      <c r="G90" s="233">
        <f>INDEX(Table1[[Especificação]:[Total Testes]],MATCH('Sheet1 (2)'!C90,Table1[CONCAT],0),MATCH('Sheet1 (2)'!B90,Table1[[#Headers],[Especificação]:[Total Testes]],0))</f>
        <v>0</v>
      </c>
      <c r="H90" s="239">
        <f t="shared" si="24"/>
        <v>0</v>
      </c>
      <c r="I90" s="240"/>
      <c r="J90" s="170"/>
      <c r="K90" s="165"/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  <c r="AD90" s="165"/>
      <c r="AE90" s="165"/>
      <c r="AF90" s="165"/>
      <c r="AG90" s="165"/>
      <c r="AH90" s="165"/>
      <c r="AI90" s="165"/>
      <c r="AJ90" s="165"/>
      <c r="AK90" s="165"/>
      <c r="AL90" s="165"/>
      <c r="AM90" s="165"/>
      <c r="AN90" s="165"/>
      <c r="AO90" s="165"/>
      <c r="AP90" s="165"/>
      <c r="AQ90" s="165"/>
      <c r="AR90" s="165"/>
      <c r="AS90" s="165"/>
      <c r="AT90" s="165"/>
      <c r="AU90" s="165"/>
      <c r="AV90" s="165"/>
      <c r="AW90" s="165"/>
      <c r="AX90" s="165"/>
      <c r="AY90" s="165"/>
      <c r="AZ90" s="165"/>
      <c r="BA90" s="165"/>
      <c r="BB90" s="170"/>
      <c r="BC90" s="165"/>
      <c r="BD90" s="165"/>
      <c r="BE90" s="165"/>
      <c r="BF90" s="165"/>
      <c r="BG90" s="165"/>
      <c r="BH90" s="165"/>
      <c r="BI90" s="165"/>
      <c r="BJ90" s="165"/>
      <c r="BK90" s="165"/>
      <c r="BL90" s="165"/>
      <c r="BM90" s="165"/>
      <c r="BN90" s="165"/>
      <c r="BO90" s="165"/>
      <c r="BP90" s="165"/>
      <c r="BQ90" s="165"/>
      <c r="BR90" s="165"/>
      <c r="BS90" s="165"/>
      <c r="BT90" s="165"/>
      <c r="BU90" s="165"/>
      <c r="BV90" s="165"/>
      <c r="BW90" s="165"/>
      <c r="BX90" s="165"/>
      <c r="BY90" s="165"/>
      <c r="BZ90" s="165"/>
      <c r="CA90" s="165"/>
      <c r="CB90" s="165"/>
      <c r="CC90" s="165"/>
      <c r="CD90" s="165"/>
      <c r="CE90" s="165"/>
      <c r="CF90" s="165"/>
      <c r="CG90" s="165"/>
      <c r="CH90" s="165"/>
      <c r="CI90" s="170"/>
      <c r="CJ90" s="165"/>
      <c r="CK90" s="165"/>
      <c r="CL90" s="165"/>
      <c r="CM90" s="165"/>
      <c r="CN90" s="170"/>
      <c r="CO90" s="165"/>
      <c r="CP90" s="165"/>
      <c r="CQ90" s="165"/>
    </row>
    <row r="91" spans="1:95" outlineLevel="1" x14ac:dyDescent="0.25">
      <c r="A91" s="228"/>
      <c r="B91" s="236" t="str">
        <f>Table1[[#Headers],[Especificação]]</f>
        <v>Especificação</v>
      </c>
      <c r="C91" s="237" t="str">
        <f t="shared" si="23"/>
        <v>PROTECTION_FLG_FRST_HM</v>
      </c>
      <c r="D91" s="232" t="s">
        <v>1114</v>
      </c>
      <c r="E91" s="232" t="s">
        <v>1287</v>
      </c>
      <c r="F91" s="238"/>
      <c r="G91" s="233">
        <f>INDEX(Table1[[Especificação]:[Total Testes]],MATCH('Sheet1 (2)'!C91,Table1[CONCAT],0),MATCH('Sheet1 (2)'!B91,Table1[[#Headers],[Especificação]:[Total Testes]],0))</f>
        <v>0</v>
      </c>
      <c r="H91" s="239">
        <f t="shared" si="24"/>
        <v>0</v>
      </c>
      <c r="I91" s="240"/>
      <c r="J91" s="170"/>
      <c r="K91" s="165"/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  <c r="AA91" s="165"/>
      <c r="AB91" s="165"/>
      <c r="AC91" s="165"/>
      <c r="AD91" s="165"/>
      <c r="AE91" s="165"/>
      <c r="AF91" s="165"/>
      <c r="AG91" s="165"/>
      <c r="AH91" s="165"/>
      <c r="AI91" s="165"/>
      <c r="AJ91" s="165"/>
      <c r="AK91" s="165"/>
      <c r="AL91" s="165"/>
      <c r="AM91" s="165"/>
      <c r="AN91" s="165"/>
      <c r="AO91" s="165"/>
      <c r="AP91" s="165"/>
      <c r="AQ91" s="165"/>
      <c r="AR91" s="165"/>
      <c r="AS91" s="165"/>
      <c r="AT91" s="165"/>
      <c r="AU91" s="165"/>
      <c r="AV91" s="165"/>
      <c r="AW91" s="165"/>
      <c r="AX91" s="165"/>
      <c r="AY91" s="165"/>
      <c r="AZ91" s="165"/>
      <c r="BA91" s="165"/>
      <c r="BB91" s="170"/>
      <c r="BC91" s="165"/>
      <c r="BD91" s="165"/>
      <c r="BE91" s="165"/>
      <c r="BF91" s="165"/>
      <c r="BG91" s="165"/>
      <c r="BH91" s="165"/>
      <c r="BI91" s="165"/>
      <c r="BJ91" s="165"/>
      <c r="BK91" s="165"/>
      <c r="BL91" s="165"/>
      <c r="BM91" s="165"/>
      <c r="BN91" s="165"/>
      <c r="BO91" s="165"/>
      <c r="BP91" s="165"/>
      <c r="BQ91" s="165"/>
      <c r="BR91" s="165"/>
      <c r="BS91" s="165"/>
      <c r="BT91" s="165"/>
      <c r="BU91" s="165"/>
      <c r="BV91" s="165"/>
      <c r="BW91" s="165"/>
      <c r="BX91" s="165"/>
      <c r="BY91" s="165"/>
      <c r="BZ91" s="165"/>
      <c r="CA91" s="165"/>
      <c r="CB91" s="165"/>
      <c r="CC91" s="165"/>
      <c r="CD91" s="165"/>
      <c r="CE91" s="165"/>
      <c r="CF91" s="165"/>
      <c r="CG91" s="165"/>
      <c r="CH91" s="165"/>
      <c r="CI91" s="170"/>
      <c r="CJ91" s="165"/>
      <c r="CK91" s="165"/>
      <c r="CL91" s="165"/>
      <c r="CM91" s="165"/>
      <c r="CN91" s="170"/>
      <c r="CO91" s="165"/>
      <c r="CP91" s="165"/>
      <c r="CQ91" s="165"/>
    </row>
    <row r="92" spans="1:95" x14ac:dyDescent="0.25">
      <c r="B92" s="156"/>
      <c r="C92" s="177" t="s">
        <v>1749</v>
      </c>
      <c r="D92" s="178"/>
      <c r="E92" s="179"/>
      <c r="F92" s="205">
        <f>COUNTA(E93:E124)</f>
        <v>32</v>
      </c>
      <c r="G92" s="205">
        <f>SUM(G93:G124)</f>
        <v>77.5</v>
      </c>
      <c r="H92" s="208">
        <f>ROUND(SUM(H93:H124),1)</f>
        <v>9.8000000000000007</v>
      </c>
      <c r="I92" s="222">
        <f t="shared" si="20"/>
        <v>0</v>
      </c>
      <c r="J92" s="170"/>
      <c r="K92" s="165"/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>
        <v>1</v>
      </c>
      <c r="AA92" s="165">
        <v>1</v>
      </c>
      <c r="AB92" s="165">
        <v>1</v>
      </c>
      <c r="AC92" s="165">
        <v>1</v>
      </c>
      <c r="AD92" s="165">
        <v>1</v>
      </c>
      <c r="AE92" s="165">
        <v>1</v>
      </c>
      <c r="AF92" s="165">
        <v>1</v>
      </c>
      <c r="AG92" s="165">
        <v>0.5</v>
      </c>
      <c r="AH92" s="165">
        <v>0.5</v>
      </c>
      <c r="AI92" s="165">
        <v>0.5</v>
      </c>
      <c r="AJ92" s="165">
        <v>0.5</v>
      </c>
      <c r="AK92" s="165">
        <v>0.5</v>
      </c>
      <c r="AL92" s="165">
        <v>0.3</v>
      </c>
      <c r="AM92" s="165"/>
      <c r="AN92" s="165"/>
      <c r="AO92" s="165"/>
      <c r="AP92" s="165"/>
      <c r="AQ92" s="165"/>
      <c r="AR92" s="165"/>
      <c r="AS92" s="165"/>
      <c r="AT92" s="165"/>
      <c r="AU92" s="165"/>
      <c r="AV92" s="165"/>
      <c r="AW92" s="165"/>
      <c r="AX92" s="165"/>
      <c r="AY92" s="165"/>
      <c r="AZ92" s="165"/>
      <c r="BA92" s="165"/>
      <c r="BB92" s="170"/>
      <c r="BC92" s="165"/>
      <c r="BD92" s="165"/>
      <c r="BE92" s="165"/>
      <c r="BF92" s="165"/>
      <c r="BG92" s="165"/>
      <c r="BH92" s="165"/>
      <c r="BI92" s="165"/>
      <c r="BJ92" s="165"/>
      <c r="BK92" s="165"/>
      <c r="BL92" s="165"/>
      <c r="BM92" s="165"/>
      <c r="BN92" s="165"/>
      <c r="BO92" s="165"/>
      <c r="BP92" s="165"/>
      <c r="BQ92" s="165"/>
      <c r="BR92" s="165"/>
      <c r="BS92" s="165"/>
      <c r="BT92" s="165"/>
      <c r="BU92" s="165"/>
      <c r="BV92" s="165"/>
      <c r="BW92" s="165"/>
      <c r="BX92" s="165"/>
      <c r="BY92" s="165"/>
      <c r="BZ92" s="165"/>
      <c r="CA92" s="165"/>
      <c r="CB92" s="165"/>
      <c r="CC92" s="165"/>
      <c r="CD92" s="165"/>
      <c r="CE92" s="165"/>
      <c r="CF92" s="165"/>
      <c r="CG92" s="165"/>
      <c r="CH92" s="165"/>
      <c r="CI92" s="170"/>
      <c r="CJ92" s="165"/>
      <c r="CK92" s="165"/>
      <c r="CL92" s="165"/>
      <c r="CM92" s="165"/>
      <c r="CN92" s="170"/>
      <c r="CO92" s="165"/>
      <c r="CP92" s="165"/>
      <c r="CQ92" s="165"/>
    </row>
    <row r="93" spans="1:95" outlineLevel="1" x14ac:dyDescent="0.25">
      <c r="B93" s="156" t="str">
        <f>Table1[[#Headers],[Simulação]]</f>
        <v>Simulação</v>
      </c>
      <c r="C93" s="154" t="str">
        <f t="shared" ref="C93:C148" si="25">D93&amp;"_"&amp;E93</f>
        <v>ENTITY_TXNMY_ELGBL_CAPEX_W</v>
      </c>
      <c r="D93" s="153" t="s">
        <v>10</v>
      </c>
      <c r="E93" s="153" t="s">
        <v>1402</v>
      </c>
      <c r="G93" s="172">
        <f>INDEX(Table1[[Especificação]:[Total Testes]],MATCH('Sheet1 (2)'!C93,Table1[CONCAT],0),MATCH('Sheet1 (2)'!B93,Table1[[#Headers],[Especificação]:[Total Testes]],0))</f>
        <v>6</v>
      </c>
      <c r="H93" s="191">
        <f t="shared" ref="H93:H148" si="26">ROUND(G93/8,2)</f>
        <v>0.75</v>
      </c>
      <c r="I93" s="222"/>
      <c r="J93" s="170"/>
      <c r="K93" s="165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  <c r="AA93" s="165"/>
      <c r="AB93" s="165"/>
      <c r="AC93" s="165"/>
      <c r="AD93" s="165"/>
      <c r="AE93" s="165"/>
      <c r="AF93" s="165"/>
      <c r="AG93" s="165"/>
      <c r="AH93" s="165"/>
      <c r="AI93" s="165"/>
      <c r="AJ93" s="165"/>
      <c r="AK93" s="165"/>
      <c r="AL93" s="165"/>
      <c r="AM93" s="165"/>
      <c r="AN93" s="165"/>
      <c r="AO93" s="165"/>
      <c r="AP93" s="165"/>
      <c r="AQ93" s="165"/>
      <c r="AR93" s="165"/>
      <c r="AS93" s="165"/>
      <c r="AT93" s="165"/>
      <c r="AU93" s="165"/>
      <c r="AV93" s="165"/>
      <c r="AW93" s="165"/>
      <c r="AX93" s="165"/>
      <c r="AY93" s="165"/>
      <c r="AZ93" s="165"/>
      <c r="BA93" s="165"/>
      <c r="BB93" s="170"/>
      <c r="BC93" s="165"/>
      <c r="BD93" s="165"/>
      <c r="BE93" s="165"/>
      <c r="BF93" s="165"/>
      <c r="BG93" s="165"/>
      <c r="BH93" s="165"/>
      <c r="BI93" s="165"/>
      <c r="BJ93" s="165"/>
      <c r="BK93" s="165"/>
      <c r="BL93" s="165"/>
      <c r="BM93" s="165"/>
      <c r="BN93" s="165"/>
      <c r="BO93" s="165"/>
      <c r="BP93" s="165"/>
      <c r="BQ93" s="165"/>
      <c r="BR93" s="165"/>
      <c r="BS93" s="165"/>
      <c r="BT93" s="165"/>
      <c r="BU93" s="165"/>
      <c r="BV93" s="165"/>
      <c r="BW93" s="165"/>
      <c r="BX93" s="165"/>
      <c r="BY93" s="165"/>
      <c r="BZ93" s="165"/>
      <c r="CA93" s="165"/>
      <c r="CB93" s="165"/>
      <c r="CC93" s="165"/>
      <c r="CD93" s="165"/>
      <c r="CE93" s="165"/>
      <c r="CF93" s="165"/>
      <c r="CG93" s="165"/>
      <c r="CH93" s="165"/>
      <c r="CI93" s="170"/>
      <c r="CJ93" s="165"/>
      <c r="CK93" s="165"/>
      <c r="CL93" s="165"/>
      <c r="CM93" s="165"/>
      <c r="CN93" s="170"/>
      <c r="CO93" s="165"/>
      <c r="CP93" s="165"/>
      <c r="CQ93" s="165"/>
    </row>
    <row r="94" spans="1:95" outlineLevel="1" x14ac:dyDescent="0.25">
      <c r="B94" s="156" t="str">
        <f>Table1[[#Headers],[Simulação]]</f>
        <v>Simulação</v>
      </c>
      <c r="C94" s="154" t="str">
        <f t="shared" si="25"/>
        <v>ENTITY_TXNMY_ELGBL_TRNVR_W</v>
      </c>
      <c r="D94" s="153" t="s">
        <v>10</v>
      </c>
      <c r="E94" s="153" t="s">
        <v>1405</v>
      </c>
      <c r="G94" s="172">
        <f>INDEX(Table1[[Especificação]:[Total Testes]],MATCH('Sheet1 (2)'!C94,Table1[CONCAT],0),MATCH('Sheet1 (2)'!B94,Table1[[#Headers],[Especificação]:[Total Testes]],0))</f>
        <v>6</v>
      </c>
      <c r="H94" s="191">
        <f t="shared" si="26"/>
        <v>0.75</v>
      </c>
      <c r="I94" s="222"/>
      <c r="J94" s="170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  <c r="AD94" s="165"/>
      <c r="AE94" s="165"/>
      <c r="AF94" s="165"/>
      <c r="AG94" s="165"/>
      <c r="AH94" s="165"/>
      <c r="AI94" s="165"/>
      <c r="AJ94" s="165"/>
      <c r="AK94" s="165"/>
      <c r="AL94" s="165"/>
      <c r="AM94" s="165"/>
      <c r="AN94" s="165"/>
      <c r="AO94" s="165"/>
      <c r="AP94" s="165"/>
      <c r="AQ94" s="165"/>
      <c r="AR94" s="165"/>
      <c r="AS94" s="165"/>
      <c r="AT94" s="165"/>
      <c r="AU94" s="165"/>
      <c r="AV94" s="165"/>
      <c r="AW94" s="165"/>
      <c r="AX94" s="165"/>
      <c r="AY94" s="165"/>
      <c r="AZ94" s="165"/>
      <c r="BA94" s="165"/>
      <c r="BB94" s="170"/>
      <c r="BC94" s="165"/>
      <c r="BD94" s="165"/>
      <c r="BE94" s="165"/>
      <c r="BF94" s="165"/>
      <c r="BG94" s="165"/>
      <c r="BH94" s="165"/>
      <c r="BI94" s="165"/>
      <c r="BJ94" s="165"/>
      <c r="BK94" s="165"/>
      <c r="BL94" s="165"/>
      <c r="BM94" s="165"/>
      <c r="BN94" s="165"/>
      <c r="BO94" s="165"/>
      <c r="BP94" s="165"/>
      <c r="BQ94" s="165"/>
      <c r="BR94" s="165"/>
      <c r="BS94" s="165"/>
      <c r="BT94" s="165"/>
      <c r="BU94" s="165"/>
      <c r="BV94" s="165"/>
      <c r="BW94" s="165"/>
      <c r="BX94" s="165"/>
      <c r="BY94" s="165"/>
      <c r="BZ94" s="165"/>
      <c r="CA94" s="165"/>
      <c r="CB94" s="165"/>
      <c r="CC94" s="165"/>
      <c r="CD94" s="165"/>
      <c r="CE94" s="165"/>
      <c r="CF94" s="165"/>
      <c r="CG94" s="165"/>
      <c r="CH94" s="165"/>
      <c r="CI94" s="170"/>
      <c r="CJ94" s="165"/>
      <c r="CK94" s="165"/>
      <c r="CL94" s="165"/>
      <c r="CM94" s="165"/>
      <c r="CN94" s="170"/>
      <c r="CO94" s="165"/>
      <c r="CP94" s="165"/>
      <c r="CQ94" s="165"/>
    </row>
    <row r="95" spans="1:95" outlineLevel="1" x14ac:dyDescent="0.25">
      <c r="B95" s="156" t="str">
        <f>Table1[[#Headers],[Simulação]]</f>
        <v>Simulação</v>
      </c>
      <c r="C95" s="154" t="str">
        <f t="shared" si="25"/>
        <v>ENTITY_TXNMY_ELGBL_CAPEX_P</v>
      </c>
      <c r="D95" s="153" t="s">
        <v>10</v>
      </c>
      <c r="E95" s="153" t="s">
        <v>1408</v>
      </c>
      <c r="G95" s="172">
        <f>INDEX(Table1[[Especificação]:[Total Testes]],MATCH('Sheet1 (2)'!C95,Table1[CONCAT],0),MATCH('Sheet1 (2)'!B95,Table1[[#Headers],[Especificação]:[Total Testes]],0))</f>
        <v>1</v>
      </c>
      <c r="H95" s="191">
        <f t="shared" si="26"/>
        <v>0.13</v>
      </c>
      <c r="I95" s="222"/>
      <c r="J95" s="170"/>
      <c r="K95" s="165"/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  <c r="AA95" s="165"/>
      <c r="AB95" s="165"/>
      <c r="AC95" s="165"/>
      <c r="AD95" s="165"/>
      <c r="AE95" s="165"/>
      <c r="AF95" s="165"/>
      <c r="AG95" s="165"/>
      <c r="AH95" s="165"/>
      <c r="AI95" s="165"/>
      <c r="AJ95" s="165"/>
      <c r="AK95" s="165"/>
      <c r="AL95" s="203"/>
      <c r="AM95" s="165"/>
      <c r="AN95" s="165"/>
      <c r="AO95" s="165"/>
      <c r="AP95" s="165"/>
      <c r="AQ95" s="165"/>
      <c r="AR95" s="165"/>
      <c r="AS95" s="165"/>
      <c r="AT95" s="165"/>
      <c r="AU95" s="165"/>
      <c r="AV95" s="165"/>
      <c r="AW95" s="165"/>
      <c r="AX95" s="165"/>
      <c r="AY95" s="165"/>
      <c r="AZ95" s="165"/>
      <c r="BA95" s="165"/>
      <c r="BB95" s="170"/>
      <c r="BC95" s="165"/>
      <c r="BD95" s="165"/>
      <c r="BE95" s="165"/>
      <c r="BF95" s="165"/>
      <c r="BG95" s="165"/>
      <c r="BH95" s="165"/>
      <c r="BI95" s="165"/>
      <c r="BJ95" s="165"/>
      <c r="BK95" s="165"/>
      <c r="BL95" s="165"/>
      <c r="BM95" s="165"/>
      <c r="BN95" s="165"/>
      <c r="BO95" s="165"/>
      <c r="BP95" s="165"/>
      <c r="BQ95" s="165"/>
      <c r="BR95" s="165"/>
      <c r="BS95" s="165"/>
      <c r="BT95" s="165"/>
      <c r="BU95" s="165"/>
      <c r="BV95" s="165"/>
      <c r="BW95" s="165"/>
      <c r="BX95" s="165"/>
      <c r="BY95" s="165"/>
      <c r="BZ95" s="165"/>
      <c r="CA95" s="165"/>
      <c r="CB95" s="165"/>
      <c r="CC95" s="165"/>
      <c r="CD95" s="165"/>
      <c r="CE95" s="165"/>
      <c r="CF95" s="165"/>
      <c r="CG95" s="165"/>
      <c r="CH95" s="165"/>
      <c r="CI95" s="170"/>
      <c r="CJ95" s="165"/>
      <c r="CK95" s="165"/>
      <c r="CL95" s="165"/>
      <c r="CM95" s="165"/>
      <c r="CN95" s="170"/>
      <c r="CO95" s="165"/>
      <c r="CP95" s="165"/>
      <c r="CQ95" s="165"/>
    </row>
    <row r="96" spans="1:95" outlineLevel="1" x14ac:dyDescent="0.25">
      <c r="B96" s="156" t="str">
        <f>Table1[[#Headers],[Simulação]]</f>
        <v>Simulação</v>
      </c>
      <c r="C96" s="154" t="str">
        <f t="shared" si="25"/>
        <v>ENTITY_TXNMY_ELGBL_TRNVR_P</v>
      </c>
      <c r="D96" s="153" t="s">
        <v>10</v>
      </c>
      <c r="E96" s="153" t="s">
        <v>1411</v>
      </c>
      <c r="G96" s="172">
        <f>INDEX(Table1[[Especificação]:[Total Testes]],MATCH('Sheet1 (2)'!C96,Table1[CONCAT],0),MATCH('Sheet1 (2)'!B96,Table1[[#Headers],[Especificação]:[Total Testes]],0))</f>
        <v>1</v>
      </c>
      <c r="H96" s="191">
        <f t="shared" si="26"/>
        <v>0.13</v>
      </c>
      <c r="I96" s="222"/>
      <c r="J96" s="170"/>
      <c r="K96" s="165"/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  <c r="AE96" s="165"/>
      <c r="AF96" s="165"/>
      <c r="AG96" s="165"/>
      <c r="AH96" s="165"/>
      <c r="AI96" s="165"/>
      <c r="AJ96" s="165"/>
      <c r="AK96" s="165"/>
      <c r="AL96" s="165"/>
      <c r="AM96" s="165"/>
      <c r="AN96" s="165"/>
      <c r="AO96" s="165"/>
      <c r="AP96" s="165"/>
      <c r="AQ96" s="165"/>
      <c r="AR96" s="165"/>
      <c r="AS96" s="165"/>
      <c r="AT96" s="165"/>
      <c r="AU96" s="165"/>
      <c r="AV96" s="165"/>
      <c r="AW96" s="165"/>
      <c r="AX96" s="165"/>
      <c r="AY96" s="165"/>
      <c r="AZ96" s="165"/>
      <c r="BA96" s="165"/>
      <c r="BB96" s="170"/>
      <c r="BC96" s="165"/>
      <c r="BD96" s="165"/>
      <c r="BE96" s="165"/>
      <c r="BF96" s="165"/>
      <c r="BG96" s="165"/>
      <c r="BH96" s="165"/>
      <c r="BI96" s="165"/>
      <c r="BJ96" s="165"/>
      <c r="BK96" s="165"/>
      <c r="BL96" s="165"/>
      <c r="BM96" s="165"/>
      <c r="BN96" s="165"/>
      <c r="BO96" s="165"/>
      <c r="BP96" s="165"/>
      <c r="BQ96" s="165"/>
      <c r="BR96" s="165"/>
      <c r="BS96" s="165"/>
      <c r="BT96" s="165"/>
      <c r="BU96" s="165"/>
      <c r="BV96" s="165"/>
      <c r="BW96" s="165"/>
      <c r="BX96" s="165"/>
      <c r="BY96" s="165"/>
      <c r="BZ96" s="165"/>
      <c r="CA96" s="165"/>
      <c r="CB96" s="165"/>
      <c r="CC96" s="165"/>
      <c r="CD96" s="165"/>
      <c r="CE96" s="165"/>
      <c r="CF96" s="165"/>
      <c r="CG96" s="165"/>
      <c r="CH96" s="165"/>
      <c r="CI96" s="170"/>
      <c r="CJ96" s="165"/>
      <c r="CK96" s="165"/>
      <c r="CL96" s="165"/>
      <c r="CM96" s="165"/>
      <c r="CN96" s="170"/>
      <c r="CO96" s="165"/>
      <c r="CP96" s="165"/>
      <c r="CQ96" s="165"/>
    </row>
    <row r="97" spans="2:95" outlineLevel="1" x14ac:dyDescent="0.25">
      <c r="B97" s="156" t="str">
        <f>Table1[[#Headers],[Simulação]]</f>
        <v>Simulação</v>
      </c>
      <c r="C97" s="154" t="str">
        <f t="shared" si="25"/>
        <v>ENTITY_TXNMY_ELGBL_CAPEX_B</v>
      </c>
      <c r="D97" s="153" t="s">
        <v>10</v>
      </c>
      <c r="E97" s="153" t="s">
        <v>1414</v>
      </c>
      <c r="G97" s="172">
        <f>INDEX(Table1[[Especificação]:[Total Testes]],MATCH('Sheet1 (2)'!C97,Table1[CONCAT],0),MATCH('Sheet1 (2)'!B97,Table1[[#Headers],[Especificação]:[Total Testes]],0))</f>
        <v>1</v>
      </c>
      <c r="H97" s="191">
        <f t="shared" si="26"/>
        <v>0.13</v>
      </c>
      <c r="I97" s="222"/>
      <c r="J97" s="170"/>
      <c r="K97" s="165"/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  <c r="AA97" s="165"/>
      <c r="AB97" s="165"/>
      <c r="AC97" s="165"/>
      <c r="AD97" s="165"/>
      <c r="AE97" s="165"/>
      <c r="AF97" s="165"/>
      <c r="AG97" s="165"/>
      <c r="AH97" s="165"/>
      <c r="AI97" s="165"/>
      <c r="AJ97" s="165"/>
      <c r="AK97" s="165"/>
      <c r="AL97" s="165"/>
      <c r="AM97" s="165"/>
      <c r="AN97" s="165"/>
      <c r="AO97" s="165"/>
      <c r="AP97" s="165"/>
      <c r="AQ97" s="165"/>
      <c r="AR97" s="165"/>
      <c r="AS97" s="165"/>
      <c r="AT97" s="165"/>
      <c r="AU97" s="165"/>
      <c r="AV97" s="165"/>
      <c r="AW97" s="165"/>
      <c r="AX97" s="165"/>
      <c r="AY97" s="165"/>
      <c r="AZ97" s="165"/>
      <c r="BA97" s="165"/>
      <c r="BB97" s="170"/>
      <c r="BC97" s="165"/>
      <c r="BD97" s="165"/>
      <c r="BE97" s="165"/>
      <c r="BF97" s="165"/>
      <c r="BG97" s="165"/>
      <c r="BH97" s="165"/>
      <c r="BI97" s="165"/>
      <c r="BJ97" s="165"/>
      <c r="BK97" s="165"/>
      <c r="BL97" s="165"/>
      <c r="BM97" s="165"/>
      <c r="BN97" s="165"/>
      <c r="BO97" s="165"/>
      <c r="BP97" s="165"/>
      <c r="BQ97" s="165"/>
      <c r="BR97" s="165"/>
      <c r="BS97" s="165"/>
      <c r="BT97" s="165"/>
      <c r="BU97" s="165"/>
      <c r="BV97" s="165"/>
      <c r="BW97" s="165"/>
      <c r="BX97" s="165"/>
      <c r="BY97" s="165"/>
      <c r="BZ97" s="165"/>
      <c r="CA97" s="165"/>
      <c r="CB97" s="165"/>
      <c r="CC97" s="165"/>
      <c r="CD97" s="165"/>
      <c r="CE97" s="165"/>
      <c r="CF97" s="165"/>
      <c r="CG97" s="165"/>
      <c r="CH97" s="165"/>
      <c r="CI97" s="170"/>
      <c r="CJ97" s="165"/>
      <c r="CK97" s="165"/>
      <c r="CL97" s="165"/>
      <c r="CM97" s="165"/>
      <c r="CN97" s="170"/>
      <c r="CO97" s="165"/>
      <c r="CP97" s="165"/>
      <c r="CQ97" s="165"/>
    </row>
    <row r="98" spans="2:95" outlineLevel="1" x14ac:dyDescent="0.25">
      <c r="B98" s="156" t="str">
        <f>Table1[[#Headers],[Simulação]]</f>
        <v>Simulação</v>
      </c>
      <c r="C98" s="154" t="str">
        <f t="shared" si="25"/>
        <v>ENTITY_TXNMY_ELGBL_TRNVR_B</v>
      </c>
      <c r="D98" s="153" t="s">
        <v>10</v>
      </c>
      <c r="E98" s="153" t="s">
        <v>1417</v>
      </c>
      <c r="G98" s="172">
        <f>INDEX(Table1[[Especificação]:[Total Testes]],MATCH('Sheet1 (2)'!C98,Table1[CONCAT],0),MATCH('Sheet1 (2)'!B98,Table1[[#Headers],[Especificação]:[Total Testes]],0))</f>
        <v>1</v>
      </c>
      <c r="H98" s="191">
        <f t="shared" si="26"/>
        <v>0.13</v>
      </c>
      <c r="I98" s="222"/>
      <c r="J98" s="170"/>
      <c r="K98" s="165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  <c r="AD98" s="165"/>
      <c r="AE98" s="165"/>
      <c r="AF98" s="165"/>
      <c r="AG98" s="165"/>
      <c r="AH98" s="165"/>
      <c r="AI98" s="165"/>
      <c r="AJ98" s="165"/>
      <c r="AK98" s="165"/>
      <c r="AL98" s="165"/>
      <c r="AM98" s="165"/>
      <c r="AN98" s="165"/>
      <c r="AO98" s="165"/>
      <c r="AP98" s="165"/>
      <c r="AQ98" s="165"/>
      <c r="AR98" s="165"/>
      <c r="AS98" s="165"/>
      <c r="AT98" s="165"/>
      <c r="AU98" s="165"/>
      <c r="AV98" s="165"/>
      <c r="AW98" s="165"/>
      <c r="AX98" s="165"/>
      <c r="AY98" s="165"/>
      <c r="AZ98" s="165"/>
      <c r="BA98" s="165"/>
      <c r="BB98" s="170"/>
      <c r="BC98" s="165"/>
      <c r="BD98" s="165"/>
      <c r="BE98" s="165"/>
      <c r="BF98" s="165"/>
      <c r="BG98" s="165"/>
      <c r="BH98" s="165"/>
      <c r="BI98" s="165"/>
      <c r="BJ98" s="165"/>
      <c r="BK98" s="165"/>
      <c r="BL98" s="165"/>
      <c r="BM98" s="165"/>
      <c r="BN98" s="165"/>
      <c r="BO98" s="165"/>
      <c r="BP98" s="165"/>
      <c r="BQ98" s="165"/>
      <c r="BR98" s="165"/>
      <c r="BS98" s="165"/>
      <c r="BT98" s="165"/>
      <c r="BU98" s="165"/>
      <c r="BV98" s="165"/>
      <c r="BW98" s="165"/>
      <c r="BX98" s="165"/>
      <c r="BY98" s="165"/>
      <c r="BZ98" s="165"/>
      <c r="CA98" s="165"/>
      <c r="CB98" s="165"/>
      <c r="CC98" s="165"/>
      <c r="CD98" s="165"/>
      <c r="CE98" s="165"/>
      <c r="CF98" s="165"/>
      <c r="CG98" s="165"/>
      <c r="CH98" s="165"/>
      <c r="CI98" s="170"/>
      <c r="CJ98" s="165"/>
      <c r="CK98" s="165"/>
      <c r="CL98" s="165"/>
      <c r="CM98" s="165"/>
      <c r="CN98" s="170"/>
      <c r="CO98" s="165"/>
      <c r="CP98" s="165"/>
      <c r="CQ98" s="165"/>
    </row>
    <row r="99" spans="2:95" outlineLevel="1" x14ac:dyDescent="0.25">
      <c r="B99" s="156" t="str">
        <f>Table1[[#Headers],[Simulação]]</f>
        <v>Simulação</v>
      </c>
      <c r="C99" s="154" t="str">
        <f t="shared" si="25"/>
        <v>ENTITY_TXNMY_ELGBL_CAPEX_CE</v>
      </c>
      <c r="D99" s="153" t="s">
        <v>10</v>
      </c>
      <c r="E99" s="153" t="s">
        <v>1420</v>
      </c>
      <c r="G99" s="172">
        <f>INDEX(Table1[[Especificação]:[Total Testes]],MATCH('Sheet1 (2)'!C99,Table1[CONCAT],0),MATCH('Sheet1 (2)'!B99,Table1[[#Headers],[Especificação]:[Total Testes]],0))</f>
        <v>1</v>
      </c>
      <c r="H99" s="191">
        <f t="shared" si="26"/>
        <v>0.13</v>
      </c>
      <c r="I99" s="222"/>
      <c r="J99" s="170"/>
      <c r="K99" s="165"/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  <c r="AA99" s="165"/>
      <c r="AB99" s="165"/>
      <c r="AC99" s="165"/>
      <c r="AD99" s="165"/>
      <c r="AE99" s="165"/>
      <c r="AF99" s="165"/>
      <c r="AG99" s="165"/>
      <c r="AH99" s="165"/>
      <c r="AI99" s="165"/>
      <c r="AJ99" s="165"/>
      <c r="AK99" s="165"/>
      <c r="AL99" s="165"/>
      <c r="AM99" s="165"/>
      <c r="AN99" s="165"/>
      <c r="AO99" s="165"/>
      <c r="AP99" s="165"/>
      <c r="AQ99" s="165"/>
      <c r="AR99" s="165"/>
      <c r="AS99" s="165"/>
      <c r="AT99" s="165"/>
      <c r="AU99" s="165"/>
      <c r="AV99" s="165"/>
      <c r="AW99" s="165"/>
      <c r="AX99" s="165"/>
      <c r="AY99" s="165"/>
      <c r="AZ99" s="165"/>
      <c r="BA99" s="165"/>
      <c r="BB99" s="170"/>
      <c r="BC99" s="165"/>
      <c r="BD99" s="165"/>
      <c r="BE99" s="165"/>
      <c r="BF99" s="165"/>
      <c r="BG99" s="165"/>
      <c r="BH99" s="165"/>
      <c r="BI99" s="165"/>
      <c r="BJ99" s="165"/>
      <c r="BK99" s="165"/>
      <c r="BL99" s="165"/>
      <c r="BM99" s="165"/>
      <c r="BN99" s="165"/>
      <c r="BO99" s="165"/>
      <c r="BP99" s="165"/>
      <c r="BQ99" s="165"/>
      <c r="BR99" s="165"/>
      <c r="BS99" s="165"/>
      <c r="BT99" s="165"/>
      <c r="BU99" s="165"/>
      <c r="BV99" s="165"/>
      <c r="BW99" s="165"/>
      <c r="BX99" s="165"/>
      <c r="BY99" s="165"/>
      <c r="BZ99" s="165"/>
      <c r="CA99" s="165"/>
      <c r="CB99" s="165"/>
      <c r="CC99" s="165"/>
      <c r="CD99" s="165"/>
      <c r="CE99" s="165"/>
      <c r="CF99" s="165"/>
      <c r="CG99" s="165"/>
      <c r="CH99" s="165"/>
      <c r="CI99" s="170"/>
      <c r="CJ99" s="165"/>
      <c r="CK99" s="165"/>
      <c r="CL99" s="165"/>
      <c r="CM99" s="165"/>
      <c r="CN99" s="170"/>
      <c r="CO99" s="165"/>
      <c r="CP99" s="165"/>
      <c r="CQ99" s="165"/>
    </row>
    <row r="100" spans="2:95" outlineLevel="1" x14ac:dyDescent="0.25">
      <c r="B100" s="156" t="str">
        <f>Table1[[#Headers],[Simulação]]</f>
        <v>Simulação</v>
      </c>
      <c r="C100" s="154" t="str">
        <f t="shared" si="25"/>
        <v>ENTITY_TXNMY_ELGBL_TRNVR_CE</v>
      </c>
      <c r="D100" s="153" t="s">
        <v>10</v>
      </c>
      <c r="E100" s="155" t="s">
        <v>1423</v>
      </c>
      <c r="G100" s="172">
        <f>INDEX(Table1[[Especificação]:[Total Testes]],MATCH('Sheet1 (2)'!C100,Table1[CONCAT],0),MATCH('Sheet1 (2)'!B100,Table1[[#Headers],[Especificação]:[Total Testes]],0))</f>
        <v>1</v>
      </c>
      <c r="H100" s="191">
        <f t="shared" si="26"/>
        <v>0.13</v>
      </c>
      <c r="I100" s="222"/>
      <c r="J100" s="170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  <c r="AC100" s="165"/>
      <c r="AD100" s="165"/>
      <c r="AE100" s="165"/>
      <c r="AF100" s="165"/>
      <c r="AG100" s="165"/>
      <c r="AH100" s="165"/>
      <c r="AI100" s="165"/>
      <c r="AJ100" s="165"/>
      <c r="AK100" s="165"/>
      <c r="AL100" s="165"/>
      <c r="AM100" s="165"/>
      <c r="AN100" s="165"/>
      <c r="AO100" s="165"/>
      <c r="AP100" s="165"/>
      <c r="AQ100" s="165"/>
      <c r="AR100" s="165"/>
      <c r="AS100" s="165"/>
      <c r="AT100" s="165"/>
      <c r="AU100" s="165"/>
      <c r="AV100" s="165"/>
      <c r="AW100" s="165"/>
      <c r="AX100" s="165"/>
      <c r="AY100" s="165"/>
      <c r="AZ100" s="165"/>
      <c r="BA100" s="165"/>
      <c r="BB100" s="170"/>
      <c r="BC100" s="165"/>
      <c r="BD100" s="165"/>
      <c r="BE100" s="165"/>
      <c r="BF100" s="165"/>
      <c r="BG100" s="165"/>
      <c r="BH100" s="165"/>
      <c r="BI100" s="165"/>
      <c r="BJ100" s="165"/>
      <c r="BK100" s="165"/>
      <c r="BL100" s="165"/>
      <c r="BM100" s="165"/>
      <c r="BN100" s="165"/>
      <c r="BO100" s="165"/>
      <c r="BP100" s="165"/>
      <c r="BQ100" s="165"/>
      <c r="BR100" s="165"/>
      <c r="BS100" s="165"/>
      <c r="BT100" s="165"/>
      <c r="BU100" s="165"/>
      <c r="BV100" s="165"/>
      <c r="BW100" s="165"/>
      <c r="BX100" s="165"/>
      <c r="BY100" s="165"/>
      <c r="BZ100" s="165"/>
      <c r="CA100" s="165"/>
      <c r="CB100" s="165"/>
      <c r="CC100" s="165"/>
      <c r="CD100" s="165"/>
      <c r="CE100" s="165"/>
      <c r="CF100" s="165"/>
      <c r="CG100" s="165"/>
      <c r="CH100" s="165"/>
      <c r="CI100" s="170"/>
      <c r="CJ100" s="165"/>
      <c r="CK100" s="165"/>
      <c r="CL100" s="165"/>
      <c r="CM100" s="165"/>
      <c r="CN100" s="170"/>
      <c r="CO100" s="165"/>
      <c r="CP100" s="165"/>
      <c r="CQ100" s="165"/>
    </row>
    <row r="101" spans="2:95" outlineLevel="1" x14ac:dyDescent="0.25">
      <c r="B101" s="156" t="str">
        <f>Table1[[#Headers],[Simulação]]</f>
        <v>Simulação</v>
      </c>
      <c r="C101" s="154" t="str">
        <f t="shared" si="25"/>
        <v>ENTITY_PURE_CAPEX_P</v>
      </c>
      <c r="D101" s="153" t="s">
        <v>10</v>
      </c>
      <c r="E101" s="153" t="s">
        <v>1426</v>
      </c>
      <c r="G101" s="172">
        <f>INDEX(Table1[[Especificação]:[Total Testes]],MATCH('Sheet1 (2)'!C101,Table1[CONCAT],0),MATCH('Sheet1 (2)'!B101,Table1[[#Headers],[Especificação]:[Total Testes]],0))</f>
        <v>1</v>
      </c>
      <c r="H101" s="191">
        <f t="shared" si="26"/>
        <v>0.13</v>
      </c>
      <c r="I101" s="222"/>
      <c r="J101" s="170"/>
      <c r="K101" s="165"/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  <c r="AA101" s="165"/>
      <c r="AB101" s="165"/>
      <c r="AC101" s="165"/>
      <c r="AD101" s="165"/>
      <c r="AE101" s="165"/>
      <c r="AF101" s="165"/>
      <c r="AG101" s="165"/>
      <c r="AH101" s="165"/>
      <c r="AI101" s="165"/>
      <c r="AJ101" s="165"/>
      <c r="AK101" s="165"/>
      <c r="AL101" s="165"/>
      <c r="AM101" s="165"/>
      <c r="AN101" s="165"/>
      <c r="AO101" s="165"/>
      <c r="AP101" s="165"/>
      <c r="AQ101" s="165"/>
      <c r="AR101" s="165"/>
      <c r="AS101" s="165"/>
      <c r="AT101" s="165"/>
      <c r="AU101" s="165"/>
      <c r="AV101" s="165"/>
      <c r="AW101" s="165"/>
      <c r="AX101" s="165"/>
      <c r="AY101" s="165"/>
      <c r="AZ101" s="165"/>
      <c r="BA101" s="165"/>
      <c r="BB101" s="170"/>
      <c r="BC101" s="165"/>
      <c r="BD101" s="165"/>
      <c r="BE101" s="165"/>
      <c r="BF101" s="165"/>
      <c r="BG101" s="165"/>
      <c r="BH101" s="165"/>
      <c r="BI101" s="165"/>
      <c r="BJ101" s="165"/>
      <c r="BK101" s="165"/>
      <c r="BL101" s="165"/>
      <c r="BM101" s="165"/>
      <c r="BN101" s="165"/>
      <c r="BO101" s="165"/>
      <c r="BP101" s="165"/>
      <c r="BQ101" s="165"/>
      <c r="BR101" s="165"/>
      <c r="BS101" s="165"/>
      <c r="BT101" s="165"/>
      <c r="BU101" s="165"/>
      <c r="BV101" s="165"/>
      <c r="BW101" s="165"/>
      <c r="BX101" s="165"/>
      <c r="BY101" s="165"/>
      <c r="BZ101" s="165"/>
      <c r="CA101" s="165"/>
      <c r="CB101" s="165"/>
      <c r="CC101" s="165"/>
      <c r="CD101" s="165"/>
      <c r="CE101" s="165"/>
      <c r="CF101" s="165"/>
      <c r="CG101" s="165"/>
      <c r="CH101" s="165"/>
      <c r="CI101" s="170"/>
      <c r="CJ101" s="165"/>
      <c r="CK101" s="165"/>
      <c r="CL101" s="165"/>
      <c r="CM101" s="165"/>
      <c r="CN101" s="170"/>
      <c r="CO101" s="165"/>
      <c r="CP101" s="165"/>
      <c r="CQ101" s="165"/>
    </row>
    <row r="102" spans="2:95" outlineLevel="1" x14ac:dyDescent="0.25">
      <c r="B102" s="156" t="str">
        <f>Table1[[#Headers],[Simulação]]</f>
        <v>Simulação</v>
      </c>
      <c r="C102" s="154" t="str">
        <f t="shared" si="25"/>
        <v>ENTITY_PURE_TRNVR_P</v>
      </c>
      <c r="D102" s="153" t="s">
        <v>10</v>
      </c>
      <c r="E102" s="153" t="s">
        <v>1429</v>
      </c>
      <c r="G102" s="172">
        <f>INDEX(Table1[[Especificação]:[Total Testes]],MATCH('Sheet1 (2)'!C102,Table1[CONCAT],0),MATCH('Sheet1 (2)'!B102,Table1[[#Headers],[Especificação]:[Total Testes]],0))</f>
        <v>1</v>
      </c>
      <c r="H102" s="191">
        <f t="shared" si="26"/>
        <v>0.13</v>
      </c>
      <c r="I102" s="222"/>
      <c r="J102" s="170"/>
      <c r="K102" s="165"/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  <c r="AC102" s="165"/>
      <c r="AD102" s="165"/>
      <c r="AE102" s="165"/>
      <c r="AF102" s="165"/>
      <c r="AG102" s="165"/>
      <c r="AH102" s="165"/>
      <c r="AI102" s="165"/>
      <c r="AJ102" s="165"/>
      <c r="AK102" s="165"/>
      <c r="AL102" s="165"/>
      <c r="AM102" s="165"/>
      <c r="AN102" s="165"/>
      <c r="AO102" s="165"/>
      <c r="AP102" s="165"/>
      <c r="AQ102" s="165"/>
      <c r="AR102" s="165"/>
      <c r="AS102" s="165"/>
      <c r="AT102" s="165"/>
      <c r="AU102" s="165"/>
      <c r="AV102" s="165"/>
      <c r="AW102" s="165"/>
      <c r="AX102" s="165"/>
      <c r="AY102" s="165"/>
      <c r="AZ102" s="165"/>
      <c r="BA102" s="165"/>
      <c r="BB102" s="170"/>
      <c r="BC102" s="165"/>
      <c r="BD102" s="165"/>
      <c r="BE102" s="165"/>
      <c r="BF102" s="165"/>
      <c r="BG102" s="165"/>
      <c r="BH102" s="165"/>
      <c r="BI102" s="165"/>
      <c r="BJ102" s="165"/>
      <c r="BK102" s="165"/>
      <c r="BL102" s="165"/>
      <c r="BM102" s="165"/>
      <c r="BN102" s="165"/>
      <c r="BO102" s="165"/>
      <c r="BP102" s="165"/>
      <c r="BQ102" s="165"/>
      <c r="BR102" s="165"/>
      <c r="BS102" s="165"/>
      <c r="BT102" s="165"/>
      <c r="BU102" s="165"/>
      <c r="BV102" s="165"/>
      <c r="BW102" s="165"/>
      <c r="BX102" s="165"/>
      <c r="BY102" s="165"/>
      <c r="BZ102" s="165"/>
      <c r="CA102" s="165"/>
      <c r="CB102" s="165"/>
      <c r="CC102" s="165"/>
      <c r="CD102" s="165"/>
      <c r="CE102" s="165"/>
      <c r="CF102" s="165"/>
      <c r="CG102" s="165"/>
      <c r="CH102" s="165"/>
      <c r="CI102" s="170"/>
      <c r="CJ102" s="165"/>
      <c r="CK102" s="165"/>
      <c r="CL102" s="165"/>
      <c r="CM102" s="165"/>
      <c r="CN102" s="170"/>
      <c r="CO102" s="165"/>
      <c r="CP102" s="165"/>
      <c r="CQ102" s="165"/>
    </row>
    <row r="103" spans="2:95" outlineLevel="1" x14ac:dyDescent="0.25">
      <c r="B103" s="156" t="str">
        <f>Table1[[#Headers],[Simulação]]</f>
        <v>Simulação</v>
      </c>
      <c r="C103" s="154" t="str">
        <f t="shared" si="25"/>
        <v>ENTITY_PURE_CAPEX_B</v>
      </c>
      <c r="D103" s="153" t="s">
        <v>10</v>
      </c>
      <c r="E103" s="153" t="s">
        <v>1432</v>
      </c>
      <c r="G103" s="172">
        <f>INDEX(Table1[[Especificação]:[Total Testes]],MATCH('Sheet1 (2)'!C103,Table1[CONCAT],0),MATCH('Sheet1 (2)'!B103,Table1[[#Headers],[Especificação]:[Total Testes]],0))</f>
        <v>1</v>
      </c>
      <c r="H103" s="191">
        <f t="shared" si="26"/>
        <v>0.13</v>
      </c>
      <c r="I103" s="222"/>
      <c r="J103" s="170"/>
      <c r="K103" s="165"/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  <c r="AA103" s="165"/>
      <c r="AB103" s="165"/>
      <c r="AC103" s="165"/>
      <c r="AD103" s="165"/>
      <c r="AE103" s="165"/>
      <c r="AF103" s="165"/>
      <c r="AG103" s="165"/>
      <c r="AH103" s="165"/>
      <c r="AI103" s="165"/>
      <c r="AJ103" s="165"/>
      <c r="AK103" s="165"/>
      <c r="AL103" s="165"/>
      <c r="AM103" s="165"/>
      <c r="AN103" s="165"/>
      <c r="AO103" s="165"/>
      <c r="AP103" s="165"/>
      <c r="AQ103" s="165"/>
      <c r="AR103" s="165"/>
      <c r="AS103" s="165"/>
      <c r="AT103" s="165"/>
      <c r="AU103" s="165"/>
      <c r="AV103" s="165"/>
      <c r="AW103" s="165"/>
      <c r="AX103" s="165"/>
      <c r="AY103" s="165"/>
      <c r="AZ103" s="165"/>
      <c r="BA103" s="165"/>
      <c r="BB103" s="170"/>
      <c r="BC103" s="165"/>
      <c r="BD103" s="165"/>
      <c r="BE103" s="165"/>
      <c r="BF103" s="165"/>
      <c r="BG103" s="165"/>
      <c r="BH103" s="165"/>
      <c r="BI103" s="165"/>
      <c r="BJ103" s="165"/>
      <c r="BK103" s="165"/>
      <c r="BL103" s="165"/>
      <c r="BM103" s="165"/>
      <c r="BN103" s="165"/>
      <c r="BO103" s="165"/>
      <c r="BP103" s="165"/>
      <c r="BQ103" s="165"/>
      <c r="BR103" s="165"/>
      <c r="BS103" s="165"/>
      <c r="BT103" s="165"/>
      <c r="BU103" s="165"/>
      <c r="BV103" s="165"/>
      <c r="BW103" s="165"/>
      <c r="BX103" s="165"/>
      <c r="BY103" s="165"/>
      <c r="BZ103" s="165"/>
      <c r="CA103" s="165"/>
      <c r="CB103" s="165"/>
      <c r="CC103" s="165"/>
      <c r="CD103" s="165"/>
      <c r="CE103" s="165"/>
      <c r="CF103" s="165"/>
      <c r="CG103" s="165"/>
      <c r="CH103" s="165"/>
      <c r="CI103" s="170"/>
      <c r="CJ103" s="165"/>
      <c r="CK103" s="165"/>
      <c r="CL103" s="165"/>
      <c r="CM103" s="165"/>
      <c r="CN103" s="170"/>
      <c r="CO103" s="165"/>
      <c r="CP103" s="165"/>
      <c r="CQ103" s="165"/>
    </row>
    <row r="104" spans="2:95" outlineLevel="1" x14ac:dyDescent="0.25">
      <c r="B104" s="156" t="str">
        <f>Table1[[#Headers],[Simulação]]</f>
        <v>Simulação</v>
      </c>
      <c r="C104" s="154" t="str">
        <f t="shared" si="25"/>
        <v>ENTITY_PURE_TRNVR_B</v>
      </c>
      <c r="D104" s="153" t="s">
        <v>10</v>
      </c>
      <c r="E104" s="153" t="s">
        <v>1435</v>
      </c>
      <c r="G104" s="172">
        <f>INDEX(Table1[[Especificação]:[Total Testes]],MATCH('Sheet1 (2)'!C104,Table1[CONCAT],0),MATCH('Sheet1 (2)'!B104,Table1[[#Headers],[Especificação]:[Total Testes]],0))</f>
        <v>1</v>
      </c>
      <c r="H104" s="191">
        <f t="shared" si="26"/>
        <v>0.13</v>
      </c>
      <c r="I104" s="222"/>
      <c r="J104" s="170"/>
      <c r="K104" s="165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  <c r="AC104" s="165"/>
      <c r="AD104" s="165"/>
      <c r="AE104" s="165"/>
      <c r="AF104" s="165"/>
      <c r="AG104" s="165"/>
      <c r="AH104" s="165"/>
      <c r="AI104" s="165"/>
      <c r="AJ104" s="165"/>
      <c r="AK104" s="165"/>
      <c r="AL104" s="165"/>
      <c r="AM104" s="165"/>
      <c r="AN104" s="165"/>
      <c r="AO104" s="165"/>
      <c r="AP104" s="165"/>
      <c r="AQ104" s="165"/>
      <c r="AR104" s="165"/>
      <c r="AS104" s="165"/>
      <c r="AT104" s="165"/>
      <c r="AU104" s="165"/>
      <c r="AV104" s="165"/>
      <c r="AW104" s="165"/>
      <c r="AX104" s="165"/>
      <c r="AY104" s="165"/>
      <c r="AZ104" s="165"/>
      <c r="BA104" s="165"/>
      <c r="BB104" s="170"/>
      <c r="BC104" s="165"/>
      <c r="BD104" s="165"/>
      <c r="BE104" s="165"/>
      <c r="BF104" s="165"/>
      <c r="BG104" s="165"/>
      <c r="BH104" s="165"/>
      <c r="BI104" s="165"/>
      <c r="BJ104" s="165"/>
      <c r="BK104" s="165"/>
      <c r="BL104" s="165"/>
      <c r="BM104" s="165"/>
      <c r="BN104" s="165"/>
      <c r="BO104" s="165"/>
      <c r="BP104" s="165"/>
      <c r="BQ104" s="165"/>
      <c r="BR104" s="165"/>
      <c r="BS104" s="165"/>
      <c r="BT104" s="165"/>
      <c r="BU104" s="165"/>
      <c r="BV104" s="165"/>
      <c r="BW104" s="165"/>
      <c r="BX104" s="165"/>
      <c r="BY104" s="165"/>
      <c r="BZ104" s="165"/>
      <c r="CA104" s="165"/>
      <c r="CB104" s="165"/>
      <c r="CC104" s="165"/>
      <c r="CD104" s="165"/>
      <c r="CE104" s="165"/>
      <c r="CF104" s="165"/>
      <c r="CG104" s="165"/>
      <c r="CH104" s="165"/>
      <c r="CI104" s="170"/>
      <c r="CJ104" s="165"/>
      <c r="CK104" s="165"/>
      <c r="CL104" s="165"/>
      <c r="CM104" s="165"/>
      <c r="CN104" s="170"/>
      <c r="CO104" s="165"/>
      <c r="CP104" s="165"/>
      <c r="CQ104" s="165"/>
    </row>
    <row r="105" spans="2:95" outlineLevel="1" x14ac:dyDescent="0.25">
      <c r="B105" s="156" t="str">
        <f>Table1[[#Headers],[Simulação]]</f>
        <v>Simulação</v>
      </c>
      <c r="C105" s="154" t="str">
        <f t="shared" si="25"/>
        <v>ENTITY_PURE_CAPEX_W</v>
      </c>
      <c r="D105" s="153" t="s">
        <v>10</v>
      </c>
      <c r="E105" s="153" t="s">
        <v>1438</v>
      </c>
      <c r="G105" s="172">
        <f>INDEX(Table1[[Especificação]:[Total Testes]],MATCH('Sheet1 (2)'!C105,Table1[CONCAT],0),MATCH('Sheet1 (2)'!B105,Table1[[#Headers],[Especificação]:[Total Testes]],0))</f>
        <v>1</v>
      </c>
      <c r="H105" s="191">
        <f t="shared" si="26"/>
        <v>0.13</v>
      </c>
      <c r="I105" s="222"/>
      <c r="J105" s="170"/>
      <c r="K105" s="165"/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  <c r="AA105" s="165"/>
      <c r="AB105" s="165"/>
      <c r="AC105" s="165"/>
      <c r="AD105" s="165"/>
      <c r="AE105" s="165"/>
      <c r="AF105" s="165"/>
      <c r="AG105" s="165"/>
      <c r="AH105" s="165"/>
      <c r="AI105" s="165"/>
      <c r="AJ105" s="165"/>
      <c r="AK105" s="165"/>
      <c r="AL105" s="165"/>
      <c r="AM105" s="165"/>
      <c r="AN105" s="165"/>
      <c r="AO105" s="165"/>
      <c r="AP105" s="165"/>
      <c r="AQ105" s="165"/>
      <c r="AR105" s="165"/>
      <c r="AS105" s="165"/>
      <c r="AT105" s="165"/>
      <c r="AU105" s="165"/>
      <c r="AV105" s="165"/>
      <c r="AW105" s="165"/>
      <c r="AX105" s="165"/>
      <c r="AY105" s="165"/>
      <c r="AZ105" s="165"/>
      <c r="BA105" s="165"/>
      <c r="BB105" s="170"/>
      <c r="BC105" s="165"/>
      <c r="BD105" s="165"/>
      <c r="BE105" s="165"/>
      <c r="BF105" s="165"/>
      <c r="BG105" s="165"/>
      <c r="BH105" s="165"/>
      <c r="BI105" s="165"/>
      <c r="BJ105" s="165"/>
      <c r="BK105" s="165"/>
      <c r="BL105" s="165"/>
      <c r="BM105" s="165"/>
      <c r="BN105" s="165"/>
      <c r="BO105" s="165"/>
      <c r="BP105" s="165"/>
      <c r="BQ105" s="165"/>
      <c r="BR105" s="165"/>
      <c r="BS105" s="165"/>
      <c r="BT105" s="165"/>
      <c r="BU105" s="165"/>
      <c r="BV105" s="165"/>
      <c r="BW105" s="165"/>
      <c r="BX105" s="165"/>
      <c r="BY105" s="165"/>
      <c r="BZ105" s="165"/>
      <c r="CA105" s="165"/>
      <c r="CB105" s="165"/>
      <c r="CC105" s="165"/>
      <c r="CD105" s="165"/>
      <c r="CE105" s="165"/>
      <c r="CF105" s="165"/>
      <c r="CG105" s="165"/>
      <c r="CH105" s="165"/>
      <c r="CI105" s="170"/>
      <c r="CJ105" s="165"/>
      <c r="CK105" s="165"/>
      <c r="CL105" s="165"/>
      <c r="CM105" s="165"/>
      <c r="CN105" s="170"/>
      <c r="CO105" s="165"/>
      <c r="CP105" s="165"/>
      <c r="CQ105" s="165"/>
    </row>
    <row r="106" spans="2:95" outlineLevel="1" x14ac:dyDescent="0.25">
      <c r="B106" s="156" t="str">
        <f>Table1[[#Headers],[Simulação]]</f>
        <v>Simulação</v>
      </c>
      <c r="C106" s="154" t="str">
        <f t="shared" si="25"/>
        <v>ENTITY_PURE_TRNVR_W</v>
      </c>
      <c r="D106" s="153" t="s">
        <v>10</v>
      </c>
      <c r="E106" s="153" t="s">
        <v>1441</v>
      </c>
      <c r="G106" s="172">
        <f>INDEX(Table1[[Especificação]:[Total Testes]],MATCH('Sheet1 (2)'!C106,Table1[CONCAT],0),MATCH('Sheet1 (2)'!B106,Table1[[#Headers],[Especificação]:[Total Testes]],0))</f>
        <v>1</v>
      </c>
      <c r="H106" s="191">
        <f t="shared" si="26"/>
        <v>0.13</v>
      </c>
      <c r="I106" s="222"/>
      <c r="J106" s="170"/>
      <c r="K106" s="165"/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5"/>
      <c r="AJ106" s="165"/>
      <c r="AK106" s="165"/>
      <c r="AL106" s="165"/>
      <c r="AM106" s="165"/>
      <c r="AN106" s="165"/>
      <c r="AO106" s="165"/>
      <c r="AP106" s="165"/>
      <c r="AQ106" s="165"/>
      <c r="AR106" s="165"/>
      <c r="AS106" s="165"/>
      <c r="AT106" s="165"/>
      <c r="AU106" s="165"/>
      <c r="AV106" s="165"/>
      <c r="AW106" s="165"/>
      <c r="AX106" s="165"/>
      <c r="AY106" s="165"/>
      <c r="AZ106" s="165"/>
      <c r="BA106" s="165"/>
      <c r="BB106" s="170"/>
      <c r="BC106" s="165"/>
      <c r="BD106" s="165"/>
      <c r="BE106" s="165"/>
      <c r="BF106" s="165"/>
      <c r="BG106" s="165"/>
      <c r="BH106" s="165"/>
      <c r="BI106" s="165"/>
      <c r="BJ106" s="165"/>
      <c r="BK106" s="165"/>
      <c r="BL106" s="165"/>
      <c r="BM106" s="165"/>
      <c r="BN106" s="165"/>
      <c r="BO106" s="165"/>
      <c r="BP106" s="165"/>
      <c r="BQ106" s="165"/>
      <c r="BR106" s="165"/>
      <c r="BS106" s="165"/>
      <c r="BT106" s="165"/>
      <c r="BU106" s="165"/>
      <c r="BV106" s="165"/>
      <c r="BW106" s="165"/>
      <c r="BX106" s="165"/>
      <c r="BY106" s="165"/>
      <c r="BZ106" s="165"/>
      <c r="CA106" s="165"/>
      <c r="CB106" s="165"/>
      <c r="CC106" s="165"/>
      <c r="CD106" s="165"/>
      <c r="CE106" s="165"/>
      <c r="CF106" s="165"/>
      <c r="CG106" s="165"/>
      <c r="CH106" s="165"/>
      <c r="CI106" s="170"/>
      <c r="CJ106" s="165"/>
      <c r="CK106" s="165"/>
      <c r="CL106" s="165"/>
      <c r="CM106" s="165"/>
      <c r="CN106" s="170"/>
      <c r="CO106" s="165"/>
      <c r="CP106" s="165"/>
      <c r="CQ106" s="165"/>
    </row>
    <row r="107" spans="2:95" outlineLevel="1" x14ac:dyDescent="0.25">
      <c r="B107" s="156" t="str">
        <f>Table1[[#Headers],[Simulação]]</f>
        <v>Simulação</v>
      </c>
      <c r="C107" s="154" t="str">
        <f t="shared" si="25"/>
        <v>ENTITY_PURE_CAPEX_CE</v>
      </c>
      <c r="D107" s="153" t="s">
        <v>10</v>
      </c>
      <c r="E107" s="153" t="s">
        <v>1444</v>
      </c>
      <c r="G107" s="172">
        <f>INDEX(Table1[[Especificação]:[Total Testes]],MATCH('Sheet1 (2)'!C107,Table1[CONCAT],0),MATCH('Sheet1 (2)'!B107,Table1[[#Headers],[Especificação]:[Total Testes]],0))</f>
        <v>1</v>
      </c>
      <c r="H107" s="191">
        <f t="shared" si="26"/>
        <v>0.13</v>
      </c>
      <c r="I107" s="222"/>
      <c r="J107" s="170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5"/>
      <c r="AJ107" s="165"/>
      <c r="AK107" s="165"/>
      <c r="AL107" s="165"/>
      <c r="AM107" s="165"/>
      <c r="AN107" s="165"/>
      <c r="AO107" s="165"/>
      <c r="AP107" s="165"/>
      <c r="AQ107" s="165"/>
      <c r="AR107" s="165"/>
      <c r="AS107" s="165"/>
      <c r="AT107" s="165"/>
      <c r="AU107" s="165"/>
      <c r="AV107" s="165"/>
      <c r="AW107" s="165"/>
      <c r="AX107" s="165"/>
      <c r="AY107" s="165"/>
      <c r="AZ107" s="165"/>
      <c r="BA107" s="165"/>
      <c r="BB107" s="170"/>
      <c r="BC107" s="165"/>
      <c r="BD107" s="165"/>
      <c r="BE107" s="165"/>
      <c r="BF107" s="165"/>
      <c r="BG107" s="165"/>
      <c r="BH107" s="165"/>
      <c r="BI107" s="165"/>
      <c r="BJ107" s="165"/>
      <c r="BK107" s="165"/>
      <c r="BL107" s="165"/>
      <c r="BM107" s="165"/>
      <c r="BN107" s="165"/>
      <c r="BO107" s="165"/>
      <c r="BP107" s="165"/>
      <c r="BQ107" s="165"/>
      <c r="BR107" s="165"/>
      <c r="BS107" s="165"/>
      <c r="BT107" s="165"/>
      <c r="BU107" s="165"/>
      <c r="BV107" s="165"/>
      <c r="BW107" s="165"/>
      <c r="BX107" s="165"/>
      <c r="BY107" s="165"/>
      <c r="BZ107" s="165"/>
      <c r="CA107" s="165"/>
      <c r="CB107" s="165"/>
      <c r="CC107" s="165"/>
      <c r="CD107" s="165"/>
      <c r="CE107" s="165"/>
      <c r="CF107" s="165"/>
      <c r="CG107" s="165"/>
      <c r="CH107" s="165"/>
      <c r="CI107" s="170"/>
      <c r="CJ107" s="165"/>
      <c r="CK107" s="165"/>
      <c r="CL107" s="165"/>
      <c r="CM107" s="165"/>
      <c r="CN107" s="170"/>
      <c r="CO107" s="165"/>
      <c r="CP107" s="165"/>
      <c r="CQ107" s="165"/>
    </row>
    <row r="108" spans="2:95" outlineLevel="1" x14ac:dyDescent="0.25">
      <c r="B108" s="156" t="str">
        <f>Table1[[#Headers],[Simulação]]</f>
        <v>Simulação</v>
      </c>
      <c r="C108" s="154" t="str">
        <f t="shared" si="25"/>
        <v>ENTITY_PURE_TRNVR_CE</v>
      </c>
      <c r="D108" s="153" t="s">
        <v>10</v>
      </c>
      <c r="E108" s="153" t="s">
        <v>1447</v>
      </c>
      <c r="G108" s="172">
        <f>INDEX(Table1[[Especificação]:[Total Testes]],MATCH('Sheet1 (2)'!C108,Table1[CONCAT],0),MATCH('Sheet1 (2)'!B108,Table1[[#Headers],[Especificação]:[Total Testes]],0))</f>
        <v>1</v>
      </c>
      <c r="H108" s="191">
        <f t="shared" si="26"/>
        <v>0.13</v>
      </c>
      <c r="I108" s="222"/>
      <c r="J108" s="170"/>
      <c r="K108" s="165"/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  <c r="AE108" s="165"/>
      <c r="AF108" s="165"/>
      <c r="AG108" s="165"/>
      <c r="AH108" s="165"/>
      <c r="AI108" s="165"/>
      <c r="AJ108" s="165"/>
      <c r="AK108" s="165"/>
      <c r="AL108" s="165"/>
      <c r="AM108" s="165"/>
      <c r="AN108" s="165"/>
      <c r="AO108" s="165"/>
      <c r="AP108" s="165"/>
      <c r="AQ108" s="165"/>
      <c r="AR108" s="165"/>
      <c r="AS108" s="165"/>
      <c r="AT108" s="165"/>
      <c r="AU108" s="165"/>
      <c r="AV108" s="165"/>
      <c r="AW108" s="165"/>
      <c r="AX108" s="165"/>
      <c r="AY108" s="165"/>
      <c r="AZ108" s="165"/>
      <c r="BA108" s="165"/>
      <c r="BB108" s="170"/>
      <c r="BC108" s="165"/>
      <c r="BD108" s="165"/>
      <c r="BE108" s="165"/>
      <c r="BF108" s="165"/>
      <c r="BG108" s="165"/>
      <c r="BH108" s="165"/>
      <c r="BI108" s="165"/>
      <c r="BJ108" s="165"/>
      <c r="BK108" s="165"/>
      <c r="BL108" s="165"/>
      <c r="BM108" s="165"/>
      <c r="BN108" s="165"/>
      <c r="BO108" s="165"/>
      <c r="BP108" s="165"/>
      <c r="BQ108" s="165"/>
      <c r="BR108" s="165"/>
      <c r="BS108" s="165"/>
      <c r="BT108" s="165"/>
      <c r="BU108" s="165"/>
      <c r="BV108" s="165"/>
      <c r="BW108" s="165"/>
      <c r="BX108" s="165"/>
      <c r="BY108" s="165"/>
      <c r="BZ108" s="165"/>
      <c r="CA108" s="165"/>
      <c r="CB108" s="165"/>
      <c r="CC108" s="165"/>
      <c r="CD108" s="165"/>
      <c r="CE108" s="165"/>
      <c r="CF108" s="165"/>
      <c r="CG108" s="165"/>
      <c r="CH108" s="165"/>
      <c r="CI108" s="170"/>
      <c r="CJ108" s="165"/>
      <c r="CK108" s="165"/>
      <c r="CL108" s="165"/>
      <c r="CM108" s="165"/>
      <c r="CN108" s="170"/>
      <c r="CO108" s="165"/>
      <c r="CP108" s="165"/>
      <c r="CQ108" s="165"/>
    </row>
    <row r="109" spans="2:95" outlineLevel="1" x14ac:dyDescent="0.25">
      <c r="B109" s="156" t="str">
        <f>Table1[[#Headers],[Simulação]]</f>
        <v>Simulação</v>
      </c>
      <c r="C109" s="154" t="str">
        <f t="shared" si="25"/>
        <v>ENTITY_ENBLNG_CAPEX_W</v>
      </c>
      <c r="D109" s="153" t="s">
        <v>10</v>
      </c>
      <c r="E109" s="153" t="s">
        <v>1450</v>
      </c>
      <c r="G109" s="172">
        <f>INDEX(Table1[[Especificação]:[Total Testes]],MATCH('Sheet1 (2)'!C109,Table1[CONCAT],0),MATCH('Sheet1 (2)'!B109,Table1[[#Headers],[Especificação]:[Total Testes]],0))</f>
        <v>1</v>
      </c>
      <c r="H109" s="191">
        <f t="shared" si="26"/>
        <v>0.13</v>
      </c>
      <c r="I109" s="222"/>
      <c r="J109" s="170"/>
      <c r="K109" s="165"/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  <c r="AA109" s="165"/>
      <c r="AB109" s="165"/>
      <c r="AC109" s="165"/>
      <c r="AD109" s="165"/>
      <c r="AE109" s="165"/>
      <c r="AF109" s="165"/>
      <c r="AG109" s="165"/>
      <c r="AH109" s="165"/>
      <c r="AI109" s="165"/>
      <c r="AJ109" s="165"/>
      <c r="AK109" s="165"/>
      <c r="AL109" s="165"/>
      <c r="AM109" s="165"/>
      <c r="AN109" s="165"/>
      <c r="AO109" s="165"/>
      <c r="AP109" s="165"/>
      <c r="AQ109" s="165"/>
      <c r="AR109" s="165"/>
      <c r="AS109" s="165"/>
      <c r="AT109" s="165"/>
      <c r="AU109" s="165"/>
      <c r="AV109" s="165"/>
      <c r="AW109" s="165"/>
      <c r="AX109" s="165"/>
      <c r="AY109" s="165"/>
      <c r="AZ109" s="165"/>
      <c r="BA109" s="165"/>
      <c r="BB109" s="170"/>
      <c r="BC109" s="165"/>
      <c r="BD109" s="165"/>
      <c r="BE109" s="165"/>
      <c r="BF109" s="165"/>
      <c r="BG109" s="165"/>
      <c r="BH109" s="165"/>
      <c r="BI109" s="165"/>
      <c r="BJ109" s="165"/>
      <c r="BK109" s="165"/>
      <c r="BL109" s="165"/>
      <c r="BM109" s="165"/>
      <c r="BN109" s="165"/>
      <c r="BO109" s="165"/>
      <c r="BP109" s="165"/>
      <c r="BQ109" s="165"/>
      <c r="BR109" s="165"/>
      <c r="BS109" s="165"/>
      <c r="BT109" s="165"/>
      <c r="BU109" s="165"/>
      <c r="BV109" s="165"/>
      <c r="BW109" s="165"/>
      <c r="BX109" s="165"/>
      <c r="BY109" s="165"/>
      <c r="BZ109" s="165"/>
      <c r="CA109" s="165"/>
      <c r="CB109" s="165"/>
      <c r="CC109" s="165"/>
      <c r="CD109" s="165"/>
      <c r="CE109" s="165"/>
      <c r="CF109" s="165"/>
      <c r="CG109" s="165"/>
      <c r="CH109" s="165"/>
      <c r="CI109" s="170"/>
      <c r="CJ109" s="165"/>
      <c r="CK109" s="165"/>
      <c r="CL109" s="165"/>
      <c r="CM109" s="165"/>
      <c r="CN109" s="170"/>
      <c r="CO109" s="165"/>
      <c r="CP109" s="165"/>
      <c r="CQ109" s="165"/>
    </row>
    <row r="110" spans="2:95" outlineLevel="1" x14ac:dyDescent="0.25">
      <c r="B110" s="156" t="str">
        <f>Table1[[#Headers],[Simulação]]</f>
        <v>Simulação</v>
      </c>
      <c r="C110" s="154" t="str">
        <f t="shared" si="25"/>
        <v>ENTITY_ENBLNG_TRNVR_W</v>
      </c>
      <c r="D110" s="153" t="s">
        <v>10</v>
      </c>
      <c r="E110" s="153" t="s">
        <v>1453</v>
      </c>
      <c r="G110" s="172">
        <f>INDEX(Table1[[Especificação]:[Total Testes]],MATCH('Sheet1 (2)'!C110,Table1[CONCAT],0),MATCH('Sheet1 (2)'!B110,Table1[[#Headers],[Especificação]:[Total Testes]],0))</f>
        <v>1</v>
      </c>
      <c r="H110" s="191">
        <f t="shared" si="26"/>
        <v>0.13</v>
      </c>
      <c r="I110" s="222"/>
      <c r="J110" s="170"/>
      <c r="K110" s="165"/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165"/>
      <c r="AD110" s="165"/>
      <c r="AE110" s="165"/>
      <c r="AF110" s="165"/>
      <c r="AG110" s="165"/>
      <c r="AH110" s="165"/>
      <c r="AI110" s="165"/>
      <c r="AJ110" s="165"/>
      <c r="AK110" s="165"/>
      <c r="AL110" s="165"/>
      <c r="AM110" s="165"/>
      <c r="AN110" s="165"/>
      <c r="AO110" s="165"/>
      <c r="AP110" s="165"/>
      <c r="AQ110" s="165"/>
      <c r="AR110" s="165"/>
      <c r="AS110" s="165"/>
      <c r="AT110" s="165"/>
      <c r="AU110" s="165"/>
      <c r="AV110" s="165"/>
      <c r="AW110" s="165"/>
      <c r="AX110" s="165"/>
      <c r="AY110" s="165"/>
      <c r="AZ110" s="165"/>
      <c r="BA110" s="165"/>
      <c r="BB110" s="170"/>
      <c r="BC110" s="165"/>
      <c r="BD110" s="165"/>
      <c r="BE110" s="165"/>
      <c r="BF110" s="165"/>
      <c r="BG110" s="165"/>
      <c r="BH110" s="165"/>
      <c r="BI110" s="165"/>
      <c r="BJ110" s="165"/>
      <c r="BK110" s="165"/>
      <c r="BL110" s="165"/>
      <c r="BM110" s="165"/>
      <c r="BN110" s="165"/>
      <c r="BO110" s="165"/>
      <c r="BP110" s="165"/>
      <c r="BQ110" s="165"/>
      <c r="BR110" s="165"/>
      <c r="BS110" s="165"/>
      <c r="BT110" s="165"/>
      <c r="BU110" s="165"/>
      <c r="BV110" s="165"/>
      <c r="BW110" s="165"/>
      <c r="BX110" s="165"/>
      <c r="BY110" s="165"/>
      <c r="BZ110" s="165"/>
      <c r="CA110" s="165"/>
      <c r="CB110" s="165"/>
      <c r="CC110" s="165"/>
      <c r="CD110" s="165"/>
      <c r="CE110" s="165"/>
      <c r="CF110" s="165"/>
      <c r="CG110" s="165"/>
      <c r="CH110" s="165"/>
      <c r="CI110" s="170"/>
      <c r="CJ110" s="165"/>
      <c r="CK110" s="165"/>
      <c r="CL110" s="165"/>
      <c r="CM110" s="165"/>
      <c r="CN110" s="170"/>
      <c r="CO110" s="165"/>
      <c r="CP110" s="165"/>
      <c r="CQ110" s="165"/>
    </row>
    <row r="111" spans="2:95" outlineLevel="1" x14ac:dyDescent="0.25">
      <c r="B111" s="156" t="str">
        <f>Table1[[#Headers],[Simulação]]</f>
        <v>Simulação</v>
      </c>
      <c r="C111" s="154" t="str">
        <f t="shared" si="25"/>
        <v>ENTITY_ENBLNG_CAPEX_CE</v>
      </c>
      <c r="D111" s="153" t="s">
        <v>10</v>
      </c>
      <c r="E111" s="153" t="s">
        <v>1456</v>
      </c>
      <c r="G111" s="172">
        <f>INDEX(Table1[[Especificação]:[Total Testes]],MATCH('Sheet1 (2)'!C111,Table1[CONCAT],0),MATCH('Sheet1 (2)'!B111,Table1[[#Headers],[Especificação]:[Total Testes]],0))</f>
        <v>1</v>
      </c>
      <c r="H111" s="191">
        <f t="shared" si="26"/>
        <v>0.13</v>
      </c>
      <c r="I111" s="222"/>
      <c r="J111" s="170"/>
      <c r="K111" s="165"/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  <c r="AC111" s="165"/>
      <c r="AD111" s="165"/>
      <c r="AE111" s="165"/>
      <c r="AF111" s="165"/>
      <c r="AG111" s="165"/>
      <c r="AH111" s="165"/>
      <c r="AI111" s="165"/>
      <c r="AJ111" s="165"/>
      <c r="AK111" s="165"/>
      <c r="AL111" s="165"/>
      <c r="AM111" s="165"/>
      <c r="AN111" s="165"/>
      <c r="AO111" s="165"/>
      <c r="AP111" s="165"/>
      <c r="AQ111" s="165"/>
      <c r="AR111" s="165"/>
      <c r="AS111" s="165"/>
      <c r="AT111" s="165"/>
      <c r="AU111" s="165"/>
      <c r="AV111" s="165"/>
      <c r="AW111" s="165"/>
      <c r="AX111" s="165"/>
      <c r="AY111" s="165"/>
      <c r="AZ111" s="165"/>
      <c r="BA111" s="165"/>
      <c r="BB111" s="170"/>
      <c r="BC111" s="165"/>
      <c r="BD111" s="165"/>
      <c r="BE111" s="165"/>
      <c r="BF111" s="165"/>
      <c r="BG111" s="165"/>
      <c r="BH111" s="165"/>
      <c r="BI111" s="165"/>
      <c r="BJ111" s="165"/>
      <c r="BK111" s="165"/>
      <c r="BL111" s="165"/>
      <c r="BM111" s="165"/>
      <c r="BN111" s="165"/>
      <c r="BO111" s="165"/>
      <c r="BP111" s="165"/>
      <c r="BQ111" s="165"/>
      <c r="BR111" s="165"/>
      <c r="BS111" s="165"/>
      <c r="BT111" s="165"/>
      <c r="BU111" s="165"/>
      <c r="BV111" s="165"/>
      <c r="BW111" s="165"/>
      <c r="BX111" s="165"/>
      <c r="BY111" s="165"/>
      <c r="BZ111" s="165"/>
      <c r="CA111" s="165"/>
      <c r="CB111" s="165"/>
      <c r="CC111" s="165"/>
      <c r="CD111" s="165"/>
      <c r="CE111" s="165"/>
      <c r="CF111" s="165"/>
      <c r="CG111" s="165"/>
      <c r="CH111" s="165"/>
      <c r="CI111" s="170"/>
      <c r="CJ111" s="165"/>
      <c r="CK111" s="165"/>
      <c r="CL111" s="165"/>
      <c r="CM111" s="165"/>
      <c r="CN111" s="170"/>
      <c r="CO111" s="165"/>
      <c r="CP111" s="165"/>
      <c r="CQ111" s="165"/>
    </row>
    <row r="112" spans="2:95" outlineLevel="1" x14ac:dyDescent="0.25">
      <c r="B112" s="156" t="str">
        <f>Table1[[#Headers],[Simulação]]</f>
        <v>Simulação</v>
      </c>
      <c r="C112" s="154" t="str">
        <f t="shared" si="25"/>
        <v>ENTITY_ENBLNG_TRNVR_CE</v>
      </c>
      <c r="D112" s="153" t="s">
        <v>10</v>
      </c>
      <c r="E112" s="153" t="s">
        <v>1459</v>
      </c>
      <c r="G112" s="172">
        <f>INDEX(Table1[[Especificação]:[Total Testes]],MATCH('Sheet1 (2)'!C112,Table1[CONCAT],0),MATCH('Sheet1 (2)'!B112,Table1[[#Headers],[Especificação]:[Total Testes]],0))</f>
        <v>1</v>
      </c>
      <c r="H112" s="191">
        <f t="shared" si="26"/>
        <v>0.13</v>
      </c>
      <c r="I112" s="222"/>
      <c r="J112" s="170"/>
      <c r="K112" s="165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  <c r="AA112" s="165"/>
      <c r="AB112" s="165"/>
      <c r="AC112" s="165"/>
      <c r="AD112" s="165"/>
      <c r="AE112" s="165"/>
      <c r="AF112" s="165"/>
      <c r="AG112" s="165"/>
      <c r="AH112" s="165"/>
      <c r="AI112" s="165"/>
      <c r="AJ112" s="165"/>
      <c r="AK112" s="165"/>
      <c r="AL112" s="165"/>
      <c r="AM112" s="165"/>
      <c r="AN112" s="165"/>
      <c r="AO112" s="165"/>
      <c r="AP112" s="165"/>
      <c r="AQ112" s="165"/>
      <c r="AR112" s="165"/>
      <c r="AS112" s="165"/>
      <c r="AT112" s="165"/>
      <c r="AU112" s="165"/>
      <c r="AV112" s="165"/>
      <c r="AW112" s="165"/>
      <c r="AX112" s="165"/>
      <c r="AY112" s="165"/>
      <c r="AZ112" s="165"/>
      <c r="BA112" s="165"/>
      <c r="BB112" s="170"/>
      <c r="BC112" s="165"/>
      <c r="BD112" s="165"/>
      <c r="BE112" s="165"/>
      <c r="BF112" s="165"/>
      <c r="BG112" s="165"/>
      <c r="BH112" s="165"/>
      <c r="BI112" s="165"/>
      <c r="BJ112" s="165"/>
      <c r="BK112" s="165"/>
      <c r="BL112" s="165"/>
      <c r="BM112" s="165"/>
      <c r="BN112" s="165"/>
      <c r="BO112" s="165"/>
      <c r="BP112" s="165"/>
      <c r="BQ112" s="165"/>
      <c r="BR112" s="165"/>
      <c r="BS112" s="165"/>
      <c r="BT112" s="165"/>
      <c r="BU112" s="165"/>
      <c r="BV112" s="165"/>
      <c r="BW112" s="165"/>
      <c r="BX112" s="165"/>
      <c r="BY112" s="165"/>
      <c r="BZ112" s="165"/>
      <c r="CA112" s="165"/>
      <c r="CB112" s="165"/>
      <c r="CC112" s="165"/>
      <c r="CD112" s="165"/>
      <c r="CE112" s="165"/>
      <c r="CF112" s="165"/>
      <c r="CG112" s="165"/>
      <c r="CH112" s="165"/>
      <c r="CI112" s="170"/>
      <c r="CJ112" s="165"/>
      <c r="CK112" s="165"/>
      <c r="CL112" s="165"/>
      <c r="CM112" s="165"/>
      <c r="CN112" s="170"/>
      <c r="CO112" s="165"/>
      <c r="CP112" s="165"/>
      <c r="CQ112" s="165"/>
    </row>
    <row r="113" spans="1:95" outlineLevel="1" x14ac:dyDescent="0.25">
      <c r="B113" s="156" t="str">
        <f>Table1[[#Headers],[Simulação]]</f>
        <v>Simulação</v>
      </c>
      <c r="C113" s="154" t="str">
        <f t="shared" si="25"/>
        <v>PROTECTION_PRMRY_ENRGY_DMND_NN_RNWBL</v>
      </c>
      <c r="D113" s="153" t="s">
        <v>1114</v>
      </c>
      <c r="E113" s="153" t="s">
        <v>1521</v>
      </c>
      <c r="G113" s="172">
        <f>INDEX(Table1[[Especificação]:[Total Testes]],MATCH('Sheet1 (2)'!C113,Table1[CONCAT],0),MATCH('Sheet1 (2)'!B113,Table1[[#Headers],[Especificação]:[Total Testes]],0))</f>
        <v>8</v>
      </c>
      <c r="H113" s="191">
        <f t="shared" si="26"/>
        <v>1</v>
      </c>
      <c r="I113" s="222"/>
      <c r="J113" s="170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  <c r="AM113" s="165"/>
      <c r="AN113" s="165"/>
      <c r="AO113" s="165"/>
      <c r="AP113" s="165"/>
      <c r="AQ113" s="165"/>
      <c r="AR113" s="165"/>
      <c r="AS113" s="165"/>
      <c r="AT113" s="165"/>
      <c r="AU113" s="165"/>
      <c r="AV113" s="165"/>
      <c r="AW113" s="165"/>
      <c r="AX113" s="165"/>
      <c r="AY113" s="165"/>
      <c r="AZ113" s="165"/>
      <c r="BA113" s="165"/>
      <c r="BB113" s="170"/>
      <c r="BC113" s="165"/>
      <c r="BD113" s="165"/>
      <c r="BE113" s="165"/>
      <c r="BF113" s="165"/>
      <c r="BG113" s="165"/>
      <c r="BH113" s="165"/>
      <c r="BI113" s="165"/>
      <c r="BJ113" s="165"/>
      <c r="BK113" s="165"/>
      <c r="BL113" s="165"/>
      <c r="BM113" s="165"/>
      <c r="BN113" s="165"/>
      <c r="BO113" s="165"/>
      <c r="BP113" s="165"/>
      <c r="BQ113" s="165"/>
      <c r="BR113" s="165"/>
      <c r="BS113" s="165"/>
      <c r="BT113" s="165"/>
      <c r="BU113" s="165"/>
      <c r="BV113" s="165"/>
      <c r="BW113" s="165"/>
      <c r="BX113" s="165"/>
      <c r="BY113" s="165"/>
      <c r="BZ113" s="165"/>
      <c r="CA113" s="165"/>
      <c r="CB113" s="165"/>
      <c r="CC113" s="165"/>
      <c r="CD113" s="165"/>
      <c r="CE113" s="165"/>
      <c r="CF113" s="165"/>
      <c r="CG113" s="165"/>
      <c r="CH113" s="165"/>
      <c r="CI113" s="170"/>
      <c r="CJ113" s="165"/>
      <c r="CK113" s="165"/>
      <c r="CL113" s="165"/>
      <c r="CM113" s="165"/>
      <c r="CN113" s="170"/>
      <c r="CO113" s="165"/>
      <c r="CP113" s="165"/>
      <c r="CQ113" s="165"/>
    </row>
    <row r="114" spans="1:95" outlineLevel="1" x14ac:dyDescent="0.25">
      <c r="B114" s="156" t="str">
        <f>Table1[[#Headers],[Simulação]]</f>
        <v>Simulação</v>
      </c>
      <c r="C114" s="154" t="str">
        <f t="shared" si="25"/>
        <v>PROTECTION_PRMRY_ENRGY_DMND_TTL</v>
      </c>
      <c r="D114" s="153" t="s">
        <v>1114</v>
      </c>
      <c r="E114" s="153" t="s">
        <v>1524</v>
      </c>
      <c r="G114" s="172">
        <f>INDEX(Table1[[Especificação]:[Total Testes]],MATCH('Sheet1 (2)'!C114,Table1[CONCAT],0),MATCH('Sheet1 (2)'!B114,Table1[[#Headers],[Especificação]:[Total Testes]],0))</f>
        <v>6</v>
      </c>
      <c r="H114" s="191">
        <f t="shared" si="26"/>
        <v>0.75</v>
      </c>
      <c r="I114" s="222"/>
      <c r="J114" s="170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  <c r="AA114" s="165"/>
      <c r="AB114" s="165"/>
      <c r="AC114" s="165"/>
      <c r="AD114" s="165"/>
      <c r="AE114" s="165"/>
      <c r="AF114" s="165"/>
      <c r="AG114" s="165"/>
      <c r="AH114" s="165"/>
      <c r="AI114" s="165"/>
      <c r="AJ114" s="165"/>
      <c r="AK114" s="165"/>
      <c r="AL114" s="165"/>
      <c r="AM114" s="165"/>
      <c r="AN114" s="165"/>
      <c r="AO114" s="165"/>
      <c r="AP114" s="165"/>
      <c r="AQ114" s="165"/>
      <c r="AR114" s="165"/>
      <c r="AS114" s="165"/>
      <c r="AT114" s="165"/>
      <c r="AU114" s="165"/>
      <c r="AV114" s="165"/>
      <c r="AW114" s="165"/>
      <c r="AX114" s="165"/>
      <c r="AY114" s="165"/>
      <c r="AZ114" s="165"/>
      <c r="BA114" s="165"/>
      <c r="BB114" s="170"/>
      <c r="BC114" s="165"/>
      <c r="BD114" s="165"/>
      <c r="BE114" s="165"/>
      <c r="BF114" s="165"/>
      <c r="BG114" s="165"/>
      <c r="BH114" s="165"/>
      <c r="BI114" s="165"/>
      <c r="BJ114" s="165"/>
      <c r="BK114" s="165"/>
      <c r="BL114" s="165"/>
      <c r="BM114" s="165"/>
      <c r="BN114" s="165"/>
      <c r="BO114" s="165"/>
      <c r="BP114" s="165"/>
      <c r="BQ114" s="165"/>
      <c r="BR114" s="165"/>
      <c r="BS114" s="165"/>
      <c r="BT114" s="165"/>
      <c r="BU114" s="165"/>
      <c r="BV114" s="165"/>
      <c r="BW114" s="165"/>
      <c r="BX114" s="165"/>
      <c r="BY114" s="165"/>
      <c r="BZ114" s="165"/>
      <c r="CA114" s="165"/>
      <c r="CB114" s="165"/>
      <c r="CC114" s="165"/>
      <c r="CD114" s="165"/>
      <c r="CE114" s="165"/>
      <c r="CF114" s="165"/>
      <c r="CG114" s="165"/>
      <c r="CH114" s="165"/>
      <c r="CI114" s="170"/>
      <c r="CJ114" s="165"/>
      <c r="CK114" s="165"/>
      <c r="CL114" s="165"/>
      <c r="CM114" s="165"/>
      <c r="CN114" s="170"/>
      <c r="CO114" s="165"/>
      <c r="CP114" s="165"/>
      <c r="CQ114" s="165"/>
    </row>
    <row r="115" spans="1:95" outlineLevel="1" x14ac:dyDescent="0.25">
      <c r="B115" s="156" t="str">
        <f>Table1[[#Headers],[Simulação]]</f>
        <v>Simulação</v>
      </c>
      <c r="C115" s="154" t="str">
        <f t="shared" si="25"/>
        <v>PROTECTION_PRMRY_ENRGY_DMND_RFRNC_VL</v>
      </c>
      <c r="D115" s="153" t="s">
        <v>1114</v>
      </c>
      <c r="E115" s="153" t="s">
        <v>1527</v>
      </c>
      <c r="G115" s="172">
        <f>INDEX(Table1[[Especificação]:[Total Testes]],MATCH('Sheet1 (2)'!C115,Table1[CONCAT],0),MATCH('Sheet1 (2)'!B115,Table1[[#Headers],[Especificação]:[Total Testes]],0))</f>
        <v>6</v>
      </c>
      <c r="H115" s="191">
        <f t="shared" si="26"/>
        <v>0.75</v>
      </c>
      <c r="I115" s="222"/>
      <c r="J115" s="170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  <c r="AA115" s="165"/>
      <c r="AB115" s="165"/>
      <c r="AC115" s="165"/>
      <c r="AD115" s="165"/>
      <c r="AE115" s="165"/>
      <c r="AF115" s="165"/>
      <c r="AG115" s="165"/>
      <c r="AH115" s="165"/>
      <c r="AI115" s="165"/>
      <c r="AJ115" s="165"/>
      <c r="AK115" s="165"/>
      <c r="AL115" s="165"/>
      <c r="AM115" s="165"/>
      <c r="AN115" s="165"/>
      <c r="AO115" s="165"/>
      <c r="AP115" s="165"/>
      <c r="AQ115" s="165"/>
      <c r="AR115" s="165"/>
      <c r="AS115" s="165"/>
      <c r="AT115" s="165"/>
      <c r="AU115" s="165"/>
      <c r="AV115" s="165"/>
      <c r="AW115" s="165"/>
      <c r="AX115" s="165"/>
      <c r="AY115" s="165"/>
      <c r="AZ115" s="165"/>
      <c r="BA115" s="165"/>
      <c r="BB115" s="170"/>
      <c r="BC115" s="165"/>
      <c r="BD115" s="165"/>
      <c r="BE115" s="165"/>
      <c r="BF115" s="165"/>
      <c r="BG115" s="165"/>
      <c r="BH115" s="165"/>
      <c r="BI115" s="165"/>
      <c r="BJ115" s="165"/>
      <c r="BK115" s="165"/>
      <c r="BL115" s="165"/>
      <c r="BM115" s="165"/>
      <c r="BN115" s="165"/>
      <c r="BO115" s="165"/>
      <c r="BP115" s="165"/>
      <c r="BQ115" s="165"/>
      <c r="BR115" s="165"/>
      <c r="BS115" s="165"/>
      <c r="BT115" s="165"/>
      <c r="BU115" s="165"/>
      <c r="BV115" s="165"/>
      <c r="BW115" s="165"/>
      <c r="BX115" s="165"/>
      <c r="BY115" s="165"/>
      <c r="BZ115" s="165"/>
      <c r="CA115" s="165"/>
      <c r="CB115" s="165"/>
      <c r="CC115" s="165"/>
      <c r="CD115" s="165"/>
      <c r="CE115" s="165"/>
      <c r="CF115" s="165"/>
      <c r="CG115" s="165"/>
      <c r="CH115" s="165"/>
      <c r="CI115" s="170"/>
      <c r="CJ115" s="165"/>
      <c r="CK115" s="165"/>
      <c r="CL115" s="165"/>
      <c r="CM115" s="165"/>
      <c r="CN115" s="170"/>
      <c r="CO115" s="165"/>
      <c r="CP115" s="165"/>
      <c r="CQ115" s="165"/>
    </row>
    <row r="116" spans="1:95" outlineLevel="1" x14ac:dyDescent="0.25">
      <c r="B116" s="156" t="str">
        <f>Table1[[#Headers],[Simulação]]</f>
        <v>Simulação</v>
      </c>
      <c r="C116" s="154" t="str">
        <f t="shared" si="25"/>
        <v>PROTECTION_RL_ESTT_CLMT_ZN</v>
      </c>
      <c r="D116" s="153" t="s">
        <v>1114</v>
      </c>
      <c r="E116" s="153" t="s">
        <v>1530</v>
      </c>
      <c r="G116" s="172">
        <f>INDEX(Table1[[Especificação]:[Total Testes]],MATCH('Sheet1 (2)'!C116,Table1[CONCAT],0),MATCH('Sheet1 (2)'!B116,Table1[[#Headers],[Especificação]:[Total Testes]],0))</f>
        <v>6</v>
      </c>
      <c r="H116" s="191">
        <f t="shared" si="26"/>
        <v>0.75</v>
      </c>
      <c r="I116" s="222"/>
      <c r="J116" s="170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  <c r="AC116" s="165"/>
      <c r="AD116" s="165"/>
      <c r="AE116" s="165"/>
      <c r="AF116" s="165"/>
      <c r="AG116" s="165"/>
      <c r="AH116" s="165"/>
      <c r="AI116" s="165"/>
      <c r="AJ116" s="165"/>
      <c r="AK116" s="165"/>
      <c r="AL116" s="165"/>
      <c r="AM116" s="165"/>
      <c r="AN116" s="165"/>
      <c r="AO116" s="165"/>
      <c r="AP116" s="165"/>
      <c r="AQ116" s="165"/>
      <c r="AR116" s="165"/>
      <c r="AS116" s="165"/>
      <c r="AT116" s="165"/>
      <c r="AU116" s="165"/>
      <c r="AV116" s="165"/>
      <c r="AW116" s="165"/>
      <c r="AX116" s="165"/>
      <c r="AY116" s="165"/>
      <c r="AZ116" s="165"/>
      <c r="BA116" s="165"/>
      <c r="BB116" s="170"/>
      <c r="BC116" s="165"/>
      <c r="BD116" s="165"/>
      <c r="BE116" s="165"/>
      <c r="BF116" s="165"/>
      <c r="BG116" s="165"/>
      <c r="BH116" s="165"/>
      <c r="BI116" s="165"/>
      <c r="BJ116" s="165"/>
      <c r="BK116" s="165"/>
      <c r="BL116" s="165"/>
      <c r="BM116" s="165"/>
      <c r="BN116" s="165"/>
      <c r="BO116" s="165"/>
      <c r="BP116" s="165"/>
      <c r="BQ116" s="165"/>
      <c r="BR116" s="165"/>
      <c r="BS116" s="165"/>
      <c r="BT116" s="165"/>
      <c r="BU116" s="165"/>
      <c r="BV116" s="165"/>
      <c r="BW116" s="165"/>
      <c r="BX116" s="165"/>
      <c r="BY116" s="165"/>
      <c r="BZ116" s="165"/>
      <c r="CA116" s="165"/>
      <c r="CB116" s="165"/>
      <c r="CC116" s="165"/>
      <c r="CD116" s="165"/>
      <c r="CE116" s="165"/>
      <c r="CF116" s="165"/>
      <c r="CG116" s="165"/>
      <c r="CH116" s="165"/>
      <c r="CI116" s="170"/>
      <c r="CJ116" s="165"/>
      <c r="CK116" s="165"/>
      <c r="CL116" s="165"/>
      <c r="CM116" s="165"/>
      <c r="CN116" s="170"/>
      <c r="CO116" s="165"/>
      <c r="CP116" s="165"/>
      <c r="CQ116" s="165"/>
    </row>
    <row r="117" spans="1:95" outlineLevel="1" x14ac:dyDescent="0.25">
      <c r="B117" s="156" t="str">
        <f>Table1[[#Headers],[Simulação]]</f>
        <v>Simulação</v>
      </c>
      <c r="C117" s="154" t="str">
        <f t="shared" si="25"/>
        <v>INSTR_ACTIVITY_FLG_SBSTNTL_CNTRBTN</v>
      </c>
      <c r="D117" s="153" t="s">
        <v>1542</v>
      </c>
      <c r="E117" s="153" t="s">
        <v>1554</v>
      </c>
      <c r="G117" s="172">
        <f>INDEX(Table1[[Especificação]:[Total Testes]],MATCH('Sheet1 (2)'!C117,Table1[CONCAT],0),MATCH('Sheet1 (2)'!B117,Table1[[#Headers],[Especificação]:[Total Testes]],0))</f>
        <v>3</v>
      </c>
      <c r="H117" s="191">
        <f t="shared" si="26"/>
        <v>0.38</v>
      </c>
      <c r="I117" s="222"/>
      <c r="J117" s="170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  <c r="AA117" s="165"/>
      <c r="AB117" s="165"/>
      <c r="AC117" s="165"/>
      <c r="AD117" s="165"/>
      <c r="AE117" s="165"/>
      <c r="AF117" s="165"/>
      <c r="AG117" s="165"/>
      <c r="AH117" s="165"/>
      <c r="AI117" s="165"/>
      <c r="AJ117" s="165"/>
      <c r="AK117" s="165"/>
      <c r="AL117" s="165"/>
      <c r="AM117" s="165"/>
      <c r="AN117" s="165"/>
      <c r="AO117" s="165"/>
      <c r="AP117" s="165"/>
      <c r="AQ117" s="165"/>
      <c r="AR117" s="165"/>
      <c r="AS117" s="165"/>
      <c r="AT117" s="165"/>
      <c r="AU117" s="165"/>
      <c r="AV117" s="165"/>
      <c r="AW117" s="165"/>
      <c r="AX117" s="165"/>
      <c r="AY117" s="165"/>
      <c r="AZ117" s="165"/>
      <c r="BA117" s="165"/>
      <c r="BB117" s="170"/>
      <c r="BC117" s="165"/>
      <c r="BD117" s="165"/>
      <c r="BE117" s="165"/>
      <c r="BF117" s="165"/>
      <c r="BG117" s="165"/>
      <c r="BH117" s="165"/>
      <c r="BI117" s="165"/>
      <c r="BJ117" s="165"/>
      <c r="BK117" s="165"/>
      <c r="BL117" s="165"/>
      <c r="BM117" s="165"/>
      <c r="BN117" s="165"/>
      <c r="BO117" s="165"/>
      <c r="BP117" s="165"/>
      <c r="BQ117" s="165"/>
      <c r="BR117" s="165"/>
      <c r="BS117" s="165"/>
      <c r="BT117" s="165"/>
      <c r="BU117" s="165"/>
      <c r="BV117" s="165"/>
      <c r="BW117" s="165"/>
      <c r="BX117" s="165"/>
      <c r="BY117" s="165"/>
      <c r="BZ117" s="165"/>
      <c r="CA117" s="165"/>
      <c r="CB117" s="165"/>
      <c r="CC117" s="165"/>
      <c r="CD117" s="165"/>
      <c r="CE117" s="165"/>
      <c r="CF117" s="165"/>
      <c r="CG117" s="165"/>
      <c r="CH117" s="165"/>
      <c r="CI117" s="170"/>
      <c r="CJ117" s="165"/>
      <c r="CK117" s="165"/>
      <c r="CL117" s="165"/>
      <c r="CM117" s="165"/>
      <c r="CN117" s="170"/>
      <c r="CO117" s="165"/>
      <c r="CP117" s="165"/>
      <c r="CQ117" s="165"/>
    </row>
    <row r="118" spans="1:95" outlineLevel="1" x14ac:dyDescent="0.25">
      <c r="B118" s="156" t="str">
        <f>Table1[[#Headers],[Simulação]]</f>
        <v>Simulação</v>
      </c>
      <c r="C118" s="154" t="str">
        <f t="shared" si="25"/>
        <v>ENTITY_GRP_ECNMC_ACTVTY</v>
      </c>
      <c r="D118" s="153" t="s">
        <v>10</v>
      </c>
      <c r="E118" s="153" t="s">
        <v>382</v>
      </c>
      <c r="G118" s="172">
        <f>INDEX(Table1[[Especificação]:[Total Testes]],MATCH('Sheet1 (2)'!C118,Table1[CONCAT],0),MATCH('Sheet1 (2)'!B118,Table1[[#Headers],[Especificação]:[Total Testes]],0))</f>
        <v>1.5</v>
      </c>
      <c r="H118" s="191">
        <f t="shared" si="26"/>
        <v>0.19</v>
      </c>
      <c r="I118" s="222"/>
      <c r="J118" s="170"/>
      <c r="K118" s="165"/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  <c r="AA118" s="165"/>
      <c r="AB118" s="165"/>
      <c r="AC118" s="165"/>
      <c r="AD118" s="165"/>
      <c r="AE118" s="165"/>
      <c r="AF118" s="165"/>
      <c r="AG118" s="165"/>
      <c r="AH118" s="165"/>
      <c r="AI118" s="165"/>
      <c r="AJ118" s="165"/>
      <c r="AK118" s="165"/>
      <c r="AL118" s="165"/>
      <c r="AM118" s="165"/>
      <c r="AN118" s="165"/>
      <c r="AO118" s="165"/>
      <c r="AP118" s="165"/>
      <c r="AQ118" s="165"/>
      <c r="AR118" s="165"/>
      <c r="AS118" s="165"/>
      <c r="AT118" s="165"/>
      <c r="AU118" s="165"/>
      <c r="AV118" s="165"/>
      <c r="AW118" s="165"/>
      <c r="AX118" s="165"/>
      <c r="AY118" s="165"/>
      <c r="AZ118" s="165"/>
      <c r="BA118" s="165"/>
      <c r="BB118" s="170"/>
      <c r="BC118" s="165"/>
      <c r="BD118" s="165"/>
      <c r="BE118" s="165"/>
      <c r="BF118" s="165"/>
      <c r="BG118" s="165"/>
      <c r="BH118" s="165"/>
      <c r="BI118" s="165"/>
      <c r="BJ118" s="165"/>
      <c r="BK118" s="165"/>
      <c r="BL118" s="165"/>
      <c r="BM118" s="165"/>
      <c r="BN118" s="165"/>
      <c r="BO118" s="165"/>
      <c r="BP118" s="165"/>
      <c r="BQ118" s="165"/>
      <c r="BR118" s="165"/>
      <c r="BS118" s="165"/>
      <c r="BT118" s="165"/>
      <c r="BU118" s="165"/>
      <c r="BV118" s="165"/>
      <c r="BW118" s="165"/>
      <c r="BX118" s="165"/>
      <c r="BY118" s="165"/>
      <c r="BZ118" s="165"/>
      <c r="CA118" s="165"/>
      <c r="CB118" s="165"/>
      <c r="CC118" s="165"/>
      <c r="CD118" s="165"/>
      <c r="CE118" s="165"/>
      <c r="CF118" s="165"/>
      <c r="CG118" s="165"/>
      <c r="CH118" s="165"/>
      <c r="CI118" s="170"/>
      <c r="CJ118" s="165"/>
      <c r="CK118" s="165"/>
      <c r="CL118" s="165"/>
      <c r="CM118" s="165"/>
      <c r="CN118" s="170"/>
      <c r="CO118" s="165"/>
      <c r="CP118" s="165"/>
      <c r="CQ118" s="165"/>
    </row>
    <row r="119" spans="1:95" outlineLevel="1" x14ac:dyDescent="0.25">
      <c r="B119" s="156" t="str">
        <f>Table1[[#Headers],[Simulação]]</f>
        <v>Simulação</v>
      </c>
      <c r="C119" s="154" t="str">
        <f t="shared" ref="C119:C124" si="27">D119&amp;"_"&amp;E119</f>
        <v>INSTR_ACTIVITY_COD_SOC</v>
      </c>
      <c r="D119" s="153" t="s">
        <v>1542</v>
      </c>
      <c r="E119" s="153" t="s">
        <v>12</v>
      </c>
      <c r="G119" s="172">
        <f>INDEX(Table1[[Especificação]:[Total Testes]],MATCH('Sheet1 (2)'!C119,Table1[CONCAT],0),MATCH('Sheet1 (2)'!B119,Table1[[#Headers],[Especificação]:[Total Testes]],0))</f>
        <v>1</v>
      </c>
      <c r="H119" s="191">
        <f t="shared" ref="H119:H124" si="28">ROUND(G119/8,2)</f>
        <v>0.13</v>
      </c>
      <c r="I119" s="222"/>
      <c r="J119" s="170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  <c r="AA119" s="165"/>
      <c r="AB119" s="165"/>
      <c r="AC119" s="165"/>
      <c r="AD119" s="165"/>
      <c r="AE119" s="165"/>
      <c r="AF119" s="165"/>
      <c r="AG119" s="165"/>
      <c r="AH119" s="165"/>
      <c r="AI119" s="165"/>
      <c r="AJ119" s="165"/>
      <c r="AK119" s="165"/>
      <c r="AL119" s="165"/>
      <c r="AM119" s="165"/>
      <c r="AN119" s="165"/>
      <c r="AO119" s="165"/>
      <c r="AP119" s="165"/>
      <c r="AQ119" s="165"/>
      <c r="AR119" s="165"/>
      <c r="AS119" s="165"/>
      <c r="AT119" s="165"/>
      <c r="AU119" s="165"/>
      <c r="AV119" s="165"/>
      <c r="AW119" s="165"/>
      <c r="AX119" s="165"/>
      <c r="AY119" s="165"/>
      <c r="AZ119" s="165"/>
      <c r="BA119" s="165"/>
      <c r="BB119" s="170"/>
      <c r="BC119" s="165"/>
      <c r="BD119" s="165"/>
      <c r="BE119" s="165"/>
      <c r="BF119" s="165"/>
      <c r="BG119" s="165"/>
      <c r="BH119" s="165"/>
      <c r="BI119" s="165"/>
      <c r="BJ119" s="165"/>
      <c r="BK119" s="165"/>
      <c r="BL119" s="165"/>
      <c r="BM119" s="165"/>
      <c r="BN119" s="165"/>
      <c r="BO119" s="165"/>
      <c r="BP119" s="165"/>
      <c r="BQ119" s="165"/>
      <c r="BR119" s="165"/>
      <c r="BS119" s="165"/>
      <c r="BT119" s="165"/>
      <c r="BU119" s="165"/>
      <c r="BV119" s="165"/>
      <c r="BW119" s="165"/>
      <c r="BX119" s="165"/>
      <c r="BY119" s="165"/>
      <c r="BZ119" s="165"/>
      <c r="CA119" s="165"/>
      <c r="CB119" s="165"/>
      <c r="CC119" s="165"/>
      <c r="CD119" s="165"/>
      <c r="CE119" s="165"/>
      <c r="CF119" s="165"/>
      <c r="CG119" s="165"/>
      <c r="CH119" s="165"/>
      <c r="CI119" s="170"/>
      <c r="CJ119" s="165"/>
      <c r="CK119" s="165"/>
      <c r="CL119" s="165"/>
      <c r="CM119" s="165"/>
      <c r="CN119" s="170"/>
      <c r="CO119" s="165"/>
      <c r="CP119" s="165"/>
      <c r="CQ119" s="165"/>
    </row>
    <row r="120" spans="1:95" outlineLevel="1" x14ac:dyDescent="0.25">
      <c r="B120" s="156" t="str">
        <f>Table1[[#Headers],[Simulação]]</f>
        <v>Simulação</v>
      </c>
      <c r="C120" s="154" t="str">
        <f t="shared" si="27"/>
        <v>INSTR_ACTIVITY_DT_RFRNC</v>
      </c>
      <c r="D120" s="153" t="s">
        <v>1542</v>
      </c>
      <c r="E120" s="153" t="s">
        <v>38</v>
      </c>
      <c r="G120" s="172">
        <f>INDEX(Table1[[Especificação]:[Total Testes]],MATCH('Sheet1 (2)'!C120,Table1[CONCAT],0),MATCH('Sheet1 (2)'!B120,Table1[[#Headers],[Especificação]:[Total Testes]],0))</f>
        <v>1</v>
      </c>
      <c r="H120" s="191">
        <f t="shared" si="28"/>
        <v>0.13</v>
      </c>
      <c r="I120" s="222"/>
      <c r="J120" s="170"/>
      <c r="K120" s="165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  <c r="AA120" s="165"/>
      <c r="AB120" s="165"/>
      <c r="AC120" s="165"/>
      <c r="AD120" s="165"/>
      <c r="AE120" s="165"/>
      <c r="AF120" s="165"/>
      <c r="AG120" s="165"/>
      <c r="AH120" s="165"/>
      <c r="AI120" s="165"/>
      <c r="AJ120" s="165"/>
      <c r="AK120" s="165"/>
      <c r="AL120" s="165"/>
      <c r="AM120" s="165"/>
      <c r="AN120" s="165"/>
      <c r="AO120" s="165"/>
      <c r="AP120" s="165"/>
      <c r="AQ120" s="165"/>
      <c r="AR120" s="165"/>
      <c r="AS120" s="165"/>
      <c r="AT120" s="165"/>
      <c r="AU120" s="165"/>
      <c r="AV120" s="165"/>
      <c r="AW120" s="165"/>
      <c r="AX120" s="165"/>
      <c r="AY120" s="165"/>
      <c r="AZ120" s="165"/>
      <c r="BA120" s="165"/>
      <c r="BB120" s="170"/>
      <c r="BC120" s="165"/>
      <c r="BD120" s="165"/>
      <c r="BE120" s="165"/>
      <c r="BF120" s="165"/>
      <c r="BG120" s="165"/>
      <c r="BH120" s="165"/>
      <c r="BI120" s="165"/>
      <c r="BJ120" s="165"/>
      <c r="BK120" s="165"/>
      <c r="BL120" s="165"/>
      <c r="BM120" s="165"/>
      <c r="BN120" s="165"/>
      <c r="BO120" s="165"/>
      <c r="BP120" s="165"/>
      <c r="BQ120" s="165"/>
      <c r="BR120" s="165"/>
      <c r="BS120" s="165"/>
      <c r="BT120" s="165"/>
      <c r="BU120" s="165"/>
      <c r="BV120" s="165"/>
      <c r="BW120" s="165"/>
      <c r="BX120" s="165"/>
      <c r="BY120" s="165"/>
      <c r="BZ120" s="165"/>
      <c r="CA120" s="165"/>
      <c r="CB120" s="165"/>
      <c r="CC120" s="165"/>
      <c r="CD120" s="165"/>
      <c r="CE120" s="165"/>
      <c r="CF120" s="165"/>
      <c r="CG120" s="165"/>
      <c r="CH120" s="165"/>
      <c r="CI120" s="170"/>
      <c r="CJ120" s="165"/>
      <c r="CK120" s="165"/>
      <c r="CL120" s="165"/>
      <c r="CM120" s="165"/>
      <c r="CN120" s="170"/>
      <c r="CO120" s="165"/>
      <c r="CP120" s="165"/>
      <c r="CQ120" s="165"/>
    </row>
    <row r="121" spans="1:95" outlineLevel="1" x14ac:dyDescent="0.25">
      <c r="B121" s="156" t="str">
        <f>Table1[[#Headers],[Simulação]]</f>
        <v>Simulação</v>
      </c>
      <c r="C121" s="154" t="str">
        <f t="shared" si="27"/>
        <v>INSTR_ACTIVITY_INSTRMNT_ID</v>
      </c>
      <c r="D121" s="153" t="s">
        <v>1542</v>
      </c>
      <c r="E121" s="153" t="s">
        <v>405</v>
      </c>
      <c r="G121" s="172">
        <f>INDEX(Table1[[Especificação]:[Total Testes]],MATCH('Sheet1 (2)'!C121,Table1[CONCAT],0),MATCH('Sheet1 (2)'!B121,Table1[[#Headers],[Especificação]:[Total Testes]],0))</f>
        <v>1</v>
      </c>
      <c r="H121" s="191">
        <f t="shared" si="28"/>
        <v>0.13</v>
      </c>
      <c r="I121" s="222"/>
      <c r="J121" s="170"/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  <c r="AA121" s="165"/>
      <c r="AB121" s="165"/>
      <c r="AC121" s="165"/>
      <c r="AD121" s="165"/>
      <c r="AE121" s="165"/>
      <c r="AF121" s="165"/>
      <c r="AG121" s="165"/>
      <c r="AH121" s="165"/>
      <c r="AI121" s="165"/>
      <c r="AJ121" s="165"/>
      <c r="AK121" s="165"/>
      <c r="AL121" s="165"/>
      <c r="AM121" s="165"/>
      <c r="AN121" s="165"/>
      <c r="AO121" s="165"/>
      <c r="AP121" s="165"/>
      <c r="AQ121" s="165"/>
      <c r="AR121" s="165"/>
      <c r="AS121" s="165"/>
      <c r="AT121" s="165"/>
      <c r="AU121" s="165"/>
      <c r="AV121" s="165"/>
      <c r="AW121" s="165"/>
      <c r="AX121" s="165"/>
      <c r="AY121" s="165"/>
      <c r="AZ121" s="165"/>
      <c r="BA121" s="165"/>
      <c r="BB121" s="170"/>
      <c r="BC121" s="165"/>
      <c r="BD121" s="165"/>
      <c r="BE121" s="165"/>
      <c r="BF121" s="165"/>
      <c r="BG121" s="165"/>
      <c r="BH121" s="165"/>
      <c r="BI121" s="165"/>
      <c r="BJ121" s="165"/>
      <c r="BK121" s="165"/>
      <c r="BL121" s="165"/>
      <c r="BM121" s="165"/>
      <c r="BN121" s="165"/>
      <c r="BO121" s="165"/>
      <c r="BP121" s="165"/>
      <c r="BQ121" s="165"/>
      <c r="BR121" s="165"/>
      <c r="BS121" s="165"/>
      <c r="BT121" s="165"/>
      <c r="BU121" s="165"/>
      <c r="BV121" s="165"/>
      <c r="BW121" s="165"/>
      <c r="BX121" s="165"/>
      <c r="BY121" s="165"/>
      <c r="BZ121" s="165"/>
      <c r="CA121" s="165"/>
      <c r="CB121" s="165"/>
      <c r="CC121" s="165"/>
      <c r="CD121" s="165"/>
      <c r="CE121" s="165"/>
      <c r="CF121" s="165"/>
      <c r="CG121" s="165"/>
      <c r="CH121" s="165"/>
      <c r="CI121" s="170"/>
      <c r="CJ121" s="165"/>
      <c r="CK121" s="165"/>
      <c r="CL121" s="165"/>
      <c r="CM121" s="165"/>
      <c r="CN121" s="170"/>
      <c r="CO121" s="165"/>
      <c r="CP121" s="165"/>
      <c r="CQ121" s="165"/>
    </row>
    <row r="122" spans="1:95" outlineLevel="1" x14ac:dyDescent="0.25">
      <c r="B122" s="156" t="str">
        <f>Table1[[#Headers],[Simulação]]</f>
        <v>Simulação</v>
      </c>
      <c r="C122" s="154" t="str">
        <f t="shared" si="27"/>
        <v>INSTR_ACTIVITY_PRCNTG_ACTVTY</v>
      </c>
      <c r="D122" s="153" t="s">
        <v>1542</v>
      </c>
      <c r="E122" s="153" t="s">
        <v>1548</v>
      </c>
      <c r="G122" s="172">
        <f>INDEX(Table1[[Especificação]:[Total Testes]],MATCH('Sheet1 (2)'!C122,Table1[CONCAT],0),MATCH('Sheet1 (2)'!B122,Table1[[#Headers],[Especificação]:[Total Testes]],0))</f>
        <v>3</v>
      </c>
      <c r="H122" s="191">
        <f t="shared" si="28"/>
        <v>0.38</v>
      </c>
      <c r="I122" s="222"/>
      <c r="J122" s="170"/>
      <c r="K122" s="165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  <c r="AA122" s="165"/>
      <c r="AB122" s="165"/>
      <c r="AC122" s="165"/>
      <c r="AD122" s="165"/>
      <c r="AE122" s="165"/>
      <c r="AF122" s="165"/>
      <c r="AG122" s="165"/>
      <c r="AH122" s="165"/>
      <c r="AI122" s="165"/>
      <c r="AJ122" s="165"/>
      <c r="AK122" s="165"/>
      <c r="AL122" s="165"/>
      <c r="AM122" s="165"/>
      <c r="AN122" s="165"/>
      <c r="AO122" s="165"/>
      <c r="AP122" s="165"/>
      <c r="AQ122" s="165"/>
      <c r="AR122" s="165"/>
      <c r="AS122" s="165"/>
      <c r="AT122" s="165"/>
      <c r="AU122" s="165"/>
      <c r="AV122" s="165"/>
      <c r="AW122" s="165"/>
      <c r="AX122" s="165"/>
      <c r="AY122" s="165"/>
      <c r="AZ122" s="165"/>
      <c r="BA122" s="165"/>
      <c r="BB122" s="170"/>
      <c r="BC122" s="165"/>
      <c r="BD122" s="165"/>
      <c r="BE122" s="165"/>
      <c r="BF122" s="165"/>
      <c r="BG122" s="165"/>
      <c r="BH122" s="165"/>
      <c r="BI122" s="165"/>
      <c r="BJ122" s="165"/>
      <c r="BK122" s="165"/>
      <c r="BL122" s="165"/>
      <c r="BM122" s="165"/>
      <c r="BN122" s="165"/>
      <c r="BO122" s="165"/>
      <c r="BP122" s="165"/>
      <c r="BQ122" s="165"/>
      <c r="BR122" s="165"/>
      <c r="BS122" s="165"/>
      <c r="BT122" s="165"/>
      <c r="BU122" s="165"/>
      <c r="BV122" s="165"/>
      <c r="BW122" s="165"/>
      <c r="BX122" s="165"/>
      <c r="BY122" s="165"/>
      <c r="BZ122" s="165"/>
      <c r="CA122" s="165"/>
      <c r="CB122" s="165"/>
      <c r="CC122" s="165"/>
      <c r="CD122" s="165"/>
      <c r="CE122" s="165"/>
      <c r="CF122" s="165"/>
      <c r="CG122" s="165"/>
      <c r="CH122" s="165"/>
      <c r="CI122" s="170"/>
      <c r="CJ122" s="165"/>
      <c r="CK122" s="165"/>
      <c r="CL122" s="165"/>
      <c r="CM122" s="165"/>
      <c r="CN122" s="170"/>
      <c r="CO122" s="165"/>
      <c r="CP122" s="165"/>
      <c r="CQ122" s="165"/>
    </row>
    <row r="123" spans="1:95" outlineLevel="1" x14ac:dyDescent="0.25">
      <c r="B123" s="156" t="str">
        <f>Table1[[#Headers],[Simulação]]</f>
        <v>Simulação</v>
      </c>
      <c r="C123" s="154" t="str">
        <f t="shared" si="27"/>
        <v>INSTR_PROTECTION_TYP_RLTN</v>
      </c>
      <c r="D123" s="153" t="s">
        <v>1101</v>
      </c>
      <c r="E123" s="153" t="s">
        <v>1384</v>
      </c>
      <c r="G123" s="172">
        <f>INDEX(Table1[[Especificação]:[Total Testes]],MATCH('Sheet1 (2)'!C123,Table1[CONCAT],0),MATCH('Sheet1 (2)'!B123,Table1[[#Headers],[Especificação]:[Total Testes]],0))</f>
        <v>3</v>
      </c>
      <c r="H123" s="191">
        <f t="shared" si="28"/>
        <v>0.38</v>
      </c>
      <c r="I123" s="222"/>
      <c r="J123" s="170"/>
      <c r="K123" s="165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  <c r="AA123" s="165"/>
      <c r="AB123" s="165"/>
      <c r="AC123" s="165"/>
      <c r="AD123" s="165"/>
      <c r="AE123" s="165"/>
      <c r="AF123" s="165"/>
      <c r="AG123" s="165"/>
      <c r="AH123" s="165"/>
      <c r="AI123" s="165"/>
      <c r="AJ123" s="165"/>
      <c r="AK123" s="165"/>
      <c r="AL123" s="165"/>
      <c r="AM123" s="165"/>
      <c r="AN123" s="165"/>
      <c r="AO123" s="165"/>
      <c r="AP123" s="165"/>
      <c r="AQ123" s="165"/>
      <c r="AR123" s="165"/>
      <c r="AS123" s="165"/>
      <c r="AT123" s="165"/>
      <c r="AU123" s="165"/>
      <c r="AV123" s="165"/>
      <c r="AW123" s="165"/>
      <c r="AX123" s="165"/>
      <c r="AY123" s="165"/>
      <c r="AZ123" s="165"/>
      <c r="BA123" s="165"/>
      <c r="BB123" s="170"/>
      <c r="BC123" s="165"/>
      <c r="BD123" s="165"/>
      <c r="BE123" s="165"/>
      <c r="BF123" s="165"/>
      <c r="BG123" s="165"/>
      <c r="BH123" s="165"/>
      <c r="BI123" s="165"/>
      <c r="BJ123" s="165"/>
      <c r="BK123" s="165"/>
      <c r="BL123" s="165"/>
      <c r="BM123" s="165"/>
      <c r="BN123" s="165"/>
      <c r="BO123" s="165"/>
      <c r="BP123" s="165"/>
      <c r="BQ123" s="165"/>
      <c r="BR123" s="165"/>
      <c r="BS123" s="165"/>
      <c r="BT123" s="165"/>
      <c r="BU123" s="165"/>
      <c r="BV123" s="165"/>
      <c r="BW123" s="165"/>
      <c r="BX123" s="165"/>
      <c r="BY123" s="165"/>
      <c r="BZ123" s="165"/>
      <c r="CA123" s="165"/>
      <c r="CB123" s="165"/>
      <c r="CC123" s="165"/>
      <c r="CD123" s="165"/>
      <c r="CE123" s="165"/>
      <c r="CF123" s="165"/>
      <c r="CG123" s="165"/>
      <c r="CH123" s="165"/>
      <c r="CI123" s="170"/>
      <c r="CJ123" s="165"/>
      <c r="CK123" s="165"/>
      <c r="CL123" s="165"/>
      <c r="CM123" s="165"/>
      <c r="CN123" s="170"/>
      <c r="CO123" s="165"/>
      <c r="CP123" s="165"/>
      <c r="CQ123" s="165"/>
    </row>
    <row r="124" spans="1:95" outlineLevel="1" x14ac:dyDescent="0.25">
      <c r="B124" s="156" t="str">
        <f>Table1[[#Headers],[Simulação]]</f>
        <v>Simulação</v>
      </c>
      <c r="C124" s="154" t="str">
        <f t="shared" si="27"/>
        <v>INSTRUMENT_NW_BSNSS</v>
      </c>
      <c r="D124" s="153" t="s">
        <v>414</v>
      </c>
      <c r="E124" s="153" t="s">
        <v>973</v>
      </c>
      <c r="G124" s="172">
        <f>INDEX(Table1[[Especificação]:[Total Testes]],MATCH('Sheet1 (2)'!C124,Table1[CONCAT],0),MATCH('Sheet1 (2)'!B124,Table1[[#Headers],[Especificação]:[Total Testes]],0))</f>
        <v>8</v>
      </c>
      <c r="H124" s="191">
        <f t="shared" si="28"/>
        <v>1</v>
      </c>
      <c r="I124" s="222"/>
      <c r="J124" s="170"/>
      <c r="K124" s="165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  <c r="AA124" s="165"/>
      <c r="AB124" s="165"/>
      <c r="AC124" s="165"/>
      <c r="AD124" s="165"/>
      <c r="AE124" s="165"/>
      <c r="AF124" s="165"/>
      <c r="AG124" s="165"/>
      <c r="AH124" s="165"/>
      <c r="AI124" s="165"/>
      <c r="AJ124" s="165"/>
      <c r="AK124" s="165"/>
      <c r="AL124" s="165"/>
      <c r="AM124" s="165"/>
      <c r="AN124" s="165"/>
      <c r="AO124" s="165"/>
      <c r="AP124" s="165"/>
      <c r="AQ124" s="165"/>
      <c r="AR124" s="165"/>
      <c r="AS124" s="165"/>
      <c r="AT124" s="165"/>
      <c r="AU124" s="165"/>
      <c r="AV124" s="165"/>
      <c r="AW124" s="165"/>
      <c r="AX124" s="165"/>
      <c r="AY124" s="165"/>
      <c r="AZ124" s="165"/>
      <c r="BA124" s="165"/>
      <c r="BB124" s="170"/>
      <c r="BC124" s="165"/>
      <c r="BD124" s="165"/>
      <c r="BE124" s="165"/>
      <c r="BF124" s="165"/>
      <c r="BG124" s="165"/>
      <c r="BH124" s="165"/>
      <c r="BI124" s="165"/>
      <c r="BJ124" s="165"/>
      <c r="BK124" s="165"/>
      <c r="BL124" s="165"/>
      <c r="BM124" s="165"/>
      <c r="BN124" s="165"/>
      <c r="BO124" s="165"/>
      <c r="BP124" s="165"/>
      <c r="BQ124" s="165"/>
      <c r="BR124" s="165"/>
      <c r="BS124" s="165"/>
      <c r="BT124" s="165"/>
      <c r="BU124" s="165"/>
      <c r="BV124" s="165"/>
      <c r="BW124" s="165"/>
      <c r="BX124" s="165"/>
      <c r="BY124" s="165"/>
      <c r="BZ124" s="165"/>
      <c r="CA124" s="165"/>
      <c r="CB124" s="165"/>
      <c r="CC124" s="165"/>
      <c r="CD124" s="165"/>
      <c r="CE124" s="165"/>
      <c r="CF124" s="165"/>
      <c r="CG124" s="165"/>
      <c r="CH124" s="165"/>
      <c r="CI124" s="170"/>
      <c r="CJ124" s="165"/>
      <c r="CK124" s="165"/>
      <c r="CL124" s="165"/>
      <c r="CM124" s="165"/>
      <c r="CN124" s="170"/>
      <c r="CO124" s="165"/>
      <c r="CP124" s="165"/>
      <c r="CQ124" s="165"/>
    </row>
    <row r="125" spans="1:95" outlineLevel="1" x14ac:dyDescent="0.25">
      <c r="A125" s="228"/>
      <c r="B125" s="236" t="str">
        <f>Table1[[#Headers],[Simulação]]</f>
        <v>Simulação</v>
      </c>
      <c r="C125" s="237" t="str">
        <f t="shared" si="25"/>
        <v>PROTECTION_TYP_EMSSNS_LBL</v>
      </c>
      <c r="D125" s="232" t="s">
        <v>1114</v>
      </c>
      <c r="E125" s="232" t="s">
        <v>1235</v>
      </c>
      <c r="F125" s="238"/>
      <c r="G125" s="233">
        <f>INDEX(Table1[[Especificação]:[Total Testes]],MATCH('Sheet1 (2)'!C125,Table1[CONCAT],0),MATCH('Sheet1 (2)'!B125,Table1[[#Headers],[Especificação]:[Total Testes]],0))</f>
        <v>0</v>
      </c>
      <c r="H125" s="239">
        <f t="shared" si="26"/>
        <v>0</v>
      </c>
      <c r="I125" s="240"/>
      <c r="J125" s="170"/>
      <c r="K125" s="165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  <c r="AE125" s="165"/>
      <c r="AF125" s="165"/>
      <c r="AG125" s="165"/>
      <c r="AH125" s="165"/>
      <c r="AI125" s="165"/>
      <c r="AJ125" s="165"/>
      <c r="AK125" s="165"/>
      <c r="AL125" s="165"/>
      <c r="AM125" s="165"/>
      <c r="AN125" s="165"/>
      <c r="AO125" s="165"/>
      <c r="AP125" s="165"/>
      <c r="AQ125" s="165"/>
      <c r="AR125" s="165"/>
      <c r="AS125" s="165"/>
      <c r="AT125" s="165"/>
      <c r="AU125" s="165"/>
      <c r="AV125" s="165"/>
      <c r="AW125" s="165"/>
      <c r="AX125" s="165"/>
      <c r="AY125" s="165"/>
      <c r="AZ125" s="165"/>
      <c r="BA125" s="165"/>
      <c r="BB125" s="170"/>
      <c r="BC125" s="165"/>
      <c r="BD125" s="165"/>
      <c r="BE125" s="165"/>
      <c r="BF125" s="165"/>
      <c r="BG125" s="165"/>
      <c r="BH125" s="165"/>
      <c r="BI125" s="165"/>
      <c r="BJ125" s="165"/>
      <c r="BK125" s="165"/>
      <c r="BL125" s="165"/>
      <c r="BM125" s="165"/>
      <c r="BN125" s="165"/>
      <c r="BO125" s="165"/>
      <c r="BP125" s="165"/>
      <c r="BQ125" s="165"/>
      <c r="BR125" s="165"/>
      <c r="BS125" s="165"/>
      <c r="BT125" s="165"/>
      <c r="BU125" s="165"/>
      <c r="BV125" s="165"/>
      <c r="BW125" s="165"/>
      <c r="BX125" s="165"/>
      <c r="BY125" s="165"/>
      <c r="BZ125" s="165"/>
      <c r="CA125" s="165"/>
      <c r="CB125" s="165"/>
      <c r="CC125" s="165"/>
      <c r="CD125" s="165"/>
      <c r="CE125" s="165"/>
      <c r="CF125" s="165"/>
      <c r="CG125" s="165"/>
      <c r="CH125" s="165"/>
      <c r="CI125" s="170"/>
      <c r="CJ125" s="165"/>
      <c r="CK125" s="165"/>
      <c r="CL125" s="165"/>
      <c r="CM125" s="165"/>
      <c r="CN125" s="170"/>
      <c r="CO125" s="165"/>
      <c r="CP125" s="165"/>
      <c r="CQ125" s="165"/>
    </row>
    <row r="126" spans="1:95" outlineLevel="1" x14ac:dyDescent="0.25">
      <c r="A126" s="228"/>
      <c r="B126" s="236" t="str">
        <f>Table1[[#Headers],[Simulação]]</f>
        <v>Simulação</v>
      </c>
      <c r="C126" s="237" t="str">
        <f t="shared" si="25"/>
        <v>PROTECTION_EPC_EMSSNS_LBL</v>
      </c>
      <c r="D126" s="232" t="s">
        <v>1114</v>
      </c>
      <c r="E126" s="232" t="s">
        <v>1238</v>
      </c>
      <c r="F126" s="238"/>
      <c r="G126" s="233">
        <f>INDEX(Table1[[Especificação]:[Total Testes]],MATCH('Sheet1 (2)'!C126,Table1[CONCAT],0),MATCH('Sheet1 (2)'!B126,Table1[[#Headers],[Especificação]:[Total Testes]],0))</f>
        <v>0</v>
      </c>
      <c r="H126" s="239">
        <f t="shared" si="26"/>
        <v>0</v>
      </c>
      <c r="I126" s="240"/>
      <c r="J126" s="170"/>
      <c r="K126" s="165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  <c r="AA126" s="165"/>
      <c r="AB126" s="165"/>
      <c r="AC126" s="165"/>
      <c r="AD126" s="165"/>
      <c r="AE126" s="165"/>
      <c r="AF126" s="165"/>
      <c r="AG126" s="165"/>
      <c r="AH126" s="165"/>
      <c r="AI126" s="165"/>
      <c r="AJ126" s="165"/>
      <c r="AK126" s="165"/>
      <c r="AL126" s="165"/>
      <c r="AM126" s="165"/>
      <c r="AN126" s="165"/>
      <c r="AO126" s="165"/>
      <c r="AP126" s="165"/>
      <c r="AQ126" s="165"/>
      <c r="AR126" s="165"/>
      <c r="AS126" s="165"/>
      <c r="AT126" s="165"/>
      <c r="AU126" s="165"/>
      <c r="AV126" s="165"/>
      <c r="AW126" s="165"/>
      <c r="AX126" s="165"/>
      <c r="AY126" s="165"/>
      <c r="AZ126" s="165"/>
      <c r="BA126" s="165"/>
      <c r="BB126" s="170"/>
      <c r="BC126" s="165"/>
      <c r="BD126" s="165"/>
      <c r="BE126" s="165"/>
      <c r="BF126" s="165"/>
      <c r="BG126" s="165"/>
      <c r="BH126" s="165"/>
      <c r="BI126" s="165"/>
      <c r="BJ126" s="165"/>
      <c r="BK126" s="165"/>
      <c r="BL126" s="165"/>
      <c r="BM126" s="165"/>
      <c r="BN126" s="165"/>
      <c r="BO126" s="165"/>
      <c r="BP126" s="165"/>
      <c r="BQ126" s="165"/>
      <c r="BR126" s="165"/>
      <c r="BS126" s="165"/>
      <c r="BT126" s="165"/>
      <c r="BU126" s="165"/>
      <c r="BV126" s="165"/>
      <c r="BW126" s="165"/>
      <c r="BX126" s="165"/>
      <c r="BY126" s="165"/>
      <c r="BZ126" s="165"/>
      <c r="CA126" s="165"/>
      <c r="CB126" s="165"/>
      <c r="CC126" s="165"/>
      <c r="CD126" s="165"/>
      <c r="CE126" s="165"/>
      <c r="CF126" s="165"/>
      <c r="CG126" s="165"/>
      <c r="CH126" s="165"/>
      <c r="CI126" s="170"/>
      <c r="CJ126" s="165"/>
      <c r="CK126" s="165"/>
      <c r="CL126" s="165"/>
      <c r="CM126" s="165"/>
      <c r="CN126" s="170"/>
      <c r="CO126" s="165"/>
      <c r="CP126" s="165"/>
      <c r="CQ126" s="165"/>
    </row>
    <row r="127" spans="1:95" outlineLevel="1" x14ac:dyDescent="0.25">
      <c r="A127" s="228"/>
      <c r="B127" s="236" t="str">
        <f>Table1[[#Headers],[Simulação]]</f>
        <v>Simulação</v>
      </c>
      <c r="C127" s="237" t="str">
        <f t="shared" si="25"/>
        <v>PROTECTION_VHCL_EMSSNS_LBL</v>
      </c>
      <c r="D127" s="232" t="s">
        <v>1114</v>
      </c>
      <c r="E127" s="232" t="s">
        <v>1241</v>
      </c>
      <c r="F127" s="238"/>
      <c r="G127" s="233">
        <f>INDEX(Table1[[Especificação]:[Total Testes]],MATCH('Sheet1 (2)'!C127,Table1[CONCAT],0),MATCH('Sheet1 (2)'!B127,Table1[[#Headers],[Especificação]:[Total Testes]],0))</f>
        <v>0</v>
      </c>
      <c r="H127" s="239">
        <f t="shared" si="26"/>
        <v>0</v>
      </c>
      <c r="I127" s="240"/>
      <c r="J127" s="170"/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  <c r="AA127" s="165"/>
      <c r="AB127" s="165"/>
      <c r="AC127" s="165"/>
      <c r="AD127" s="165"/>
      <c r="AE127" s="165"/>
      <c r="AF127" s="165"/>
      <c r="AG127" s="165"/>
      <c r="AH127" s="165"/>
      <c r="AI127" s="165"/>
      <c r="AJ127" s="165"/>
      <c r="AK127" s="165"/>
      <c r="AL127" s="165"/>
      <c r="AM127" s="165"/>
      <c r="AN127" s="165"/>
      <c r="AO127" s="165"/>
      <c r="AP127" s="165"/>
      <c r="AQ127" s="165"/>
      <c r="AR127" s="165"/>
      <c r="AS127" s="165"/>
      <c r="AT127" s="165"/>
      <c r="AU127" s="165"/>
      <c r="AV127" s="165"/>
      <c r="AW127" s="165"/>
      <c r="AX127" s="165"/>
      <c r="AY127" s="165"/>
      <c r="AZ127" s="165"/>
      <c r="BA127" s="165"/>
      <c r="BB127" s="170"/>
      <c r="BC127" s="165"/>
      <c r="BD127" s="165"/>
      <c r="BE127" s="165"/>
      <c r="BF127" s="165"/>
      <c r="BG127" s="165"/>
      <c r="BH127" s="165"/>
      <c r="BI127" s="165"/>
      <c r="BJ127" s="165"/>
      <c r="BK127" s="165"/>
      <c r="BL127" s="165"/>
      <c r="BM127" s="165"/>
      <c r="BN127" s="165"/>
      <c r="BO127" s="165"/>
      <c r="BP127" s="165"/>
      <c r="BQ127" s="165"/>
      <c r="BR127" s="165"/>
      <c r="BS127" s="165"/>
      <c r="BT127" s="165"/>
      <c r="BU127" s="165"/>
      <c r="BV127" s="165"/>
      <c r="BW127" s="165"/>
      <c r="BX127" s="165"/>
      <c r="BY127" s="165"/>
      <c r="BZ127" s="165"/>
      <c r="CA127" s="165"/>
      <c r="CB127" s="165"/>
      <c r="CC127" s="165"/>
      <c r="CD127" s="165"/>
      <c r="CE127" s="165"/>
      <c r="CF127" s="165"/>
      <c r="CG127" s="165"/>
      <c r="CH127" s="165"/>
      <c r="CI127" s="170"/>
      <c r="CJ127" s="165"/>
      <c r="CK127" s="165"/>
      <c r="CL127" s="165"/>
      <c r="CM127" s="165"/>
      <c r="CN127" s="170"/>
      <c r="CO127" s="165"/>
      <c r="CP127" s="165"/>
      <c r="CQ127" s="165"/>
    </row>
    <row r="128" spans="1:95" outlineLevel="1" x14ac:dyDescent="0.25">
      <c r="A128" s="228"/>
      <c r="B128" s="236" t="str">
        <f>Table1[[#Headers],[Simulação]]</f>
        <v>Simulação</v>
      </c>
      <c r="C128" s="237" t="str">
        <f t="shared" si="25"/>
        <v>PROTECTION_TYP_EMSSNS_SCR</v>
      </c>
      <c r="D128" s="232" t="s">
        <v>1114</v>
      </c>
      <c r="E128" s="232" t="s">
        <v>1244</v>
      </c>
      <c r="F128" s="238"/>
      <c r="G128" s="233">
        <f>INDEX(Table1[[Especificação]:[Total Testes]],MATCH('Sheet1 (2)'!C128,Table1[CONCAT],0),MATCH('Sheet1 (2)'!B128,Table1[[#Headers],[Especificação]:[Total Testes]],0))</f>
        <v>0</v>
      </c>
      <c r="H128" s="239">
        <f t="shared" si="26"/>
        <v>0</v>
      </c>
      <c r="I128" s="240"/>
      <c r="J128" s="170"/>
      <c r="K128" s="165"/>
      <c r="L128" s="165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  <c r="AA128" s="165"/>
      <c r="AB128" s="165"/>
      <c r="AC128" s="165"/>
      <c r="AD128" s="165"/>
      <c r="AE128" s="165"/>
      <c r="AF128" s="165"/>
      <c r="AG128" s="165"/>
      <c r="AH128" s="165"/>
      <c r="AI128" s="165"/>
      <c r="AJ128" s="165"/>
      <c r="AK128" s="165"/>
      <c r="AL128" s="165"/>
      <c r="AM128" s="165"/>
      <c r="AN128" s="165"/>
      <c r="AO128" s="165"/>
      <c r="AP128" s="165"/>
      <c r="AQ128" s="165"/>
      <c r="AR128" s="165"/>
      <c r="AS128" s="165"/>
      <c r="AT128" s="165"/>
      <c r="AU128" s="165"/>
      <c r="AV128" s="165"/>
      <c r="AW128" s="165"/>
      <c r="AX128" s="165"/>
      <c r="AY128" s="165"/>
      <c r="AZ128" s="165"/>
      <c r="BA128" s="165"/>
      <c r="BB128" s="170"/>
      <c r="BC128" s="165"/>
      <c r="BD128" s="165"/>
      <c r="BE128" s="165"/>
      <c r="BF128" s="165"/>
      <c r="BG128" s="165"/>
      <c r="BH128" s="165"/>
      <c r="BI128" s="165"/>
      <c r="BJ128" s="165"/>
      <c r="BK128" s="165"/>
      <c r="BL128" s="165"/>
      <c r="BM128" s="165"/>
      <c r="BN128" s="165"/>
      <c r="BO128" s="165"/>
      <c r="BP128" s="165"/>
      <c r="BQ128" s="165"/>
      <c r="BR128" s="165"/>
      <c r="BS128" s="165"/>
      <c r="BT128" s="165"/>
      <c r="BU128" s="165"/>
      <c r="BV128" s="165"/>
      <c r="BW128" s="165"/>
      <c r="BX128" s="165"/>
      <c r="BY128" s="165"/>
      <c r="BZ128" s="165"/>
      <c r="CA128" s="165"/>
      <c r="CB128" s="165"/>
      <c r="CC128" s="165"/>
      <c r="CD128" s="165"/>
      <c r="CE128" s="165"/>
      <c r="CF128" s="165"/>
      <c r="CG128" s="165"/>
      <c r="CH128" s="165"/>
      <c r="CI128" s="170"/>
      <c r="CJ128" s="165"/>
      <c r="CK128" s="165"/>
      <c r="CL128" s="165"/>
      <c r="CM128" s="165"/>
      <c r="CN128" s="170"/>
      <c r="CO128" s="165"/>
      <c r="CP128" s="165"/>
      <c r="CQ128" s="165"/>
    </row>
    <row r="129" spans="1:95" outlineLevel="1" x14ac:dyDescent="0.25">
      <c r="A129" s="228"/>
      <c r="B129" s="236" t="str">
        <f>Table1[[#Headers],[Simulação]]</f>
        <v>Simulação</v>
      </c>
      <c r="C129" s="237" t="str">
        <f t="shared" si="25"/>
        <v>PROTECTION_EPC_EMSSNS_SCR</v>
      </c>
      <c r="D129" s="232" t="s">
        <v>1114</v>
      </c>
      <c r="E129" s="232" t="s">
        <v>1247</v>
      </c>
      <c r="F129" s="238"/>
      <c r="G129" s="233">
        <f>INDEX(Table1[[Especificação]:[Total Testes]],MATCH('Sheet1 (2)'!C129,Table1[CONCAT],0),MATCH('Sheet1 (2)'!B129,Table1[[#Headers],[Especificação]:[Total Testes]],0))</f>
        <v>0</v>
      </c>
      <c r="H129" s="239">
        <f t="shared" si="26"/>
        <v>0</v>
      </c>
      <c r="I129" s="240"/>
      <c r="J129" s="170"/>
      <c r="K129" s="165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  <c r="AA129" s="165"/>
      <c r="AB129" s="165"/>
      <c r="AC129" s="165"/>
      <c r="AD129" s="165"/>
      <c r="AE129" s="165"/>
      <c r="AF129" s="165"/>
      <c r="AG129" s="165"/>
      <c r="AH129" s="165"/>
      <c r="AI129" s="165"/>
      <c r="AJ129" s="165"/>
      <c r="AK129" s="165"/>
      <c r="AL129" s="165"/>
      <c r="AM129" s="165"/>
      <c r="AN129" s="165"/>
      <c r="AO129" s="165"/>
      <c r="AP129" s="165"/>
      <c r="AQ129" s="165"/>
      <c r="AR129" s="165"/>
      <c r="AS129" s="165"/>
      <c r="AT129" s="165"/>
      <c r="AU129" s="165"/>
      <c r="AV129" s="165"/>
      <c r="AW129" s="165"/>
      <c r="AX129" s="165"/>
      <c r="AY129" s="165"/>
      <c r="AZ129" s="165"/>
      <c r="BA129" s="165"/>
      <c r="BB129" s="170"/>
      <c r="BC129" s="165"/>
      <c r="BD129" s="165"/>
      <c r="BE129" s="165"/>
      <c r="BF129" s="165"/>
      <c r="BG129" s="165"/>
      <c r="BH129" s="165"/>
      <c r="BI129" s="165"/>
      <c r="BJ129" s="165"/>
      <c r="BK129" s="165"/>
      <c r="BL129" s="165"/>
      <c r="BM129" s="165"/>
      <c r="BN129" s="165"/>
      <c r="BO129" s="165"/>
      <c r="BP129" s="165"/>
      <c r="BQ129" s="165"/>
      <c r="BR129" s="165"/>
      <c r="BS129" s="165"/>
      <c r="BT129" s="165"/>
      <c r="BU129" s="165"/>
      <c r="BV129" s="165"/>
      <c r="BW129" s="165"/>
      <c r="BX129" s="165"/>
      <c r="BY129" s="165"/>
      <c r="BZ129" s="165"/>
      <c r="CA129" s="165"/>
      <c r="CB129" s="165"/>
      <c r="CC129" s="165"/>
      <c r="CD129" s="165"/>
      <c r="CE129" s="165"/>
      <c r="CF129" s="165"/>
      <c r="CG129" s="165"/>
      <c r="CH129" s="165"/>
      <c r="CI129" s="170"/>
      <c r="CJ129" s="165"/>
      <c r="CK129" s="165"/>
      <c r="CL129" s="165"/>
      <c r="CM129" s="165"/>
      <c r="CN129" s="170"/>
      <c r="CO129" s="165"/>
      <c r="CP129" s="165"/>
      <c r="CQ129" s="165"/>
    </row>
    <row r="130" spans="1:95" outlineLevel="1" x14ac:dyDescent="0.25">
      <c r="A130" s="228"/>
      <c r="B130" s="236" t="str">
        <f>Table1[[#Headers],[Simulação]]</f>
        <v>Simulação</v>
      </c>
      <c r="C130" s="237" t="str">
        <f t="shared" si="25"/>
        <v>PROTECTION_VHCL_EMSSNS_SCR</v>
      </c>
      <c r="D130" s="232" t="s">
        <v>1114</v>
      </c>
      <c r="E130" s="232" t="s">
        <v>1250</v>
      </c>
      <c r="F130" s="238"/>
      <c r="G130" s="233">
        <f>INDEX(Table1[[Especificação]:[Total Testes]],MATCH('Sheet1 (2)'!C130,Table1[CONCAT],0),MATCH('Sheet1 (2)'!B130,Table1[[#Headers],[Especificação]:[Total Testes]],0))</f>
        <v>0</v>
      </c>
      <c r="H130" s="239">
        <f t="shared" si="26"/>
        <v>0</v>
      </c>
      <c r="I130" s="240"/>
      <c r="J130" s="170"/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  <c r="AA130" s="165"/>
      <c r="AB130" s="165"/>
      <c r="AC130" s="165"/>
      <c r="AD130" s="165"/>
      <c r="AE130" s="165"/>
      <c r="AF130" s="165"/>
      <c r="AG130" s="165"/>
      <c r="AH130" s="165"/>
      <c r="AI130" s="165"/>
      <c r="AJ130" s="165"/>
      <c r="AK130" s="165"/>
      <c r="AL130" s="165"/>
      <c r="AM130" s="165"/>
      <c r="AN130" s="165"/>
      <c r="AO130" s="165"/>
      <c r="AP130" s="165"/>
      <c r="AQ130" s="165"/>
      <c r="AR130" s="165"/>
      <c r="AS130" s="165"/>
      <c r="AT130" s="165"/>
      <c r="AU130" s="165"/>
      <c r="AV130" s="165"/>
      <c r="AW130" s="165"/>
      <c r="AX130" s="165"/>
      <c r="AY130" s="165"/>
      <c r="AZ130" s="165"/>
      <c r="BA130" s="165"/>
      <c r="BB130" s="170"/>
      <c r="BC130" s="165"/>
      <c r="BD130" s="165"/>
      <c r="BE130" s="165"/>
      <c r="BF130" s="165"/>
      <c r="BG130" s="165"/>
      <c r="BH130" s="165"/>
      <c r="BI130" s="165"/>
      <c r="BJ130" s="165"/>
      <c r="BK130" s="165"/>
      <c r="BL130" s="165"/>
      <c r="BM130" s="165"/>
      <c r="BN130" s="165"/>
      <c r="BO130" s="165"/>
      <c r="BP130" s="165"/>
      <c r="BQ130" s="165"/>
      <c r="BR130" s="165"/>
      <c r="BS130" s="165"/>
      <c r="BT130" s="165"/>
      <c r="BU130" s="165"/>
      <c r="BV130" s="165"/>
      <c r="BW130" s="165"/>
      <c r="BX130" s="165"/>
      <c r="BY130" s="165"/>
      <c r="BZ130" s="165"/>
      <c r="CA130" s="165"/>
      <c r="CB130" s="165"/>
      <c r="CC130" s="165"/>
      <c r="CD130" s="165"/>
      <c r="CE130" s="165"/>
      <c r="CF130" s="165"/>
      <c r="CG130" s="165"/>
      <c r="CH130" s="165"/>
      <c r="CI130" s="170"/>
      <c r="CJ130" s="165"/>
      <c r="CK130" s="165"/>
      <c r="CL130" s="165"/>
      <c r="CM130" s="165"/>
      <c r="CN130" s="170"/>
      <c r="CO130" s="165"/>
      <c r="CP130" s="165"/>
      <c r="CQ130" s="165"/>
    </row>
    <row r="131" spans="1:95" outlineLevel="1" x14ac:dyDescent="0.25">
      <c r="A131" s="228"/>
      <c r="B131" s="236" t="str">
        <f>Table1[[#Headers],[Simulação]]</f>
        <v>Simulação</v>
      </c>
      <c r="C131" s="237" t="str">
        <f t="shared" si="25"/>
        <v>PROTECTION_INSRNC_ID</v>
      </c>
      <c r="D131" s="232" t="s">
        <v>1114</v>
      </c>
      <c r="E131" s="232" t="s">
        <v>1275</v>
      </c>
      <c r="F131" s="238"/>
      <c r="G131" s="233">
        <f>INDEX(Table1[[Especificação]:[Total Testes]],MATCH('Sheet1 (2)'!C131,Table1[CONCAT],0),MATCH('Sheet1 (2)'!B131,Table1[[#Headers],[Especificação]:[Total Testes]],0))</f>
        <v>0</v>
      </c>
      <c r="H131" s="239">
        <f t="shared" si="26"/>
        <v>0</v>
      </c>
      <c r="I131" s="240"/>
      <c r="J131" s="170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  <c r="AA131" s="165"/>
      <c r="AB131" s="165"/>
      <c r="AC131" s="165"/>
      <c r="AD131" s="165"/>
      <c r="AE131" s="165"/>
      <c r="AF131" s="165"/>
      <c r="AG131" s="165"/>
      <c r="AH131" s="165"/>
      <c r="AI131" s="165"/>
      <c r="AJ131" s="165"/>
      <c r="AK131" s="165"/>
      <c r="AL131" s="165"/>
      <c r="AM131" s="165"/>
      <c r="AN131" s="165"/>
      <c r="AO131" s="165"/>
      <c r="AP131" s="165"/>
      <c r="AQ131" s="165"/>
      <c r="AR131" s="165"/>
      <c r="AS131" s="165"/>
      <c r="AT131" s="165"/>
      <c r="AU131" s="165"/>
      <c r="AV131" s="165"/>
      <c r="AW131" s="165"/>
      <c r="AX131" s="165"/>
      <c r="AY131" s="165"/>
      <c r="AZ131" s="165"/>
      <c r="BA131" s="165"/>
      <c r="BB131" s="170"/>
      <c r="BC131" s="165"/>
      <c r="BD131" s="165"/>
      <c r="BE131" s="165"/>
      <c r="BF131" s="165"/>
      <c r="BG131" s="165"/>
      <c r="BH131" s="165"/>
      <c r="BI131" s="165"/>
      <c r="BJ131" s="165"/>
      <c r="BK131" s="165"/>
      <c r="BL131" s="165"/>
      <c r="BM131" s="165"/>
      <c r="BN131" s="165"/>
      <c r="BO131" s="165"/>
      <c r="BP131" s="165"/>
      <c r="BQ131" s="165"/>
      <c r="BR131" s="165"/>
      <c r="BS131" s="165"/>
      <c r="BT131" s="165"/>
      <c r="BU131" s="165"/>
      <c r="BV131" s="165"/>
      <c r="BW131" s="165"/>
      <c r="BX131" s="165"/>
      <c r="BY131" s="165"/>
      <c r="BZ131" s="165"/>
      <c r="CA131" s="165"/>
      <c r="CB131" s="165"/>
      <c r="CC131" s="165"/>
      <c r="CD131" s="165"/>
      <c r="CE131" s="165"/>
      <c r="CF131" s="165"/>
      <c r="CG131" s="165"/>
      <c r="CH131" s="165"/>
      <c r="CI131" s="170"/>
      <c r="CJ131" s="165"/>
      <c r="CK131" s="165"/>
      <c r="CL131" s="165"/>
      <c r="CM131" s="165"/>
      <c r="CN131" s="170"/>
      <c r="CO131" s="165"/>
      <c r="CP131" s="165"/>
      <c r="CQ131" s="165"/>
    </row>
    <row r="132" spans="1:95" outlineLevel="1" x14ac:dyDescent="0.25">
      <c r="A132" s="228"/>
      <c r="B132" s="236" t="str">
        <f>Table1[[#Headers],[Simulação]]</f>
        <v>Simulação</v>
      </c>
      <c r="C132" s="237" t="str">
        <f t="shared" si="25"/>
        <v>PROTECTION_TYP_HZRDS_INSRD</v>
      </c>
      <c r="D132" s="232" t="s">
        <v>1114</v>
      </c>
      <c r="E132" s="232" t="s">
        <v>1278</v>
      </c>
      <c r="F132" s="238"/>
      <c r="G132" s="233">
        <f>INDEX(Table1[[Especificação]:[Total Testes]],MATCH('Sheet1 (2)'!C132,Table1[CONCAT],0),MATCH('Sheet1 (2)'!B132,Table1[[#Headers],[Especificação]:[Total Testes]],0))</f>
        <v>0</v>
      </c>
      <c r="H132" s="239">
        <f t="shared" si="26"/>
        <v>0</v>
      </c>
      <c r="I132" s="240"/>
      <c r="J132" s="170"/>
      <c r="K132" s="165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  <c r="AA132" s="165"/>
      <c r="AB132" s="165"/>
      <c r="AC132" s="165"/>
      <c r="AD132" s="165"/>
      <c r="AE132" s="165"/>
      <c r="AF132" s="165"/>
      <c r="AG132" s="165"/>
      <c r="AH132" s="165"/>
      <c r="AI132" s="165"/>
      <c r="AJ132" s="165"/>
      <c r="AK132" s="165"/>
      <c r="AL132" s="165"/>
      <c r="AM132" s="165"/>
      <c r="AN132" s="165"/>
      <c r="AO132" s="165"/>
      <c r="AP132" s="165"/>
      <c r="AQ132" s="165"/>
      <c r="AR132" s="165"/>
      <c r="AS132" s="165"/>
      <c r="AT132" s="165"/>
      <c r="AU132" s="165"/>
      <c r="AV132" s="165"/>
      <c r="AW132" s="165"/>
      <c r="AX132" s="165"/>
      <c r="AY132" s="165"/>
      <c r="AZ132" s="165"/>
      <c r="BA132" s="165"/>
      <c r="BB132" s="170"/>
      <c r="BC132" s="165"/>
      <c r="BD132" s="165"/>
      <c r="BE132" s="165"/>
      <c r="BF132" s="165"/>
      <c r="BG132" s="165"/>
      <c r="BH132" s="165"/>
      <c r="BI132" s="165"/>
      <c r="BJ132" s="165"/>
      <c r="BK132" s="165"/>
      <c r="BL132" s="165"/>
      <c r="BM132" s="165"/>
      <c r="BN132" s="165"/>
      <c r="BO132" s="165"/>
      <c r="BP132" s="165"/>
      <c r="BQ132" s="165"/>
      <c r="BR132" s="165"/>
      <c r="BS132" s="165"/>
      <c r="BT132" s="165"/>
      <c r="BU132" s="165"/>
      <c r="BV132" s="165"/>
      <c r="BW132" s="165"/>
      <c r="BX132" s="165"/>
      <c r="BY132" s="165"/>
      <c r="BZ132" s="165"/>
      <c r="CA132" s="165"/>
      <c r="CB132" s="165"/>
      <c r="CC132" s="165"/>
      <c r="CD132" s="165"/>
      <c r="CE132" s="165"/>
      <c r="CF132" s="165"/>
      <c r="CG132" s="165"/>
      <c r="CH132" s="165"/>
      <c r="CI132" s="170"/>
      <c r="CJ132" s="165"/>
      <c r="CK132" s="165"/>
      <c r="CL132" s="165"/>
      <c r="CM132" s="165"/>
      <c r="CN132" s="170"/>
      <c r="CO132" s="165"/>
      <c r="CP132" s="165"/>
      <c r="CQ132" s="165"/>
    </row>
    <row r="133" spans="1:95" outlineLevel="1" x14ac:dyDescent="0.25">
      <c r="A133" s="228"/>
      <c r="B133" s="236" t="str">
        <f>Table1[[#Headers],[Simulação]]</f>
        <v>Simulação</v>
      </c>
      <c r="C133" s="237" t="str">
        <f t="shared" si="25"/>
        <v>PROTECTION_AMNT_CVRD_INSRNC</v>
      </c>
      <c r="D133" s="232" t="s">
        <v>1114</v>
      </c>
      <c r="E133" s="232" t="s">
        <v>1281</v>
      </c>
      <c r="F133" s="238"/>
      <c r="G133" s="233">
        <f>INDEX(Table1[[Especificação]:[Total Testes]],MATCH('Sheet1 (2)'!C133,Table1[CONCAT],0),MATCH('Sheet1 (2)'!B133,Table1[[#Headers],[Especificação]:[Total Testes]],0))</f>
        <v>0</v>
      </c>
      <c r="H133" s="239">
        <f t="shared" si="26"/>
        <v>0</v>
      </c>
      <c r="I133" s="240"/>
      <c r="J133" s="170"/>
      <c r="K133" s="165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  <c r="AA133" s="165"/>
      <c r="AB133" s="165"/>
      <c r="AC133" s="165"/>
      <c r="AD133" s="165"/>
      <c r="AE133" s="165"/>
      <c r="AF133" s="165"/>
      <c r="AG133" s="165"/>
      <c r="AH133" s="165"/>
      <c r="AI133" s="165"/>
      <c r="AJ133" s="165"/>
      <c r="AK133" s="165"/>
      <c r="AL133" s="165"/>
      <c r="AM133" s="165"/>
      <c r="AN133" s="165"/>
      <c r="AO133" s="165"/>
      <c r="AP133" s="165"/>
      <c r="AQ133" s="165"/>
      <c r="AR133" s="165"/>
      <c r="AS133" s="165"/>
      <c r="AT133" s="165"/>
      <c r="AU133" s="165"/>
      <c r="AV133" s="165"/>
      <c r="AW133" s="165"/>
      <c r="AX133" s="165"/>
      <c r="AY133" s="165"/>
      <c r="AZ133" s="165"/>
      <c r="BA133" s="165"/>
      <c r="BB133" s="170"/>
      <c r="BC133" s="165"/>
      <c r="BD133" s="165"/>
      <c r="BE133" s="165"/>
      <c r="BF133" s="165"/>
      <c r="BG133" s="165"/>
      <c r="BH133" s="165"/>
      <c r="BI133" s="165"/>
      <c r="BJ133" s="165"/>
      <c r="BK133" s="165"/>
      <c r="BL133" s="165"/>
      <c r="BM133" s="165"/>
      <c r="BN133" s="165"/>
      <c r="BO133" s="165"/>
      <c r="BP133" s="165"/>
      <c r="BQ133" s="165"/>
      <c r="BR133" s="165"/>
      <c r="BS133" s="165"/>
      <c r="BT133" s="165"/>
      <c r="BU133" s="165"/>
      <c r="BV133" s="165"/>
      <c r="BW133" s="165"/>
      <c r="BX133" s="165"/>
      <c r="BY133" s="165"/>
      <c r="BZ133" s="165"/>
      <c r="CA133" s="165"/>
      <c r="CB133" s="165"/>
      <c r="CC133" s="165"/>
      <c r="CD133" s="165"/>
      <c r="CE133" s="165"/>
      <c r="CF133" s="165"/>
      <c r="CG133" s="165"/>
      <c r="CH133" s="165"/>
      <c r="CI133" s="170"/>
      <c r="CJ133" s="165"/>
      <c r="CK133" s="165"/>
      <c r="CL133" s="165"/>
      <c r="CM133" s="165"/>
      <c r="CN133" s="170"/>
      <c r="CO133" s="165"/>
      <c r="CP133" s="165"/>
      <c r="CQ133" s="165"/>
    </row>
    <row r="134" spans="1:95" outlineLevel="1" x14ac:dyDescent="0.25">
      <c r="A134" s="228"/>
      <c r="B134" s="236" t="str">
        <f>Table1[[#Headers],[Simulação]]</f>
        <v>Simulação</v>
      </c>
      <c r="C134" s="237" t="str">
        <f t="shared" si="25"/>
        <v>PROTECTION_DT_MTRTY_INSRNC</v>
      </c>
      <c r="D134" s="232" t="s">
        <v>1114</v>
      </c>
      <c r="E134" s="232" t="s">
        <v>1284</v>
      </c>
      <c r="F134" s="238"/>
      <c r="G134" s="233">
        <f>INDEX(Table1[[Especificação]:[Total Testes]],MATCH('Sheet1 (2)'!C134,Table1[CONCAT],0),MATCH('Sheet1 (2)'!B134,Table1[[#Headers],[Especificação]:[Total Testes]],0))</f>
        <v>0</v>
      </c>
      <c r="H134" s="239">
        <f t="shared" si="26"/>
        <v>0</v>
      </c>
      <c r="I134" s="240"/>
      <c r="J134" s="170"/>
      <c r="K134" s="165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  <c r="AA134" s="165"/>
      <c r="AB134" s="165"/>
      <c r="AC134" s="165"/>
      <c r="AD134" s="165"/>
      <c r="AE134" s="165"/>
      <c r="AF134" s="165"/>
      <c r="AG134" s="165"/>
      <c r="AH134" s="165"/>
      <c r="AI134" s="165"/>
      <c r="AJ134" s="165"/>
      <c r="AK134" s="165"/>
      <c r="AL134" s="165"/>
      <c r="AM134" s="165"/>
      <c r="AN134" s="165"/>
      <c r="AO134" s="165"/>
      <c r="AP134" s="165"/>
      <c r="AQ134" s="165"/>
      <c r="AR134" s="165"/>
      <c r="AS134" s="165"/>
      <c r="AT134" s="165"/>
      <c r="AU134" s="165"/>
      <c r="AV134" s="165"/>
      <c r="AW134" s="165"/>
      <c r="AX134" s="165"/>
      <c r="AY134" s="165"/>
      <c r="AZ134" s="165"/>
      <c r="BA134" s="165"/>
      <c r="BB134" s="170"/>
      <c r="BC134" s="165"/>
      <c r="BD134" s="165"/>
      <c r="BE134" s="165"/>
      <c r="BF134" s="165"/>
      <c r="BG134" s="165"/>
      <c r="BH134" s="165"/>
      <c r="BI134" s="165"/>
      <c r="BJ134" s="165"/>
      <c r="BK134" s="165"/>
      <c r="BL134" s="165"/>
      <c r="BM134" s="165"/>
      <c r="BN134" s="165"/>
      <c r="BO134" s="165"/>
      <c r="BP134" s="165"/>
      <c r="BQ134" s="165"/>
      <c r="BR134" s="165"/>
      <c r="BS134" s="165"/>
      <c r="BT134" s="165"/>
      <c r="BU134" s="165"/>
      <c r="BV134" s="165"/>
      <c r="BW134" s="165"/>
      <c r="BX134" s="165"/>
      <c r="BY134" s="165"/>
      <c r="BZ134" s="165"/>
      <c r="CA134" s="165"/>
      <c r="CB134" s="165"/>
      <c r="CC134" s="165"/>
      <c r="CD134" s="165"/>
      <c r="CE134" s="165"/>
      <c r="CF134" s="165"/>
      <c r="CG134" s="165"/>
      <c r="CH134" s="165"/>
      <c r="CI134" s="170"/>
      <c r="CJ134" s="165"/>
      <c r="CK134" s="165"/>
      <c r="CL134" s="165"/>
      <c r="CM134" s="165"/>
      <c r="CN134" s="170"/>
      <c r="CO134" s="165"/>
      <c r="CP134" s="165"/>
      <c r="CQ134" s="165"/>
    </row>
    <row r="135" spans="1:95" outlineLevel="1" x14ac:dyDescent="0.25">
      <c r="A135" s="228"/>
      <c r="B135" s="236" t="str">
        <f>Table1[[#Headers],[Simulação]]</f>
        <v>Simulação</v>
      </c>
      <c r="C135" s="237" t="str">
        <f t="shared" si="25"/>
        <v>PROTECTION_FLG_FRST_HM</v>
      </c>
      <c r="D135" s="232" t="s">
        <v>1114</v>
      </c>
      <c r="E135" s="243" t="s">
        <v>1287</v>
      </c>
      <c r="F135" s="238"/>
      <c r="G135" s="233">
        <f>INDEX(Table1[[Especificação]:[Total Testes]],MATCH('Sheet1 (2)'!C135,Table1[CONCAT],0),MATCH('Sheet1 (2)'!B135,Table1[[#Headers],[Especificação]:[Total Testes]],0))</f>
        <v>0</v>
      </c>
      <c r="H135" s="239">
        <f t="shared" si="26"/>
        <v>0</v>
      </c>
      <c r="I135" s="240"/>
      <c r="J135" s="170"/>
      <c r="K135" s="165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  <c r="AA135" s="165"/>
      <c r="AB135" s="165"/>
      <c r="AC135" s="165"/>
      <c r="AD135" s="165"/>
      <c r="AE135" s="165"/>
      <c r="AF135" s="165"/>
      <c r="AG135" s="165"/>
      <c r="AH135" s="165"/>
      <c r="AI135" s="165"/>
      <c r="AJ135" s="165"/>
      <c r="AK135" s="165"/>
      <c r="AL135" s="165"/>
      <c r="AM135" s="165"/>
      <c r="AN135" s="165"/>
      <c r="AO135" s="165"/>
      <c r="AP135" s="165"/>
      <c r="AQ135" s="165"/>
      <c r="AR135" s="165"/>
      <c r="AS135" s="165"/>
      <c r="AT135" s="165"/>
      <c r="AU135" s="165"/>
      <c r="AV135" s="165"/>
      <c r="AW135" s="165"/>
      <c r="AX135" s="165"/>
      <c r="AY135" s="165"/>
      <c r="AZ135" s="165"/>
      <c r="BA135" s="165"/>
      <c r="BB135" s="170"/>
      <c r="BC135" s="165"/>
      <c r="BD135" s="165"/>
      <c r="BE135" s="165"/>
      <c r="BF135" s="165"/>
      <c r="BG135" s="165"/>
      <c r="BH135" s="165"/>
      <c r="BI135" s="165"/>
      <c r="BJ135" s="165"/>
      <c r="BK135" s="165"/>
      <c r="BL135" s="165"/>
      <c r="BM135" s="165"/>
      <c r="BN135" s="165"/>
      <c r="BO135" s="165"/>
      <c r="BP135" s="165"/>
      <c r="BQ135" s="165"/>
      <c r="BR135" s="165"/>
      <c r="BS135" s="165"/>
      <c r="BT135" s="165"/>
      <c r="BU135" s="165"/>
      <c r="BV135" s="165"/>
      <c r="BW135" s="165"/>
      <c r="BX135" s="165"/>
      <c r="BY135" s="165"/>
      <c r="BZ135" s="165"/>
      <c r="CA135" s="165"/>
      <c r="CB135" s="165"/>
      <c r="CC135" s="165"/>
      <c r="CD135" s="165"/>
      <c r="CE135" s="165"/>
      <c r="CF135" s="165"/>
      <c r="CG135" s="165"/>
      <c r="CH135" s="165"/>
      <c r="CI135" s="170"/>
      <c r="CJ135" s="165"/>
      <c r="CK135" s="165"/>
      <c r="CL135" s="165"/>
      <c r="CM135" s="165"/>
      <c r="CN135" s="170"/>
      <c r="CO135" s="165"/>
      <c r="CP135" s="165"/>
      <c r="CQ135" s="165"/>
    </row>
    <row r="136" spans="1:95" outlineLevel="1" x14ac:dyDescent="0.25">
      <c r="A136" s="228"/>
      <c r="B136" s="236" t="str">
        <f>Table1[[#Headers],[Simulação]]</f>
        <v>Simulação</v>
      </c>
      <c r="C136" s="237" t="str">
        <f t="shared" si="25"/>
        <v>ENTITY_ENTTY_NM</v>
      </c>
      <c r="D136" s="232" t="s">
        <v>10</v>
      </c>
      <c r="E136" s="232" t="s">
        <v>59</v>
      </c>
      <c r="F136" s="238"/>
      <c r="G136" s="233">
        <f>INDEX(Table1[[Especificação]:[Total Testes]],MATCH('Sheet1 (2)'!C136,Table1[CONCAT],0),MATCH('Sheet1 (2)'!B136,Table1[[#Headers],[Especificação]:[Total Testes]],0))</f>
        <v>0</v>
      </c>
      <c r="H136" s="239">
        <f t="shared" si="26"/>
        <v>0</v>
      </c>
      <c r="I136" s="240"/>
      <c r="J136" s="170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  <c r="AC136" s="165"/>
      <c r="AD136" s="165"/>
      <c r="AE136" s="165"/>
      <c r="AF136" s="165"/>
      <c r="AG136" s="165"/>
      <c r="AH136" s="165"/>
      <c r="AI136" s="165"/>
      <c r="AJ136" s="165"/>
      <c r="AK136" s="165"/>
      <c r="AL136" s="165"/>
      <c r="AM136" s="165"/>
      <c r="AN136" s="165"/>
      <c r="AO136" s="165"/>
      <c r="AP136" s="165"/>
      <c r="AQ136" s="165"/>
      <c r="AR136" s="165"/>
      <c r="AS136" s="165"/>
      <c r="AT136" s="165"/>
      <c r="AU136" s="165"/>
      <c r="AV136" s="165"/>
      <c r="AW136" s="165"/>
      <c r="AX136" s="165"/>
      <c r="AY136" s="165"/>
      <c r="AZ136" s="165"/>
      <c r="BA136" s="165"/>
      <c r="BB136" s="170"/>
      <c r="BC136" s="165"/>
      <c r="BD136" s="165"/>
      <c r="BE136" s="165"/>
      <c r="BF136" s="165"/>
      <c r="BG136" s="165"/>
      <c r="BH136" s="165"/>
      <c r="BI136" s="165"/>
      <c r="BJ136" s="165"/>
      <c r="BK136" s="165"/>
      <c r="BL136" s="165"/>
      <c r="BM136" s="165"/>
      <c r="BN136" s="165"/>
      <c r="BO136" s="165"/>
      <c r="BP136" s="165"/>
      <c r="BQ136" s="165"/>
      <c r="BR136" s="165"/>
      <c r="BS136" s="165"/>
      <c r="BT136" s="165"/>
      <c r="BU136" s="165"/>
      <c r="BV136" s="165"/>
      <c r="BW136" s="165"/>
      <c r="BX136" s="165"/>
      <c r="BY136" s="165"/>
      <c r="BZ136" s="165"/>
      <c r="CA136" s="165"/>
      <c r="CB136" s="165"/>
      <c r="CC136" s="165"/>
      <c r="CD136" s="165"/>
      <c r="CE136" s="165"/>
      <c r="CF136" s="165"/>
      <c r="CG136" s="165"/>
      <c r="CH136" s="165"/>
      <c r="CI136" s="170"/>
      <c r="CJ136" s="165"/>
      <c r="CK136" s="165"/>
      <c r="CL136" s="165"/>
      <c r="CM136" s="165"/>
      <c r="CN136" s="170"/>
      <c r="CO136" s="165"/>
      <c r="CP136" s="165"/>
      <c r="CQ136" s="165"/>
    </row>
    <row r="137" spans="1:95" outlineLevel="1" x14ac:dyDescent="0.25">
      <c r="A137" s="228"/>
      <c r="B137" s="236" t="str">
        <f>Table1[[#Headers],[Simulação]]</f>
        <v>Simulação</v>
      </c>
      <c r="C137" s="237" t="str">
        <f t="shared" si="25"/>
        <v>ENTITY_EC_GRP_NM</v>
      </c>
      <c r="D137" s="232" t="s">
        <v>10</v>
      </c>
      <c r="E137" s="232" t="s">
        <v>284</v>
      </c>
      <c r="F137" s="238"/>
      <c r="G137" s="233">
        <f>INDEX(Table1[[Especificação]:[Total Testes]],MATCH('Sheet1 (2)'!C137,Table1[CONCAT],0),MATCH('Sheet1 (2)'!B137,Table1[[#Headers],[Especificação]:[Total Testes]],0))</f>
        <v>0</v>
      </c>
      <c r="H137" s="239">
        <f t="shared" si="26"/>
        <v>0</v>
      </c>
      <c r="I137" s="240"/>
      <c r="J137" s="170"/>
      <c r="K137" s="165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  <c r="AA137" s="165"/>
      <c r="AB137" s="165"/>
      <c r="AC137" s="165"/>
      <c r="AD137" s="165"/>
      <c r="AE137" s="165"/>
      <c r="AF137" s="165"/>
      <c r="AG137" s="165"/>
      <c r="AH137" s="165"/>
      <c r="AI137" s="165"/>
      <c r="AJ137" s="165"/>
      <c r="AK137" s="165"/>
      <c r="AL137" s="165"/>
      <c r="AM137" s="165"/>
      <c r="AN137" s="165"/>
      <c r="AO137" s="165"/>
      <c r="AP137" s="165"/>
      <c r="AQ137" s="165"/>
      <c r="AR137" s="165"/>
      <c r="AS137" s="165"/>
      <c r="AT137" s="165"/>
      <c r="AU137" s="165"/>
      <c r="AV137" s="165"/>
      <c r="AW137" s="165"/>
      <c r="AX137" s="165"/>
      <c r="AY137" s="165"/>
      <c r="AZ137" s="165"/>
      <c r="BA137" s="165"/>
      <c r="BB137" s="170"/>
      <c r="BC137" s="165"/>
      <c r="BD137" s="165"/>
      <c r="BE137" s="165"/>
      <c r="BF137" s="165"/>
      <c r="BG137" s="165"/>
      <c r="BH137" s="165"/>
      <c r="BI137" s="165"/>
      <c r="BJ137" s="165"/>
      <c r="BK137" s="165"/>
      <c r="BL137" s="165"/>
      <c r="BM137" s="165"/>
      <c r="BN137" s="165"/>
      <c r="BO137" s="165"/>
      <c r="BP137" s="165"/>
      <c r="BQ137" s="165"/>
      <c r="BR137" s="165"/>
      <c r="BS137" s="165"/>
      <c r="BT137" s="165"/>
      <c r="BU137" s="165"/>
      <c r="BV137" s="165"/>
      <c r="BW137" s="165"/>
      <c r="BX137" s="165"/>
      <c r="BY137" s="165"/>
      <c r="BZ137" s="165"/>
      <c r="CA137" s="165"/>
      <c r="CB137" s="165"/>
      <c r="CC137" s="165"/>
      <c r="CD137" s="165"/>
      <c r="CE137" s="165"/>
      <c r="CF137" s="165"/>
      <c r="CG137" s="165"/>
      <c r="CH137" s="165"/>
      <c r="CI137" s="170"/>
      <c r="CJ137" s="165"/>
      <c r="CK137" s="165"/>
      <c r="CL137" s="165"/>
      <c r="CM137" s="165"/>
      <c r="CN137" s="170"/>
      <c r="CO137" s="165"/>
      <c r="CP137" s="165"/>
      <c r="CQ137" s="165"/>
    </row>
    <row r="138" spans="1:95" outlineLevel="1" x14ac:dyDescent="0.25">
      <c r="A138" s="228"/>
      <c r="B138" s="236" t="str">
        <f>Table1[[#Headers],[Simulação]]</f>
        <v>Simulação</v>
      </c>
      <c r="C138" s="237" t="str">
        <f t="shared" si="25"/>
        <v>INSTRUMENT_FRBRNC_STTS_INSTRMNT</v>
      </c>
      <c r="D138" s="232" t="s">
        <v>414</v>
      </c>
      <c r="E138" s="232" t="s">
        <v>501</v>
      </c>
      <c r="F138" s="238"/>
      <c r="G138" s="233">
        <f>INDEX(Table1[[Especificação]:[Total Testes]],MATCH('Sheet1 (2)'!C138,Table1[CONCAT],0),MATCH('Sheet1 (2)'!B138,Table1[[#Headers],[Especificação]:[Total Testes]],0))</f>
        <v>0</v>
      </c>
      <c r="H138" s="239">
        <f t="shared" si="26"/>
        <v>0</v>
      </c>
      <c r="I138" s="240"/>
      <c r="J138" s="170"/>
      <c r="K138" s="165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  <c r="AA138" s="165"/>
      <c r="AB138" s="165"/>
      <c r="AC138" s="165"/>
      <c r="AD138" s="165"/>
      <c r="AE138" s="165"/>
      <c r="AF138" s="165"/>
      <c r="AG138" s="165"/>
      <c r="AH138" s="165"/>
      <c r="AI138" s="165"/>
      <c r="AJ138" s="165"/>
      <c r="AK138" s="165"/>
      <c r="AL138" s="165"/>
      <c r="AM138" s="165"/>
      <c r="AN138" s="165"/>
      <c r="AO138" s="165"/>
      <c r="AP138" s="165"/>
      <c r="AQ138" s="165"/>
      <c r="AR138" s="165"/>
      <c r="AS138" s="165"/>
      <c r="AT138" s="165"/>
      <c r="AU138" s="165"/>
      <c r="AV138" s="165"/>
      <c r="AW138" s="165"/>
      <c r="AX138" s="165"/>
      <c r="AY138" s="165"/>
      <c r="AZ138" s="165"/>
      <c r="BA138" s="165"/>
      <c r="BB138" s="170"/>
      <c r="BC138" s="165"/>
      <c r="BD138" s="165"/>
      <c r="BE138" s="165"/>
      <c r="BF138" s="165"/>
      <c r="BG138" s="165"/>
      <c r="BH138" s="165"/>
      <c r="BI138" s="165"/>
      <c r="BJ138" s="165"/>
      <c r="BK138" s="165"/>
      <c r="BL138" s="165"/>
      <c r="BM138" s="165"/>
      <c r="BN138" s="165"/>
      <c r="BO138" s="165"/>
      <c r="BP138" s="165"/>
      <c r="BQ138" s="165"/>
      <c r="BR138" s="165"/>
      <c r="BS138" s="165"/>
      <c r="BT138" s="165"/>
      <c r="BU138" s="165"/>
      <c r="BV138" s="165"/>
      <c r="BW138" s="165"/>
      <c r="BX138" s="165"/>
      <c r="BY138" s="165"/>
      <c r="BZ138" s="165"/>
      <c r="CA138" s="165"/>
      <c r="CB138" s="165"/>
      <c r="CC138" s="165"/>
      <c r="CD138" s="165"/>
      <c r="CE138" s="165"/>
      <c r="CF138" s="165"/>
      <c r="CG138" s="165"/>
      <c r="CH138" s="165"/>
      <c r="CI138" s="170"/>
      <c r="CJ138" s="165"/>
      <c r="CK138" s="165"/>
      <c r="CL138" s="165"/>
      <c r="CM138" s="165"/>
      <c r="CN138" s="170"/>
      <c r="CO138" s="165"/>
      <c r="CP138" s="165"/>
      <c r="CQ138" s="165"/>
    </row>
    <row r="139" spans="1:95" outlineLevel="1" x14ac:dyDescent="0.25">
      <c r="A139" s="228"/>
      <c r="B139" s="236" t="str">
        <f>Table1[[#Headers],[Simulação]]</f>
        <v>Simulação</v>
      </c>
      <c r="C139" s="237" t="str">
        <f t="shared" si="25"/>
        <v>INSTRUMENT_IFRS9_BHVRL_MTRTY</v>
      </c>
      <c r="D139" s="232" t="s">
        <v>414</v>
      </c>
      <c r="E139" s="232" t="s">
        <v>614</v>
      </c>
      <c r="F139" s="238"/>
      <c r="G139" s="233">
        <f>INDEX(Table1[[Especificação]:[Total Testes]],MATCH('Sheet1 (2)'!C139,Table1[CONCAT],0),MATCH('Sheet1 (2)'!B139,Table1[[#Headers],[Especificação]:[Total Testes]],0))</f>
        <v>0</v>
      </c>
      <c r="H139" s="239">
        <f t="shared" si="26"/>
        <v>0</v>
      </c>
      <c r="I139" s="240"/>
      <c r="J139" s="170"/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  <c r="AA139" s="165"/>
      <c r="AB139" s="165"/>
      <c r="AC139" s="165"/>
      <c r="AD139" s="165"/>
      <c r="AE139" s="165"/>
      <c r="AF139" s="165"/>
      <c r="AG139" s="165"/>
      <c r="AH139" s="165"/>
      <c r="AI139" s="165"/>
      <c r="AJ139" s="165"/>
      <c r="AK139" s="165"/>
      <c r="AL139" s="165"/>
      <c r="AM139" s="165"/>
      <c r="AN139" s="165"/>
      <c r="AO139" s="165"/>
      <c r="AP139" s="165"/>
      <c r="AQ139" s="165"/>
      <c r="AR139" s="165"/>
      <c r="AS139" s="165"/>
      <c r="AT139" s="165"/>
      <c r="AU139" s="165"/>
      <c r="AV139" s="165"/>
      <c r="AW139" s="165"/>
      <c r="AX139" s="165"/>
      <c r="AY139" s="165"/>
      <c r="AZ139" s="165"/>
      <c r="BA139" s="165"/>
      <c r="BB139" s="170"/>
      <c r="BC139" s="165"/>
      <c r="BD139" s="165"/>
      <c r="BE139" s="165"/>
      <c r="BF139" s="165"/>
      <c r="BG139" s="165"/>
      <c r="BH139" s="165"/>
      <c r="BI139" s="165"/>
      <c r="BJ139" s="165"/>
      <c r="BK139" s="165"/>
      <c r="BL139" s="165"/>
      <c r="BM139" s="165"/>
      <c r="BN139" s="165"/>
      <c r="BO139" s="165"/>
      <c r="BP139" s="165"/>
      <c r="BQ139" s="165"/>
      <c r="BR139" s="165"/>
      <c r="BS139" s="165"/>
      <c r="BT139" s="165"/>
      <c r="BU139" s="165"/>
      <c r="BV139" s="165"/>
      <c r="BW139" s="165"/>
      <c r="BX139" s="165"/>
      <c r="BY139" s="165"/>
      <c r="BZ139" s="165"/>
      <c r="CA139" s="165"/>
      <c r="CB139" s="165"/>
      <c r="CC139" s="165"/>
      <c r="CD139" s="165"/>
      <c r="CE139" s="165"/>
      <c r="CF139" s="165"/>
      <c r="CG139" s="165"/>
      <c r="CH139" s="165"/>
      <c r="CI139" s="170"/>
      <c r="CJ139" s="165"/>
      <c r="CK139" s="165"/>
      <c r="CL139" s="165"/>
      <c r="CM139" s="165"/>
      <c r="CN139" s="170"/>
      <c r="CO139" s="165"/>
      <c r="CP139" s="165"/>
      <c r="CQ139" s="165"/>
    </row>
    <row r="140" spans="1:95" outlineLevel="1" x14ac:dyDescent="0.25">
      <c r="A140" s="228"/>
      <c r="B140" s="236" t="str">
        <f>Table1[[#Headers],[Simulação]]</f>
        <v>Simulação</v>
      </c>
      <c r="C140" s="237" t="str">
        <f t="shared" si="25"/>
        <v>INSTRUMENT_LTV</v>
      </c>
      <c r="D140" s="232" t="s">
        <v>414</v>
      </c>
      <c r="E140" s="232" t="s">
        <v>724</v>
      </c>
      <c r="F140" s="238"/>
      <c r="G140" s="233">
        <f>INDEX(Table1[[Especificação]:[Total Testes]],MATCH('Sheet1 (2)'!C140,Table1[CONCAT],0),MATCH('Sheet1 (2)'!B140,Table1[[#Headers],[Especificação]:[Total Testes]],0))</f>
        <v>0</v>
      </c>
      <c r="H140" s="239">
        <f t="shared" si="26"/>
        <v>0</v>
      </c>
      <c r="I140" s="240"/>
      <c r="J140" s="170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  <c r="AA140" s="165"/>
      <c r="AB140" s="165"/>
      <c r="AC140" s="165"/>
      <c r="AD140" s="165"/>
      <c r="AE140" s="165"/>
      <c r="AF140" s="165"/>
      <c r="AG140" s="165"/>
      <c r="AH140" s="165"/>
      <c r="AI140" s="165"/>
      <c r="AJ140" s="165"/>
      <c r="AK140" s="165"/>
      <c r="AL140" s="165"/>
      <c r="AM140" s="165"/>
      <c r="AN140" s="165"/>
      <c r="AO140" s="165"/>
      <c r="AP140" s="165"/>
      <c r="AQ140" s="165"/>
      <c r="AR140" s="165"/>
      <c r="AS140" s="165"/>
      <c r="AT140" s="165"/>
      <c r="AU140" s="165"/>
      <c r="AV140" s="165"/>
      <c r="AW140" s="165"/>
      <c r="AX140" s="165"/>
      <c r="AY140" s="165"/>
      <c r="AZ140" s="165"/>
      <c r="BA140" s="165"/>
      <c r="BB140" s="170"/>
      <c r="BC140" s="165"/>
      <c r="BD140" s="165"/>
      <c r="BE140" s="165"/>
      <c r="BF140" s="165"/>
      <c r="BG140" s="165"/>
      <c r="BH140" s="165"/>
      <c r="BI140" s="165"/>
      <c r="BJ140" s="165"/>
      <c r="BK140" s="165"/>
      <c r="BL140" s="165"/>
      <c r="BM140" s="165"/>
      <c r="BN140" s="165"/>
      <c r="BO140" s="165"/>
      <c r="BP140" s="165"/>
      <c r="BQ140" s="165"/>
      <c r="BR140" s="165"/>
      <c r="BS140" s="165"/>
      <c r="BT140" s="165"/>
      <c r="BU140" s="165"/>
      <c r="BV140" s="165"/>
      <c r="BW140" s="165"/>
      <c r="BX140" s="165"/>
      <c r="BY140" s="165"/>
      <c r="BZ140" s="165"/>
      <c r="CA140" s="165"/>
      <c r="CB140" s="165"/>
      <c r="CC140" s="165"/>
      <c r="CD140" s="165"/>
      <c r="CE140" s="165"/>
      <c r="CF140" s="165"/>
      <c r="CG140" s="165"/>
      <c r="CH140" s="165"/>
      <c r="CI140" s="170"/>
      <c r="CJ140" s="165"/>
      <c r="CK140" s="165"/>
      <c r="CL140" s="165"/>
      <c r="CM140" s="165"/>
      <c r="CN140" s="170"/>
      <c r="CO140" s="165"/>
      <c r="CP140" s="165"/>
      <c r="CQ140" s="165"/>
    </row>
    <row r="141" spans="1:95" outlineLevel="1" x14ac:dyDescent="0.25">
      <c r="A141" s="228"/>
      <c r="B141" s="236" t="str">
        <f>Table1[[#Headers],[Simulação]]</f>
        <v>Simulação</v>
      </c>
      <c r="C141" s="237" t="str">
        <f t="shared" si="25"/>
        <v>INSTRUMENT_LTV_INCPTN</v>
      </c>
      <c r="D141" s="232" t="s">
        <v>414</v>
      </c>
      <c r="E141" s="232" t="s">
        <v>727</v>
      </c>
      <c r="F141" s="238"/>
      <c r="G141" s="233">
        <f>INDEX(Table1[[Especificação]:[Total Testes]],MATCH('Sheet1 (2)'!C141,Table1[CONCAT],0),MATCH('Sheet1 (2)'!B141,Table1[[#Headers],[Especificação]:[Total Testes]],0))</f>
        <v>0</v>
      </c>
      <c r="H141" s="239">
        <f t="shared" si="26"/>
        <v>0</v>
      </c>
      <c r="I141" s="240"/>
      <c r="J141" s="170"/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  <c r="AA141" s="165"/>
      <c r="AB141" s="165"/>
      <c r="AC141" s="165"/>
      <c r="AD141" s="165"/>
      <c r="AE141" s="165"/>
      <c r="AF141" s="165"/>
      <c r="AG141" s="165"/>
      <c r="AH141" s="165"/>
      <c r="AI141" s="165"/>
      <c r="AJ141" s="165"/>
      <c r="AK141" s="165"/>
      <c r="AL141" s="165"/>
      <c r="AM141" s="165"/>
      <c r="AN141" s="165"/>
      <c r="AO141" s="165"/>
      <c r="AP141" s="165"/>
      <c r="AQ141" s="165"/>
      <c r="AR141" s="165"/>
      <c r="AS141" s="165"/>
      <c r="AT141" s="165"/>
      <c r="AU141" s="165"/>
      <c r="AV141" s="165"/>
      <c r="AW141" s="165"/>
      <c r="AX141" s="165"/>
      <c r="AY141" s="165"/>
      <c r="AZ141" s="165"/>
      <c r="BA141" s="165"/>
      <c r="BB141" s="170"/>
      <c r="BC141" s="165"/>
      <c r="BD141" s="165"/>
      <c r="BE141" s="165"/>
      <c r="BF141" s="165"/>
      <c r="BG141" s="165"/>
      <c r="BH141" s="165"/>
      <c r="BI141" s="165"/>
      <c r="BJ141" s="165"/>
      <c r="BK141" s="165"/>
      <c r="BL141" s="165"/>
      <c r="BM141" s="165"/>
      <c r="BN141" s="165"/>
      <c r="BO141" s="165"/>
      <c r="BP141" s="165"/>
      <c r="BQ141" s="165"/>
      <c r="BR141" s="165"/>
      <c r="BS141" s="165"/>
      <c r="BT141" s="165"/>
      <c r="BU141" s="165"/>
      <c r="BV141" s="165"/>
      <c r="BW141" s="165"/>
      <c r="BX141" s="165"/>
      <c r="BY141" s="165"/>
      <c r="BZ141" s="165"/>
      <c r="CA141" s="165"/>
      <c r="CB141" s="165"/>
      <c r="CC141" s="165"/>
      <c r="CD141" s="165"/>
      <c r="CE141" s="165"/>
      <c r="CF141" s="165"/>
      <c r="CG141" s="165"/>
      <c r="CH141" s="165"/>
      <c r="CI141" s="170"/>
      <c r="CJ141" s="165"/>
      <c r="CK141" s="165"/>
      <c r="CL141" s="165"/>
      <c r="CM141" s="165"/>
      <c r="CN141" s="170"/>
      <c r="CO141" s="165"/>
      <c r="CP141" s="165"/>
      <c r="CQ141" s="165"/>
    </row>
    <row r="142" spans="1:95" outlineLevel="1" x14ac:dyDescent="0.25">
      <c r="A142" s="228"/>
      <c r="B142" s="236" t="str">
        <f>Table1[[#Headers],[Simulação]]</f>
        <v>Simulação</v>
      </c>
      <c r="C142" s="237" t="str">
        <f t="shared" si="25"/>
        <v>INSTRUMENT_ANNLSD_AGRD_RT</v>
      </c>
      <c r="D142" s="232" t="s">
        <v>414</v>
      </c>
      <c r="E142" s="232" t="s">
        <v>757</v>
      </c>
      <c r="F142" s="238"/>
      <c r="G142" s="233">
        <f>INDEX(Table1[[Especificação]:[Total Testes]],MATCH('Sheet1 (2)'!C142,Table1[CONCAT],0),MATCH('Sheet1 (2)'!B142,Table1[[#Headers],[Especificação]:[Total Testes]],0))</f>
        <v>0</v>
      </c>
      <c r="H142" s="239">
        <f t="shared" si="26"/>
        <v>0</v>
      </c>
      <c r="I142" s="240"/>
      <c r="J142" s="170"/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  <c r="AA142" s="165"/>
      <c r="AB142" s="165"/>
      <c r="AC142" s="165"/>
      <c r="AD142" s="165"/>
      <c r="AE142" s="165"/>
      <c r="AF142" s="165"/>
      <c r="AG142" s="165"/>
      <c r="AH142" s="165"/>
      <c r="AI142" s="165"/>
      <c r="AJ142" s="165"/>
      <c r="AK142" s="165"/>
      <c r="AL142" s="165"/>
      <c r="AM142" s="165"/>
      <c r="AN142" s="165"/>
      <c r="AO142" s="165"/>
      <c r="AP142" s="165"/>
      <c r="AQ142" s="165"/>
      <c r="AR142" s="165"/>
      <c r="AS142" s="165"/>
      <c r="AT142" s="165"/>
      <c r="AU142" s="165"/>
      <c r="AV142" s="165"/>
      <c r="AW142" s="165"/>
      <c r="AX142" s="165"/>
      <c r="AY142" s="165"/>
      <c r="AZ142" s="165"/>
      <c r="BA142" s="165"/>
      <c r="BB142" s="170"/>
      <c r="BC142" s="165"/>
      <c r="BD142" s="165"/>
      <c r="BE142" s="165"/>
      <c r="BF142" s="165"/>
      <c r="BG142" s="165"/>
      <c r="BH142" s="165"/>
      <c r="BI142" s="165"/>
      <c r="BJ142" s="165"/>
      <c r="BK142" s="165"/>
      <c r="BL142" s="165"/>
      <c r="BM142" s="165"/>
      <c r="BN142" s="165"/>
      <c r="BO142" s="165"/>
      <c r="BP142" s="165"/>
      <c r="BQ142" s="165"/>
      <c r="BR142" s="165"/>
      <c r="BS142" s="165"/>
      <c r="BT142" s="165"/>
      <c r="BU142" s="165"/>
      <c r="BV142" s="165"/>
      <c r="BW142" s="165"/>
      <c r="BX142" s="165"/>
      <c r="BY142" s="165"/>
      <c r="BZ142" s="165"/>
      <c r="CA142" s="165"/>
      <c r="CB142" s="165"/>
      <c r="CC142" s="165"/>
      <c r="CD142" s="165"/>
      <c r="CE142" s="165"/>
      <c r="CF142" s="165"/>
      <c r="CG142" s="165"/>
      <c r="CH142" s="165"/>
      <c r="CI142" s="170"/>
      <c r="CJ142" s="165"/>
      <c r="CK142" s="165"/>
      <c r="CL142" s="165"/>
      <c r="CM142" s="165"/>
      <c r="CN142" s="170"/>
      <c r="CO142" s="165"/>
      <c r="CP142" s="165"/>
      <c r="CQ142" s="165"/>
    </row>
    <row r="143" spans="1:95" outlineLevel="1" x14ac:dyDescent="0.25">
      <c r="A143" s="228"/>
      <c r="B143" s="236" t="str">
        <f>Table1[[#Headers],[Simulação]]</f>
        <v>Simulação</v>
      </c>
      <c r="C143" s="237" t="str">
        <f t="shared" si="25"/>
        <v>INSTRUMENT_EIR_INCPTN</v>
      </c>
      <c r="D143" s="232" t="s">
        <v>414</v>
      </c>
      <c r="E143" s="232" t="s">
        <v>763</v>
      </c>
      <c r="F143" s="238"/>
      <c r="G143" s="233">
        <f>INDEX(Table1[[Especificação]:[Total Testes]],MATCH('Sheet1 (2)'!C143,Table1[CONCAT],0),MATCH('Sheet1 (2)'!B143,Table1[[#Headers],[Especificação]:[Total Testes]],0))</f>
        <v>0</v>
      </c>
      <c r="H143" s="239">
        <f t="shared" si="26"/>
        <v>0</v>
      </c>
      <c r="I143" s="240"/>
      <c r="J143" s="170"/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  <c r="AA143" s="165"/>
      <c r="AB143" s="165"/>
      <c r="AC143" s="165"/>
      <c r="AD143" s="165"/>
      <c r="AE143" s="165"/>
      <c r="AF143" s="165"/>
      <c r="AG143" s="165"/>
      <c r="AH143" s="165"/>
      <c r="AI143" s="165"/>
      <c r="AJ143" s="165"/>
      <c r="AK143" s="165"/>
      <c r="AL143" s="165"/>
      <c r="AM143" s="165"/>
      <c r="AN143" s="165"/>
      <c r="AO143" s="165"/>
      <c r="AP143" s="165"/>
      <c r="AQ143" s="165"/>
      <c r="AR143" s="165"/>
      <c r="AS143" s="165"/>
      <c r="AT143" s="165"/>
      <c r="AU143" s="165"/>
      <c r="AV143" s="165"/>
      <c r="AW143" s="165"/>
      <c r="AX143" s="165"/>
      <c r="AY143" s="165"/>
      <c r="AZ143" s="165"/>
      <c r="BA143" s="165"/>
      <c r="BB143" s="170"/>
      <c r="BC143" s="165"/>
      <c r="BD143" s="165"/>
      <c r="BE143" s="165"/>
      <c r="BF143" s="165"/>
      <c r="BG143" s="165"/>
      <c r="BH143" s="165"/>
      <c r="BI143" s="165"/>
      <c r="BJ143" s="165"/>
      <c r="BK143" s="165"/>
      <c r="BL143" s="165"/>
      <c r="BM143" s="165"/>
      <c r="BN143" s="165"/>
      <c r="BO143" s="165"/>
      <c r="BP143" s="165"/>
      <c r="BQ143" s="165"/>
      <c r="BR143" s="165"/>
      <c r="BS143" s="165"/>
      <c r="BT143" s="165"/>
      <c r="BU143" s="165"/>
      <c r="BV143" s="165"/>
      <c r="BW143" s="165"/>
      <c r="BX143" s="165"/>
      <c r="BY143" s="165"/>
      <c r="BZ143" s="165"/>
      <c r="CA143" s="165"/>
      <c r="CB143" s="165"/>
      <c r="CC143" s="165"/>
      <c r="CD143" s="165"/>
      <c r="CE143" s="165"/>
      <c r="CF143" s="165"/>
      <c r="CG143" s="165"/>
      <c r="CH143" s="165"/>
      <c r="CI143" s="170"/>
      <c r="CJ143" s="165"/>
      <c r="CK143" s="165"/>
      <c r="CL143" s="165"/>
      <c r="CM143" s="165"/>
      <c r="CN143" s="170"/>
      <c r="CO143" s="165"/>
      <c r="CP143" s="165"/>
      <c r="CQ143" s="165"/>
    </row>
    <row r="144" spans="1:95" outlineLevel="1" x14ac:dyDescent="0.25">
      <c r="A144" s="228"/>
      <c r="B144" s="236" t="str">
        <f>Table1[[#Headers],[Simulação]]</f>
        <v>Simulação</v>
      </c>
      <c r="C144" s="237" t="str">
        <f t="shared" si="25"/>
        <v>PROTECTION_YR_CNSTRCTN</v>
      </c>
      <c r="D144" s="232" t="s">
        <v>1114</v>
      </c>
      <c r="E144" s="232" t="s">
        <v>1290</v>
      </c>
      <c r="F144" s="238"/>
      <c r="G144" s="233">
        <f>INDEX(Table1[[Especificação]:[Total Testes]],MATCH('Sheet1 (2)'!C144,Table1[CONCAT],0),MATCH('Sheet1 (2)'!B144,Table1[[#Headers],[Especificação]:[Total Testes]],0))</f>
        <v>0</v>
      </c>
      <c r="H144" s="239">
        <f t="shared" si="26"/>
        <v>0</v>
      </c>
      <c r="I144" s="240"/>
      <c r="J144" s="170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  <c r="AA144" s="165"/>
      <c r="AB144" s="165"/>
      <c r="AC144" s="165"/>
      <c r="AD144" s="165"/>
      <c r="AE144" s="165"/>
      <c r="AF144" s="165"/>
      <c r="AG144" s="165"/>
      <c r="AH144" s="165"/>
      <c r="AI144" s="165"/>
      <c r="AJ144" s="165"/>
      <c r="AK144" s="165"/>
      <c r="AL144" s="165"/>
      <c r="AM144" s="165"/>
      <c r="AN144" s="165"/>
      <c r="AO144" s="165"/>
      <c r="AP144" s="165"/>
      <c r="AQ144" s="165"/>
      <c r="AR144" s="165"/>
      <c r="AS144" s="165"/>
      <c r="AT144" s="165"/>
      <c r="AU144" s="165"/>
      <c r="AV144" s="165"/>
      <c r="AW144" s="165"/>
      <c r="AX144" s="165"/>
      <c r="AY144" s="165"/>
      <c r="AZ144" s="165"/>
      <c r="BA144" s="165"/>
      <c r="BB144" s="170"/>
      <c r="BC144" s="165"/>
      <c r="BD144" s="165"/>
      <c r="BE144" s="165"/>
      <c r="BF144" s="165"/>
      <c r="BG144" s="165"/>
      <c r="BH144" s="165"/>
      <c r="BI144" s="165"/>
      <c r="BJ144" s="165"/>
      <c r="BK144" s="165"/>
      <c r="BL144" s="165"/>
      <c r="BM144" s="165"/>
      <c r="BN144" s="165"/>
      <c r="BO144" s="165"/>
      <c r="BP144" s="165"/>
      <c r="BQ144" s="165"/>
      <c r="BR144" s="165"/>
      <c r="BS144" s="165"/>
      <c r="BT144" s="165"/>
      <c r="BU144" s="165"/>
      <c r="BV144" s="165"/>
      <c r="BW144" s="165"/>
      <c r="BX144" s="165"/>
      <c r="BY144" s="165"/>
      <c r="BZ144" s="165"/>
      <c r="CA144" s="165"/>
      <c r="CB144" s="165"/>
      <c r="CC144" s="165"/>
      <c r="CD144" s="165"/>
      <c r="CE144" s="165"/>
      <c r="CF144" s="165"/>
      <c r="CG144" s="165"/>
      <c r="CH144" s="165"/>
      <c r="CI144" s="170"/>
      <c r="CJ144" s="165"/>
      <c r="CK144" s="165"/>
      <c r="CL144" s="165"/>
      <c r="CM144" s="165"/>
      <c r="CN144" s="170"/>
      <c r="CO144" s="165"/>
      <c r="CP144" s="165"/>
      <c r="CQ144" s="165"/>
    </row>
    <row r="145" spans="1:95" outlineLevel="1" x14ac:dyDescent="0.25">
      <c r="A145" s="228"/>
      <c r="B145" s="236" t="str">
        <f>Table1[[#Headers],[Simulação]]</f>
        <v>Simulação</v>
      </c>
      <c r="C145" s="237" t="str">
        <f t="shared" si="25"/>
        <v>INSTRUMENT_INTRNL_SGMNT</v>
      </c>
      <c r="D145" s="232" t="s">
        <v>414</v>
      </c>
      <c r="E145" s="232" t="s">
        <v>50</v>
      </c>
      <c r="F145" s="238"/>
      <c r="G145" s="233">
        <f>INDEX(Table1[[Especificação]:[Total Testes]],MATCH('Sheet1 (2)'!C145,Table1[CONCAT],0),MATCH('Sheet1 (2)'!B145,Table1[[#Headers],[Especificação]:[Total Testes]],0))</f>
        <v>0</v>
      </c>
      <c r="H145" s="239">
        <f t="shared" si="26"/>
        <v>0</v>
      </c>
      <c r="I145" s="240"/>
      <c r="J145" s="170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  <c r="AA145" s="165"/>
      <c r="AB145" s="165"/>
      <c r="AC145" s="165"/>
      <c r="AD145" s="165"/>
      <c r="AE145" s="165"/>
      <c r="AF145" s="165"/>
      <c r="AG145" s="165"/>
      <c r="AH145" s="165"/>
      <c r="AI145" s="165"/>
      <c r="AJ145" s="165"/>
      <c r="AK145" s="165"/>
      <c r="AL145" s="165"/>
      <c r="AM145" s="165"/>
      <c r="AN145" s="165"/>
      <c r="AO145" s="165"/>
      <c r="AP145" s="165"/>
      <c r="AQ145" s="165"/>
      <c r="AR145" s="165"/>
      <c r="AS145" s="165"/>
      <c r="AT145" s="165"/>
      <c r="AU145" s="165"/>
      <c r="AV145" s="165"/>
      <c r="AW145" s="165"/>
      <c r="AX145" s="165"/>
      <c r="AY145" s="165"/>
      <c r="AZ145" s="165"/>
      <c r="BA145" s="165"/>
      <c r="BB145" s="170"/>
      <c r="BC145" s="165"/>
      <c r="BD145" s="165"/>
      <c r="BE145" s="165"/>
      <c r="BF145" s="165"/>
      <c r="BG145" s="165"/>
      <c r="BH145" s="165"/>
      <c r="BI145" s="165"/>
      <c r="BJ145" s="165"/>
      <c r="BK145" s="165"/>
      <c r="BL145" s="165"/>
      <c r="BM145" s="165"/>
      <c r="BN145" s="165"/>
      <c r="BO145" s="165"/>
      <c r="BP145" s="165"/>
      <c r="BQ145" s="165"/>
      <c r="BR145" s="165"/>
      <c r="BS145" s="165"/>
      <c r="BT145" s="165"/>
      <c r="BU145" s="165"/>
      <c r="BV145" s="165"/>
      <c r="BW145" s="165"/>
      <c r="BX145" s="165"/>
      <c r="BY145" s="165"/>
      <c r="BZ145" s="165"/>
      <c r="CA145" s="165"/>
      <c r="CB145" s="165"/>
      <c r="CC145" s="165"/>
      <c r="CD145" s="165"/>
      <c r="CE145" s="165"/>
      <c r="CF145" s="165"/>
      <c r="CG145" s="165"/>
      <c r="CH145" s="165"/>
      <c r="CI145" s="170"/>
      <c r="CJ145" s="165"/>
      <c r="CK145" s="165"/>
      <c r="CL145" s="165"/>
      <c r="CM145" s="165"/>
      <c r="CN145" s="170"/>
      <c r="CO145" s="165"/>
      <c r="CP145" s="165"/>
      <c r="CQ145" s="165"/>
    </row>
    <row r="146" spans="1:95" outlineLevel="1" x14ac:dyDescent="0.25">
      <c r="A146" s="228"/>
      <c r="B146" s="236" t="str">
        <f>Table1[[#Headers],[Simulação]]</f>
        <v>Simulação</v>
      </c>
      <c r="C146" s="237" t="str">
        <f t="shared" si="25"/>
        <v>INSTRUMENT_EAD</v>
      </c>
      <c r="D146" s="232" t="s">
        <v>414</v>
      </c>
      <c r="E146" s="232" t="s">
        <v>617</v>
      </c>
      <c r="F146" s="238"/>
      <c r="G146" s="233">
        <f>INDEX(Table1[[Especificação]:[Total Testes]],MATCH('Sheet1 (2)'!C146,Table1[CONCAT],0),MATCH('Sheet1 (2)'!B146,Table1[[#Headers],[Especificação]:[Total Testes]],0))</f>
        <v>0</v>
      </c>
      <c r="H146" s="239">
        <f t="shared" si="26"/>
        <v>0</v>
      </c>
      <c r="I146" s="240"/>
      <c r="J146" s="170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  <c r="AA146" s="165"/>
      <c r="AB146" s="165"/>
      <c r="AC146" s="165"/>
      <c r="AD146" s="165"/>
      <c r="AE146" s="165"/>
      <c r="AF146" s="165"/>
      <c r="AG146" s="165"/>
      <c r="AH146" s="165"/>
      <c r="AI146" s="165"/>
      <c r="AJ146" s="165"/>
      <c r="AK146" s="165"/>
      <c r="AL146" s="165"/>
      <c r="AM146" s="165"/>
      <c r="AN146" s="165"/>
      <c r="AO146" s="165"/>
      <c r="AP146" s="165"/>
      <c r="AQ146" s="165"/>
      <c r="AR146" s="165"/>
      <c r="AS146" s="165"/>
      <c r="AT146" s="165"/>
      <c r="AU146" s="165"/>
      <c r="AV146" s="165"/>
      <c r="AW146" s="165"/>
      <c r="AX146" s="165"/>
      <c r="AY146" s="165"/>
      <c r="AZ146" s="165"/>
      <c r="BA146" s="165"/>
      <c r="BB146" s="170"/>
      <c r="BC146" s="165"/>
      <c r="BD146" s="165"/>
      <c r="BE146" s="165"/>
      <c r="BF146" s="165"/>
      <c r="BG146" s="165"/>
      <c r="BH146" s="165"/>
      <c r="BI146" s="165"/>
      <c r="BJ146" s="165"/>
      <c r="BK146" s="165"/>
      <c r="BL146" s="165"/>
      <c r="BM146" s="165"/>
      <c r="BN146" s="165"/>
      <c r="BO146" s="165"/>
      <c r="BP146" s="165"/>
      <c r="BQ146" s="165"/>
      <c r="BR146" s="165"/>
      <c r="BS146" s="165"/>
      <c r="BT146" s="165"/>
      <c r="BU146" s="165"/>
      <c r="BV146" s="165"/>
      <c r="BW146" s="165"/>
      <c r="BX146" s="165"/>
      <c r="BY146" s="165"/>
      <c r="BZ146" s="165"/>
      <c r="CA146" s="165"/>
      <c r="CB146" s="165"/>
      <c r="CC146" s="165"/>
      <c r="CD146" s="165"/>
      <c r="CE146" s="165"/>
      <c r="CF146" s="165"/>
      <c r="CG146" s="165"/>
      <c r="CH146" s="165"/>
      <c r="CI146" s="170"/>
      <c r="CJ146" s="165"/>
      <c r="CK146" s="165"/>
      <c r="CL146" s="165"/>
      <c r="CM146" s="165"/>
      <c r="CN146" s="170"/>
      <c r="CO146" s="165"/>
      <c r="CP146" s="165"/>
      <c r="CQ146" s="165"/>
    </row>
    <row r="147" spans="1:95" outlineLevel="1" x14ac:dyDescent="0.25">
      <c r="A147" s="228"/>
      <c r="B147" s="236" t="str">
        <f>Table1[[#Headers],[Simulação]]</f>
        <v>Simulação</v>
      </c>
      <c r="C147" s="237" t="str">
        <f t="shared" si="25"/>
        <v>INSTRUMENT_OFF_BLNC_SHT_AMNT_INSTRMNT</v>
      </c>
      <c r="D147" s="232" t="s">
        <v>414</v>
      </c>
      <c r="E147" s="232" t="s">
        <v>629</v>
      </c>
      <c r="F147" s="238"/>
      <c r="G147" s="233">
        <f>INDEX(Table1[[Especificação]:[Total Testes]],MATCH('Sheet1 (2)'!C147,Table1[CONCAT],0),MATCH('Sheet1 (2)'!B147,Table1[[#Headers],[Especificação]:[Total Testes]],0))</f>
        <v>0</v>
      </c>
      <c r="H147" s="239">
        <f t="shared" si="26"/>
        <v>0</v>
      </c>
      <c r="I147" s="240"/>
      <c r="J147" s="170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  <c r="AA147" s="165"/>
      <c r="AB147" s="165"/>
      <c r="AC147" s="165"/>
      <c r="AD147" s="165"/>
      <c r="AE147" s="165"/>
      <c r="AF147" s="165"/>
      <c r="AG147" s="165"/>
      <c r="AH147" s="165"/>
      <c r="AI147" s="165"/>
      <c r="AJ147" s="165"/>
      <c r="AK147" s="165"/>
      <c r="AL147" s="165"/>
      <c r="AM147" s="165"/>
      <c r="AN147" s="165"/>
      <c r="AO147" s="165"/>
      <c r="AP147" s="165"/>
      <c r="AQ147" s="165"/>
      <c r="AR147" s="165"/>
      <c r="AS147" s="165"/>
      <c r="AT147" s="165"/>
      <c r="AU147" s="165"/>
      <c r="AV147" s="165"/>
      <c r="AW147" s="165"/>
      <c r="AX147" s="165"/>
      <c r="AY147" s="165"/>
      <c r="AZ147" s="165"/>
      <c r="BA147" s="165"/>
      <c r="BB147" s="170"/>
      <c r="BC147" s="165"/>
      <c r="BD147" s="165"/>
      <c r="BE147" s="165"/>
      <c r="BF147" s="165"/>
      <c r="BG147" s="165"/>
      <c r="BH147" s="165"/>
      <c r="BI147" s="165"/>
      <c r="BJ147" s="165"/>
      <c r="BK147" s="165"/>
      <c r="BL147" s="165"/>
      <c r="BM147" s="165"/>
      <c r="BN147" s="165"/>
      <c r="BO147" s="165"/>
      <c r="BP147" s="165"/>
      <c r="BQ147" s="165"/>
      <c r="BR147" s="165"/>
      <c r="BS147" s="165"/>
      <c r="BT147" s="165"/>
      <c r="BU147" s="165"/>
      <c r="BV147" s="165"/>
      <c r="BW147" s="165"/>
      <c r="BX147" s="165"/>
      <c r="BY147" s="165"/>
      <c r="BZ147" s="165"/>
      <c r="CA147" s="165"/>
      <c r="CB147" s="165"/>
      <c r="CC147" s="165"/>
      <c r="CD147" s="165"/>
      <c r="CE147" s="165"/>
      <c r="CF147" s="165"/>
      <c r="CG147" s="165"/>
      <c r="CH147" s="165"/>
      <c r="CI147" s="170"/>
      <c r="CJ147" s="165"/>
      <c r="CK147" s="165"/>
      <c r="CL147" s="165"/>
      <c r="CM147" s="165"/>
      <c r="CN147" s="170"/>
      <c r="CO147" s="165"/>
      <c r="CP147" s="165"/>
      <c r="CQ147" s="165"/>
    </row>
    <row r="148" spans="1:95" outlineLevel="1" x14ac:dyDescent="0.25">
      <c r="A148" s="228"/>
      <c r="B148" s="236" t="str">
        <f>Table1[[#Headers],[Simulação]]</f>
        <v>Simulação</v>
      </c>
      <c r="C148" s="237" t="str">
        <f t="shared" si="25"/>
        <v>INSTRUMENT_INTRNL_SGMNT_CAT_MSTA</v>
      </c>
      <c r="D148" s="232" t="s">
        <v>414</v>
      </c>
      <c r="E148" s="232" t="s">
        <v>943</v>
      </c>
      <c r="F148" s="238"/>
      <c r="G148" s="233">
        <f>INDEX(Table1[[Especificação]:[Total Testes]],MATCH('Sheet1 (2)'!C148,Table1[CONCAT],0),MATCH('Sheet1 (2)'!B148,Table1[[#Headers],[Especificação]:[Total Testes]],0))</f>
        <v>0</v>
      </c>
      <c r="H148" s="239">
        <f t="shared" si="26"/>
        <v>0</v>
      </c>
      <c r="I148" s="240"/>
      <c r="J148" s="170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  <c r="AA148" s="165"/>
      <c r="AB148" s="165"/>
      <c r="AC148" s="165"/>
      <c r="AD148" s="165"/>
      <c r="AE148" s="165"/>
      <c r="AF148" s="165"/>
      <c r="AG148" s="165"/>
      <c r="AH148" s="165"/>
      <c r="AI148" s="165"/>
      <c r="AJ148" s="165"/>
      <c r="AK148" s="165"/>
      <c r="AL148" s="165"/>
      <c r="AM148" s="165"/>
      <c r="AN148" s="165"/>
      <c r="AO148" s="165"/>
      <c r="AP148" s="165"/>
      <c r="AQ148" s="165"/>
      <c r="AR148" s="165"/>
      <c r="AS148" s="165"/>
      <c r="AT148" s="165"/>
      <c r="AU148" s="165"/>
      <c r="AV148" s="165"/>
      <c r="AW148" s="165"/>
      <c r="AX148" s="165"/>
      <c r="AY148" s="165"/>
      <c r="AZ148" s="165"/>
      <c r="BA148" s="165"/>
      <c r="BB148" s="170"/>
      <c r="BC148" s="165"/>
      <c r="BD148" s="165"/>
      <c r="BE148" s="165"/>
      <c r="BF148" s="165"/>
      <c r="BG148" s="165"/>
      <c r="BH148" s="165"/>
      <c r="BI148" s="165"/>
      <c r="BJ148" s="165"/>
      <c r="BK148" s="165"/>
      <c r="BL148" s="165"/>
      <c r="BM148" s="165"/>
      <c r="BN148" s="165"/>
      <c r="BO148" s="165"/>
      <c r="BP148" s="165"/>
      <c r="BQ148" s="165"/>
      <c r="BR148" s="165"/>
      <c r="BS148" s="165"/>
      <c r="BT148" s="165"/>
      <c r="BU148" s="165"/>
      <c r="BV148" s="165"/>
      <c r="BW148" s="165"/>
      <c r="BX148" s="165"/>
      <c r="BY148" s="165"/>
      <c r="BZ148" s="165"/>
      <c r="CA148" s="165"/>
      <c r="CB148" s="165"/>
      <c r="CC148" s="165"/>
      <c r="CD148" s="165"/>
      <c r="CE148" s="165"/>
      <c r="CF148" s="165"/>
      <c r="CG148" s="165"/>
      <c r="CH148" s="165"/>
      <c r="CI148" s="170"/>
      <c r="CJ148" s="165"/>
      <c r="CK148" s="165"/>
      <c r="CL148" s="165"/>
      <c r="CM148" s="165"/>
      <c r="CN148" s="170"/>
      <c r="CO148" s="165"/>
      <c r="CP148" s="165"/>
      <c r="CQ148" s="165"/>
    </row>
    <row r="149" spans="1:95" outlineLevel="1" x14ac:dyDescent="0.25">
      <c r="A149" s="228"/>
      <c r="B149" s="236" t="str">
        <f>Table1[[#Headers],[Simulação]]</f>
        <v>Simulação</v>
      </c>
      <c r="C149" s="237" t="str">
        <f t="shared" ref="C149:C152" si="29">D149&amp;"_"&amp;E149</f>
        <v>INSTRUMENT_INTRNL_SGMNT_CATGSUB</v>
      </c>
      <c r="D149" s="232" t="s">
        <v>414</v>
      </c>
      <c r="E149" s="232" t="s">
        <v>946</v>
      </c>
      <c r="F149" s="238"/>
      <c r="G149" s="233">
        <f>INDEX(Table1[[Especificação]:[Total Testes]],MATCH('Sheet1 (2)'!C149,Table1[CONCAT],0),MATCH('Sheet1 (2)'!B149,Table1[[#Headers],[Especificação]:[Total Testes]],0))</f>
        <v>0</v>
      </c>
      <c r="H149" s="239">
        <f t="shared" ref="H149:H152" si="30">ROUND(G149/8,2)</f>
        <v>0</v>
      </c>
      <c r="I149" s="240"/>
      <c r="J149" s="170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65"/>
      <c r="AB149" s="165"/>
      <c r="AC149" s="165"/>
      <c r="AD149" s="165"/>
      <c r="AE149" s="165"/>
      <c r="AF149" s="165"/>
      <c r="AG149" s="165"/>
      <c r="AH149" s="165"/>
      <c r="AI149" s="165"/>
      <c r="AJ149" s="165"/>
      <c r="AK149" s="165"/>
      <c r="AL149" s="165"/>
      <c r="AM149" s="165"/>
      <c r="AN149" s="165"/>
      <c r="AO149" s="165"/>
      <c r="AP149" s="165"/>
      <c r="AQ149" s="165"/>
      <c r="AR149" s="165"/>
      <c r="AS149" s="165"/>
      <c r="AT149" s="165"/>
      <c r="AU149" s="165"/>
      <c r="AV149" s="165"/>
      <c r="AW149" s="165"/>
      <c r="AX149" s="165"/>
      <c r="AY149" s="165"/>
      <c r="AZ149" s="165"/>
      <c r="BA149" s="165"/>
      <c r="BB149" s="170"/>
      <c r="BC149" s="165"/>
      <c r="BD149" s="165"/>
      <c r="BE149" s="165"/>
      <c r="BF149" s="165"/>
      <c r="BG149" s="165"/>
      <c r="BH149" s="165"/>
      <c r="BI149" s="165"/>
      <c r="BJ149" s="165"/>
      <c r="BK149" s="165"/>
      <c r="BL149" s="165"/>
      <c r="BM149" s="165"/>
      <c r="BN149" s="165"/>
      <c r="BO149" s="165"/>
      <c r="BP149" s="165"/>
      <c r="BQ149" s="165"/>
      <c r="BR149" s="165"/>
      <c r="BS149" s="165"/>
      <c r="BT149" s="165"/>
      <c r="BU149" s="165"/>
      <c r="BV149" s="165"/>
      <c r="BW149" s="165"/>
      <c r="BX149" s="165"/>
      <c r="BY149" s="165"/>
      <c r="BZ149" s="165"/>
      <c r="CA149" s="165"/>
      <c r="CB149" s="165"/>
      <c r="CC149" s="165"/>
      <c r="CD149" s="165"/>
      <c r="CE149" s="165"/>
      <c r="CF149" s="165"/>
      <c r="CG149" s="165"/>
      <c r="CH149" s="165"/>
      <c r="CI149" s="170"/>
      <c r="CJ149" s="165"/>
      <c r="CK149" s="165"/>
      <c r="CL149" s="165"/>
      <c r="CM149" s="165"/>
      <c r="CN149" s="170"/>
      <c r="CO149" s="165"/>
      <c r="CP149" s="165"/>
      <c r="CQ149" s="165"/>
    </row>
    <row r="150" spans="1:95" outlineLevel="1" x14ac:dyDescent="0.25">
      <c r="A150" s="228"/>
      <c r="B150" s="236" t="str">
        <f>Table1[[#Headers],[Simulação]]</f>
        <v>Simulação</v>
      </c>
      <c r="C150" s="237" t="str">
        <f t="shared" si="29"/>
        <v>PROTECTION_RL_ESTT_ADDRSS</v>
      </c>
      <c r="D150" s="232" t="s">
        <v>1114</v>
      </c>
      <c r="E150" s="232" t="s">
        <v>1127</v>
      </c>
      <c r="F150" s="238"/>
      <c r="G150" s="233">
        <f>INDEX(Table1[[Especificação]:[Total Testes]],MATCH('Sheet1 (2)'!C150,Table1[CONCAT],0),MATCH('Sheet1 (2)'!B150,Table1[[#Headers],[Especificação]:[Total Testes]],0))</f>
        <v>0</v>
      </c>
      <c r="H150" s="239">
        <f t="shared" si="30"/>
        <v>0</v>
      </c>
      <c r="I150" s="240"/>
      <c r="J150" s="170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  <c r="AA150" s="165"/>
      <c r="AB150" s="165"/>
      <c r="AC150" s="165"/>
      <c r="AD150" s="165"/>
      <c r="AE150" s="165"/>
      <c r="AF150" s="165"/>
      <c r="AG150" s="165"/>
      <c r="AH150" s="165"/>
      <c r="AI150" s="165"/>
      <c r="AJ150" s="165"/>
      <c r="AK150" s="165"/>
      <c r="AL150" s="165"/>
      <c r="AM150" s="165"/>
      <c r="AN150" s="165"/>
      <c r="AO150" s="165"/>
      <c r="AP150" s="165"/>
      <c r="AQ150" s="165"/>
      <c r="AR150" s="165"/>
      <c r="AS150" s="165"/>
      <c r="AT150" s="165"/>
      <c r="AU150" s="165"/>
      <c r="AV150" s="165"/>
      <c r="AW150" s="165"/>
      <c r="AX150" s="165"/>
      <c r="AY150" s="165"/>
      <c r="AZ150" s="165"/>
      <c r="BA150" s="165"/>
      <c r="BB150" s="170"/>
      <c r="BC150" s="165"/>
      <c r="BD150" s="165"/>
      <c r="BE150" s="165"/>
      <c r="BF150" s="165"/>
      <c r="BG150" s="165"/>
      <c r="BH150" s="165"/>
      <c r="BI150" s="165"/>
      <c r="BJ150" s="165"/>
      <c r="BK150" s="165"/>
      <c r="BL150" s="165"/>
      <c r="BM150" s="165"/>
      <c r="BN150" s="165"/>
      <c r="BO150" s="165"/>
      <c r="BP150" s="165"/>
      <c r="BQ150" s="165"/>
      <c r="BR150" s="165"/>
      <c r="BS150" s="165"/>
      <c r="BT150" s="165"/>
      <c r="BU150" s="165"/>
      <c r="BV150" s="165"/>
      <c r="BW150" s="165"/>
      <c r="BX150" s="165"/>
      <c r="BY150" s="165"/>
      <c r="BZ150" s="165"/>
      <c r="CA150" s="165"/>
      <c r="CB150" s="165"/>
      <c r="CC150" s="165"/>
      <c r="CD150" s="165"/>
      <c r="CE150" s="165"/>
      <c r="CF150" s="165"/>
      <c r="CG150" s="165"/>
      <c r="CH150" s="165"/>
      <c r="CI150" s="170"/>
      <c r="CJ150" s="165"/>
      <c r="CK150" s="165"/>
      <c r="CL150" s="165"/>
      <c r="CM150" s="165"/>
      <c r="CN150" s="170"/>
      <c r="CO150" s="165"/>
      <c r="CP150" s="165"/>
      <c r="CQ150" s="165"/>
    </row>
    <row r="151" spans="1:95" outlineLevel="1" x14ac:dyDescent="0.25">
      <c r="A151" s="228"/>
      <c r="B151" s="236" t="str">
        <f>Table1[[#Headers],[Simulação]]</f>
        <v>Simulação</v>
      </c>
      <c r="C151" s="237" t="str">
        <f t="shared" si="29"/>
        <v>PROTECTION_RL_ESTT_CLLTRL_LCTN_INT</v>
      </c>
      <c r="D151" s="232" t="s">
        <v>1114</v>
      </c>
      <c r="E151" s="232" t="s">
        <v>1133</v>
      </c>
      <c r="F151" s="238"/>
      <c r="G151" s="233">
        <f>INDEX(Table1[[Especificação]:[Total Testes]],MATCH('Sheet1 (2)'!C151,Table1[CONCAT],0),MATCH('Sheet1 (2)'!B151,Table1[[#Headers],[Especificação]:[Total Testes]],0))</f>
        <v>0</v>
      </c>
      <c r="H151" s="239">
        <f t="shared" si="30"/>
        <v>0</v>
      </c>
      <c r="I151" s="240"/>
      <c r="J151" s="170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  <c r="AA151" s="165"/>
      <c r="AB151" s="165"/>
      <c r="AC151" s="165"/>
      <c r="AD151" s="165"/>
      <c r="AE151" s="165"/>
      <c r="AF151" s="165"/>
      <c r="AG151" s="165"/>
      <c r="AH151" s="165"/>
      <c r="AI151" s="165"/>
      <c r="AJ151" s="165"/>
      <c r="AK151" s="165"/>
      <c r="AL151" s="165"/>
      <c r="AM151" s="165"/>
      <c r="AN151" s="165"/>
      <c r="AO151" s="165"/>
      <c r="AP151" s="165"/>
      <c r="AQ151" s="165"/>
      <c r="AR151" s="165"/>
      <c r="AS151" s="165"/>
      <c r="AT151" s="165"/>
      <c r="AU151" s="165"/>
      <c r="AV151" s="165"/>
      <c r="AW151" s="165"/>
      <c r="AX151" s="165"/>
      <c r="AY151" s="165"/>
      <c r="AZ151" s="165"/>
      <c r="BA151" s="165"/>
      <c r="BB151" s="170"/>
      <c r="BC151" s="165"/>
      <c r="BD151" s="165"/>
      <c r="BE151" s="165"/>
      <c r="BF151" s="165"/>
      <c r="BG151" s="165"/>
      <c r="BH151" s="165"/>
      <c r="BI151" s="165"/>
      <c r="BJ151" s="165"/>
      <c r="BK151" s="165"/>
      <c r="BL151" s="165"/>
      <c r="BM151" s="165"/>
      <c r="BN151" s="165"/>
      <c r="BO151" s="165"/>
      <c r="BP151" s="165"/>
      <c r="BQ151" s="165"/>
      <c r="BR151" s="165"/>
      <c r="BS151" s="165"/>
      <c r="BT151" s="165"/>
      <c r="BU151" s="165"/>
      <c r="BV151" s="165"/>
      <c r="BW151" s="165"/>
      <c r="BX151" s="165"/>
      <c r="BY151" s="165"/>
      <c r="BZ151" s="165"/>
      <c r="CA151" s="165"/>
      <c r="CB151" s="165"/>
      <c r="CC151" s="165"/>
      <c r="CD151" s="165"/>
      <c r="CE151" s="165"/>
      <c r="CF151" s="165"/>
      <c r="CG151" s="165"/>
      <c r="CH151" s="165"/>
      <c r="CI151" s="170"/>
      <c r="CJ151" s="165"/>
      <c r="CK151" s="165"/>
      <c r="CL151" s="165"/>
      <c r="CM151" s="165"/>
      <c r="CN151" s="170"/>
      <c r="CO151" s="165"/>
      <c r="CP151" s="165"/>
      <c r="CQ151" s="165"/>
    </row>
    <row r="152" spans="1:95" outlineLevel="1" x14ac:dyDescent="0.25">
      <c r="A152" s="228"/>
      <c r="B152" s="236" t="str">
        <f>Table1[[#Headers],[Simulação]]</f>
        <v>Simulação</v>
      </c>
      <c r="C152" s="237" t="str">
        <f t="shared" si="29"/>
        <v>PROTECTION_RL_ESTT_CTY</v>
      </c>
      <c r="D152" s="232" t="s">
        <v>1114</v>
      </c>
      <c r="E152" s="232" t="s">
        <v>1136</v>
      </c>
      <c r="F152" s="238"/>
      <c r="G152" s="233">
        <f>INDEX(Table1[[Especificação]:[Total Testes]],MATCH('Sheet1 (2)'!C152,Table1[CONCAT],0),MATCH('Sheet1 (2)'!B152,Table1[[#Headers],[Especificação]:[Total Testes]],0))</f>
        <v>0</v>
      </c>
      <c r="H152" s="239">
        <f t="shared" si="30"/>
        <v>0</v>
      </c>
      <c r="I152" s="240"/>
      <c r="J152" s="170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  <c r="AA152" s="165"/>
      <c r="AB152" s="165"/>
      <c r="AC152" s="165"/>
      <c r="AD152" s="165"/>
      <c r="AE152" s="165"/>
      <c r="AF152" s="165"/>
      <c r="AG152" s="165"/>
      <c r="AH152" s="165"/>
      <c r="AI152" s="165"/>
      <c r="AJ152" s="165"/>
      <c r="AK152" s="165"/>
      <c r="AL152" s="165"/>
      <c r="AM152" s="165"/>
      <c r="AN152" s="165"/>
      <c r="AO152" s="165"/>
      <c r="AP152" s="165"/>
      <c r="AQ152" s="165"/>
      <c r="AR152" s="165"/>
      <c r="AS152" s="165"/>
      <c r="AT152" s="165"/>
      <c r="AU152" s="165"/>
      <c r="AV152" s="165"/>
      <c r="AW152" s="165"/>
      <c r="AX152" s="165"/>
      <c r="AY152" s="165"/>
      <c r="AZ152" s="165"/>
      <c r="BA152" s="165"/>
      <c r="BB152" s="170"/>
      <c r="BC152" s="165"/>
      <c r="BD152" s="165"/>
      <c r="BE152" s="165"/>
      <c r="BF152" s="165"/>
      <c r="BG152" s="165"/>
      <c r="BH152" s="165"/>
      <c r="BI152" s="165"/>
      <c r="BJ152" s="165"/>
      <c r="BK152" s="165"/>
      <c r="BL152" s="165"/>
      <c r="BM152" s="165"/>
      <c r="BN152" s="165"/>
      <c r="BO152" s="165"/>
      <c r="BP152" s="165"/>
      <c r="BQ152" s="165"/>
      <c r="BR152" s="165"/>
      <c r="BS152" s="165"/>
      <c r="BT152" s="165"/>
      <c r="BU152" s="165"/>
      <c r="BV152" s="165"/>
      <c r="BW152" s="165"/>
      <c r="BX152" s="165"/>
      <c r="BY152" s="165"/>
      <c r="BZ152" s="165"/>
      <c r="CA152" s="165"/>
      <c r="CB152" s="165"/>
      <c r="CC152" s="165"/>
      <c r="CD152" s="165"/>
      <c r="CE152" s="165"/>
      <c r="CF152" s="165"/>
      <c r="CG152" s="165"/>
      <c r="CH152" s="165"/>
      <c r="CI152" s="170"/>
      <c r="CJ152" s="165"/>
      <c r="CK152" s="165"/>
      <c r="CL152" s="165"/>
      <c r="CM152" s="165"/>
      <c r="CN152" s="170"/>
      <c r="CO152" s="165"/>
      <c r="CP152" s="165"/>
      <c r="CQ152" s="165"/>
    </row>
    <row r="153" spans="1:95" outlineLevel="1" x14ac:dyDescent="0.25">
      <c r="A153" s="228"/>
      <c r="B153" s="236" t="str">
        <f>Table1[[#Headers],[Simulação]]</f>
        <v>Simulação</v>
      </c>
      <c r="C153" s="237" t="str">
        <f t="shared" ref="C153:C160" si="31">D153&amp;"_"&amp;E153</f>
        <v>INSTRUMENT_TYP_OFF_BLNC_PRDCT</v>
      </c>
      <c r="D153" s="232" t="s">
        <v>414</v>
      </c>
      <c r="E153" s="232" t="s">
        <v>1351</v>
      </c>
      <c r="F153" s="238"/>
      <c r="G153" s="233">
        <f>INDEX(Table1[[Especificação]:[Total Testes]],MATCH('Sheet1 (2)'!C153,Table1[CONCAT],0),MATCH('Sheet1 (2)'!B153,Table1[[#Headers],[Especificação]:[Total Testes]],0))</f>
        <v>0</v>
      </c>
      <c r="H153" s="239">
        <f t="shared" ref="H153:H160" si="32">ROUND(G153/8,2)</f>
        <v>0</v>
      </c>
      <c r="I153" s="240"/>
      <c r="J153" s="170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  <c r="AA153" s="165"/>
      <c r="AB153" s="165"/>
      <c r="AC153" s="165"/>
      <c r="AD153" s="165"/>
      <c r="AE153" s="165"/>
      <c r="AF153" s="165"/>
      <c r="AG153" s="165"/>
      <c r="AH153" s="165"/>
      <c r="AI153" s="165"/>
      <c r="AJ153" s="165"/>
      <c r="AK153" s="165"/>
      <c r="AL153" s="165"/>
      <c r="AM153" s="165"/>
      <c r="AN153" s="165"/>
      <c r="AO153" s="165"/>
      <c r="AP153" s="165"/>
      <c r="AQ153" s="165"/>
      <c r="AR153" s="165"/>
      <c r="AS153" s="165"/>
      <c r="AT153" s="165"/>
      <c r="AU153" s="165"/>
      <c r="AV153" s="165"/>
      <c r="AW153" s="165"/>
      <c r="AX153" s="165"/>
      <c r="AY153" s="165"/>
      <c r="AZ153" s="165"/>
      <c r="BA153" s="165"/>
      <c r="BB153" s="170"/>
      <c r="BC153" s="165"/>
      <c r="BD153" s="165"/>
      <c r="BE153" s="165"/>
      <c r="BF153" s="165"/>
      <c r="BG153" s="165"/>
      <c r="BH153" s="165"/>
      <c r="BI153" s="165"/>
      <c r="BJ153" s="165"/>
      <c r="BK153" s="165"/>
      <c r="BL153" s="165"/>
      <c r="BM153" s="165"/>
      <c r="BN153" s="165"/>
      <c r="BO153" s="165"/>
      <c r="BP153" s="165"/>
      <c r="BQ153" s="165"/>
      <c r="BR153" s="165"/>
      <c r="BS153" s="165"/>
      <c r="BT153" s="165"/>
      <c r="BU153" s="165"/>
      <c r="BV153" s="165"/>
      <c r="BW153" s="165"/>
      <c r="BX153" s="165"/>
      <c r="BY153" s="165"/>
      <c r="BZ153" s="165"/>
      <c r="CA153" s="165"/>
      <c r="CB153" s="165"/>
      <c r="CC153" s="165"/>
      <c r="CD153" s="165"/>
      <c r="CE153" s="165"/>
      <c r="CF153" s="165"/>
      <c r="CG153" s="165"/>
      <c r="CH153" s="165"/>
      <c r="CI153" s="170"/>
      <c r="CJ153" s="165"/>
      <c r="CK153" s="165"/>
      <c r="CL153" s="165"/>
      <c r="CM153" s="165"/>
      <c r="CN153" s="170"/>
      <c r="CO153" s="165"/>
      <c r="CP153" s="165"/>
      <c r="CQ153" s="165"/>
    </row>
    <row r="154" spans="1:95" outlineLevel="1" x14ac:dyDescent="0.25">
      <c r="A154" s="228"/>
      <c r="B154" s="236" t="str">
        <f>Table1[[#Headers],[Simulação]]</f>
        <v>Simulação</v>
      </c>
      <c r="C154" s="237" t="str">
        <f t="shared" si="31"/>
        <v>INSTRUMENT_FLG_MNMM_SFGRDS</v>
      </c>
      <c r="D154" s="232" t="s">
        <v>414</v>
      </c>
      <c r="E154" s="232" t="s">
        <v>1480</v>
      </c>
      <c r="F154" s="238"/>
      <c r="G154" s="233">
        <f>INDEX(Table1[[Especificação]:[Total Testes]],MATCH('Sheet1 (2)'!C154,Table1[CONCAT],0),MATCH('Sheet1 (2)'!B154,Table1[[#Headers],[Especificação]:[Total Testes]],0))</f>
        <v>0</v>
      </c>
      <c r="H154" s="239">
        <f t="shared" si="32"/>
        <v>0</v>
      </c>
      <c r="I154" s="240"/>
      <c r="J154" s="170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  <c r="AA154" s="165"/>
      <c r="AB154" s="165"/>
      <c r="AC154" s="165"/>
      <c r="AD154" s="165"/>
      <c r="AE154" s="165"/>
      <c r="AF154" s="165"/>
      <c r="AG154" s="165"/>
      <c r="AH154" s="165"/>
      <c r="AI154" s="165"/>
      <c r="AJ154" s="165"/>
      <c r="AK154" s="165"/>
      <c r="AL154" s="165"/>
      <c r="AM154" s="165"/>
      <c r="AN154" s="165"/>
      <c r="AO154" s="165"/>
      <c r="AP154" s="165"/>
      <c r="AQ154" s="165"/>
      <c r="AR154" s="165"/>
      <c r="AS154" s="165"/>
      <c r="AT154" s="165"/>
      <c r="AU154" s="165"/>
      <c r="AV154" s="165"/>
      <c r="AW154" s="165"/>
      <c r="AX154" s="165"/>
      <c r="AY154" s="165"/>
      <c r="AZ154" s="165"/>
      <c r="BA154" s="165"/>
      <c r="BB154" s="170"/>
      <c r="BC154" s="165"/>
      <c r="BD154" s="165"/>
      <c r="BE154" s="165"/>
      <c r="BF154" s="165"/>
      <c r="BG154" s="165"/>
      <c r="BH154" s="165"/>
      <c r="BI154" s="165"/>
      <c r="BJ154" s="165"/>
      <c r="BK154" s="165"/>
      <c r="BL154" s="165"/>
      <c r="BM154" s="165"/>
      <c r="BN154" s="165"/>
      <c r="BO154" s="165"/>
      <c r="BP154" s="165"/>
      <c r="BQ154" s="165"/>
      <c r="BR154" s="165"/>
      <c r="BS154" s="165"/>
      <c r="BT154" s="165"/>
      <c r="BU154" s="165"/>
      <c r="BV154" s="165"/>
      <c r="BW154" s="165"/>
      <c r="BX154" s="165"/>
      <c r="BY154" s="165"/>
      <c r="BZ154" s="165"/>
      <c r="CA154" s="165"/>
      <c r="CB154" s="165"/>
      <c r="CC154" s="165"/>
      <c r="CD154" s="165"/>
      <c r="CE154" s="165"/>
      <c r="CF154" s="165"/>
      <c r="CG154" s="165"/>
      <c r="CH154" s="165"/>
      <c r="CI154" s="170"/>
      <c r="CJ154" s="165"/>
      <c r="CK154" s="165"/>
      <c r="CL154" s="165"/>
      <c r="CM154" s="165"/>
      <c r="CN154" s="170"/>
      <c r="CO154" s="165"/>
      <c r="CP154" s="165"/>
      <c r="CQ154" s="165"/>
    </row>
    <row r="155" spans="1:95" outlineLevel="1" x14ac:dyDescent="0.25">
      <c r="A155" s="228"/>
      <c r="B155" s="236" t="str">
        <f>Table1[[#Headers],[Simulação]]</f>
        <v>Simulação</v>
      </c>
      <c r="C155" s="237" t="str">
        <f t="shared" si="31"/>
        <v>PROTECTION_RL_ESTT_CRTFCTN</v>
      </c>
      <c r="D155" s="232" t="s">
        <v>1114</v>
      </c>
      <c r="E155" s="232" t="s">
        <v>1512</v>
      </c>
      <c r="F155" s="238"/>
      <c r="G155" s="233">
        <f>INDEX(Table1[[Especificação]:[Total Testes]],MATCH('Sheet1 (2)'!C155,Table1[CONCAT],0),MATCH('Sheet1 (2)'!B155,Table1[[#Headers],[Especificação]:[Total Testes]],0))</f>
        <v>0</v>
      </c>
      <c r="H155" s="239">
        <f t="shared" si="32"/>
        <v>0</v>
      </c>
      <c r="I155" s="240"/>
      <c r="J155" s="170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  <c r="AA155" s="165"/>
      <c r="AB155" s="165"/>
      <c r="AC155" s="165"/>
      <c r="AD155" s="165"/>
      <c r="AE155" s="165"/>
      <c r="AF155" s="165"/>
      <c r="AG155" s="165"/>
      <c r="AH155" s="165"/>
      <c r="AI155" s="165"/>
      <c r="AJ155" s="165"/>
      <c r="AK155" s="165"/>
      <c r="AL155" s="165"/>
      <c r="AM155" s="165"/>
      <c r="AN155" s="165"/>
      <c r="AO155" s="165"/>
      <c r="AP155" s="165"/>
      <c r="AQ155" s="165"/>
      <c r="AR155" s="165"/>
      <c r="AS155" s="165"/>
      <c r="AT155" s="165"/>
      <c r="AU155" s="165"/>
      <c r="AV155" s="165"/>
      <c r="AW155" s="165"/>
      <c r="AX155" s="165"/>
      <c r="AY155" s="165"/>
      <c r="AZ155" s="165"/>
      <c r="BA155" s="165"/>
      <c r="BB155" s="170"/>
      <c r="BC155" s="165"/>
      <c r="BD155" s="165"/>
      <c r="BE155" s="165"/>
      <c r="BF155" s="165"/>
      <c r="BG155" s="165"/>
      <c r="BH155" s="165"/>
      <c r="BI155" s="165"/>
      <c r="BJ155" s="165"/>
      <c r="BK155" s="165"/>
      <c r="BL155" s="165"/>
      <c r="BM155" s="165"/>
      <c r="BN155" s="165"/>
      <c r="BO155" s="165"/>
      <c r="BP155" s="165"/>
      <c r="BQ155" s="165"/>
      <c r="BR155" s="165"/>
      <c r="BS155" s="165"/>
      <c r="BT155" s="165"/>
      <c r="BU155" s="165"/>
      <c r="BV155" s="165"/>
      <c r="BW155" s="165"/>
      <c r="BX155" s="165"/>
      <c r="BY155" s="165"/>
      <c r="BZ155" s="165"/>
      <c r="CA155" s="165"/>
      <c r="CB155" s="165"/>
      <c r="CC155" s="165"/>
      <c r="CD155" s="165"/>
      <c r="CE155" s="165"/>
      <c r="CF155" s="165"/>
      <c r="CG155" s="165"/>
      <c r="CH155" s="165"/>
      <c r="CI155" s="170"/>
      <c r="CJ155" s="165"/>
      <c r="CK155" s="165"/>
      <c r="CL155" s="165"/>
      <c r="CM155" s="165"/>
      <c r="CN155" s="170"/>
      <c r="CO155" s="165"/>
      <c r="CP155" s="165"/>
      <c r="CQ155" s="165"/>
    </row>
    <row r="156" spans="1:95" outlineLevel="1" x14ac:dyDescent="0.25">
      <c r="A156" s="228"/>
      <c r="B156" s="236" t="str">
        <f>Table1[[#Headers],[Simulação]]</f>
        <v>Simulação</v>
      </c>
      <c r="C156" s="237" t="str">
        <f t="shared" si="31"/>
        <v>PROTECTION_TYP_VHCL</v>
      </c>
      <c r="D156" s="232" t="s">
        <v>1114</v>
      </c>
      <c r="E156" s="232" t="s">
        <v>1515</v>
      </c>
      <c r="F156" s="238"/>
      <c r="G156" s="233">
        <f>INDEX(Table1[[Especificação]:[Total Testes]],MATCH('Sheet1 (2)'!C156,Table1[CONCAT],0),MATCH('Sheet1 (2)'!B156,Table1[[#Headers],[Especificação]:[Total Testes]],0))</f>
        <v>0</v>
      </c>
      <c r="H156" s="239">
        <f t="shared" si="32"/>
        <v>0</v>
      </c>
      <c r="I156" s="240"/>
      <c r="J156" s="170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  <c r="AA156" s="165"/>
      <c r="AB156" s="165"/>
      <c r="AC156" s="165"/>
      <c r="AD156" s="165"/>
      <c r="AE156" s="165"/>
      <c r="AF156" s="165"/>
      <c r="AG156" s="165"/>
      <c r="AH156" s="165"/>
      <c r="AI156" s="165"/>
      <c r="AJ156" s="165"/>
      <c r="AK156" s="165"/>
      <c r="AL156" s="165"/>
      <c r="AM156" s="165"/>
      <c r="AN156" s="165"/>
      <c r="AO156" s="165"/>
      <c r="AP156" s="165"/>
      <c r="AQ156" s="165"/>
      <c r="AR156" s="165"/>
      <c r="AS156" s="165"/>
      <c r="AT156" s="165"/>
      <c r="AU156" s="165"/>
      <c r="AV156" s="165"/>
      <c r="AW156" s="165"/>
      <c r="AX156" s="165"/>
      <c r="AY156" s="165"/>
      <c r="AZ156" s="165"/>
      <c r="BA156" s="165"/>
      <c r="BB156" s="170"/>
      <c r="BC156" s="165"/>
      <c r="BD156" s="165"/>
      <c r="BE156" s="165"/>
      <c r="BF156" s="165"/>
      <c r="BG156" s="165"/>
      <c r="BH156" s="165"/>
      <c r="BI156" s="165"/>
      <c r="BJ156" s="165"/>
      <c r="BK156" s="165"/>
      <c r="BL156" s="165"/>
      <c r="BM156" s="165"/>
      <c r="BN156" s="165"/>
      <c r="BO156" s="165"/>
      <c r="BP156" s="165"/>
      <c r="BQ156" s="165"/>
      <c r="BR156" s="165"/>
      <c r="BS156" s="165"/>
      <c r="BT156" s="165"/>
      <c r="BU156" s="165"/>
      <c r="BV156" s="165"/>
      <c r="BW156" s="165"/>
      <c r="BX156" s="165"/>
      <c r="BY156" s="165"/>
      <c r="BZ156" s="165"/>
      <c r="CA156" s="165"/>
      <c r="CB156" s="165"/>
      <c r="CC156" s="165"/>
      <c r="CD156" s="165"/>
      <c r="CE156" s="165"/>
      <c r="CF156" s="165"/>
      <c r="CG156" s="165"/>
      <c r="CH156" s="165"/>
      <c r="CI156" s="170"/>
      <c r="CJ156" s="165"/>
      <c r="CK156" s="165"/>
      <c r="CL156" s="165"/>
      <c r="CM156" s="165"/>
      <c r="CN156" s="170"/>
      <c r="CO156" s="165"/>
      <c r="CP156" s="165"/>
      <c r="CQ156" s="165"/>
    </row>
    <row r="157" spans="1:95" outlineLevel="1" x14ac:dyDescent="0.25">
      <c r="A157" s="228"/>
      <c r="B157" s="236" t="str">
        <f>Table1[[#Headers],[Simulação]]</f>
        <v>Simulação</v>
      </c>
      <c r="C157" s="237" t="str">
        <f t="shared" si="31"/>
        <v>PROTECTION_DT_RGSTRTN</v>
      </c>
      <c r="D157" s="232" t="s">
        <v>1114</v>
      </c>
      <c r="E157" s="232" t="s">
        <v>1518</v>
      </c>
      <c r="F157" s="238"/>
      <c r="G157" s="233">
        <f>INDEX(Table1[[Especificação]:[Total Testes]],MATCH('Sheet1 (2)'!C157,Table1[CONCAT],0),MATCH('Sheet1 (2)'!B157,Table1[[#Headers],[Especificação]:[Total Testes]],0))</f>
        <v>0</v>
      </c>
      <c r="H157" s="239">
        <f t="shared" si="32"/>
        <v>0</v>
      </c>
      <c r="I157" s="240"/>
      <c r="J157" s="170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  <c r="AA157" s="165"/>
      <c r="AB157" s="165"/>
      <c r="AC157" s="165"/>
      <c r="AD157" s="165"/>
      <c r="AE157" s="165"/>
      <c r="AF157" s="165"/>
      <c r="AG157" s="165"/>
      <c r="AH157" s="165"/>
      <c r="AI157" s="165"/>
      <c r="AJ157" s="165"/>
      <c r="AK157" s="165"/>
      <c r="AL157" s="165"/>
      <c r="AM157" s="165"/>
      <c r="AN157" s="165"/>
      <c r="AO157" s="165"/>
      <c r="AP157" s="165"/>
      <c r="AQ157" s="165"/>
      <c r="AR157" s="165"/>
      <c r="AS157" s="165"/>
      <c r="AT157" s="165"/>
      <c r="AU157" s="165"/>
      <c r="AV157" s="165"/>
      <c r="AW157" s="165"/>
      <c r="AX157" s="165"/>
      <c r="AY157" s="165"/>
      <c r="AZ157" s="165"/>
      <c r="BA157" s="165"/>
      <c r="BB157" s="170"/>
      <c r="BC157" s="165"/>
      <c r="BD157" s="165"/>
      <c r="BE157" s="165"/>
      <c r="BF157" s="165"/>
      <c r="BG157" s="165"/>
      <c r="BH157" s="165"/>
      <c r="BI157" s="165"/>
      <c r="BJ157" s="165"/>
      <c r="BK157" s="165"/>
      <c r="BL157" s="165"/>
      <c r="BM157" s="165"/>
      <c r="BN157" s="165"/>
      <c r="BO157" s="165"/>
      <c r="BP157" s="165"/>
      <c r="BQ157" s="165"/>
      <c r="BR157" s="165"/>
      <c r="BS157" s="165"/>
      <c r="BT157" s="165"/>
      <c r="BU157" s="165"/>
      <c r="BV157" s="165"/>
      <c r="BW157" s="165"/>
      <c r="BX157" s="165"/>
      <c r="BY157" s="165"/>
      <c r="BZ157" s="165"/>
      <c r="CA157" s="165"/>
      <c r="CB157" s="165"/>
      <c r="CC157" s="165"/>
      <c r="CD157" s="165"/>
      <c r="CE157" s="165"/>
      <c r="CF157" s="165"/>
      <c r="CG157" s="165"/>
      <c r="CH157" s="165"/>
      <c r="CI157" s="170"/>
      <c r="CJ157" s="165"/>
      <c r="CK157" s="165"/>
      <c r="CL157" s="165"/>
      <c r="CM157" s="165"/>
      <c r="CN157" s="170"/>
      <c r="CO157" s="165"/>
      <c r="CP157" s="165"/>
      <c r="CQ157" s="165"/>
    </row>
    <row r="158" spans="1:95" outlineLevel="1" x14ac:dyDescent="0.25">
      <c r="A158" s="228"/>
      <c r="B158" s="236" t="str">
        <f>Table1[[#Headers],[Simulação]]</f>
        <v>Simulação</v>
      </c>
      <c r="C158" s="237" t="str">
        <f t="shared" si="31"/>
        <v>PROTECTION_BLDNG_AR</v>
      </c>
      <c r="D158" s="232" t="s">
        <v>1114</v>
      </c>
      <c r="E158" s="232" t="s">
        <v>1387</v>
      </c>
      <c r="F158" s="238"/>
      <c r="G158" s="233">
        <f>INDEX(Table1[[Especificação]:[Total Testes]],MATCH('Sheet1 (2)'!C158,Table1[CONCAT],0),MATCH('Sheet1 (2)'!B158,Table1[[#Headers],[Especificação]:[Total Testes]],0))</f>
        <v>0</v>
      </c>
      <c r="H158" s="239">
        <f t="shared" si="32"/>
        <v>0</v>
      </c>
      <c r="I158" s="240"/>
      <c r="J158" s="170"/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5"/>
      <c r="AJ158" s="165"/>
      <c r="AK158" s="165"/>
      <c r="AL158" s="165"/>
      <c r="AM158" s="165"/>
      <c r="AN158" s="165"/>
      <c r="AO158" s="165"/>
      <c r="AP158" s="165"/>
      <c r="AQ158" s="165"/>
      <c r="AR158" s="165"/>
      <c r="AS158" s="165"/>
      <c r="AT158" s="165"/>
      <c r="AU158" s="165"/>
      <c r="AV158" s="165"/>
      <c r="AW158" s="165"/>
      <c r="AX158" s="165"/>
      <c r="AY158" s="165"/>
      <c r="AZ158" s="165"/>
      <c r="BA158" s="165"/>
      <c r="BB158" s="170"/>
      <c r="BC158" s="165"/>
      <c r="BD158" s="165"/>
      <c r="BE158" s="165"/>
      <c r="BF158" s="165"/>
      <c r="BG158" s="165"/>
      <c r="BH158" s="165"/>
      <c r="BI158" s="165"/>
      <c r="BJ158" s="165"/>
      <c r="BK158" s="165"/>
      <c r="BL158" s="165"/>
      <c r="BM158" s="165"/>
      <c r="BN158" s="165"/>
      <c r="BO158" s="165"/>
      <c r="BP158" s="165"/>
      <c r="BQ158" s="165"/>
      <c r="BR158" s="165"/>
      <c r="BS158" s="165"/>
      <c r="BT158" s="165"/>
      <c r="BU158" s="165"/>
      <c r="BV158" s="165"/>
      <c r="BW158" s="165"/>
      <c r="BX158" s="165"/>
      <c r="BY158" s="165"/>
      <c r="BZ158" s="165"/>
      <c r="CA158" s="165"/>
      <c r="CB158" s="165"/>
      <c r="CC158" s="165"/>
      <c r="CD158" s="165"/>
      <c r="CE158" s="165"/>
      <c r="CF158" s="165"/>
      <c r="CG158" s="165"/>
      <c r="CH158" s="165"/>
      <c r="CI158" s="170"/>
      <c r="CJ158" s="165"/>
      <c r="CK158" s="165"/>
      <c r="CL158" s="165"/>
      <c r="CM158" s="165"/>
      <c r="CN158" s="170"/>
      <c r="CO158" s="165"/>
      <c r="CP158" s="165"/>
      <c r="CQ158" s="165"/>
    </row>
    <row r="159" spans="1:95" outlineLevel="1" x14ac:dyDescent="0.25">
      <c r="A159" s="228"/>
      <c r="B159" s="236" t="str">
        <f>Table1[[#Headers],[Simulação]]</f>
        <v>Simulação</v>
      </c>
      <c r="C159" s="237" t="str">
        <f t="shared" si="31"/>
        <v>INSTR_ACTIVITY_FLG_DNSH_CMPLNC</v>
      </c>
      <c r="D159" s="232" t="s">
        <v>1542</v>
      </c>
      <c r="E159" s="232" t="s">
        <v>1557</v>
      </c>
      <c r="F159" s="238"/>
      <c r="G159" s="233">
        <f>INDEX(Table1[[Especificação]:[Total Testes]],MATCH('Sheet1 (2)'!C159,Table1[CONCAT],0),MATCH('Sheet1 (2)'!B159,Table1[[#Headers],[Especificação]:[Total Testes]],0))</f>
        <v>0</v>
      </c>
      <c r="H159" s="239">
        <f t="shared" si="32"/>
        <v>0</v>
      </c>
      <c r="I159" s="240"/>
      <c r="J159" s="170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5"/>
      <c r="AJ159" s="165"/>
      <c r="AK159" s="165"/>
      <c r="AL159" s="165"/>
      <c r="AM159" s="165"/>
      <c r="AN159" s="165"/>
      <c r="AO159" s="165"/>
      <c r="AP159" s="165"/>
      <c r="AQ159" s="165"/>
      <c r="AR159" s="165"/>
      <c r="AS159" s="165"/>
      <c r="AT159" s="165"/>
      <c r="AU159" s="165"/>
      <c r="AV159" s="165"/>
      <c r="AW159" s="165"/>
      <c r="AX159" s="165"/>
      <c r="AY159" s="165"/>
      <c r="AZ159" s="165"/>
      <c r="BA159" s="165"/>
      <c r="BB159" s="170"/>
      <c r="BC159" s="165"/>
      <c r="BD159" s="165"/>
      <c r="BE159" s="165"/>
      <c r="BF159" s="165"/>
      <c r="BG159" s="165"/>
      <c r="BH159" s="165"/>
      <c r="BI159" s="165"/>
      <c r="BJ159" s="165"/>
      <c r="BK159" s="165"/>
      <c r="BL159" s="165"/>
      <c r="BM159" s="165"/>
      <c r="BN159" s="165"/>
      <c r="BO159" s="165"/>
      <c r="BP159" s="165"/>
      <c r="BQ159" s="165"/>
      <c r="BR159" s="165"/>
      <c r="BS159" s="165"/>
      <c r="BT159" s="165"/>
      <c r="BU159" s="165"/>
      <c r="BV159" s="165"/>
      <c r="BW159" s="165"/>
      <c r="BX159" s="165"/>
      <c r="BY159" s="165"/>
      <c r="BZ159" s="165"/>
      <c r="CA159" s="165"/>
      <c r="CB159" s="165"/>
      <c r="CC159" s="165"/>
      <c r="CD159" s="165"/>
      <c r="CE159" s="165"/>
      <c r="CF159" s="165"/>
      <c r="CG159" s="165"/>
      <c r="CH159" s="165"/>
      <c r="CI159" s="170"/>
      <c r="CJ159" s="165"/>
      <c r="CK159" s="165"/>
      <c r="CL159" s="165"/>
      <c r="CM159" s="165"/>
      <c r="CN159" s="170"/>
      <c r="CO159" s="165"/>
      <c r="CP159" s="165"/>
      <c r="CQ159" s="165"/>
    </row>
    <row r="160" spans="1:95" outlineLevel="1" x14ac:dyDescent="0.25">
      <c r="A160" s="228"/>
      <c r="B160" s="236" t="str">
        <f>Table1[[#Headers],[Simulação]]</f>
        <v>Simulação</v>
      </c>
      <c r="C160" s="237" t="str">
        <f t="shared" si="31"/>
        <v>INSTR_ACTIVITY_DNSH_DTL</v>
      </c>
      <c r="D160" s="232" t="s">
        <v>1542</v>
      </c>
      <c r="E160" s="232" t="s">
        <v>1560</v>
      </c>
      <c r="F160" s="238"/>
      <c r="G160" s="233">
        <f>INDEX(Table1[[Especificação]:[Total Testes]],MATCH('Sheet1 (2)'!C160,Table1[CONCAT],0),MATCH('Sheet1 (2)'!B160,Table1[[#Headers],[Especificação]:[Total Testes]],0))</f>
        <v>0</v>
      </c>
      <c r="H160" s="239">
        <f t="shared" si="32"/>
        <v>0</v>
      </c>
      <c r="I160" s="240"/>
      <c r="J160" s="170"/>
      <c r="K160" s="165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  <c r="AA160" s="165"/>
      <c r="AB160" s="165"/>
      <c r="AC160" s="165"/>
      <c r="AD160" s="165"/>
      <c r="AE160" s="165"/>
      <c r="AF160" s="165"/>
      <c r="AG160" s="165"/>
      <c r="AH160" s="165"/>
      <c r="AI160" s="165"/>
      <c r="AJ160" s="165"/>
      <c r="AK160" s="165"/>
      <c r="AL160" s="165"/>
      <c r="AM160" s="165"/>
      <c r="AN160" s="165"/>
      <c r="AO160" s="165"/>
      <c r="AP160" s="165"/>
      <c r="AQ160" s="165"/>
      <c r="AR160" s="165"/>
      <c r="AS160" s="165"/>
      <c r="AT160" s="165"/>
      <c r="AU160" s="165"/>
      <c r="AV160" s="165"/>
      <c r="AW160" s="165"/>
      <c r="AX160" s="165"/>
      <c r="AY160" s="165"/>
      <c r="AZ160" s="165"/>
      <c r="BA160" s="165"/>
      <c r="BB160" s="170"/>
      <c r="BC160" s="165"/>
      <c r="BD160" s="165"/>
      <c r="BE160" s="165"/>
      <c r="BF160" s="165"/>
      <c r="BG160" s="165"/>
      <c r="BH160" s="165"/>
      <c r="BI160" s="165"/>
      <c r="BJ160" s="165"/>
      <c r="BK160" s="165"/>
      <c r="BL160" s="165"/>
      <c r="BM160" s="165"/>
      <c r="BN160" s="165"/>
      <c r="BO160" s="165"/>
      <c r="BP160" s="165"/>
      <c r="BQ160" s="165"/>
      <c r="BR160" s="165"/>
      <c r="BS160" s="165"/>
      <c r="BT160" s="165"/>
      <c r="BU160" s="165"/>
      <c r="BV160" s="165"/>
      <c r="BW160" s="165"/>
      <c r="BX160" s="165"/>
      <c r="BY160" s="165"/>
      <c r="BZ160" s="165"/>
      <c r="CA160" s="165"/>
      <c r="CB160" s="165"/>
      <c r="CC160" s="165"/>
      <c r="CD160" s="165"/>
      <c r="CE160" s="165"/>
      <c r="CF160" s="165"/>
      <c r="CG160" s="165"/>
      <c r="CH160" s="165"/>
      <c r="CI160" s="170"/>
      <c r="CJ160" s="165"/>
      <c r="CK160" s="165"/>
      <c r="CL160" s="165"/>
      <c r="CM160" s="165"/>
      <c r="CN160" s="170"/>
      <c r="CO160" s="165"/>
      <c r="CP160" s="165"/>
      <c r="CQ160" s="165"/>
    </row>
    <row r="161" spans="2:95" x14ac:dyDescent="0.25">
      <c r="B161" s="156"/>
      <c r="C161" s="177" t="s">
        <v>1750</v>
      </c>
      <c r="D161" s="178"/>
      <c r="E161" s="179"/>
      <c r="F161" s="205">
        <f>COUNTA(E162:E193)</f>
        <v>32</v>
      </c>
      <c r="G161" s="205">
        <f>SUM(G162:G193)</f>
        <v>121</v>
      </c>
      <c r="H161" s="208">
        <f>ROUND(SUM(H162:H193),1)</f>
        <v>15.1</v>
      </c>
      <c r="I161" s="222">
        <f t="shared" ref="I161" si="33">SUM(J161:CQ161)-H161</f>
        <v>0</v>
      </c>
      <c r="J161" s="170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  <c r="AA161" s="165"/>
      <c r="AB161" s="165"/>
      <c r="AC161" s="165"/>
      <c r="AD161" s="165"/>
      <c r="AE161" s="165"/>
      <c r="AF161" s="165"/>
      <c r="AG161" s="165"/>
      <c r="AH161" s="165"/>
      <c r="AI161" s="165"/>
      <c r="AJ161" s="165"/>
      <c r="AK161" s="165"/>
      <c r="AL161" s="165"/>
      <c r="AM161" s="165"/>
      <c r="AN161" s="165"/>
      <c r="AO161" s="165"/>
      <c r="AP161" s="165"/>
      <c r="AQ161" s="165"/>
      <c r="AR161" s="165"/>
      <c r="AS161" s="165"/>
      <c r="AT161" s="165"/>
      <c r="AU161" s="165"/>
      <c r="AV161" s="165">
        <v>1</v>
      </c>
      <c r="AW161" s="165">
        <v>1</v>
      </c>
      <c r="AX161" s="165">
        <v>1</v>
      </c>
      <c r="AY161" s="165">
        <v>1</v>
      </c>
      <c r="AZ161" s="165">
        <v>2</v>
      </c>
      <c r="BA161" s="165">
        <v>2</v>
      </c>
      <c r="BB161" s="170"/>
      <c r="BC161" s="165">
        <v>2</v>
      </c>
      <c r="BD161" s="165">
        <v>2</v>
      </c>
      <c r="BE161" s="165">
        <v>2</v>
      </c>
      <c r="BF161" s="165">
        <v>1.1000000000000001</v>
      </c>
      <c r="BG161" s="165"/>
      <c r="BH161" s="165"/>
      <c r="BI161" s="165"/>
      <c r="BJ161" s="165"/>
      <c r="BK161" s="165"/>
      <c r="BL161" s="165"/>
      <c r="BM161" s="165"/>
      <c r="BN161" s="165"/>
      <c r="BO161" s="165"/>
      <c r="BP161" s="165"/>
      <c r="BQ161" s="165"/>
      <c r="BR161" s="165"/>
      <c r="BS161" s="165"/>
      <c r="BT161" s="165"/>
      <c r="BU161" s="165"/>
      <c r="BV161" s="165"/>
      <c r="BW161" s="165"/>
      <c r="BX161" s="165"/>
      <c r="BY161" s="165"/>
      <c r="BZ161" s="165"/>
      <c r="CA161" s="165"/>
      <c r="CB161" s="165"/>
      <c r="CC161" s="165"/>
      <c r="CD161" s="165"/>
      <c r="CE161" s="165"/>
      <c r="CF161" s="165"/>
      <c r="CG161" s="165"/>
      <c r="CH161" s="165"/>
      <c r="CI161" s="170"/>
      <c r="CJ161" s="165"/>
      <c r="CK161" s="165"/>
      <c r="CL161" s="165"/>
      <c r="CM161" s="165"/>
      <c r="CN161" s="170"/>
      <c r="CO161" s="165"/>
      <c r="CP161" s="165"/>
      <c r="CQ161" s="165"/>
    </row>
    <row r="162" spans="2:95" outlineLevel="1" x14ac:dyDescent="0.25">
      <c r="B162" s="156" t="str">
        <f>Table1[[#Headers],[Total Testes]]</f>
        <v>Total Testes</v>
      </c>
      <c r="C162" s="154" t="str">
        <f t="shared" ref="C162:C217" si="34">D162&amp;"_"&amp;E162</f>
        <v>ENTITY_TXNMY_ELGBL_CAPEX_W</v>
      </c>
      <c r="D162" s="153" t="s">
        <v>10</v>
      </c>
      <c r="E162" s="153" t="s">
        <v>1402</v>
      </c>
      <c r="G162" s="172">
        <f>INDEX(Table1[[Especificação]:[Total Testes]],MATCH('Sheet1 (2)'!C162,Table1[CONCAT],0),MATCH('Sheet1 (2)'!B162,Table1[[#Headers],[Especificação]:[Total Testes]],0))</f>
        <v>7.5</v>
      </c>
      <c r="H162" s="191">
        <f t="shared" ref="H162:H217" si="35">ROUND(G162/8,2)</f>
        <v>0.94</v>
      </c>
      <c r="I162" s="193"/>
      <c r="J162" s="170"/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  <c r="AD162" s="165"/>
      <c r="AE162" s="165"/>
      <c r="AF162" s="165"/>
      <c r="AG162" s="165"/>
      <c r="AH162" s="165"/>
      <c r="AI162" s="165"/>
      <c r="AJ162" s="165"/>
      <c r="AK162" s="165"/>
      <c r="AL162" s="165"/>
      <c r="AM162" s="165"/>
      <c r="AN162" s="165"/>
      <c r="AO162" s="165"/>
      <c r="AP162" s="165"/>
      <c r="AQ162" s="165"/>
      <c r="AR162" s="165"/>
      <c r="AS162" s="165"/>
      <c r="AT162" s="165"/>
      <c r="AU162" s="165"/>
      <c r="AV162" s="165"/>
      <c r="AW162" s="165"/>
      <c r="AX162" s="165"/>
      <c r="AY162" s="165"/>
      <c r="AZ162" s="165"/>
      <c r="BA162" s="165"/>
      <c r="BB162" s="170"/>
      <c r="BC162" s="165"/>
      <c r="BD162" s="165"/>
      <c r="BE162" s="165"/>
      <c r="BF162" s="165"/>
      <c r="BG162" s="165"/>
      <c r="BH162" s="165"/>
      <c r="BI162" s="165"/>
      <c r="BJ162" s="165"/>
      <c r="BK162" s="165"/>
      <c r="BL162" s="165"/>
      <c r="BM162" s="165"/>
      <c r="BN162" s="165"/>
      <c r="BO162" s="165"/>
      <c r="BP162" s="165"/>
      <c r="BQ162" s="165"/>
      <c r="BR162" s="165"/>
      <c r="BS162" s="165"/>
      <c r="BT162" s="165"/>
      <c r="BU162" s="165"/>
      <c r="BV162" s="165"/>
      <c r="BW162" s="165"/>
      <c r="BX162" s="165"/>
      <c r="BY162" s="165"/>
      <c r="BZ162" s="165"/>
      <c r="CA162" s="165"/>
      <c r="CB162" s="165"/>
      <c r="CC162" s="165"/>
      <c r="CD162" s="165"/>
      <c r="CE162" s="165"/>
      <c r="CF162" s="165"/>
      <c r="CG162" s="165"/>
      <c r="CH162" s="165"/>
      <c r="CI162" s="170"/>
      <c r="CJ162" s="165"/>
      <c r="CK162" s="165"/>
      <c r="CL162" s="165"/>
      <c r="CM162" s="165"/>
      <c r="CN162" s="170"/>
      <c r="CO162" s="165"/>
      <c r="CP162" s="165"/>
      <c r="CQ162" s="165"/>
    </row>
    <row r="163" spans="2:95" outlineLevel="1" x14ac:dyDescent="0.25">
      <c r="B163" s="156" t="str">
        <f>Table1[[#Headers],[Total Testes]]</f>
        <v>Total Testes</v>
      </c>
      <c r="C163" s="154" t="str">
        <f t="shared" si="34"/>
        <v>ENTITY_TXNMY_ELGBL_TRNVR_W</v>
      </c>
      <c r="D163" s="153" t="s">
        <v>10</v>
      </c>
      <c r="E163" s="153" t="s">
        <v>1405</v>
      </c>
      <c r="G163" s="172">
        <f>INDEX(Table1[[Especificação]:[Total Testes]],MATCH('Sheet1 (2)'!C163,Table1[CONCAT],0),MATCH('Sheet1 (2)'!B163,Table1[[#Headers],[Especificação]:[Total Testes]],0))</f>
        <v>7.5</v>
      </c>
      <c r="H163" s="191">
        <f t="shared" si="35"/>
        <v>0.94</v>
      </c>
      <c r="I163" s="193"/>
      <c r="J163" s="170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  <c r="AA163" s="165"/>
      <c r="AB163" s="165"/>
      <c r="AC163" s="165"/>
      <c r="AD163" s="165"/>
      <c r="AE163" s="165"/>
      <c r="AF163" s="165"/>
      <c r="AG163" s="165"/>
      <c r="AH163" s="165"/>
      <c r="AI163" s="165"/>
      <c r="AJ163" s="165"/>
      <c r="AK163" s="165"/>
      <c r="AL163" s="165"/>
      <c r="AM163" s="165"/>
      <c r="AN163" s="165"/>
      <c r="AO163" s="165"/>
      <c r="AP163" s="165"/>
      <c r="AQ163" s="165"/>
      <c r="AR163" s="165"/>
      <c r="AS163" s="165"/>
      <c r="AT163" s="165"/>
      <c r="AU163" s="165"/>
      <c r="AV163" s="165"/>
      <c r="AW163" s="165"/>
      <c r="AX163" s="165"/>
      <c r="AY163" s="165"/>
      <c r="AZ163" s="165"/>
      <c r="BA163" s="165"/>
      <c r="BB163" s="170"/>
      <c r="BC163" s="165"/>
      <c r="BD163" s="165"/>
      <c r="BE163" s="165"/>
      <c r="BF163" s="165"/>
      <c r="BG163" s="165"/>
      <c r="BH163" s="165"/>
      <c r="BI163" s="165"/>
      <c r="BJ163" s="165"/>
      <c r="BK163" s="165"/>
      <c r="BL163" s="165"/>
      <c r="BM163" s="165"/>
      <c r="BN163" s="165"/>
      <c r="BO163" s="165"/>
      <c r="BP163" s="165"/>
      <c r="BQ163" s="165"/>
      <c r="BR163" s="165"/>
      <c r="BS163" s="165"/>
      <c r="BT163" s="165"/>
      <c r="BU163" s="165"/>
      <c r="BV163" s="165"/>
      <c r="BW163" s="165"/>
      <c r="BX163" s="165"/>
      <c r="BY163" s="165"/>
      <c r="BZ163" s="165"/>
      <c r="CA163" s="165"/>
      <c r="CB163" s="165"/>
      <c r="CC163" s="165"/>
      <c r="CD163" s="165"/>
      <c r="CE163" s="165"/>
      <c r="CF163" s="165"/>
      <c r="CG163" s="165"/>
      <c r="CH163" s="165"/>
      <c r="CI163" s="170"/>
      <c r="CJ163" s="165"/>
      <c r="CK163" s="165"/>
      <c r="CL163" s="165"/>
      <c r="CM163" s="165"/>
      <c r="CN163" s="170"/>
      <c r="CO163" s="165"/>
      <c r="CP163" s="165"/>
      <c r="CQ163" s="165"/>
    </row>
    <row r="164" spans="2:95" outlineLevel="1" x14ac:dyDescent="0.25">
      <c r="B164" s="156" t="str">
        <f>Table1[[#Headers],[Total Testes]]</f>
        <v>Total Testes</v>
      </c>
      <c r="C164" s="154" t="str">
        <f t="shared" si="34"/>
        <v>ENTITY_TXNMY_ELGBL_CAPEX_P</v>
      </c>
      <c r="D164" s="153" t="s">
        <v>10</v>
      </c>
      <c r="E164" s="153" t="s">
        <v>1408</v>
      </c>
      <c r="G164" s="172">
        <f>INDEX(Table1[[Especificação]:[Total Testes]],MATCH('Sheet1 (2)'!C164,Table1[CONCAT],0),MATCH('Sheet1 (2)'!B164,Table1[[#Headers],[Especificação]:[Total Testes]],0))</f>
        <v>2.5</v>
      </c>
      <c r="H164" s="191">
        <f t="shared" si="35"/>
        <v>0.31</v>
      </c>
      <c r="I164" s="193"/>
      <c r="J164" s="170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  <c r="AA164" s="165"/>
      <c r="AB164" s="165"/>
      <c r="AC164" s="165"/>
      <c r="AD164" s="165"/>
      <c r="AE164" s="165"/>
      <c r="AF164" s="165"/>
      <c r="AG164" s="165"/>
      <c r="AH164" s="165"/>
      <c r="AI164" s="165"/>
      <c r="AJ164" s="165"/>
      <c r="AK164" s="165"/>
      <c r="AL164" s="165"/>
      <c r="AM164" s="165"/>
      <c r="AN164" s="165"/>
      <c r="AO164" s="165"/>
      <c r="AP164" s="165"/>
      <c r="AQ164" s="165"/>
      <c r="AR164" s="165"/>
      <c r="AS164" s="165"/>
      <c r="AT164" s="165"/>
      <c r="AU164" s="165"/>
      <c r="AV164" s="165"/>
      <c r="AW164" s="165"/>
      <c r="AX164" s="165"/>
      <c r="AY164" s="165"/>
      <c r="AZ164" s="165"/>
      <c r="BA164" s="165"/>
      <c r="BB164" s="170"/>
      <c r="BC164" s="165"/>
      <c r="BD164" s="165"/>
      <c r="BE164" s="165"/>
      <c r="BF164" s="165"/>
      <c r="BG164" s="165"/>
      <c r="BH164" s="165"/>
      <c r="BI164" s="165"/>
      <c r="BJ164" s="165"/>
      <c r="BK164" s="165"/>
      <c r="BL164" s="165"/>
      <c r="BM164" s="165"/>
      <c r="BN164" s="165"/>
      <c r="BO164" s="165"/>
      <c r="BP164" s="165"/>
      <c r="BQ164" s="165"/>
      <c r="BR164" s="165"/>
      <c r="BS164" s="165"/>
      <c r="BT164" s="165"/>
      <c r="BU164" s="165"/>
      <c r="BV164" s="165"/>
      <c r="BW164" s="165"/>
      <c r="BX164" s="165"/>
      <c r="BY164" s="165"/>
      <c r="BZ164" s="165"/>
      <c r="CA164" s="165"/>
      <c r="CB164" s="165"/>
      <c r="CC164" s="165"/>
      <c r="CD164" s="165"/>
      <c r="CE164" s="165"/>
      <c r="CF164" s="165"/>
      <c r="CG164" s="165"/>
      <c r="CH164" s="165"/>
      <c r="CI164" s="170"/>
      <c r="CJ164" s="165"/>
      <c r="CK164" s="165"/>
      <c r="CL164" s="165"/>
      <c r="CM164" s="165"/>
      <c r="CN164" s="170"/>
      <c r="CO164" s="165"/>
      <c r="CP164" s="165"/>
      <c r="CQ164" s="165"/>
    </row>
    <row r="165" spans="2:95" outlineLevel="1" x14ac:dyDescent="0.25">
      <c r="B165" s="156" t="str">
        <f>Table1[[#Headers],[Total Testes]]</f>
        <v>Total Testes</v>
      </c>
      <c r="C165" s="154" t="str">
        <f t="shared" si="34"/>
        <v>ENTITY_TXNMY_ELGBL_TRNVR_P</v>
      </c>
      <c r="D165" s="153" t="s">
        <v>10</v>
      </c>
      <c r="E165" s="153" t="s">
        <v>1411</v>
      </c>
      <c r="G165" s="172">
        <f>INDEX(Table1[[Especificação]:[Total Testes]],MATCH('Sheet1 (2)'!C165,Table1[CONCAT],0),MATCH('Sheet1 (2)'!B165,Table1[[#Headers],[Especificação]:[Total Testes]],0))</f>
        <v>2.5</v>
      </c>
      <c r="H165" s="191">
        <f t="shared" si="35"/>
        <v>0.31</v>
      </c>
      <c r="I165" s="193"/>
      <c r="J165" s="170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  <c r="AA165" s="165"/>
      <c r="AB165" s="165"/>
      <c r="AC165" s="165"/>
      <c r="AD165" s="165"/>
      <c r="AE165" s="165"/>
      <c r="AF165" s="165"/>
      <c r="AG165" s="165"/>
      <c r="AH165" s="165"/>
      <c r="AI165" s="165"/>
      <c r="AJ165" s="165"/>
      <c r="AK165" s="165"/>
      <c r="AL165" s="165"/>
      <c r="AM165" s="165"/>
      <c r="AN165" s="165"/>
      <c r="AO165" s="165"/>
      <c r="AP165" s="165"/>
      <c r="AQ165" s="165"/>
      <c r="AR165" s="165"/>
      <c r="AS165" s="165"/>
      <c r="AT165" s="165"/>
      <c r="AU165" s="165"/>
      <c r="AV165" s="165"/>
      <c r="AW165" s="165"/>
      <c r="AX165" s="165"/>
      <c r="AY165" s="165"/>
      <c r="AZ165" s="165"/>
      <c r="BA165" s="165"/>
      <c r="BB165" s="170"/>
      <c r="BC165" s="165"/>
      <c r="BD165" s="165"/>
      <c r="BE165" s="165"/>
      <c r="BF165" s="165"/>
      <c r="BG165" s="165"/>
      <c r="BH165" s="165"/>
      <c r="BI165" s="165"/>
      <c r="BJ165" s="165"/>
      <c r="BK165" s="165"/>
      <c r="BL165" s="165"/>
      <c r="BM165" s="165"/>
      <c r="BN165" s="165"/>
      <c r="BO165" s="165"/>
      <c r="BP165" s="165"/>
      <c r="BQ165" s="165"/>
      <c r="BR165" s="165"/>
      <c r="BS165" s="165"/>
      <c r="BT165" s="165"/>
      <c r="BU165" s="165"/>
      <c r="BV165" s="165"/>
      <c r="BW165" s="165"/>
      <c r="BX165" s="165"/>
      <c r="BY165" s="165"/>
      <c r="BZ165" s="165"/>
      <c r="CA165" s="165"/>
      <c r="CB165" s="165"/>
      <c r="CC165" s="165"/>
      <c r="CD165" s="165"/>
      <c r="CE165" s="165"/>
      <c r="CF165" s="165"/>
      <c r="CG165" s="165"/>
      <c r="CH165" s="165"/>
      <c r="CI165" s="170"/>
      <c r="CJ165" s="165"/>
      <c r="CK165" s="165"/>
      <c r="CL165" s="165"/>
      <c r="CM165" s="165"/>
      <c r="CN165" s="170"/>
      <c r="CO165" s="165"/>
      <c r="CP165" s="165"/>
      <c r="CQ165" s="165"/>
    </row>
    <row r="166" spans="2:95" outlineLevel="1" x14ac:dyDescent="0.25">
      <c r="B166" s="156" t="str">
        <f>Table1[[#Headers],[Total Testes]]</f>
        <v>Total Testes</v>
      </c>
      <c r="C166" s="154" t="str">
        <f t="shared" si="34"/>
        <v>ENTITY_TXNMY_ELGBL_CAPEX_B</v>
      </c>
      <c r="D166" s="153" t="s">
        <v>10</v>
      </c>
      <c r="E166" s="153" t="s">
        <v>1414</v>
      </c>
      <c r="G166" s="172">
        <f>INDEX(Table1[[Especificação]:[Total Testes]],MATCH('Sheet1 (2)'!C166,Table1[CONCAT],0),MATCH('Sheet1 (2)'!B166,Table1[[#Headers],[Especificação]:[Total Testes]],0))</f>
        <v>2.5</v>
      </c>
      <c r="H166" s="191">
        <f t="shared" si="35"/>
        <v>0.31</v>
      </c>
      <c r="I166" s="193"/>
      <c r="J166" s="170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  <c r="AA166" s="165"/>
      <c r="AB166" s="165"/>
      <c r="AC166" s="165"/>
      <c r="AD166" s="165"/>
      <c r="AE166" s="165"/>
      <c r="AF166" s="165"/>
      <c r="AG166" s="165"/>
      <c r="AH166" s="165"/>
      <c r="AI166" s="165"/>
      <c r="AJ166" s="165"/>
      <c r="AK166" s="165"/>
      <c r="AL166" s="165"/>
      <c r="AM166" s="165"/>
      <c r="AN166" s="165"/>
      <c r="AO166" s="165"/>
      <c r="AP166" s="165"/>
      <c r="AQ166" s="165"/>
      <c r="AR166" s="165"/>
      <c r="AS166" s="165"/>
      <c r="AT166" s="165"/>
      <c r="AU166" s="165"/>
      <c r="AV166" s="165"/>
      <c r="AW166" s="165"/>
      <c r="AX166" s="165"/>
      <c r="AY166" s="165"/>
      <c r="AZ166" s="165"/>
      <c r="BA166" s="165"/>
      <c r="BB166" s="170"/>
      <c r="BC166" s="165"/>
      <c r="BD166" s="165"/>
      <c r="BE166" s="165"/>
      <c r="BF166" s="165"/>
      <c r="BG166" s="165"/>
      <c r="BH166" s="165"/>
      <c r="BI166" s="165"/>
      <c r="BJ166" s="165"/>
      <c r="BK166" s="165"/>
      <c r="BL166" s="165"/>
      <c r="BM166" s="165"/>
      <c r="BN166" s="165"/>
      <c r="BO166" s="165"/>
      <c r="BP166" s="165"/>
      <c r="BQ166" s="165"/>
      <c r="BR166" s="165"/>
      <c r="BS166" s="165"/>
      <c r="BT166" s="165"/>
      <c r="BU166" s="165"/>
      <c r="BV166" s="165"/>
      <c r="BW166" s="165"/>
      <c r="BX166" s="165"/>
      <c r="BY166" s="165"/>
      <c r="BZ166" s="165"/>
      <c r="CA166" s="165"/>
      <c r="CB166" s="165"/>
      <c r="CC166" s="165"/>
      <c r="CD166" s="165"/>
      <c r="CE166" s="165"/>
      <c r="CF166" s="165"/>
      <c r="CG166" s="165"/>
      <c r="CH166" s="165"/>
      <c r="CI166" s="170"/>
      <c r="CJ166" s="165"/>
      <c r="CK166" s="165"/>
      <c r="CL166" s="165"/>
      <c r="CM166" s="165"/>
      <c r="CN166" s="170"/>
      <c r="CO166" s="165"/>
      <c r="CP166" s="165"/>
      <c r="CQ166" s="165"/>
    </row>
    <row r="167" spans="2:95" outlineLevel="1" x14ac:dyDescent="0.25">
      <c r="B167" s="156" t="str">
        <f>Table1[[#Headers],[Total Testes]]</f>
        <v>Total Testes</v>
      </c>
      <c r="C167" s="154" t="str">
        <f t="shared" si="34"/>
        <v>ENTITY_TXNMY_ELGBL_TRNVR_B</v>
      </c>
      <c r="D167" s="153" t="s">
        <v>10</v>
      </c>
      <c r="E167" s="153" t="s">
        <v>1417</v>
      </c>
      <c r="G167" s="172">
        <f>INDEX(Table1[[Especificação]:[Total Testes]],MATCH('Sheet1 (2)'!C167,Table1[CONCAT],0),MATCH('Sheet1 (2)'!B167,Table1[[#Headers],[Especificação]:[Total Testes]],0))</f>
        <v>2.5</v>
      </c>
      <c r="H167" s="191">
        <f t="shared" si="35"/>
        <v>0.31</v>
      </c>
      <c r="I167" s="193"/>
      <c r="J167" s="170"/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  <c r="AA167" s="165"/>
      <c r="AB167" s="165"/>
      <c r="AC167" s="165"/>
      <c r="AD167" s="165"/>
      <c r="AE167" s="165"/>
      <c r="AF167" s="165"/>
      <c r="AG167" s="165"/>
      <c r="AH167" s="165"/>
      <c r="AI167" s="165"/>
      <c r="AJ167" s="165"/>
      <c r="AK167" s="165"/>
      <c r="AL167" s="165"/>
      <c r="AM167" s="165"/>
      <c r="AN167" s="165"/>
      <c r="AO167" s="165"/>
      <c r="AP167" s="165"/>
      <c r="AQ167" s="165"/>
      <c r="AR167" s="165"/>
      <c r="AS167" s="165"/>
      <c r="AT167" s="165"/>
      <c r="AU167" s="165"/>
      <c r="AV167" s="165"/>
      <c r="AW167" s="165"/>
      <c r="AX167" s="165"/>
      <c r="AY167" s="165"/>
      <c r="AZ167" s="165"/>
      <c r="BA167" s="165"/>
      <c r="BB167" s="170"/>
      <c r="BC167" s="165"/>
      <c r="BD167" s="165"/>
      <c r="BE167" s="165"/>
      <c r="BF167" s="165"/>
      <c r="BG167" s="165"/>
      <c r="BH167" s="165"/>
      <c r="BI167" s="165"/>
      <c r="BJ167" s="165"/>
      <c r="BK167" s="165"/>
      <c r="BL167" s="165"/>
      <c r="BM167" s="165"/>
      <c r="BN167" s="165"/>
      <c r="BO167" s="165"/>
      <c r="BP167" s="165"/>
      <c r="BQ167" s="165"/>
      <c r="BR167" s="165"/>
      <c r="BS167" s="165"/>
      <c r="BT167" s="165"/>
      <c r="BU167" s="165"/>
      <c r="BV167" s="165"/>
      <c r="BW167" s="165"/>
      <c r="BX167" s="165"/>
      <c r="BY167" s="165"/>
      <c r="BZ167" s="165"/>
      <c r="CA167" s="165"/>
      <c r="CB167" s="165"/>
      <c r="CC167" s="165"/>
      <c r="CD167" s="165"/>
      <c r="CE167" s="165"/>
      <c r="CF167" s="165"/>
      <c r="CG167" s="165"/>
      <c r="CH167" s="165"/>
      <c r="CI167" s="170"/>
      <c r="CJ167" s="165"/>
      <c r="CK167" s="165"/>
      <c r="CL167" s="165"/>
      <c r="CM167" s="165"/>
      <c r="CN167" s="170"/>
      <c r="CO167" s="165"/>
      <c r="CP167" s="165"/>
      <c r="CQ167" s="165"/>
    </row>
    <row r="168" spans="2:95" outlineLevel="1" x14ac:dyDescent="0.25">
      <c r="B168" s="156" t="str">
        <f>Table1[[#Headers],[Total Testes]]</f>
        <v>Total Testes</v>
      </c>
      <c r="C168" s="154" t="str">
        <f t="shared" si="34"/>
        <v>ENTITY_TXNMY_ELGBL_CAPEX_CE</v>
      </c>
      <c r="D168" s="153" t="s">
        <v>10</v>
      </c>
      <c r="E168" s="153" t="s">
        <v>1420</v>
      </c>
      <c r="G168" s="172">
        <f>INDEX(Table1[[Especificação]:[Total Testes]],MATCH('Sheet1 (2)'!C168,Table1[CONCAT],0),MATCH('Sheet1 (2)'!B168,Table1[[#Headers],[Especificação]:[Total Testes]],0))</f>
        <v>2.5</v>
      </c>
      <c r="H168" s="191">
        <f t="shared" si="35"/>
        <v>0.31</v>
      </c>
      <c r="I168" s="193"/>
      <c r="J168" s="170"/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  <c r="AA168" s="165"/>
      <c r="AB168" s="165"/>
      <c r="AC168" s="165"/>
      <c r="AD168" s="165"/>
      <c r="AE168" s="165"/>
      <c r="AF168" s="165"/>
      <c r="AG168" s="165"/>
      <c r="AH168" s="165"/>
      <c r="AI168" s="165"/>
      <c r="AJ168" s="165"/>
      <c r="AK168" s="165"/>
      <c r="AL168" s="165"/>
      <c r="AM168" s="165"/>
      <c r="AN168" s="165"/>
      <c r="AO168" s="165"/>
      <c r="AP168" s="165"/>
      <c r="AQ168" s="165"/>
      <c r="AR168" s="165"/>
      <c r="AS168" s="165"/>
      <c r="AT168" s="165"/>
      <c r="AU168" s="165"/>
      <c r="AV168" s="165"/>
      <c r="AW168" s="165"/>
      <c r="AX168" s="165"/>
      <c r="AY168" s="165"/>
      <c r="AZ168" s="165"/>
      <c r="BA168" s="165"/>
      <c r="BB168" s="170"/>
      <c r="BC168" s="165"/>
      <c r="BD168" s="165"/>
      <c r="BE168" s="165"/>
      <c r="BF168" s="165"/>
      <c r="BG168" s="165"/>
      <c r="BH168" s="165"/>
      <c r="BI168" s="165"/>
      <c r="BJ168" s="165"/>
      <c r="BK168" s="165"/>
      <c r="BL168" s="165"/>
      <c r="BM168" s="165"/>
      <c r="BN168" s="165"/>
      <c r="BO168" s="165"/>
      <c r="BP168" s="165"/>
      <c r="BQ168" s="165"/>
      <c r="BR168" s="165"/>
      <c r="BS168" s="165"/>
      <c r="BT168" s="165"/>
      <c r="BU168" s="165"/>
      <c r="BV168" s="165"/>
      <c r="BW168" s="165"/>
      <c r="BX168" s="165"/>
      <c r="BY168" s="165"/>
      <c r="BZ168" s="165"/>
      <c r="CA168" s="165"/>
      <c r="CB168" s="165"/>
      <c r="CC168" s="165"/>
      <c r="CD168" s="165"/>
      <c r="CE168" s="165"/>
      <c r="CF168" s="165"/>
      <c r="CG168" s="165"/>
      <c r="CH168" s="165"/>
      <c r="CI168" s="170"/>
      <c r="CJ168" s="165"/>
      <c r="CK168" s="165"/>
      <c r="CL168" s="165"/>
      <c r="CM168" s="165"/>
      <c r="CN168" s="170"/>
      <c r="CO168" s="165"/>
      <c r="CP168" s="165"/>
      <c r="CQ168" s="165"/>
    </row>
    <row r="169" spans="2:95" outlineLevel="1" x14ac:dyDescent="0.25">
      <c r="B169" s="156" t="str">
        <f>Table1[[#Headers],[Total Testes]]</f>
        <v>Total Testes</v>
      </c>
      <c r="C169" s="154" t="str">
        <f t="shared" si="34"/>
        <v>ENTITY_TXNMY_ELGBL_TRNVR_CE</v>
      </c>
      <c r="D169" s="153" t="s">
        <v>10</v>
      </c>
      <c r="E169" s="155" t="s">
        <v>1423</v>
      </c>
      <c r="G169" s="172">
        <f>INDEX(Table1[[Especificação]:[Total Testes]],MATCH('Sheet1 (2)'!C169,Table1[CONCAT],0),MATCH('Sheet1 (2)'!B169,Table1[[#Headers],[Especificação]:[Total Testes]],0))</f>
        <v>2.5</v>
      </c>
      <c r="H169" s="191">
        <f t="shared" si="35"/>
        <v>0.31</v>
      </c>
      <c r="I169" s="193"/>
      <c r="J169" s="170"/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  <c r="AA169" s="165"/>
      <c r="AB169" s="165"/>
      <c r="AC169" s="165"/>
      <c r="AD169" s="165"/>
      <c r="AE169" s="165"/>
      <c r="AF169" s="165"/>
      <c r="AG169" s="165"/>
      <c r="AH169" s="165"/>
      <c r="AI169" s="165"/>
      <c r="AJ169" s="165"/>
      <c r="AK169" s="165"/>
      <c r="AL169" s="165"/>
      <c r="AM169" s="165"/>
      <c r="AN169" s="165"/>
      <c r="AO169" s="165"/>
      <c r="AP169" s="165"/>
      <c r="AQ169" s="165"/>
      <c r="AR169" s="165"/>
      <c r="AS169" s="165"/>
      <c r="AT169" s="165"/>
      <c r="AU169" s="165"/>
      <c r="AV169" s="165"/>
      <c r="AW169" s="165"/>
      <c r="AX169" s="165"/>
      <c r="AY169" s="165"/>
      <c r="AZ169" s="165"/>
      <c r="BA169" s="165"/>
      <c r="BB169" s="170"/>
      <c r="BC169" s="165"/>
      <c r="BD169" s="165"/>
      <c r="BE169" s="165"/>
      <c r="BF169" s="165"/>
      <c r="BG169" s="165"/>
      <c r="BH169" s="165"/>
      <c r="BI169" s="165"/>
      <c r="BJ169" s="165"/>
      <c r="BK169" s="165"/>
      <c r="BL169" s="165"/>
      <c r="BM169" s="165"/>
      <c r="BN169" s="165"/>
      <c r="BO169" s="165"/>
      <c r="BP169" s="165"/>
      <c r="BQ169" s="165"/>
      <c r="BR169" s="165"/>
      <c r="BS169" s="165"/>
      <c r="BT169" s="165"/>
      <c r="BU169" s="165"/>
      <c r="BV169" s="165"/>
      <c r="BW169" s="165"/>
      <c r="BX169" s="165"/>
      <c r="BY169" s="165"/>
      <c r="BZ169" s="165"/>
      <c r="CA169" s="165"/>
      <c r="CB169" s="165"/>
      <c r="CC169" s="165"/>
      <c r="CD169" s="165"/>
      <c r="CE169" s="165"/>
      <c r="CF169" s="165"/>
      <c r="CG169" s="165"/>
      <c r="CH169" s="165"/>
      <c r="CI169" s="170"/>
      <c r="CJ169" s="165"/>
      <c r="CK169" s="165"/>
      <c r="CL169" s="165"/>
      <c r="CM169" s="165"/>
      <c r="CN169" s="170"/>
      <c r="CO169" s="165"/>
      <c r="CP169" s="165"/>
      <c r="CQ169" s="165"/>
    </row>
    <row r="170" spans="2:95" outlineLevel="1" x14ac:dyDescent="0.25">
      <c r="B170" s="156" t="str">
        <f>Table1[[#Headers],[Total Testes]]</f>
        <v>Total Testes</v>
      </c>
      <c r="C170" s="154" t="str">
        <f t="shared" si="34"/>
        <v>ENTITY_PURE_CAPEX_P</v>
      </c>
      <c r="D170" s="153" t="s">
        <v>10</v>
      </c>
      <c r="E170" s="153" t="s">
        <v>1426</v>
      </c>
      <c r="G170" s="172">
        <f>INDEX(Table1[[Especificação]:[Total Testes]],MATCH('Sheet1 (2)'!C170,Table1[CONCAT],0),MATCH('Sheet1 (2)'!B170,Table1[[#Headers],[Especificação]:[Total Testes]],0))</f>
        <v>2.5</v>
      </c>
      <c r="H170" s="191">
        <f t="shared" si="35"/>
        <v>0.31</v>
      </c>
      <c r="I170" s="193"/>
      <c r="J170" s="170"/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  <c r="AA170" s="165"/>
      <c r="AB170" s="165"/>
      <c r="AC170" s="165"/>
      <c r="AD170" s="165"/>
      <c r="AE170" s="165"/>
      <c r="AF170" s="165"/>
      <c r="AG170" s="165"/>
      <c r="AH170" s="165"/>
      <c r="AI170" s="165"/>
      <c r="AJ170" s="165"/>
      <c r="AK170" s="165"/>
      <c r="AL170" s="165"/>
      <c r="AM170" s="165"/>
      <c r="AN170" s="165"/>
      <c r="AO170" s="165"/>
      <c r="AP170" s="165"/>
      <c r="AQ170" s="165"/>
      <c r="AR170" s="165"/>
      <c r="AS170" s="165"/>
      <c r="AT170" s="165"/>
      <c r="AU170" s="165"/>
      <c r="AV170" s="165"/>
      <c r="AW170" s="165"/>
      <c r="AX170" s="165"/>
      <c r="AY170" s="165"/>
      <c r="AZ170" s="165"/>
      <c r="BA170" s="165"/>
      <c r="BB170" s="170"/>
      <c r="BC170" s="165"/>
      <c r="BD170" s="165"/>
      <c r="BE170" s="165"/>
      <c r="BF170" s="165"/>
      <c r="BG170" s="165"/>
      <c r="BH170" s="165"/>
      <c r="BI170" s="165"/>
      <c r="BJ170" s="165"/>
      <c r="BK170" s="165"/>
      <c r="BL170" s="165"/>
      <c r="BM170" s="165"/>
      <c r="BN170" s="165"/>
      <c r="BO170" s="165"/>
      <c r="BP170" s="165"/>
      <c r="BQ170" s="165"/>
      <c r="BR170" s="165"/>
      <c r="BS170" s="165"/>
      <c r="BT170" s="165"/>
      <c r="BU170" s="165"/>
      <c r="BV170" s="165"/>
      <c r="BW170" s="165"/>
      <c r="BX170" s="165"/>
      <c r="BY170" s="165"/>
      <c r="BZ170" s="165"/>
      <c r="CA170" s="165"/>
      <c r="CB170" s="165"/>
      <c r="CC170" s="165"/>
      <c r="CD170" s="165"/>
      <c r="CE170" s="165"/>
      <c r="CF170" s="165"/>
      <c r="CG170" s="165"/>
      <c r="CH170" s="165"/>
      <c r="CI170" s="170"/>
      <c r="CJ170" s="165"/>
      <c r="CK170" s="165"/>
      <c r="CL170" s="165"/>
      <c r="CM170" s="165"/>
      <c r="CN170" s="170"/>
      <c r="CO170" s="165"/>
      <c r="CP170" s="165"/>
      <c r="CQ170" s="165"/>
    </row>
    <row r="171" spans="2:95" outlineLevel="1" x14ac:dyDescent="0.25">
      <c r="B171" s="156" t="str">
        <f>Table1[[#Headers],[Total Testes]]</f>
        <v>Total Testes</v>
      </c>
      <c r="C171" s="154" t="str">
        <f t="shared" si="34"/>
        <v>ENTITY_PURE_TRNVR_P</v>
      </c>
      <c r="D171" s="153" t="s">
        <v>10</v>
      </c>
      <c r="E171" s="153" t="s">
        <v>1429</v>
      </c>
      <c r="G171" s="172">
        <f>INDEX(Table1[[Especificação]:[Total Testes]],MATCH('Sheet1 (2)'!C171,Table1[CONCAT],0),MATCH('Sheet1 (2)'!B171,Table1[[#Headers],[Especificação]:[Total Testes]],0))</f>
        <v>2.5</v>
      </c>
      <c r="H171" s="191">
        <f t="shared" si="35"/>
        <v>0.31</v>
      </c>
      <c r="I171" s="193"/>
      <c r="J171" s="170"/>
      <c r="K171" s="165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  <c r="AA171" s="165"/>
      <c r="AB171" s="165"/>
      <c r="AC171" s="165"/>
      <c r="AD171" s="165"/>
      <c r="AE171" s="165"/>
      <c r="AF171" s="165"/>
      <c r="AG171" s="165"/>
      <c r="AH171" s="165"/>
      <c r="AI171" s="165"/>
      <c r="AJ171" s="165"/>
      <c r="AK171" s="165"/>
      <c r="AL171" s="165"/>
      <c r="AM171" s="165"/>
      <c r="AN171" s="165"/>
      <c r="AO171" s="165"/>
      <c r="AP171" s="165"/>
      <c r="AQ171" s="165"/>
      <c r="AR171" s="165"/>
      <c r="AS171" s="165"/>
      <c r="AT171" s="165"/>
      <c r="AU171" s="165"/>
      <c r="AV171" s="165"/>
      <c r="AW171" s="165"/>
      <c r="AX171" s="165"/>
      <c r="AY171" s="165"/>
      <c r="AZ171" s="165"/>
      <c r="BA171" s="165"/>
      <c r="BB171" s="170"/>
      <c r="BC171" s="165"/>
      <c r="BD171" s="165"/>
      <c r="BE171" s="165"/>
      <c r="BF171" s="165"/>
      <c r="BG171" s="165"/>
      <c r="BH171" s="165"/>
      <c r="BI171" s="165"/>
      <c r="BJ171" s="165"/>
      <c r="BK171" s="165"/>
      <c r="BL171" s="165"/>
      <c r="BM171" s="165"/>
      <c r="BN171" s="165"/>
      <c r="BO171" s="165"/>
      <c r="BP171" s="165"/>
      <c r="BQ171" s="165"/>
      <c r="BR171" s="165"/>
      <c r="BS171" s="165"/>
      <c r="BT171" s="165"/>
      <c r="BU171" s="165"/>
      <c r="BV171" s="165"/>
      <c r="BW171" s="165"/>
      <c r="BX171" s="165"/>
      <c r="BY171" s="165"/>
      <c r="BZ171" s="165"/>
      <c r="CA171" s="165"/>
      <c r="CB171" s="165"/>
      <c r="CC171" s="165"/>
      <c r="CD171" s="165"/>
      <c r="CE171" s="165"/>
      <c r="CF171" s="165"/>
      <c r="CG171" s="165"/>
      <c r="CH171" s="165"/>
      <c r="CI171" s="170"/>
      <c r="CJ171" s="165"/>
      <c r="CK171" s="165"/>
      <c r="CL171" s="165"/>
      <c r="CM171" s="165"/>
      <c r="CN171" s="170"/>
      <c r="CO171" s="165"/>
      <c r="CP171" s="165"/>
      <c r="CQ171" s="165"/>
    </row>
    <row r="172" spans="2:95" outlineLevel="1" x14ac:dyDescent="0.25">
      <c r="B172" s="156" t="str">
        <f>Table1[[#Headers],[Total Testes]]</f>
        <v>Total Testes</v>
      </c>
      <c r="C172" s="154" t="str">
        <f t="shared" si="34"/>
        <v>ENTITY_PURE_CAPEX_B</v>
      </c>
      <c r="D172" s="153" t="s">
        <v>10</v>
      </c>
      <c r="E172" s="153" t="s">
        <v>1432</v>
      </c>
      <c r="G172" s="172">
        <f>INDEX(Table1[[Especificação]:[Total Testes]],MATCH('Sheet1 (2)'!C172,Table1[CONCAT],0),MATCH('Sheet1 (2)'!B172,Table1[[#Headers],[Especificação]:[Total Testes]],0))</f>
        <v>2.5</v>
      </c>
      <c r="H172" s="191">
        <f t="shared" si="35"/>
        <v>0.31</v>
      </c>
      <c r="I172" s="193"/>
      <c r="J172" s="170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5"/>
      <c r="AH172" s="165"/>
      <c r="AI172" s="165"/>
      <c r="AJ172" s="165"/>
      <c r="AK172" s="165"/>
      <c r="AL172" s="165"/>
      <c r="AM172" s="165"/>
      <c r="AN172" s="165"/>
      <c r="AO172" s="165"/>
      <c r="AP172" s="165"/>
      <c r="AQ172" s="165"/>
      <c r="AR172" s="165"/>
      <c r="AS172" s="165"/>
      <c r="AT172" s="165"/>
      <c r="AU172" s="165"/>
      <c r="AV172" s="165"/>
      <c r="AW172" s="165"/>
      <c r="AX172" s="165"/>
      <c r="AY172" s="165"/>
      <c r="AZ172" s="165"/>
      <c r="BA172" s="165"/>
      <c r="BB172" s="170"/>
      <c r="BC172" s="165"/>
      <c r="BD172" s="165"/>
      <c r="BE172" s="165"/>
      <c r="BF172" s="165"/>
      <c r="BG172" s="165"/>
      <c r="BH172" s="165"/>
      <c r="BI172" s="165"/>
      <c r="BJ172" s="165"/>
      <c r="BK172" s="165"/>
      <c r="BL172" s="165"/>
      <c r="BM172" s="165"/>
      <c r="BN172" s="165"/>
      <c r="BO172" s="165"/>
      <c r="BP172" s="165"/>
      <c r="BQ172" s="165"/>
      <c r="BR172" s="165"/>
      <c r="BS172" s="165"/>
      <c r="BT172" s="165"/>
      <c r="BU172" s="165"/>
      <c r="BV172" s="165"/>
      <c r="BW172" s="165"/>
      <c r="BX172" s="165"/>
      <c r="BY172" s="165"/>
      <c r="BZ172" s="165"/>
      <c r="CA172" s="165"/>
      <c r="CB172" s="165"/>
      <c r="CC172" s="165"/>
      <c r="CD172" s="165"/>
      <c r="CE172" s="165"/>
      <c r="CF172" s="165"/>
      <c r="CG172" s="165"/>
      <c r="CH172" s="165"/>
      <c r="CI172" s="170"/>
      <c r="CJ172" s="165"/>
      <c r="CK172" s="165"/>
      <c r="CL172" s="165"/>
      <c r="CM172" s="165"/>
      <c r="CN172" s="170"/>
      <c r="CO172" s="165"/>
      <c r="CP172" s="165"/>
      <c r="CQ172" s="165"/>
    </row>
    <row r="173" spans="2:95" outlineLevel="1" x14ac:dyDescent="0.25">
      <c r="B173" s="156" t="str">
        <f>Table1[[#Headers],[Total Testes]]</f>
        <v>Total Testes</v>
      </c>
      <c r="C173" s="154" t="str">
        <f t="shared" si="34"/>
        <v>ENTITY_PURE_TRNVR_B</v>
      </c>
      <c r="D173" s="153" t="s">
        <v>10</v>
      </c>
      <c r="E173" s="153" t="s">
        <v>1435</v>
      </c>
      <c r="G173" s="172">
        <f>INDEX(Table1[[Especificação]:[Total Testes]],MATCH('Sheet1 (2)'!C173,Table1[CONCAT],0),MATCH('Sheet1 (2)'!B173,Table1[[#Headers],[Especificação]:[Total Testes]],0))</f>
        <v>2.5</v>
      </c>
      <c r="H173" s="191">
        <f t="shared" si="35"/>
        <v>0.31</v>
      </c>
      <c r="I173" s="193"/>
      <c r="J173" s="170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5"/>
      <c r="AH173" s="165"/>
      <c r="AI173" s="165"/>
      <c r="AJ173" s="165"/>
      <c r="AK173" s="165"/>
      <c r="AL173" s="165"/>
      <c r="AM173" s="165"/>
      <c r="AN173" s="165"/>
      <c r="AO173" s="165"/>
      <c r="AP173" s="165"/>
      <c r="AQ173" s="165"/>
      <c r="AR173" s="165"/>
      <c r="AS173" s="165"/>
      <c r="AT173" s="165"/>
      <c r="AU173" s="165"/>
      <c r="AV173" s="165"/>
      <c r="AW173" s="165"/>
      <c r="AX173" s="165"/>
      <c r="AY173" s="165"/>
      <c r="AZ173" s="165"/>
      <c r="BA173" s="165"/>
      <c r="BB173" s="170"/>
      <c r="BC173" s="165"/>
      <c r="BD173" s="165"/>
      <c r="BE173" s="165"/>
      <c r="BF173" s="165"/>
      <c r="BG173" s="165"/>
      <c r="BH173" s="165"/>
      <c r="BI173" s="165"/>
      <c r="BJ173" s="165"/>
      <c r="BK173" s="165"/>
      <c r="BL173" s="165"/>
      <c r="BM173" s="165"/>
      <c r="BN173" s="165"/>
      <c r="BO173" s="165"/>
      <c r="BP173" s="165"/>
      <c r="BQ173" s="165"/>
      <c r="BR173" s="165"/>
      <c r="BS173" s="165"/>
      <c r="BT173" s="165"/>
      <c r="BU173" s="165"/>
      <c r="BV173" s="165"/>
      <c r="BW173" s="165"/>
      <c r="BX173" s="165"/>
      <c r="BY173" s="165"/>
      <c r="BZ173" s="165"/>
      <c r="CA173" s="165"/>
      <c r="CB173" s="165"/>
      <c r="CC173" s="165"/>
      <c r="CD173" s="165"/>
      <c r="CE173" s="165"/>
      <c r="CF173" s="165"/>
      <c r="CG173" s="165"/>
      <c r="CH173" s="165"/>
      <c r="CI173" s="170"/>
      <c r="CJ173" s="165"/>
      <c r="CK173" s="165"/>
      <c r="CL173" s="165"/>
      <c r="CM173" s="165"/>
      <c r="CN173" s="170"/>
      <c r="CO173" s="165"/>
      <c r="CP173" s="165"/>
      <c r="CQ173" s="165"/>
    </row>
    <row r="174" spans="2:95" outlineLevel="1" x14ac:dyDescent="0.25">
      <c r="B174" s="156" t="str">
        <f>Table1[[#Headers],[Total Testes]]</f>
        <v>Total Testes</v>
      </c>
      <c r="C174" s="154" t="str">
        <f t="shared" si="34"/>
        <v>ENTITY_PURE_CAPEX_W</v>
      </c>
      <c r="D174" s="153" t="s">
        <v>10</v>
      </c>
      <c r="E174" s="153" t="s">
        <v>1438</v>
      </c>
      <c r="G174" s="172">
        <f>INDEX(Table1[[Especificação]:[Total Testes]],MATCH('Sheet1 (2)'!C174,Table1[CONCAT],0),MATCH('Sheet1 (2)'!B174,Table1[[#Headers],[Especificação]:[Total Testes]],0))</f>
        <v>2.5</v>
      </c>
      <c r="H174" s="191">
        <f t="shared" si="35"/>
        <v>0.31</v>
      </c>
      <c r="I174" s="193"/>
      <c r="J174" s="170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5"/>
      <c r="AH174" s="165"/>
      <c r="AI174" s="165"/>
      <c r="AJ174" s="165"/>
      <c r="AK174" s="165"/>
      <c r="AL174" s="165"/>
      <c r="AM174" s="165"/>
      <c r="AN174" s="165"/>
      <c r="AO174" s="165"/>
      <c r="AP174" s="165"/>
      <c r="AQ174" s="165"/>
      <c r="AR174" s="165"/>
      <c r="AS174" s="165"/>
      <c r="AT174" s="165"/>
      <c r="AU174" s="165"/>
      <c r="AV174" s="165"/>
      <c r="AW174" s="165"/>
      <c r="AX174" s="165"/>
      <c r="AY174" s="165"/>
      <c r="AZ174" s="165"/>
      <c r="BA174" s="165"/>
      <c r="BB174" s="170"/>
      <c r="BC174" s="165"/>
      <c r="BD174" s="165"/>
      <c r="BE174" s="165"/>
      <c r="BF174" s="165"/>
      <c r="BG174" s="165"/>
      <c r="BH174" s="165"/>
      <c r="BI174" s="165"/>
      <c r="BJ174" s="165"/>
      <c r="BK174" s="165"/>
      <c r="BL174" s="165"/>
      <c r="BM174" s="165"/>
      <c r="BN174" s="165"/>
      <c r="BO174" s="165"/>
      <c r="BP174" s="165"/>
      <c r="BQ174" s="165"/>
      <c r="BR174" s="165"/>
      <c r="BS174" s="165"/>
      <c r="BT174" s="165"/>
      <c r="BU174" s="165"/>
      <c r="BV174" s="165"/>
      <c r="BW174" s="165"/>
      <c r="BX174" s="165"/>
      <c r="BY174" s="165"/>
      <c r="BZ174" s="165"/>
      <c r="CA174" s="165"/>
      <c r="CB174" s="165"/>
      <c r="CC174" s="165"/>
      <c r="CD174" s="165"/>
      <c r="CE174" s="165"/>
      <c r="CF174" s="165"/>
      <c r="CG174" s="165"/>
      <c r="CH174" s="165"/>
      <c r="CI174" s="170"/>
      <c r="CJ174" s="165"/>
      <c r="CK174" s="165"/>
      <c r="CL174" s="165"/>
      <c r="CM174" s="165"/>
      <c r="CN174" s="170"/>
      <c r="CO174" s="165"/>
      <c r="CP174" s="165"/>
      <c r="CQ174" s="165"/>
    </row>
    <row r="175" spans="2:95" outlineLevel="1" x14ac:dyDescent="0.25">
      <c r="B175" s="156" t="str">
        <f>Table1[[#Headers],[Total Testes]]</f>
        <v>Total Testes</v>
      </c>
      <c r="C175" s="154" t="str">
        <f t="shared" si="34"/>
        <v>ENTITY_PURE_TRNVR_W</v>
      </c>
      <c r="D175" s="153" t="s">
        <v>10</v>
      </c>
      <c r="E175" s="153" t="s">
        <v>1441</v>
      </c>
      <c r="G175" s="172">
        <f>INDEX(Table1[[Especificação]:[Total Testes]],MATCH('Sheet1 (2)'!C175,Table1[CONCAT],0),MATCH('Sheet1 (2)'!B175,Table1[[#Headers],[Especificação]:[Total Testes]],0))</f>
        <v>2.5</v>
      </c>
      <c r="H175" s="191">
        <f t="shared" si="35"/>
        <v>0.31</v>
      </c>
      <c r="I175" s="193"/>
      <c r="J175" s="170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5"/>
      <c r="AH175" s="165"/>
      <c r="AI175" s="165"/>
      <c r="AJ175" s="165"/>
      <c r="AK175" s="165"/>
      <c r="AL175" s="165"/>
      <c r="AM175" s="165"/>
      <c r="AN175" s="165"/>
      <c r="AO175" s="165"/>
      <c r="AP175" s="165"/>
      <c r="AQ175" s="165"/>
      <c r="AR175" s="165"/>
      <c r="AS175" s="165"/>
      <c r="AT175" s="165"/>
      <c r="AU175" s="165"/>
      <c r="AV175" s="165"/>
      <c r="AW175" s="165"/>
      <c r="AX175" s="165"/>
      <c r="AY175" s="165"/>
      <c r="AZ175" s="165"/>
      <c r="BA175" s="165"/>
      <c r="BB175" s="170"/>
      <c r="BC175" s="165"/>
      <c r="BD175" s="165"/>
      <c r="BE175" s="165"/>
      <c r="BF175" s="165"/>
      <c r="BG175" s="165"/>
      <c r="BH175" s="165"/>
      <c r="BI175" s="165"/>
      <c r="BJ175" s="165"/>
      <c r="BK175" s="165"/>
      <c r="BL175" s="165"/>
      <c r="BM175" s="165"/>
      <c r="BN175" s="165"/>
      <c r="BO175" s="165"/>
      <c r="BP175" s="165"/>
      <c r="BQ175" s="165"/>
      <c r="BR175" s="165"/>
      <c r="BS175" s="165"/>
      <c r="BT175" s="165"/>
      <c r="BU175" s="165"/>
      <c r="BV175" s="165"/>
      <c r="BW175" s="165"/>
      <c r="BX175" s="165"/>
      <c r="BY175" s="165"/>
      <c r="BZ175" s="165"/>
      <c r="CA175" s="165"/>
      <c r="CB175" s="165"/>
      <c r="CC175" s="165"/>
      <c r="CD175" s="165"/>
      <c r="CE175" s="165"/>
      <c r="CF175" s="165"/>
      <c r="CG175" s="165"/>
      <c r="CH175" s="165"/>
      <c r="CI175" s="170"/>
      <c r="CJ175" s="165"/>
      <c r="CK175" s="165"/>
      <c r="CL175" s="165"/>
      <c r="CM175" s="165"/>
      <c r="CN175" s="170"/>
      <c r="CO175" s="165"/>
      <c r="CP175" s="165"/>
      <c r="CQ175" s="165"/>
    </row>
    <row r="176" spans="2:95" outlineLevel="1" x14ac:dyDescent="0.25">
      <c r="B176" s="156" t="str">
        <f>Table1[[#Headers],[Total Testes]]</f>
        <v>Total Testes</v>
      </c>
      <c r="C176" s="154" t="str">
        <f t="shared" si="34"/>
        <v>ENTITY_PURE_CAPEX_CE</v>
      </c>
      <c r="D176" s="153" t="s">
        <v>10</v>
      </c>
      <c r="E176" s="153" t="s">
        <v>1444</v>
      </c>
      <c r="G176" s="172">
        <f>INDEX(Table1[[Especificação]:[Total Testes]],MATCH('Sheet1 (2)'!C176,Table1[CONCAT],0),MATCH('Sheet1 (2)'!B176,Table1[[#Headers],[Especificação]:[Total Testes]],0))</f>
        <v>2.5</v>
      </c>
      <c r="H176" s="191">
        <f t="shared" si="35"/>
        <v>0.31</v>
      </c>
      <c r="I176" s="193"/>
      <c r="J176" s="170"/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5"/>
      <c r="AH176" s="165"/>
      <c r="AI176" s="165"/>
      <c r="AJ176" s="165"/>
      <c r="AK176" s="165"/>
      <c r="AL176" s="165"/>
      <c r="AM176" s="165"/>
      <c r="AN176" s="165"/>
      <c r="AO176" s="165"/>
      <c r="AP176" s="165"/>
      <c r="AQ176" s="165"/>
      <c r="AR176" s="165"/>
      <c r="AS176" s="165"/>
      <c r="AT176" s="165"/>
      <c r="AU176" s="165"/>
      <c r="AV176" s="165"/>
      <c r="AW176" s="165"/>
      <c r="AX176" s="165"/>
      <c r="AY176" s="165"/>
      <c r="AZ176" s="165"/>
      <c r="BA176" s="165"/>
      <c r="BB176" s="170"/>
      <c r="BC176" s="165"/>
      <c r="BD176" s="165"/>
      <c r="BE176" s="165"/>
      <c r="BF176" s="165"/>
      <c r="BG176" s="165"/>
      <c r="BH176" s="165"/>
      <c r="BI176" s="165"/>
      <c r="BJ176" s="165"/>
      <c r="BK176" s="165"/>
      <c r="BL176" s="165"/>
      <c r="BM176" s="165"/>
      <c r="BN176" s="165"/>
      <c r="BO176" s="165"/>
      <c r="BP176" s="165"/>
      <c r="BQ176" s="165"/>
      <c r="BR176" s="165"/>
      <c r="BS176" s="165"/>
      <c r="BT176" s="165"/>
      <c r="BU176" s="165"/>
      <c r="BV176" s="165"/>
      <c r="BW176" s="165"/>
      <c r="BX176" s="165"/>
      <c r="BY176" s="165"/>
      <c r="BZ176" s="165"/>
      <c r="CA176" s="165"/>
      <c r="CB176" s="165"/>
      <c r="CC176" s="165"/>
      <c r="CD176" s="165"/>
      <c r="CE176" s="165"/>
      <c r="CF176" s="165"/>
      <c r="CG176" s="165"/>
      <c r="CH176" s="165"/>
      <c r="CI176" s="170"/>
      <c r="CJ176" s="165"/>
      <c r="CK176" s="165"/>
      <c r="CL176" s="165"/>
      <c r="CM176" s="165"/>
      <c r="CN176" s="170"/>
      <c r="CO176" s="165"/>
      <c r="CP176" s="165"/>
      <c r="CQ176" s="165"/>
    </row>
    <row r="177" spans="2:95" outlineLevel="1" x14ac:dyDescent="0.25">
      <c r="B177" s="156" t="str">
        <f>Table1[[#Headers],[Total Testes]]</f>
        <v>Total Testes</v>
      </c>
      <c r="C177" s="154" t="str">
        <f t="shared" si="34"/>
        <v>ENTITY_PURE_TRNVR_CE</v>
      </c>
      <c r="D177" s="153" t="s">
        <v>10</v>
      </c>
      <c r="E177" s="153" t="s">
        <v>1447</v>
      </c>
      <c r="G177" s="172">
        <f>INDEX(Table1[[Especificação]:[Total Testes]],MATCH('Sheet1 (2)'!C177,Table1[CONCAT],0),MATCH('Sheet1 (2)'!B177,Table1[[#Headers],[Especificação]:[Total Testes]],0))</f>
        <v>2.5</v>
      </c>
      <c r="H177" s="191">
        <f t="shared" si="35"/>
        <v>0.31</v>
      </c>
      <c r="I177" s="193"/>
      <c r="J177" s="170"/>
      <c r="K177" s="165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5"/>
      <c r="AH177" s="165"/>
      <c r="AI177" s="165"/>
      <c r="AJ177" s="165"/>
      <c r="AK177" s="165"/>
      <c r="AL177" s="165"/>
      <c r="AM177" s="165"/>
      <c r="AN177" s="165"/>
      <c r="AO177" s="165"/>
      <c r="AP177" s="165"/>
      <c r="AQ177" s="165"/>
      <c r="AR177" s="165"/>
      <c r="AS177" s="165"/>
      <c r="AT177" s="165"/>
      <c r="AU177" s="165"/>
      <c r="AV177" s="165"/>
      <c r="AW177" s="165"/>
      <c r="AX177" s="165"/>
      <c r="AY177" s="165"/>
      <c r="AZ177" s="165"/>
      <c r="BA177" s="165"/>
      <c r="BB177" s="170"/>
      <c r="BC177" s="165"/>
      <c r="BD177" s="165"/>
      <c r="BE177" s="165"/>
      <c r="BF177" s="165"/>
      <c r="BG177" s="165"/>
      <c r="BH177" s="165"/>
      <c r="BI177" s="165"/>
      <c r="BJ177" s="165"/>
      <c r="BK177" s="165"/>
      <c r="BL177" s="165"/>
      <c r="BM177" s="165"/>
      <c r="BN177" s="165"/>
      <c r="BO177" s="165"/>
      <c r="BP177" s="165"/>
      <c r="BQ177" s="165"/>
      <c r="BR177" s="165"/>
      <c r="BS177" s="165"/>
      <c r="BT177" s="165"/>
      <c r="BU177" s="165"/>
      <c r="BV177" s="165"/>
      <c r="BW177" s="165"/>
      <c r="BX177" s="165"/>
      <c r="BY177" s="165"/>
      <c r="BZ177" s="165"/>
      <c r="CA177" s="165"/>
      <c r="CB177" s="165"/>
      <c r="CC177" s="165"/>
      <c r="CD177" s="165"/>
      <c r="CE177" s="165"/>
      <c r="CF177" s="165"/>
      <c r="CG177" s="165"/>
      <c r="CH177" s="165"/>
      <c r="CI177" s="170"/>
      <c r="CJ177" s="165"/>
      <c r="CK177" s="165"/>
      <c r="CL177" s="165"/>
      <c r="CM177" s="165"/>
      <c r="CN177" s="170"/>
      <c r="CO177" s="165"/>
      <c r="CP177" s="165"/>
      <c r="CQ177" s="165"/>
    </row>
    <row r="178" spans="2:95" outlineLevel="1" x14ac:dyDescent="0.25">
      <c r="B178" s="156" t="str">
        <f>Table1[[#Headers],[Total Testes]]</f>
        <v>Total Testes</v>
      </c>
      <c r="C178" s="154" t="str">
        <f t="shared" si="34"/>
        <v>ENTITY_ENBLNG_CAPEX_W</v>
      </c>
      <c r="D178" s="153" t="s">
        <v>10</v>
      </c>
      <c r="E178" s="153" t="s">
        <v>1450</v>
      </c>
      <c r="G178" s="172">
        <f>INDEX(Table1[[Especificação]:[Total Testes]],MATCH('Sheet1 (2)'!C178,Table1[CONCAT],0),MATCH('Sheet1 (2)'!B178,Table1[[#Headers],[Especificação]:[Total Testes]],0))</f>
        <v>2.5</v>
      </c>
      <c r="H178" s="191">
        <f t="shared" si="35"/>
        <v>0.31</v>
      </c>
      <c r="I178" s="193"/>
      <c r="J178" s="170"/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5"/>
      <c r="AH178" s="165"/>
      <c r="AI178" s="165"/>
      <c r="AJ178" s="165"/>
      <c r="AK178" s="165"/>
      <c r="AL178" s="165"/>
      <c r="AM178" s="165"/>
      <c r="AN178" s="165"/>
      <c r="AO178" s="165"/>
      <c r="AP178" s="165"/>
      <c r="AQ178" s="165"/>
      <c r="AR178" s="165"/>
      <c r="AS178" s="165"/>
      <c r="AT178" s="165"/>
      <c r="AU178" s="165"/>
      <c r="AV178" s="165"/>
      <c r="AW178" s="165"/>
      <c r="AX178" s="165"/>
      <c r="AY178" s="165"/>
      <c r="AZ178" s="165"/>
      <c r="BA178" s="165"/>
      <c r="BB178" s="170"/>
      <c r="BC178" s="165"/>
      <c r="BD178" s="165"/>
      <c r="BE178" s="165"/>
      <c r="BF178" s="165"/>
      <c r="BG178" s="165"/>
      <c r="BH178" s="165"/>
      <c r="BI178" s="165"/>
      <c r="BJ178" s="165"/>
      <c r="BK178" s="165"/>
      <c r="BL178" s="165"/>
      <c r="BM178" s="165"/>
      <c r="BN178" s="165"/>
      <c r="BO178" s="165"/>
      <c r="BP178" s="165"/>
      <c r="BQ178" s="165"/>
      <c r="BR178" s="165"/>
      <c r="BS178" s="165"/>
      <c r="BT178" s="165"/>
      <c r="BU178" s="165"/>
      <c r="BV178" s="165"/>
      <c r="BW178" s="165"/>
      <c r="BX178" s="165"/>
      <c r="BY178" s="165"/>
      <c r="BZ178" s="165"/>
      <c r="CA178" s="165"/>
      <c r="CB178" s="165"/>
      <c r="CC178" s="165"/>
      <c r="CD178" s="165"/>
      <c r="CE178" s="165"/>
      <c r="CF178" s="165"/>
      <c r="CG178" s="165"/>
      <c r="CH178" s="165"/>
      <c r="CI178" s="170"/>
      <c r="CJ178" s="165"/>
      <c r="CK178" s="165"/>
      <c r="CL178" s="165"/>
      <c r="CM178" s="165"/>
      <c r="CN178" s="170"/>
      <c r="CO178" s="165"/>
      <c r="CP178" s="165"/>
      <c r="CQ178" s="165"/>
    </row>
    <row r="179" spans="2:95" outlineLevel="1" x14ac:dyDescent="0.25">
      <c r="B179" s="156" t="str">
        <f>Table1[[#Headers],[Total Testes]]</f>
        <v>Total Testes</v>
      </c>
      <c r="C179" s="154" t="str">
        <f t="shared" si="34"/>
        <v>ENTITY_ENBLNG_TRNVR_W</v>
      </c>
      <c r="D179" s="153" t="s">
        <v>10</v>
      </c>
      <c r="E179" s="153" t="s">
        <v>1453</v>
      </c>
      <c r="G179" s="172">
        <f>INDEX(Table1[[Especificação]:[Total Testes]],MATCH('Sheet1 (2)'!C179,Table1[CONCAT],0),MATCH('Sheet1 (2)'!B179,Table1[[#Headers],[Especificação]:[Total Testes]],0))</f>
        <v>2.5</v>
      </c>
      <c r="H179" s="191">
        <f t="shared" si="35"/>
        <v>0.31</v>
      </c>
      <c r="I179" s="193"/>
      <c r="J179" s="170"/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5"/>
      <c r="AH179" s="165"/>
      <c r="AI179" s="165"/>
      <c r="AJ179" s="165"/>
      <c r="AK179" s="165"/>
      <c r="AL179" s="165"/>
      <c r="AM179" s="165"/>
      <c r="AN179" s="165"/>
      <c r="AO179" s="165"/>
      <c r="AP179" s="165"/>
      <c r="AQ179" s="165"/>
      <c r="AR179" s="165"/>
      <c r="AS179" s="165"/>
      <c r="AT179" s="165"/>
      <c r="AU179" s="165"/>
      <c r="AV179" s="165"/>
      <c r="AW179" s="165"/>
      <c r="AX179" s="165"/>
      <c r="AY179" s="165"/>
      <c r="AZ179" s="165"/>
      <c r="BA179" s="165"/>
      <c r="BB179" s="170"/>
      <c r="BC179" s="165"/>
      <c r="BD179" s="165"/>
      <c r="BE179" s="165"/>
      <c r="BF179" s="165"/>
      <c r="BG179" s="165"/>
      <c r="BH179" s="165"/>
      <c r="BI179" s="165"/>
      <c r="BJ179" s="165"/>
      <c r="BK179" s="165"/>
      <c r="BL179" s="165"/>
      <c r="BM179" s="165"/>
      <c r="BN179" s="165"/>
      <c r="BO179" s="165"/>
      <c r="BP179" s="165"/>
      <c r="BQ179" s="165"/>
      <c r="BR179" s="165"/>
      <c r="BS179" s="165"/>
      <c r="BT179" s="165"/>
      <c r="BU179" s="165"/>
      <c r="BV179" s="165"/>
      <c r="BW179" s="165"/>
      <c r="BX179" s="165"/>
      <c r="BY179" s="165"/>
      <c r="BZ179" s="165"/>
      <c r="CA179" s="165"/>
      <c r="CB179" s="165"/>
      <c r="CC179" s="165"/>
      <c r="CD179" s="165"/>
      <c r="CE179" s="165"/>
      <c r="CF179" s="165"/>
      <c r="CG179" s="165"/>
      <c r="CH179" s="165"/>
      <c r="CI179" s="170"/>
      <c r="CJ179" s="165"/>
      <c r="CK179" s="165"/>
      <c r="CL179" s="165"/>
      <c r="CM179" s="165"/>
      <c r="CN179" s="170"/>
      <c r="CO179" s="165"/>
      <c r="CP179" s="165"/>
      <c r="CQ179" s="165"/>
    </row>
    <row r="180" spans="2:95" outlineLevel="1" x14ac:dyDescent="0.25">
      <c r="B180" s="156" t="str">
        <f>Table1[[#Headers],[Total Testes]]</f>
        <v>Total Testes</v>
      </c>
      <c r="C180" s="154" t="str">
        <f t="shared" si="34"/>
        <v>ENTITY_ENBLNG_CAPEX_CE</v>
      </c>
      <c r="D180" s="153" t="s">
        <v>10</v>
      </c>
      <c r="E180" s="153" t="s">
        <v>1456</v>
      </c>
      <c r="G180" s="172">
        <f>INDEX(Table1[[Especificação]:[Total Testes]],MATCH('Sheet1 (2)'!C180,Table1[CONCAT],0),MATCH('Sheet1 (2)'!B180,Table1[[#Headers],[Especificação]:[Total Testes]],0))</f>
        <v>2.5</v>
      </c>
      <c r="H180" s="191">
        <f t="shared" si="35"/>
        <v>0.31</v>
      </c>
      <c r="I180" s="193"/>
      <c r="J180" s="170"/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  <c r="AA180" s="165"/>
      <c r="AB180" s="165"/>
      <c r="AC180" s="165"/>
      <c r="AD180" s="165"/>
      <c r="AE180" s="165"/>
      <c r="AF180" s="165"/>
      <c r="AG180" s="165"/>
      <c r="AH180" s="165"/>
      <c r="AI180" s="165"/>
      <c r="AJ180" s="165"/>
      <c r="AK180" s="165"/>
      <c r="AL180" s="165"/>
      <c r="AM180" s="165"/>
      <c r="AN180" s="165"/>
      <c r="AO180" s="165"/>
      <c r="AP180" s="165"/>
      <c r="AQ180" s="165"/>
      <c r="AR180" s="165"/>
      <c r="AS180" s="165"/>
      <c r="AT180" s="165"/>
      <c r="AU180" s="165"/>
      <c r="AV180" s="165"/>
      <c r="AW180" s="165"/>
      <c r="AX180" s="165"/>
      <c r="AY180" s="165"/>
      <c r="AZ180" s="165"/>
      <c r="BA180" s="165"/>
      <c r="BB180" s="170"/>
      <c r="BC180" s="165"/>
      <c r="BD180" s="165"/>
      <c r="BE180" s="165"/>
      <c r="BF180" s="165"/>
      <c r="BG180" s="165"/>
      <c r="BH180" s="165"/>
      <c r="BI180" s="165"/>
      <c r="BJ180" s="165"/>
      <c r="BK180" s="165"/>
      <c r="BL180" s="165"/>
      <c r="BM180" s="165"/>
      <c r="BN180" s="165"/>
      <c r="BO180" s="165"/>
      <c r="BP180" s="165"/>
      <c r="BQ180" s="165"/>
      <c r="BR180" s="165"/>
      <c r="BS180" s="165"/>
      <c r="BT180" s="165"/>
      <c r="BU180" s="165"/>
      <c r="BV180" s="165"/>
      <c r="BW180" s="165"/>
      <c r="BX180" s="165"/>
      <c r="BY180" s="165"/>
      <c r="BZ180" s="165"/>
      <c r="CA180" s="165"/>
      <c r="CB180" s="165"/>
      <c r="CC180" s="165"/>
      <c r="CD180" s="165"/>
      <c r="CE180" s="165"/>
      <c r="CF180" s="165"/>
      <c r="CG180" s="165"/>
      <c r="CH180" s="165"/>
      <c r="CI180" s="170"/>
      <c r="CJ180" s="165"/>
      <c r="CK180" s="165"/>
      <c r="CL180" s="165"/>
      <c r="CM180" s="165"/>
      <c r="CN180" s="170"/>
      <c r="CO180" s="165"/>
      <c r="CP180" s="165"/>
      <c r="CQ180" s="165"/>
    </row>
    <row r="181" spans="2:95" outlineLevel="1" x14ac:dyDescent="0.25">
      <c r="B181" s="156" t="str">
        <f>Table1[[#Headers],[Total Testes]]</f>
        <v>Total Testes</v>
      </c>
      <c r="C181" s="154" t="str">
        <f t="shared" si="34"/>
        <v>ENTITY_ENBLNG_TRNVR_CE</v>
      </c>
      <c r="D181" s="153" t="s">
        <v>10</v>
      </c>
      <c r="E181" s="153" t="s">
        <v>1459</v>
      </c>
      <c r="G181" s="172">
        <f>INDEX(Table1[[Especificação]:[Total Testes]],MATCH('Sheet1 (2)'!C181,Table1[CONCAT],0),MATCH('Sheet1 (2)'!B181,Table1[[#Headers],[Especificação]:[Total Testes]],0))</f>
        <v>2.5</v>
      </c>
      <c r="H181" s="191">
        <f t="shared" si="35"/>
        <v>0.31</v>
      </c>
      <c r="I181" s="193"/>
      <c r="J181" s="170"/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  <c r="AA181" s="165"/>
      <c r="AB181" s="165"/>
      <c r="AC181" s="165"/>
      <c r="AD181" s="165"/>
      <c r="AE181" s="165"/>
      <c r="AF181" s="165"/>
      <c r="AG181" s="165"/>
      <c r="AH181" s="165"/>
      <c r="AI181" s="165"/>
      <c r="AJ181" s="165"/>
      <c r="AK181" s="165"/>
      <c r="AL181" s="165"/>
      <c r="AM181" s="165"/>
      <c r="AN181" s="165"/>
      <c r="AO181" s="165"/>
      <c r="AP181" s="165"/>
      <c r="AQ181" s="165"/>
      <c r="AR181" s="165"/>
      <c r="AS181" s="165"/>
      <c r="AT181" s="165"/>
      <c r="AU181" s="165"/>
      <c r="AV181" s="165"/>
      <c r="AW181" s="165"/>
      <c r="AX181" s="165"/>
      <c r="AY181" s="165"/>
      <c r="AZ181" s="165"/>
      <c r="BA181" s="165"/>
      <c r="BB181" s="170"/>
      <c r="BC181" s="165"/>
      <c r="BD181" s="165"/>
      <c r="BE181" s="165"/>
      <c r="BF181" s="165"/>
      <c r="BG181" s="165"/>
      <c r="BH181" s="165"/>
      <c r="BI181" s="165"/>
      <c r="BJ181" s="165"/>
      <c r="BK181" s="165"/>
      <c r="BL181" s="165"/>
      <c r="BM181" s="165"/>
      <c r="BN181" s="165"/>
      <c r="BO181" s="165"/>
      <c r="BP181" s="165"/>
      <c r="BQ181" s="165"/>
      <c r="BR181" s="165"/>
      <c r="BS181" s="165"/>
      <c r="BT181" s="165"/>
      <c r="BU181" s="165"/>
      <c r="BV181" s="165"/>
      <c r="BW181" s="165"/>
      <c r="BX181" s="165"/>
      <c r="BY181" s="165"/>
      <c r="BZ181" s="165"/>
      <c r="CA181" s="165"/>
      <c r="CB181" s="165"/>
      <c r="CC181" s="165"/>
      <c r="CD181" s="165"/>
      <c r="CE181" s="165"/>
      <c r="CF181" s="165"/>
      <c r="CG181" s="165"/>
      <c r="CH181" s="165"/>
      <c r="CI181" s="170"/>
      <c r="CJ181" s="165"/>
      <c r="CK181" s="165"/>
      <c r="CL181" s="165"/>
      <c r="CM181" s="165"/>
      <c r="CN181" s="170"/>
      <c r="CO181" s="165"/>
      <c r="CP181" s="165"/>
      <c r="CQ181" s="165"/>
    </row>
    <row r="182" spans="2:95" outlineLevel="1" x14ac:dyDescent="0.25">
      <c r="B182" s="156" t="str">
        <f>Table1[[#Headers],[Total Testes]]</f>
        <v>Total Testes</v>
      </c>
      <c r="C182" s="154" t="str">
        <f t="shared" si="34"/>
        <v>PROTECTION_PRMRY_ENRGY_DMND_NN_RNWBL</v>
      </c>
      <c r="D182" s="153" t="s">
        <v>1114</v>
      </c>
      <c r="E182" s="153" t="s">
        <v>1521</v>
      </c>
      <c r="G182" s="172">
        <f>INDEX(Table1[[Especificação]:[Total Testes]],MATCH('Sheet1 (2)'!C182,Table1[CONCAT],0),MATCH('Sheet1 (2)'!B182,Table1[[#Headers],[Especificação]:[Total Testes]],0))</f>
        <v>6</v>
      </c>
      <c r="H182" s="191">
        <f t="shared" si="35"/>
        <v>0.75</v>
      </c>
      <c r="I182" s="193"/>
      <c r="J182" s="170"/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  <c r="AA182" s="165"/>
      <c r="AB182" s="165"/>
      <c r="AC182" s="165"/>
      <c r="AD182" s="165"/>
      <c r="AE182" s="165"/>
      <c r="AF182" s="165"/>
      <c r="AG182" s="165"/>
      <c r="AH182" s="165"/>
      <c r="AI182" s="165"/>
      <c r="AJ182" s="165"/>
      <c r="AK182" s="165"/>
      <c r="AL182" s="165"/>
      <c r="AM182" s="165"/>
      <c r="AN182" s="165"/>
      <c r="AO182" s="165"/>
      <c r="AP182" s="165"/>
      <c r="AQ182" s="165"/>
      <c r="AR182" s="165"/>
      <c r="AS182" s="165"/>
      <c r="AT182" s="165"/>
      <c r="AU182" s="165"/>
      <c r="AV182" s="165"/>
      <c r="AW182" s="165"/>
      <c r="AX182" s="165"/>
      <c r="AY182" s="165"/>
      <c r="AZ182" s="165"/>
      <c r="BA182" s="165"/>
      <c r="BB182" s="170"/>
      <c r="BC182" s="165"/>
      <c r="BD182" s="165"/>
      <c r="BE182" s="165"/>
      <c r="BF182" s="165"/>
      <c r="BG182" s="165"/>
      <c r="BH182" s="165"/>
      <c r="BI182" s="165"/>
      <c r="BJ182" s="165"/>
      <c r="BK182" s="165"/>
      <c r="BL182" s="165"/>
      <c r="BM182" s="165"/>
      <c r="BN182" s="165"/>
      <c r="BO182" s="165"/>
      <c r="BP182" s="165"/>
      <c r="BQ182" s="165"/>
      <c r="BR182" s="165"/>
      <c r="BS182" s="165"/>
      <c r="BT182" s="165"/>
      <c r="BU182" s="165"/>
      <c r="BV182" s="165"/>
      <c r="BW182" s="165"/>
      <c r="BX182" s="165"/>
      <c r="BY182" s="165"/>
      <c r="BZ182" s="165"/>
      <c r="CA182" s="165"/>
      <c r="CB182" s="165"/>
      <c r="CC182" s="165"/>
      <c r="CD182" s="165"/>
      <c r="CE182" s="165"/>
      <c r="CF182" s="165"/>
      <c r="CG182" s="165"/>
      <c r="CH182" s="165"/>
      <c r="CI182" s="170"/>
      <c r="CJ182" s="165"/>
      <c r="CK182" s="165"/>
      <c r="CL182" s="165"/>
      <c r="CM182" s="165"/>
      <c r="CN182" s="170"/>
      <c r="CO182" s="165"/>
      <c r="CP182" s="165"/>
      <c r="CQ182" s="165"/>
    </row>
    <row r="183" spans="2:95" outlineLevel="1" x14ac:dyDescent="0.25">
      <c r="B183" s="156" t="str">
        <f>Table1[[#Headers],[Total Testes]]</f>
        <v>Total Testes</v>
      </c>
      <c r="C183" s="154" t="str">
        <f t="shared" si="34"/>
        <v>PROTECTION_PRMRY_ENRGY_DMND_TTL</v>
      </c>
      <c r="D183" s="153" t="s">
        <v>1114</v>
      </c>
      <c r="E183" s="153" t="s">
        <v>1524</v>
      </c>
      <c r="G183" s="172">
        <f>INDEX(Table1[[Especificação]:[Total Testes]],MATCH('Sheet1 (2)'!C183,Table1[CONCAT],0),MATCH('Sheet1 (2)'!B183,Table1[[#Headers],[Especificação]:[Total Testes]],0))</f>
        <v>7.5</v>
      </c>
      <c r="H183" s="191">
        <f t="shared" si="35"/>
        <v>0.94</v>
      </c>
      <c r="I183" s="193"/>
      <c r="J183" s="170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  <c r="AA183" s="165"/>
      <c r="AB183" s="165"/>
      <c r="AC183" s="165"/>
      <c r="AD183" s="165"/>
      <c r="AE183" s="165"/>
      <c r="AF183" s="165"/>
      <c r="AG183" s="165"/>
      <c r="AH183" s="165"/>
      <c r="AI183" s="165"/>
      <c r="AJ183" s="165"/>
      <c r="AK183" s="165"/>
      <c r="AL183" s="165"/>
      <c r="AM183" s="165"/>
      <c r="AN183" s="165"/>
      <c r="AO183" s="165"/>
      <c r="AP183" s="165"/>
      <c r="AQ183" s="165"/>
      <c r="AR183" s="165"/>
      <c r="AS183" s="165"/>
      <c r="AT183" s="165"/>
      <c r="AU183" s="165"/>
      <c r="AV183" s="165"/>
      <c r="AW183" s="165"/>
      <c r="AX183" s="165"/>
      <c r="AY183" s="165"/>
      <c r="AZ183" s="165"/>
      <c r="BA183" s="165"/>
      <c r="BB183" s="170"/>
      <c r="BC183" s="165"/>
      <c r="BD183" s="165"/>
      <c r="BE183" s="165"/>
      <c r="BF183" s="165"/>
      <c r="BG183" s="165"/>
      <c r="BH183" s="165"/>
      <c r="BI183" s="165"/>
      <c r="BJ183" s="165"/>
      <c r="BK183" s="165"/>
      <c r="BL183" s="165"/>
      <c r="BM183" s="165"/>
      <c r="BN183" s="165"/>
      <c r="BO183" s="165"/>
      <c r="BP183" s="165"/>
      <c r="BQ183" s="165"/>
      <c r="BR183" s="165"/>
      <c r="BS183" s="165"/>
      <c r="BT183" s="165"/>
      <c r="BU183" s="165"/>
      <c r="BV183" s="165"/>
      <c r="BW183" s="165"/>
      <c r="BX183" s="165"/>
      <c r="BY183" s="165"/>
      <c r="BZ183" s="165"/>
      <c r="CA183" s="165"/>
      <c r="CB183" s="165"/>
      <c r="CC183" s="165"/>
      <c r="CD183" s="165"/>
      <c r="CE183" s="165"/>
      <c r="CF183" s="165"/>
      <c r="CG183" s="165"/>
      <c r="CH183" s="165"/>
      <c r="CI183" s="170"/>
      <c r="CJ183" s="165"/>
      <c r="CK183" s="165"/>
      <c r="CL183" s="165"/>
      <c r="CM183" s="165"/>
      <c r="CN183" s="170"/>
      <c r="CO183" s="165"/>
      <c r="CP183" s="165"/>
      <c r="CQ183" s="165"/>
    </row>
    <row r="184" spans="2:95" outlineLevel="1" x14ac:dyDescent="0.25">
      <c r="B184" s="156" t="str">
        <f>Table1[[#Headers],[Total Testes]]</f>
        <v>Total Testes</v>
      </c>
      <c r="C184" s="154" t="str">
        <f t="shared" si="34"/>
        <v>PROTECTION_PRMRY_ENRGY_DMND_RFRNC_VL</v>
      </c>
      <c r="D184" s="153" t="s">
        <v>1114</v>
      </c>
      <c r="E184" s="153" t="s">
        <v>1527</v>
      </c>
      <c r="G184" s="172">
        <f>INDEX(Table1[[Especificação]:[Total Testes]],MATCH('Sheet1 (2)'!C184,Table1[CONCAT],0),MATCH('Sheet1 (2)'!B184,Table1[[#Headers],[Especificação]:[Total Testes]],0))</f>
        <v>7.5</v>
      </c>
      <c r="H184" s="191">
        <f t="shared" si="35"/>
        <v>0.94</v>
      </c>
      <c r="I184" s="193"/>
      <c r="J184" s="170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  <c r="AA184" s="165"/>
      <c r="AB184" s="165"/>
      <c r="AC184" s="165"/>
      <c r="AD184" s="165"/>
      <c r="AE184" s="165"/>
      <c r="AF184" s="165"/>
      <c r="AG184" s="165"/>
      <c r="AH184" s="165"/>
      <c r="AI184" s="165"/>
      <c r="AJ184" s="165"/>
      <c r="AK184" s="165"/>
      <c r="AL184" s="165"/>
      <c r="AM184" s="165"/>
      <c r="AN184" s="165"/>
      <c r="AO184" s="165"/>
      <c r="AP184" s="165"/>
      <c r="AQ184" s="165"/>
      <c r="AR184" s="165"/>
      <c r="AS184" s="165"/>
      <c r="AT184" s="165"/>
      <c r="AU184" s="165"/>
      <c r="AV184" s="165"/>
      <c r="AW184" s="165"/>
      <c r="AX184" s="165"/>
      <c r="AY184" s="165"/>
      <c r="AZ184" s="165"/>
      <c r="BA184" s="165"/>
      <c r="BB184" s="170"/>
      <c r="BC184" s="165"/>
      <c r="BD184" s="165"/>
      <c r="BE184" s="165"/>
      <c r="BF184" s="165"/>
      <c r="BG184" s="165"/>
      <c r="BH184" s="165"/>
      <c r="BI184" s="165"/>
      <c r="BJ184" s="165"/>
      <c r="BK184" s="165"/>
      <c r="BL184" s="165"/>
      <c r="BM184" s="165"/>
      <c r="BN184" s="165"/>
      <c r="BO184" s="165"/>
      <c r="BP184" s="165"/>
      <c r="BQ184" s="165"/>
      <c r="BR184" s="165"/>
      <c r="BS184" s="165"/>
      <c r="BT184" s="165"/>
      <c r="BU184" s="165"/>
      <c r="BV184" s="165"/>
      <c r="BW184" s="165"/>
      <c r="BX184" s="165"/>
      <c r="BY184" s="165"/>
      <c r="BZ184" s="165"/>
      <c r="CA184" s="165"/>
      <c r="CB184" s="165"/>
      <c r="CC184" s="165"/>
      <c r="CD184" s="165"/>
      <c r="CE184" s="165"/>
      <c r="CF184" s="165"/>
      <c r="CG184" s="165"/>
      <c r="CH184" s="165"/>
      <c r="CI184" s="170"/>
      <c r="CJ184" s="165"/>
      <c r="CK184" s="165"/>
      <c r="CL184" s="165"/>
      <c r="CM184" s="165"/>
      <c r="CN184" s="170"/>
      <c r="CO184" s="165"/>
      <c r="CP184" s="165"/>
      <c r="CQ184" s="165"/>
    </row>
    <row r="185" spans="2:95" outlineLevel="1" x14ac:dyDescent="0.25">
      <c r="B185" s="156" t="str">
        <f>Table1[[#Headers],[Total Testes]]</f>
        <v>Total Testes</v>
      </c>
      <c r="C185" s="154" t="str">
        <f t="shared" si="34"/>
        <v>PROTECTION_RL_ESTT_CLMT_ZN</v>
      </c>
      <c r="D185" s="153" t="s">
        <v>1114</v>
      </c>
      <c r="E185" s="153" t="s">
        <v>1530</v>
      </c>
      <c r="G185" s="172">
        <f>INDEX(Table1[[Especificação]:[Total Testes]],MATCH('Sheet1 (2)'!C185,Table1[CONCAT],0),MATCH('Sheet1 (2)'!B185,Table1[[#Headers],[Especificação]:[Total Testes]],0))</f>
        <v>8</v>
      </c>
      <c r="H185" s="191">
        <f t="shared" si="35"/>
        <v>1</v>
      </c>
      <c r="I185" s="193"/>
      <c r="J185" s="170"/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  <c r="AA185" s="165"/>
      <c r="AB185" s="165"/>
      <c r="AC185" s="165"/>
      <c r="AD185" s="165"/>
      <c r="AE185" s="165"/>
      <c r="AF185" s="165"/>
      <c r="AG185" s="165"/>
      <c r="AH185" s="165"/>
      <c r="AI185" s="165"/>
      <c r="AJ185" s="165"/>
      <c r="AK185" s="165"/>
      <c r="AL185" s="165"/>
      <c r="AM185" s="165"/>
      <c r="AN185" s="165"/>
      <c r="AO185" s="165"/>
      <c r="AP185" s="165"/>
      <c r="AQ185" s="165"/>
      <c r="AR185" s="165"/>
      <c r="AS185" s="165"/>
      <c r="AT185" s="165"/>
      <c r="AU185" s="165"/>
      <c r="AV185" s="165"/>
      <c r="AW185" s="165"/>
      <c r="AX185" s="165"/>
      <c r="AY185" s="165"/>
      <c r="AZ185" s="165"/>
      <c r="BA185" s="165"/>
      <c r="BB185" s="170"/>
      <c r="BC185" s="165"/>
      <c r="BD185" s="165"/>
      <c r="BE185" s="165"/>
      <c r="BF185" s="165"/>
      <c r="BG185" s="165"/>
      <c r="BH185" s="165"/>
      <c r="BI185" s="165"/>
      <c r="BJ185" s="165"/>
      <c r="BK185" s="165"/>
      <c r="BL185" s="165"/>
      <c r="BM185" s="165"/>
      <c r="BN185" s="165"/>
      <c r="BO185" s="165"/>
      <c r="BP185" s="165"/>
      <c r="BQ185" s="165"/>
      <c r="BR185" s="165"/>
      <c r="BS185" s="165"/>
      <c r="BT185" s="165"/>
      <c r="BU185" s="165"/>
      <c r="BV185" s="165"/>
      <c r="BW185" s="165"/>
      <c r="BX185" s="165"/>
      <c r="BY185" s="165"/>
      <c r="BZ185" s="165"/>
      <c r="CA185" s="165"/>
      <c r="CB185" s="165"/>
      <c r="CC185" s="165"/>
      <c r="CD185" s="165"/>
      <c r="CE185" s="165"/>
      <c r="CF185" s="165"/>
      <c r="CG185" s="165"/>
      <c r="CH185" s="165"/>
      <c r="CI185" s="170"/>
      <c r="CJ185" s="165"/>
      <c r="CK185" s="165"/>
      <c r="CL185" s="165"/>
      <c r="CM185" s="165"/>
      <c r="CN185" s="170"/>
      <c r="CO185" s="165"/>
      <c r="CP185" s="165"/>
      <c r="CQ185" s="165"/>
    </row>
    <row r="186" spans="2:95" outlineLevel="1" x14ac:dyDescent="0.25">
      <c r="B186" s="156" t="str">
        <f>Table1[[#Headers],[Total Testes]]</f>
        <v>Total Testes</v>
      </c>
      <c r="C186" s="154" t="str">
        <f t="shared" si="34"/>
        <v>INSTR_ACTIVITY_FLG_SBSTNTL_CNTRBTN</v>
      </c>
      <c r="D186" s="153" t="s">
        <v>1542</v>
      </c>
      <c r="E186" s="153" t="s">
        <v>1554</v>
      </c>
      <c r="G186" s="172">
        <f>INDEX(Table1[[Especificação]:[Total Testes]],MATCH('Sheet1 (2)'!C186,Table1[CONCAT],0),MATCH('Sheet1 (2)'!B186,Table1[[#Headers],[Especificação]:[Total Testes]],0))</f>
        <v>4.5</v>
      </c>
      <c r="H186" s="191">
        <f t="shared" si="35"/>
        <v>0.56000000000000005</v>
      </c>
      <c r="I186" s="193"/>
      <c r="J186" s="170"/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  <c r="AA186" s="165"/>
      <c r="AB186" s="165"/>
      <c r="AC186" s="165"/>
      <c r="AD186" s="165"/>
      <c r="AE186" s="165"/>
      <c r="AF186" s="165"/>
      <c r="AG186" s="165"/>
      <c r="AH186" s="165"/>
      <c r="AI186" s="165"/>
      <c r="AJ186" s="165"/>
      <c r="AK186" s="165"/>
      <c r="AL186" s="165"/>
      <c r="AM186" s="165"/>
      <c r="AN186" s="165"/>
      <c r="AO186" s="165"/>
      <c r="AP186" s="165"/>
      <c r="AQ186" s="165"/>
      <c r="AR186" s="165"/>
      <c r="AS186" s="165"/>
      <c r="AT186" s="165"/>
      <c r="AU186" s="165"/>
      <c r="AV186" s="165"/>
      <c r="AW186" s="165"/>
      <c r="AX186" s="165"/>
      <c r="AY186" s="165"/>
      <c r="AZ186" s="165"/>
      <c r="BA186" s="165"/>
      <c r="BB186" s="170"/>
      <c r="BC186" s="165"/>
      <c r="BD186" s="165"/>
      <c r="BE186" s="165"/>
      <c r="BF186" s="165"/>
      <c r="BG186" s="165"/>
      <c r="BH186" s="165"/>
      <c r="BI186" s="165"/>
      <c r="BJ186" s="165"/>
      <c r="BK186" s="165"/>
      <c r="BL186" s="165"/>
      <c r="BM186" s="165"/>
      <c r="BN186" s="165"/>
      <c r="BO186" s="165"/>
      <c r="BP186" s="165"/>
      <c r="BQ186" s="165"/>
      <c r="BR186" s="165"/>
      <c r="BS186" s="165"/>
      <c r="BT186" s="165"/>
      <c r="BU186" s="165"/>
      <c r="BV186" s="165"/>
      <c r="BW186" s="165"/>
      <c r="BX186" s="165"/>
      <c r="BY186" s="165"/>
      <c r="BZ186" s="165"/>
      <c r="CA186" s="165"/>
      <c r="CB186" s="165"/>
      <c r="CC186" s="165"/>
      <c r="CD186" s="165"/>
      <c r="CE186" s="165"/>
      <c r="CF186" s="165"/>
      <c r="CG186" s="165"/>
      <c r="CH186" s="165"/>
      <c r="CI186" s="170"/>
      <c r="CJ186" s="165"/>
      <c r="CK186" s="165"/>
      <c r="CL186" s="165"/>
      <c r="CM186" s="165"/>
      <c r="CN186" s="170"/>
      <c r="CO186" s="165"/>
      <c r="CP186" s="165"/>
      <c r="CQ186" s="165"/>
    </row>
    <row r="187" spans="2:95" outlineLevel="1" x14ac:dyDescent="0.25">
      <c r="B187" s="156" t="str">
        <f>Table1[[#Headers],[Total Testes]]</f>
        <v>Total Testes</v>
      </c>
      <c r="C187" s="154" t="str">
        <f t="shared" si="34"/>
        <v>ENTITY_GRP_ECNMC_ACTVTY</v>
      </c>
      <c r="D187" s="153" t="s">
        <v>10</v>
      </c>
      <c r="E187" s="153" t="s">
        <v>382</v>
      </c>
      <c r="G187" s="172">
        <f>INDEX(Table1[[Especificação]:[Total Testes]],MATCH('Sheet1 (2)'!C187,Table1[CONCAT],0),MATCH('Sheet1 (2)'!B187,Table1[[#Headers],[Especificação]:[Total Testes]],0))</f>
        <v>3.5</v>
      </c>
      <c r="H187" s="191">
        <f t="shared" si="35"/>
        <v>0.44</v>
      </c>
      <c r="I187" s="193"/>
      <c r="J187" s="170"/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65"/>
      <c r="AB187" s="165"/>
      <c r="AC187" s="165"/>
      <c r="AD187" s="165"/>
      <c r="AE187" s="165"/>
      <c r="AF187" s="165"/>
      <c r="AG187" s="165"/>
      <c r="AH187" s="165"/>
      <c r="AI187" s="165"/>
      <c r="AJ187" s="165"/>
      <c r="AK187" s="165"/>
      <c r="AL187" s="165"/>
      <c r="AM187" s="165"/>
      <c r="AN187" s="165"/>
      <c r="AO187" s="165"/>
      <c r="AP187" s="165"/>
      <c r="AQ187" s="165"/>
      <c r="AR187" s="165"/>
      <c r="AS187" s="165"/>
      <c r="AT187" s="165"/>
      <c r="AU187" s="165"/>
      <c r="AV187" s="165"/>
      <c r="AW187" s="165"/>
      <c r="AX187" s="165"/>
      <c r="AY187" s="165"/>
      <c r="AZ187" s="165"/>
      <c r="BA187" s="165"/>
      <c r="BB187" s="170"/>
      <c r="BC187" s="165"/>
      <c r="BD187" s="165"/>
      <c r="BE187" s="165"/>
      <c r="BF187" s="165"/>
      <c r="BG187" s="165"/>
      <c r="BH187" s="165"/>
      <c r="BI187" s="165"/>
      <c r="BJ187" s="165"/>
      <c r="BK187" s="165"/>
      <c r="BL187" s="165"/>
      <c r="BM187" s="165"/>
      <c r="BN187" s="165"/>
      <c r="BO187" s="165"/>
      <c r="BP187" s="165"/>
      <c r="BQ187" s="165"/>
      <c r="BR187" s="165"/>
      <c r="BS187" s="165"/>
      <c r="BT187" s="165"/>
      <c r="BU187" s="165"/>
      <c r="BV187" s="165"/>
      <c r="BW187" s="165"/>
      <c r="BX187" s="165"/>
      <c r="BY187" s="165"/>
      <c r="BZ187" s="165"/>
      <c r="CA187" s="165"/>
      <c r="CB187" s="165"/>
      <c r="CC187" s="165"/>
      <c r="CD187" s="165"/>
      <c r="CE187" s="165"/>
      <c r="CF187" s="165"/>
      <c r="CG187" s="165"/>
      <c r="CH187" s="165"/>
      <c r="CI187" s="170"/>
      <c r="CJ187" s="165"/>
      <c r="CK187" s="165"/>
      <c r="CL187" s="165"/>
      <c r="CM187" s="165"/>
      <c r="CN187" s="170"/>
      <c r="CO187" s="165"/>
      <c r="CP187" s="165"/>
      <c r="CQ187" s="165"/>
    </row>
    <row r="188" spans="2:95" outlineLevel="1" x14ac:dyDescent="0.25">
      <c r="B188" s="156" t="str">
        <f>Table1[[#Headers],[Total Testes]]</f>
        <v>Total Testes</v>
      </c>
      <c r="C188" s="154" t="str">
        <f t="shared" ref="C188:C193" si="36">D188&amp;"_"&amp;E188</f>
        <v>INSTR_ACTIVITY_COD_SOC</v>
      </c>
      <c r="D188" s="153" t="s">
        <v>1542</v>
      </c>
      <c r="E188" s="153" t="s">
        <v>12</v>
      </c>
      <c r="G188" s="172">
        <f>INDEX(Table1[[Especificação]:[Total Testes]],MATCH('Sheet1 (2)'!C188,Table1[CONCAT],0),MATCH('Sheet1 (2)'!B188,Table1[[#Headers],[Especificação]:[Total Testes]],0))</f>
        <v>2.5</v>
      </c>
      <c r="H188" s="191">
        <f t="shared" ref="H188:H193" si="37">ROUND(G188/8,2)</f>
        <v>0.31</v>
      </c>
      <c r="I188" s="193"/>
      <c r="J188" s="170"/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165"/>
      <c r="AB188" s="165"/>
      <c r="AC188" s="165"/>
      <c r="AD188" s="165"/>
      <c r="AE188" s="165"/>
      <c r="AF188" s="165"/>
      <c r="AG188" s="165"/>
      <c r="AH188" s="165"/>
      <c r="AI188" s="165"/>
      <c r="AJ188" s="165"/>
      <c r="AK188" s="165"/>
      <c r="AL188" s="165"/>
      <c r="AM188" s="165"/>
      <c r="AN188" s="165"/>
      <c r="AO188" s="165"/>
      <c r="AP188" s="165"/>
      <c r="AQ188" s="165"/>
      <c r="AR188" s="165"/>
      <c r="AS188" s="165"/>
      <c r="AT188" s="165"/>
      <c r="AU188" s="165"/>
      <c r="AV188" s="165"/>
      <c r="AW188" s="165"/>
      <c r="AX188" s="165"/>
      <c r="AY188" s="165"/>
      <c r="AZ188" s="165"/>
      <c r="BA188" s="165"/>
      <c r="BB188" s="170"/>
      <c r="BC188" s="165"/>
      <c r="BD188" s="165"/>
      <c r="BE188" s="165"/>
      <c r="BF188" s="165"/>
      <c r="BG188" s="165"/>
      <c r="BH188" s="165"/>
      <c r="BI188" s="165"/>
      <c r="BJ188" s="165"/>
      <c r="BK188" s="165"/>
      <c r="BL188" s="165"/>
      <c r="BM188" s="165"/>
      <c r="BN188" s="165"/>
      <c r="BO188" s="165"/>
      <c r="BP188" s="165"/>
      <c r="BQ188" s="165"/>
      <c r="BR188" s="165"/>
      <c r="BS188" s="165"/>
      <c r="BT188" s="165"/>
      <c r="BU188" s="165"/>
      <c r="BV188" s="165"/>
      <c r="BW188" s="165"/>
      <c r="BX188" s="165"/>
      <c r="BY188" s="165"/>
      <c r="BZ188" s="165"/>
      <c r="CA188" s="165"/>
      <c r="CB188" s="165"/>
      <c r="CC188" s="165"/>
      <c r="CD188" s="165"/>
      <c r="CE188" s="165"/>
      <c r="CF188" s="165"/>
      <c r="CG188" s="165"/>
      <c r="CH188" s="165"/>
      <c r="CI188" s="170"/>
      <c r="CJ188" s="165"/>
      <c r="CK188" s="165"/>
      <c r="CL188" s="165"/>
      <c r="CM188" s="165"/>
      <c r="CN188" s="170"/>
      <c r="CO188" s="165"/>
      <c r="CP188" s="165"/>
      <c r="CQ188" s="165"/>
    </row>
    <row r="189" spans="2:95" outlineLevel="1" x14ac:dyDescent="0.25">
      <c r="B189" s="156" t="str">
        <f>Table1[[#Headers],[Total Testes]]</f>
        <v>Total Testes</v>
      </c>
      <c r="C189" s="154" t="str">
        <f t="shared" si="36"/>
        <v>INSTR_ACTIVITY_DT_RFRNC</v>
      </c>
      <c r="D189" s="153" t="s">
        <v>1542</v>
      </c>
      <c r="E189" s="153" t="s">
        <v>38</v>
      </c>
      <c r="G189" s="172">
        <f>INDEX(Table1[[Especificação]:[Total Testes]],MATCH('Sheet1 (2)'!C189,Table1[CONCAT],0),MATCH('Sheet1 (2)'!B189,Table1[[#Headers],[Especificação]:[Total Testes]],0))</f>
        <v>2.5</v>
      </c>
      <c r="H189" s="191">
        <f t="shared" si="37"/>
        <v>0.31</v>
      </c>
      <c r="I189" s="193"/>
      <c r="J189" s="170"/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  <c r="AA189" s="165"/>
      <c r="AB189" s="165"/>
      <c r="AC189" s="165"/>
      <c r="AD189" s="165"/>
      <c r="AE189" s="165"/>
      <c r="AF189" s="165"/>
      <c r="AG189" s="165"/>
      <c r="AH189" s="165"/>
      <c r="AI189" s="165"/>
      <c r="AJ189" s="165"/>
      <c r="AK189" s="165"/>
      <c r="AL189" s="165"/>
      <c r="AM189" s="165"/>
      <c r="AN189" s="165"/>
      <c r="AO189" s="165"/>
      <c r="AP189" s="165"/>
      <c r="AQ189" s="165"/>
      <c r="AR189" s="165"/>
      <c r="AS189" s="165"/>
      <c r="AT189" s="165"/>
      <c r="AU189" s="165"/>
      <c r="AV189" s="165"/>
      <c r="AW189" s="165"/>
      <c r="AX189" s="165"/>
      <c r="AY189" s="165"/>
      <c r="AZ189" s="165"/>
      <c r="BA189" s="165"/>
      <c r="BB189" s="170"/>
      <c r="BC189" s="165"/>
      <c r="BD189" s="165"/>
      <c r="BE189" s="165"/>
      <c r="BF189" s="165"/>
      <c r="BG189" s="165"/>
      <c r="BH189" s="165"/>
      <c r="BI189" s="165"/>
      <c r="BJ189" s="165"/>
      <c r="BK189" s="165"/>
      <c r="BL189" s="165"/>
      <c r="BM189" s="165"/>
      <c r="BN189" s="165"/>
      <c r="BO189" s="165"/>
      <c r="BP189" s="165"/>
      <c r="BQ189" s="165"/>
      <c r="BR189" s="165"/>
      <c r="BS189" s="165"/>
      <c r="BT189" s="165"/>
      <c r="BU189" s="165"/>
      <c r="BV189" s="165"/>
      <c r="BW189" s="165"/>
      <c r="BX189" s="165"/>
      <c r="BY189" s="165"/>
      <c r="BZ189" s="165"/>
      <c r="CA189" s="165"/>
      <c r="CB189" s="165"/>
      <c r="CC189" s="165"/>
      <c r="CD189" s="165"/>
      <c r="CE189" s="165"/>
      <c r="CF189" s="165"/>
      <c r="CG189" s="165"/>
      <c r="CH189" s="165"/>
      <c r="CI189" s="170"/>
      <c r="CJ189" s="165"/>
      <c r="CK189" s="165"/>
      <c r="CL189" s="165"/>
      <c r="CM189" s="165"/>
      <c r="CN189" s="170"/>
      <c r="CO189" s="165"/>
      <c r="CP189" s="165"/>
      <c r="CQ189" s="165"/>
    </row>
    <row r="190" spans="2:95" outlineLevel="1" x14ac:dyDescent="0.25">
      <c r="B190" s="156" t="str">
        <f>Table1[[#Headers],[Total Testes]]</f>
        <v>Total Testes</v>
      </c>
      <c r="C190" s="154" t="str">
        <f t="shared" si="36"/>
        <v>INSTR_ACTIVITY_INSTRMNT_ID</v>
      </c>
      <c r="D190" s="153" t="s">
        <v>1542</v>
      </c>
      <c r="E190" s="153" t="s">
        <v>405</v>
      </c>
      <c r="G190" s="172">
        <f>INDEX(Table1[[Especificação]:[Total Testes]],MATCH('Sheet1 (2)'!C190,Table1[CONCAT],0),MATCH('Sheet1 (2)'!B190,Table1[[#Headers],[Especificação]:[Total Testes]],0))</f>
        <v>2.5</v>
      </c>
      <c r="H190" s="191">
        <f t="shared" si="37"/>
        <v>0.31</v>
      </c>
      <c r="I190" s="193"/>
      <c r="J190" s="170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  <c r="AA190" s="165"/>
      <c r="AB190" s="165"/>
      <c r="AC190" s="165"/>
      <c r="AD190" s="165"/>
      <c r="AE190" s="165"/>
      <c r="AF190" s="165"/>
      <c r="AG190" s="165"/>
      <c r="AH190" s="165"/>
      <c r="AI190" s="165"/>
      <c r="AJ190" s="165"/>
      <c r="AK190" s="165"/>
      <c r="AL190" s="165"/>
      <c r="AM190" s="165"/>
      <c r="AN190" s="165"/>
      <c r="AO190" s="165"/>
      <c r="AP190" s="165"/>
      <c r="AQ190" s="165"/>
      <c r="AR190" s="165"/>
      <c r="AS190" s="165"/>
      <c r="AT190" s="165"/>
      <c r="AU190" s="165"/>
      <c r="AV190" s="165"/>
      <c r="AW190" s="165"/>
      <c r="AX190" s="165"/>
      <c r="AY190" s="165"/>
      <c r="AZ190" s="165"/>
      <c r="BA190" s="165"/>
      <c r="BB190" s="170"/>
      <c r="BC190" s="165"/>
      <c r="BD190" s="165"/>
      <c r="BE190" s="165"/>
      <c r="BF190" s="165"/>
      <c r="BG190" s="165"/>
      <c r="BH190" s="165"/>
      <c r="BI190" s="165"/>
      <c r="BJ190" s="165"/>
      <c r="BK190" s="165"/>
      <c r="BL190" s="165"/>
      <c r="BM190" s="165"/>
      <c r="BN190" s="165"/>
      <c r="BO190" s="165"/>
      <c r="BP190" s="165"/>
      <c r="BQ190" s="165"/>
      <c r="BR190" s="165"/>
      <c r="BS190" s="165"/>
      <c r="BT190" s="165"/>
      <c r="BU190" s="165"/>
      <c r="BV190" s="165"/>
      <c r="BW190" s="165"/>
      <c r="BX190" s="165"/>
      <c r="BY190" s="165"/>
      <c r="BZ190" s="165"/>
      <c r="CA190" s="165"/>
      <c r="CB190" s="165"/>
      <c r="CC190" s="165"/>
      <c r="CD190" s="165"/>
      <c r="CE190" s="165"/>
      <c r="CF190" s="165"/>
      <c r="CG190" s="165"/>
      <c r="CH190" s="165"/>
      <c r="CI190" s="170"/>
      <c r="CJ190" s="165"/>
      <c r="CK190" s="165"/>
      <c r="CL190" s="165"/>
      <c r="CM190" s="165"/>
      <c r="CN190" s="170"/>
      <c r="CO190" s="165"/>
      <c r="CP190" s="165"/>
      <c r="CQ190" s="165"/>
    </row>
    <row r="191" spans="2:95" outlineLevel="1" x14ac:dyDescent="0.25">
      <c r="B191" s="156" t="str">
        <f>Table1[[#Headers],[Total Testes]]</f>
        <v>Total Testes</v>
      </c>
      <c r="C191" s="154" t="str">
        <f t="shared" si="36"/>
        <v>INSTR_ACTIVITY_PRCNTG_ACTVTY</v>
      </c>
      <c r="D191" s="153" t="s">
        <v>1542</v>
      </c>
      <c r="E191" s="153" t="s">
        <v>1548</v>
      </c>
      <c r="G191" s="172">
        <f>INDEX(Table1[[Especificação]:[Total Testes]],MATCH('Sheet1 (2)'!C191,Table1[CONCAT],0),MATCH('Sheet1 (2)'!B191,Table1[[#Headers],[Especificação]:[Total Testes]],0))</f>
        <v>4.5</v>
      </c>
      <c r="H191" s="191">
        <f t="shared" si="37"/>
        <v>0.56000000000000005</v>
      </c>
      <c r="I191" s="193"/>
      <c r="J191" s="170"/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  <c r="AA191" s="165"/>
      <c r="AB191" s="165"/>
      <c r="AC191" s="165"/>
      <c r="AD191" s="165"/>
      <c r="AE191" s="165"/>
      <c r="AF191" s="165"/>
      <c r="AG191" s="165"/>
      <c r="AH191" s="165"/>
      <c r="AI191" s="165"/>
      <c r="AJ191" s="165"/>
      <c r="AK191" s="165"/>
      <c r="AL191" s="165"/>
      <c r="AM191" s="165"/>
      <c r="AN191" s="165"/>
      <c r="AO191" s="165"/>
      <c r="AP191" s="165"/>
      <c r="AQ191" s="165"/>
      <c r="AR191" s="165"/>
      <c r="AS191" s="165"/>
      <c r="AT191" s="165"/>
      <c r="AU191" s="165"/>
      <c r="AV191" s="165"/>
      <c r="AW191" s="165"/>
      <c r="AX191" s="165"/>
      <c r="AY191" s="165"/>
      <c r="AZ191" s="165"/>
      <c r="BA191" s="165"/>
      <c r="BB191" s="170"/>
      <c r="BC191" s="165"/>
      <c r="BD191" s="165"/>
      <c r="BE191" s="165"/>
      <c r="BF191" s="165"/>
      <c r="BG191" s="165"/>
      <c r="BH191" s="165"/>
      <c r="BI191" s="165"/>
      <c r="BJ191" s="165"/>
      <c r="BK191" s="165"/>
      <c r="BL191" s="165"/>
      <c r="BM191" s="165"/>
      <c r="BN191" s="165"/>
      <c r="BO191" s="165"/>
      <c r="BP191" s="165"/>
      <c r="BQ191" s="165"/>
      <c r="BR191" s="165"/>
      <c r="BS191" s="165"/>
      <c r="BT191" s="165"/>
      <c r="BU191" s="165"/>
      <c r="BV191" s="165"/>
      <c r="BW191" s="165"/>
      <c r="BX191" s="165"/>
      <c r="BY191" s="165"/>
      <c r="BZ191" s="165"/>
      <c r="CA191" s="165"/>
      <c r="CB191" s="165"/>
      <c r="CC191" s="165"/>
      <c r="CD191" s="165"/>
      <c r="CE191" s="165"/>
      <c r="CF191" s="165"/>
      <c r="CG191" s="165"/>
      <c r="CH191" s="165"/>
      <c r="CI191" s="170"/>
      <c r="CJ191" s="165"/>
      <c r="CK191" s="165"/>
      <c r="CL191" s="165"/>
      <c r="CM191" s="165"/>
      <c r="CN191" s="170"/>
      <c r="CO191" s="165"/>
      <c r="CP191" s="165"/>
      <c r="CQ191" s="165"/>
    </row>
    <row r="192" spans="2:95" outlineLevel="1" x14ac:dyDescent="0.25">
      <c r="B192" s="156" t="str">
        <f>Table1[[#Headers],[Total Testes]]</f>
        <v>Total Testes</v>
      </c>
      <c r="C192" s="154" t="str">
        <f t="shared" si="36"/>
        <v>INSTR_PROTECTION_TYP_RLTN</v>
      </c>
      <c r="D192" s="153" t="s">
        <v>1101</v>
      </c>
      <c r="E192" s="153" t="s">
        <v>1384</v>
      </c>
      <c r="G192" s="172">
        <f>INDEX(Table1[[Especificação]:[Total Testes]],MATCH('Sheet1 (2)'!C192,Table1[CONCAT],0),MATCH('Sheet1 (2)'!B192,Table1[[#Headers],[Especificação]:[Total Testes]],0))</f>
        <v>5</v>
      </c>
      <c r="H192" s="191">
        <f t="shared" si="37"/>
        <v>0.63</v>
      </c>
      <c r="I192" s="193"/>
      <c r="J192" s="170"/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  <c r="AA192" s="165"/>
      <c r="AB192" s="165"/>
      <c r="AC192" s="165"/>
      <c r="AD192" s="165"/>
      <c r="AE192" s="165"/>
      <c r="AF192" s="165"/>
      <c r="AG192" s="165"/>
      <c r="AH192" s="165"/>
      <c r="AI192" s="165"/>
      <c r="AJ192" s="165"/>
      <c r="AK192" s="165"/>
      <c r="AL192" s="165"/>
      <c r="AM192" s="165"/>
      <c r="AN192" s="165"/>
      <c r="AO192" s="165"/>
      <c r="AP192" s="165"/>
      <c r="AQ192" s="165"/>
      <c r="AR192" s="165"/>
      <c r="AS192" s="165"/>
      <c r="AT192" s="165"/>
      <c r="AU192" s="165"/>
      <c r="AV192" s="165"/>
      <c r="AW192" s="165"/>
      <c r="AX192" s="165"/>
      <c r="AY192" s="165"/>
      <c r="AZ192" s="165"/>
      <c r="BA192" s="165"/>
      <c r="BB192" s="170"/>
      <c r="BC192" s="165"/>
      <c r="BD192" s="165"/>
      <c r="BE192" s="165"/>
      <c r="BF192" s="165"/>
      <c r="BG192" s="165"/>
      <c r="BH192" s="165"/>
      <c r="BI192" s="165"/>
      <c r="BJ192" s="165"/>
      <c r="BK192" s="165"/>
      <c r="BL192" s="165"/>
      <c r="BM192" s="165"/>
      <c r="BN192" s="165"/>
      <c r="BO192" s="165"/>
      <c r="BP192" s="165"/>
      <c r="BQ192" s="165"/>
      <c r="BR192" s="165"/>
      <c r="BS192" s="165"/>
      <c r="BT192" s="165"/>
      <c r="BU192" s="165"/>
      <c r="BV192" s="165"/>
      <c r="BW192" s="165"/>
      <c r="BX192" s="165"/>
      <c r="BY192" s="165"/>
      <c r="BZ192" s="165"/>
      <c r="CA192" s="165"/>
      <c r="CB192" s="165"/>
      <c r="CC192" s="165"/>
      <c r="CD192" s="165"/>
      <c r="CE192" s="165"/>
      <c r="CF192" s="165"/>
      <c r="CG192" s="165"/>
      <c r="CH192" s="165"/>
      <c r="CI192" s="170"/>
      <c r="CJ192" s="165"/>
      <c r="CK192" s="165"/>
      <c r="CL192" s="165"/>
      <c r="CM192" s="165"/>
      <c r="CN192" s="170"/>
      <c r="CO192" s="165"/>
      <c r="CP192" s="165"/>
      <c r="CQ192" s="165"/>
    </row>
    <row r="193" spans="1:95" outlineLevel="1" x14ac:dyDescent="0.25">
      <c r="B193" s="156" t="str">
        <f>Table1[[#Headers],[Total Testes]]</f>
        <v>Total Testes</v>
      </c>
      <c r="C193" s="154" t="str">
        <f t="shared" si="36"/>
        <v>INSTRUMENT_NW_BSNSS</v>
      </c>
      <c r="D193" s="153" t="s">
        <v>414</v>
      </c>
      <c r="E193" s="153" t="s">
        <v>973</v>
      </c>
      <c r="G193" s="172">
        <f>INDEX(Table1[[Especificação]:[Total Testes]],MATCH('Sheet1 (2)'!C193,Table1[CONCAT],0),MATCH('Sheet1 (2)'!B193,Table1[[#Headers],[Especificação]:[Total Testes]],0))</f>
        <v>7</v>
      </c>
      <c r="H193" s="191">
        <f t="shared" si="37"/>
        <v>0.88</v>
      </c>
      <c r="I193" s="193"/>
      <c r="J193" s="170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  <c r="AA193" s="165"/>
      <c r="AB193" s="165"/>
      <c r="AC193" s="165"/>
      <c r="AD193" s="165"/>
      <c r="AE193" s="165"/>
      <c r="AF193" s="165"/>
      <c r="AG193" s="165"/>
      <c r="AH193" s="165"/>
      <c r="AI193" s="165"/>
      <c r="AJ193" s="165"/>
      <c r="AK193" s="165"/>
      <c r="AL193" s="165"/>
      <c r="AM193" s="165"/>
      <c r="AN193" s="165"/>
      <c r="AO193" s="165"/>
      <c r="AP193" s="165"/>
      <c r="AQ193" s="165"/>
      <c r="AR193" s="165"/>
      <c r="AS193" s="165"/>
      <c r="AT193" s="165"/>
      <c r="AU193" s="165"/>
      <c r="AV193" s="165"/>
      <c r="AW193" s="165"/>
      <c r="AX193" s="165"/>
      <c r="AY193" s="165"/>
      <c r="AZ193" s="165"/>
      <c r="BA193" s="165"/>
      <c r="BB193" s="170"/>
      <c r="BC193" s="165"/>
      <c r="BD193" s="165"/>
      <c r="BE193" s="165"/>
      <c r="BF193" s="165"/>
      <c r="BG193" s="165"/>
      <c r="BH193" s="165"/>
      <c r="BI193" s="165"/>
      <c r="BJ193" s="165"/>
      <c r="BK193" s="165"/>
      <c r="BL193" s="165"/>
      <c r="BM193" s="165"/>
      <c r="BN193" s="165"/>
      <c r="BO193" s="165"/>
      <c r="BP193" s="165"/>
      <c r="BQ193" s="165"/>
      <c r="BR193" s="165"/>
      <c r="BS193" s="165"/>
      <c r="BT193" s="165"/>
      <c r="BU193" s="165"/>
      <c r="BV193" s="165"/>
      <c r="BW193" s="165"/>
      <c r="BX193" s="165"/>
      <c r="BY193" s="165"/>
      <c r="BZ193" s="165"/>
      <c r="CA193" s="165"/>
      <c r="CB193" s="165"/>
      <c r="CC193" s="165"/>
      <c r="CD193" s="165"/>
      <c r="CE193" s="165"/>
      <c r="CF193" s="165"/>
      <c r="CG193" s="165"/>
      <c r="CH193" s="165"/>
      <c r="CI193" s="170"/>
      <c r="CJ193" s="165"/>
      <c r="CK193" s="165"/>
      <c r="CL193" s="165"/>
      <c r="CM193" s="165"/>
      <c r="CN193" s="170"/>
      <c r="CO193" s="165"/>
      <c r="CP193" s="165"/>
      <c r="CQ193" s="165"/>
    </row>
    <row r="194" spans="1:95" outlineLevel="1" x14ac:dyDescent="0.25">
      <c r="A194" s="228"/>
      <c r="B194" s="236" t="str">
        <f>Table1[[#Headers],[Total Testes]]</f>
        <v>Total Testes</v>
      </c>
      <c r="C194" s="237" t="str">
        <f t="shared" si="34"/>
        <v>PROTECTION_TYP_EMSSNS_LBL</v>
      </c>
      <c r="D194" s="232" t="s">
        <v>1114</v>
      </c>
      <c r="E194" s="232" t="s">
        <v>1235</v>
      </c>
      <c r="F194" s="238"/>
      <c r="G194" s="233">
        <f>INDEX(Table1[[Especificação]:[Total Testes]],MATCH('Sheet1 (2)'!C194,Table1[CONCAT],0),MATCH('Sheet1 (2)'!B194,Table1[[#Headers],[Especificação]:[Total Testes]],0))</f>
        <v>0</v>
      </c>
      <c r="H194" s="239">
        <f t="shared" si="35"/>
        <v>0</v>
      </c>
      <c r="I194" s="235"/>
      <c r="J194" s="170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  <c r="AA194" s="165"/>
      <c r="AB194" s="165"/>
      <c r="AC194" s="165"/>
      <c r="AD194" s="165"/>
      <c r="AE194" s="165"/>
      <c r="AF194" s="165"/>
      <c r="AG194" s="165"/>
      <c r="AH194" s="165"/>
      <c r="AI194" s="165"/>
      <c r="AJ194" s="165"/>
      <c r="AK194" s="165"/>
      <c r="AL194" s="165"/>
      <c r="AM194" s="165"/>
      <c r="AN194" s="165"/>
      <c r="AO194" s="165"/>
      <c r="AP194" s="165"/>
      <c r="AQ194" s="165"/>
      <c r="AR194" s="165"/>
      <c r="AS194" s="165"/>
      <c r="AT194" s="165"/>
      <c r="AU194" s="165"/>
      <c r="AV194" s="165"/>
      <c r="AW194" s="165"/>
      <c r="AX194" s="165"/>
      <c r="AY194" s="165"/>
      <c r="AZ194" s="165"/>
      <c r="BA194" s="165"/>
      <c r="BB194" s="170"/>
      <c r="BC194" s="165"/>
      <c r="BD194" s="165"/>
      <c r="BE194" s="165"/>
      <c r="BF194" s="165"/>
      <c r="BG194" s="165"/>
      <c r="BH194" s="165"/>
      <c r="BI194" s="165"/>
      <c r="BJ194" s="165"/>
      <c r="BK194" s="165"/>
      <c r="BL194" s="165"/>
      <c r="BM194" s="165"/>
      <c r="BN194" s="165"/>
      <c r="BO194" s="165"/>
      <c r="BP194" s="165"/>
      <c r="BQ194" s="165"/>
      <c r="BR194" s="165"/>
      <c r="BS194" s="165"/>
      <c r="BT194" s="165"/>
      <c r="BU194" s="165"/>
      <c r="BV194" s="165"/>
      <c r="BW194" s="165"/>
      <c r="BX194" s="165"/>
      <c r="BY194" s="165"/>
      <c r="BZ194" s="165"/>
      <c r="CA194" s="165"/>
      <c r="CB194" s="165"/>
      <c r="CC194" s="165"/>
      <c r="CD194" s="165"/>
      <c r="CE194" s="165"/>
      <c r="CF194" s="165"/>
      <c r="CG194" s="165"/>
      <c r="CH194" s="165"/>
      <c r="CI194" s="170"/>
      <c r="CJ194" s="165"/>
      <c r="CK194" s="165"/>
      <c r="CL194" s="165"/>
      <c r="CM194" s="165"/>
      <c r="CN194" s="170"/>
      <c r="CO194" s="165"/>
      <c r="CP194" s="165"/>
      <c r="CQ194" s="165"/>
    </row>
    <row r="195" spans="1:95" outlineLevel="1" x14ac:dyDescent="0.25">
      <c r="A195" s="228"/>
      <c r="B195" s="236" t="str">
        <f>Table1[[#Headers],[Total Testes]]</f>
        <v>Total Testes</v>
      </c>
      <c r="C195" s="237" t="str">
        <f t="shared" si="34"/>
        <v>PROTECTION_EPC_EMSSNS_LBL</v>
      </c>
      <c r="D195" s="232" t="s">
        <v>1114</v>
      </c>
      <c r="E195" s="232" t="s">
        <v>1238</v>
      </c>
      <c r="F195" s="238"/>
      <c r="G195" s="233">
        <f>INDEX(Table1[[Especificação]:[Total Testes]],MATCH('Sheet1 (2)'!C195,Table1[CONCAT],0),MATCH('Sheet1 (2)'!B195,Table1[[#Headers],[Especificação]:[Total Testes]],0))</f>
        <v>0</v>
      </c>
      <c r="H195" s="239">
        <f t="shared" si="35"/>
        <v>0</v>
      </c>
      <c r="I195" s="235"/>
      <c r="J195" s="170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  <c r="AA195" s="165"/>
      <c r="AB195" s="165"/>
      <c r="AC195" s="165"/>
      <c r="AD195" s="165"/>
      <c r="AE195" s="165"/>
      <c r="AF195" s="165"/>
      <c r="AG195" s="165"/>
      <c r="AH195" s="165"/>
      <c r="AI195" s="165"/>
      <c r="AJ195" s="165"/>
      <c r="AK195" s="165"/>
      <c r="AL195" s="165"/>
      <c r="AM195" s="165"/>
      <c r="AN195" s="165"/>
      <c r="AO195" s="165"/>
      <c r="AP195" s="165"/>
      <c r="AQ195" s="165"/>
      <c r="AR195" s="165"/>
      <c r="AS195" s="165"/>
      <c r="AT195" s="165"/>
      <c r="AU195" s="165"/>
      <c r="AV195" s="165"/>
      <c r="AW195" s="165"/>
      <c r="AX195" s="165"/>
      <c r="AY195" s="165"/>
      <c r="AZ195" s="165"/>
      <c r="BA195" s="165"/>
      <c r="BB195" s="170"/>
      <c r="BC195" s="165"/>
      <c r="BD195" s="165"/>
      <c r="BE195" s="165"/>
      <c r="BF195" s="165"/>
      <c r="BG195" s="165"/>
      <c r="BH195" s="165"/>
      <c r="BI195" s="165"/>
      <c r="BJ195" s="165"/>
      <c r="BK195" s="165"/>
      <c r="BL195" s="165"/>
      <c r="BM195" s="165"/>
      <c r="BN195" s="165"/>
      <c r="BO195" s="165"/>
      <c r="BP195" s="165"/>
      <c r="BQ195" s="165"/>
      <c r="BR195" s="165"/>
      <c r="BS195" s="165"/>
      <c r="BT195" s="165"/>
      <c r="BU195" s="165"/>
      <c r="BV195" s="165"/>
      <c r="BW195" s="165"/>
      <c r="BX195" s="165"/>
      <c r="BY195" s="165"/>
      <c r="BZ195" s="165"/>
      <c r="CA195" s="165"/>
      <c r="CB195" s="165"/>
      <c r="CC195" s="165"/>
      <c r="CD195" s="165"/>
      <c r="CE195" s="165"/>
      <c r="CF195" s="165"/>
      <c r="CG195" s="165"/>
      <c r="CH195" s="165"/>
      <c r="CI195" s="170"/>
      <c r="CJ195" s="165"/>
      <c r="CK195" s="165"/>
      <c r="CL195" s="165"/>
      <c r="CM195" s="165"/>
      <c r="CN195" s="170"/>
      <c r="CO195" s="165"/>
      <c r="CP195" s="165"/>
      <c r="CQ195" s="165"/>
    </row>
    <row r="196" spans="1:95" outlineLevel="1" x14ac:dyDescent="0.25">
      <c r="A196" s="228"/>
      <c r="B196" s="236" t="str">
        <f>Table1[[#Headers],[Total Testes]]</f>
        <v>Total Testes</v>
      </c>
      <c r="C196" s="237" t="str">
        <f t="shared" si="34"/>
        <v>PROTECTION_VHCL_EMSSNS_LBL</v>
      </c>
      <c r="D196" s="232" t="s">
        <v>1114</v>
      </c>
      <c r="E196" s="232" t="s">
        <v>1241</v>
      </c>
      <c r="F196" s="238"/>
      <c r="G196" s="233">
        <f>INDEX(Table1[[Especificação]:[Total Testes]],MATCH('Sheet1 (2)'!C196,Table1[CONCAT],0),MATCH('Sheet1 (2)'!B196,Table1[[#Headers],[Especificação]:[Total Testes]],0))</f>
        <v>0</v>
      </c>
      <c r="H196" s="239">
        <f t="shared" si="35"/>
        <v>0</v>
      </c>
      <c r="I196" s="235"/>
      <c r="J196" s="170"/>
      <c r="K196" s="165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  <c r="AA196" s="165"/>
      <c r="AB196" s="165"/>
      <c r="AC196" s="165"/>
      <c r="AD196" s="165"/>
      <c r="AE196" s="165"/>
      <c r="AF196" s="165"/>
      <c r="AG196" s="165"/>
      <c r="AH196" s="165"/>
      <c r="AI196" s="165"/>
      <c r="AJ196" s="165"/>
      <c r="AK196" s="165"/>
      <c r="AL196" s="165"/>
      <c r="AM196" s="165"/>
      <c r="AN196" s="165"/>
      <c r="AO196" s="165"/>
      <c r="AP196" s="165"/>
      <c r="AQ196" s="165"/>
      <c r="AR196" s="165"/>
      <c r="AS196" s="165"/>
      <c r="AT196" s="165"/>
      <c r="AU196" s="165"/>
      <c r="AV196" s="165"/>
      <c r="AW196" s="165"/>
      <c r="AX196" s="165"/>
      <c r="AY196" s="165"/>
      <c r="AZ196" s="165"/>
      <c r="BA196" s="165"/>
      <c r="BB196" s="170"/>
      <c r="BC196" s="165"/>
      <c r="BD196" s="165"/>
      <c r="BE196" s="165"/>
      <c r="BF196" s="165"/>
      <c r="BG196" s="165"/>
      <c r="BH196" s="165"/>
      <c r="BI196" s="165"/>
      <c r="BJ196" s="165"/>
      <c r="BK196" s="165"/>
      <c r="BL196" s="165"/>
      <c r="BM196" s="165"/>
      <c r="BN196" s="165"/>
      <c r="BO196" s="165"/>
      <c r="BP196" s="165"/>
      <c r="BQ196" s="165"/>
      <c r="BR196" s="165"/>
      <c r="BS196" s="165"/>
      <c r="BT196" s="165"/>
      <c r="BU196" s="165"/>
      <c r="BV196" s="165"/>
      <c r="BW196" s="165"/>
      <c r="BX196" s="165"/>
      <c r="BY196" s="165"/>
      <c r="BZ196" s="165"/>
      <c r="CA196" s="165"/>
      <c r="CB196" s="165"/>
      <c r="CC196" s="165"/>
      <c r="CD196" s="165"/>
      <c r="CE196" s="165"/>
      <c r="CF196" s="165"/>
      <c r="CG196" s="165"/>
      <c r="CH196" s="165"/>
      <c r="CI196" s="170"/>
      <c r="CJ196" s="165"/>
      <c r="CK196" s="165"/>
      <c r="CL196" s="165"/>
      <c r="CM196" s="165"/>
      <c r="CN196" s="170"/>
      <c r="CO196" s="165"/>
      <c r="CP196" s="165"/>
      <c r="CQ196" s="165"/>
    </row>
    <row r="197" spans="1:95" outlineLevel="1" x14ac:dyDescent="0.25">
      <c r="A197" s="228"/>
      <c r="B197" s="236" t="str">
        <f>Table1[[#Headers],[Total Testes]]</f>
        <v>Total Testes</v>
      </c>
      <c r="C197" s="237" t="str">
        <f t="shared" si="34"/>
        <v>PROTECTION_TYP_EMSSNS_SCR</v>
      </c>
      <c r="D197" s="232" t="s">
        <v>1114</v>
      </c>
      <c r="E197" s="232" t="s">
        <v>1244</v>
      </c>
      <c r="F197" s="238"/>
      <c r="G197" s="233">
        <f>INDEX(Table1[[Especificação]:[Total Testes]],MATCH('Sheet1 (2)'!C197,Table1[CONCAT],0),MATCH('Sheet1 (2)'!B197,Table1[[#Headers],[Especificação]:[Total Testes]],0))</f>
        <v>0</v>
      </c>
      <c r="H197" s="239">
        <f t="shared" si="35"/>
        <v>0</v>
      </c>
      <c r="I197" s="235"/>
      <c r="J197" s="170"/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  <c r="AA197" s="165"/>
      <c r="AB197" s="165"/>
      <c r="AC197" s="165"/>
      <c r="AD197" s="165"/>
      <c r="AE197" s="165"/>
      <c r="AF197" s="165"/>
      <c r="AG197" s="165"/>
      <c r="AH197" s="165"/>
      <c r="AI197" s="165"/>
      <c r="AJ197" s="165"/>
      <c r="AK197" s="165"/>
      <c r="AL197" s="165"/>
      <c r="AM197" s="165"/>
      <c r="AN197" s="165"/>
      <c r="AO197" s="165"/>
      <c r="AP197" s="165"/>
      <c r="AQ197" s="165"/>
      <c r="AR197" s="165"/>
      <c r="AS197" s="165"/>
      <c r="AT197" s="165"/>
      <c r="AU197" s="165"/>
      <c r="AV197" s="165"/>
      <c r="AW197" s="165"/>
      <c r="AX197" s="165"/>
      <c r="AY197" s="165"/>
      <c r="AZ197" s="165"/>
      <c r="BA197" s="165"/>
      <c r="BB197" s="170"/>
      <c r="BC197" s="165"/>
      <c r="BD197" s="165"/>
      <c r="BE197" s="165"/>
      <c r="BF197" s="165"/>
      <c r="BG197" s="165"/>
      <c r="BH197" s="165"/>
      <c r="BI197" s="165"/>
      <c r="BJ197" s="165"/>
      <c r="BK197" s="165"/>
      <c r="BL197" s="165"/>
      <c r="BM197" s="165"/>
      <c r="BN197" s="165"/>
      <c r="BO197" s="165"/>
      <c r="BP197" s="165"/>
      <c r="BQ197" s="165"/>
      <c r="BR197" s="165"/>
      <c r="BS197" s="165"/>
      <c r="BT197" s="165"/>
      <c r="BU197" s="165"/>
      <c r="BV197" s="165"/>
      <c r="BW197" s="165"/>
      <c r="BX197" s="165"/>
      <c r="BY197" s="165"/>
      <c r="BZ197" s="165"/>
      <c r="CA197" s="165"/>
      <c r="CB197" s="165"/>
      <c r="CC197" s="165"/>
      <c r="CD197" s="165"/>
      <c r="CE197" s="165"/>
      <c r="CF197" s="165"/>
      <c r="CG197" s="165"/>
      <c r="CH197" s="165"/>
      <c r="CI197" s="170"/>
      <c r="CJ197" s="165"/>
      <c r="CK197" s="165"/>
      <c r="CL197" s="165"/>
      <c r="CM197" s="165"/>
      <c r="CN197" s="170"/>
      <c r="CO197" s="165"/>
      <c r="CP197" s="165"/>
      <c r="CQ197" s="165"/>
    </row>
    <row r="198" spans="1:95" outlineLevel="1" x14ac:dyDescent="0.25">
      <c r="A198" s="228"/>
      <c r="B198" s="236" t="str">
        <f>Table1[[#Headers],[Total Testes]]</f>
        <v>Total Testes</v>
      </c>
      <c r="C198" s="237" t="str">
        <f t="shared" si="34"/>
        <v>PROTECTION_EPC_EMSSNS_SCR</v>
      </c>
      <c r="D198" s="232" t="s">
        <v>1114</v>
      </c>
      <c r="E198" s="232" t="s">
        <v>1247</v>
      </c>
      <c r="F198" s="238"/>
      <c r="G198" s="233">
        <f>INDEX(Table1[[Especificação]:[Total Testes]],MATCH('Sheet1 (2)'!C198,Table1[CONCAT],0),MATCH('Sheet1 (2)'!B198,Table1[[#Headers],[Especificação]:[Total Testes]],0))</f>
        <v>0</v>
      </c>
      <c r="H198" s="239">
        <f t="shared" si="35"/>
        <v>0</v>
      </c>
      <c r="I198" s="235"/>
      <c r="J198" s="170"/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  <c r="AA198" s="165"/>
      <c r="AB198" s="165"/>
      <c r="AC198" s="165"/>
      <c r="AD198" s="165"/>
      <c r="AE198" s="165"/>
      <c r="AF198" s="165"/>
      <c r="AG198" s="165"/>
      <c r="AH198" s="165"/>
      <c r="AI198" s="165"/>
      <c r="AJ198" s="165"/>
      <c r="AK198" s="165"/>
      <c r="AL198" s="165"/>
      <c r="AM198" s="165"/>
      <c r="AN198" s="165"/>
      <c r="AO198" s="165"/>
      <c r="AP198" s="165"/>
      <c r="AQ198" s="165"/>
      <c r="AR198" s="165"/>
      <c r="AS198" s="165"/>
      <c r="AT198" s="165"/>
      <c r="AU198" s="165"/>
      <c r="AV198" s="165"/>
      <c r="AW198" s="165"/>
      <c r="AX198" s="165"/>
      <c r="AY198" s="165"/>
      <c r="AZ198" s="165"/>
      <c r="BA198" s="165"/>
      <c r="BB198" s="170"/>
      <c r="BC198" s="165"/>
      <c r="BD198" s="165"/>
      <c r="BE198" s="165"/>
      <c r="BF198" s="165"/>
      <c r="BG198" s="165"/>
      <c r="BH198" s="165"/>
      <c r="BI198" s="165"/>
      <c r="BJ198" s="165"/>
      <c r="BK198" s="165"/>
      <c r="BL198" s="165"/>
      <c r="BM198" s="165"/>
      <c r="BN198" s="165"/>
      <c r="BO198" s="165"/>
      <c r="BP198" s="165"/>
      <c r="BQ198" s="165"/>
      <c r="BR198" s="165"/>
      <c r="BS198" s="165"/>
      <c r="BT198" s="165"/>
      <c r="BU198" s="165"/>
      <c r="BV198" s="165"/>
      <c r="BW198" s="165"/>
      <c r="BX198" s="165"/>
      <c r="BY198" s="165"/>
      <c r="BZ198" s="165"/>
      <c r="CA198" s="165"/>
      <c r="CB198" s="165"/>
      <c r="CC198" s="165"/>
      <c r="CD198" s="165"/>
      <c r="CE198" s="165"/>
      <c r="CF198" s="165"/>
      <c r="CG198" s="165"/>
      <c r="CH198" s="165"/>
      <c r="CI198" s="170"/>
      <c r="CJ198" s="165"/>
      <c r="CK198" s="165"/>
      <c r="CL198" s="165"/>
      <c r="CM198" s="165"/>
      <c r="CN198" s="170"/>
      <c r="CO198" s="165"/>
      <c r="CP198" s="165"/>
      <c r="CQ198" s="165"/>
    </row>
    <row r="199" spans="1:95" outlineLevel="1" x14ac:dyDescent="0.25">
      <c r="A199" s="228"/>
      <c r="B199" s="236" t="str">
        <f>Table1[[#Headers],[Total Testes]]</f>
        <v>Total Testes</v>
      </c>
      <c r="C199" s="237" t="str">
        <f t="shared" si="34"/>
        <v>PROTECTION_VHCL_EMSSNS_SCR</v>
      </c>
      <c r="D199" s="232" t="s">
        <v>1114</v>
      </c>
      <c r="E199" s="232" t="s">
        <v>1250</v>
      </c>
      <c r="F199" s="238"/>
      <c r="G199" s="233">
        <f>INDEX(Table1[[Especificação]:[Total Testes]],MATCH('Sheet1 (2)'!C199,Table1[CONCAT],0),MATCH('Sheet1 (2)'!B199,Table1[[#Headers],[Especificação]:[Total Testes]],0))</f>
        <v>0</v>
      </c>
      <c r="H199" s="239">
        <f t="shared" si="35"/>
        <v>0</v>
      </c>
      <c r="I199" s="235"/>
      <c r="J199" s="170"/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  <c r="AA199" s="165"/>
      <c r="AB199" s="165"/>
      <c r="AC199" s="165"/>
      <c r="AD199" s="165"/>
      <c r="AE199" s="165"/>
      <c r="AF199" s="165"/>
      <c r="AG199" s="165"/>
      <c r="AH199" s="165"/>
      <c r="AI199" s="165"/>
      <c r="AJ199" s="165"/>
      <c r="AK199" s="165"/>
      <c r="AL199" s="165"/>
      <c r="AM199" s="165"/>
      <c r="AN199" s="165"/>
      <c r="AO199" s="165"/>
      <c r="AP199" s="165"/>
      <c r="AQ199" s="165"/>
      <c r="AR199" s="165"/>
      <c r="AS199" s="165"/>
      <c r="AT199" s="165"/>
      <c r="AU199" s="165"/>
      <c r="AV199" s="165"/>
      <c r="AW199" s="165"/>
      <c r="AX199" s="165"/>
      <c r="AY199" s="165"/>
      <c r="AZ199" s="165"/>
      <c r="BA199" s="165"/>
      <c r="BB199" s="170"/>
      <c r="BC199" s="165"/>
      <c r="BD199" s="165"/>
      <c r="BE199" s="165"/>
      <c r="BF199" s="165"/>
      <c r="BG199" s="165"/>
      <c r="BH199" s="165"/>
      <c r="BI199" s="165"/>
      <c r="BJ199" s="165"/>
      <c r="BK199" s="165"/>
      <c r="BL199" s="165"/>
      <c r="BM199" s="165"/>
      <c r="BN199" s="165"/>
      <c r="BO199" s="165"/>
      <c r="BP199" s="165"/>
      <c r="BQ199" s="165"/>
      <c r="BR199" s="165"/>
      <c r="BS199" s="165"/>
      <c r="BT199" s="165"/>
      <c r="BU199" s="165"/>
      <c r="BV199" s="165"/>
      <c r="BW199" s="165"/>
      <c r="BX199" s="165"/>
      <c r="BY199" s="165"/>
      <c r="BZ199" s="165"/>
      <c r="CA199" s="165"/>
      <c r="CB199" s="165"/>
      <c r="CC199" s="165"/>
      <c r="CD199" s="165"/>
      <c r="CE199" s="165"/>
      <c r="CF199" s="165"/>
      <c r="CG199" s="165"/>
      <c r="CH199" s="165"/>
      <c r="CI199" s="170"/>
      <c r="CJ199" s="165"/>
      <c r="CK199" s="165"/>
      <c r="CL199" s="165"/>
      <c r="CM199" s="165"/>
      <c r="CN199" s="170"/>
      <c r="CO199" s="165"/>
      <c r="CP199" s="165"/>
      <c r="CQ199" s="165"/>
    </row>
    <row r="200" spans="1:95" outlineLevel="1" x14ac:dyDescent="0.25">
      <c r="A200" s="228"/>
      <c r="B200" s="236" t="str">
        <f>Table1[[#Headers],[Total Testes]]</f>
        <v>Total Testes</v>
      </c>
      <c r="C200" s="237" t="str">
        <f t="shared" si="34"/>
        <v>PROTECTION_INSRNC_ID</v>
      </c>
      <c r="D200" s="232" t="s">
        <v>1114</v>
      </c>
      <c r="E200" s="232" t="s">
        <v>1275</v>
      </c>
      <c r="F200" s="238"/>
      <c r="G200" s="233">
        <f>INDEX(Table1[[Especificação]:[Total Testes]],MATCH('Sheet1 (2)'!C200,Table1[CONCAT],0),MATCH('Sheet1 (2)'!B200,Table1[[#Headers],[Especificação]:[Total Testes]],0))</f>
        <v>0</v>
      </c>
      <c r="H200" s="239">
        <f t="shared" si="35"/>
        <v>0</v>
      </c>
      <c r="I200" s="235"/>
      <c r="J200" s="170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  <c r="AA200" s="165"/>
      <c r="AB200" s="165"/>
      <c r="AC200" s="165"/>
      <c r="AD200" s="165"/>
      <c r="AE200" s="165"/>
      <c r="AF200" s="165"/>
      <c r="AG200" s="165"/>
      <c r="AH200" s="165"/>
      <c r="AI200" s="165"/>
      <c r="AJ200" s="165"/>
      <c r="AK200" s="165"/>
      <c r="AL200" s="165"/>
      <c r="AM200" s="165"/>
      <c r="AN200" s="165"/>
      <c r="AO200" s="165"/>
      <c r="AP200" s="165"/>
      <c r="AQ200" s="165"/>
      <c r="AR200" s="165"/>
      <c r="AS200" s="165"/>
      <c r="AT200" s="165"/>
      <c r="AU200" s="165"/>
      <c r="AV200" s="165"/>
      <c r="AW200" s="165"/>
      <c r="AX200" s="165"/>
      <c r="AY200" s="165"/>
      <c r="AZ200" s="165"/>
      <c r="BA200" s="165"/>
      <c r="BB200" s="170"/>
      <c r="BC200" s="165"/>
      <c r="BD200" s="165"/>
      <c r="BE200" s="165"/>
      <c r="BF200" s="165"/>
      <c r="BG200" s="165"/>
      <c r="BH200" s="165"/>
      <c r="BI200" s="165"/>
      <c r="BJ200" s="165"/>
      <c r="BK200" s="165"/>
      <c r="BL200" s="165"/>
      <c r="BM200" s="165"/>
      <c r="BN200" s="165"/>
      <c r="BO200" s="165"/>
      <c r="BP200" s="165"/>
      <c r="BQ200" s="165"/>
      <c r="BR200" s="165"/>
      <c r="BS200" s="165"/>
      <c r="BT200" s="165"/>
      <c r="BU200" s="165"/>
      <c r="BV200" s="165"/>
      <c r="BW200" s="165"/>
      <c r="BX200" s="165"/>
      <c r="BY200" s="165"/>
      <c r="BZ200" s="165"/>
      <c r="CA200" s="165"/>
      <c r="CB200" s="165"/>
      <c r="CC200" s="165"/>
      <c r="CD200" s="165"/>
      <c r="CE200" s="165"/>
      <c r="CF200" s="165"/>
      <c r="CG200" s="165"/>
      <c r="CH200" s="165"/>
      <c r="CI200" s="170"/>
      <c r="CJ200" s="165"/>
      <c r="CK200" s="165"/>
      <c r="CL200" s="165"/>
      <c r="CM200" s="165"/>
      <c r="CN200" s="170"/>
      <c r="CO200" s="165"/>
      <c r="CP200" s="165"/>
      <c r="CQ200" s="165"/>
    </row>
    <row r="201" spans="1:95" outlineLevel="1" x14ac:dyDescent="0.25">
      <c r="A201" s="228"/>
      <c r="B201" s="236" t="str">
        <f>Table1[[#Headers],[Total Testes]]</f>
        <v>Total Testes</v>
      </c>
      <c r="C201" s="237" t="str">
        <f t="shared" si="34"/>
        <v>PROTECTION_TYP_HZRDS_INSRD</v>
      </c>
      <c r="D201" s="232" t="s">
        <v>1114</v>
      </c>
      <c r="E201" s="232" t="s">
        <v>1278</v>
      </c>
      <c r="F201" s="238"/>
      <c r="G201" s="233">
        <f>INDEX(Table1[[Especificação]:[Total Testes]],MATCH('Sheet1 (2)'!C201,Table1[CONCAT],0),MATCH('Sheet1 (2)'!B201,Table1[[#Headers],[Especificação]:[Total Testes]],0))</f>
        <v>0</v>
      </c>
      <c r="H201" s="239">
        <f t="shared" si="35"/>
        <v>0</v>
      </c>
      <c r="I201" s="235"/>
      <c r="J201" s="170"/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  <c r="AA201" s="165"/>
      <c r="AB201" s="165"/>
      <c r="AC201" s="165"/>
      <c r="AD201" s="165"/>
      <c r="AE201" s="165"/>
      <c r="AF201" s="165"/>
      <c r="AG201" s="165"/>
      <c r="AH201" s="165"/>
      <c r="AI201" s="165"/>
      <c r="AJ201" s="165"/>
      <c r="AK201" s="165"/>
      <c r="AL201" s="165"/>
      <c r="AM201" s="165"/>
      <c r="AN201" s="165"/>
      <c r="AO201" s="165"/>
      <c r="AP201" s="165"/>
      <c r="AQ201" s="165"/>
      <c r="AR201" s="165"/>
      <c r="AS201" s="165"/>
      <c r="AT201" s="165"/>
      <c r="AU201" s="165"/>
      <c r="AV201" s="165"/>
      <c r="AW201" s="165"/>
      <c r="AX201" s="165"/>
      <c r="AY201" s="165"/>
      <c r="AZ201" s="165"/>
      <c r="BA201" s="165"/>
      <c r="BB201" s="170"/>
      <c r="BC201" s="165"/>
      <c r="BD201" s="165"/>
      <c r="BE201" s="165"/>
      <c r="BF201" s="165"/>
      <c r="BG201" s="165"/>
      <c r="BH201" s="165"/>
      <c r="BI201" s="165"/>
      <c r="BJ201" s="165"/>
      <c r="BK201" s="165"/>
      <c r="BL201" s="165"/>
      <c r="BM201" s="165"/>
      <c r="BN201" s="165"/>
      <c r="BO201" s="165"/>
      <c r="BP201" s="165"/>
      <c r="BQ201" s="165"/>
      <c r="BR201" s="165"/>
      <c r="BS201" s="165"/>
      <c r="BT201" s="165"/>
      <c r="BU201" s="165"/>
      <c r="BV201" s="165"/>
      <c r="BW201" s="165"/>
      <c r="BX201" s="165"/>
      <c r="BY201" s="165"/>
      <c r="BZ201" s="165"/>
      <c r="CA201" s="165"/>
      <c r="CB201" s="165"/>
      <c r="CC201" s="165"/>
      <c r="CD201" s="165"/>
      <c r="CE201" s="165"/>
      <c r="CF201" s="165"/>
      <c r="CG201" s="165"/>
      <c r="CH201" s="165"/>
      <c r="CI201" s="170"/>
      <c r="CJ201" s="165"/>
      <c r="CK201" s="165"/>
      <c r="CL201" s="165"/>
      <c r="CM201" s="165"/>
      <c r="CN201" s="170"/>
      <c r="CO201" s="165"/>
      <c r="CP201" s="165"/>
      <c r="CQ201" s="165"/>
    </row>
    <row r="202" spans="1:95" outlineLevel="1" x14ac:dyDescent="0.25">
      <c r="A202" s="228"/>
      <c r="B202" s="236" t="str">
        <f>Table1[[#Headers],[Total Testes]]</f>
        <v>Total Testes</v>
      </c>
      <c r="C202" s="237" t="str">
        <f t="shared" si="34"/>
        <v>PROTECTION_AMNT_CVRD_INSRNC</v>
      </c>
      <c r="D202" s="232" t="s">
        <v>1114</v>
      </c>
      <c r="E202" s="232" t="s">
        <v>1281</v>
      </c>
      <c r="F202" s="238"/>
      <c r="G202" s="233">
        <f>INDEX(Table1[[Especificação]:[Total Testes]],MATCH('Sheet1 (2)'!C202,Table1[CONCAT],0),MATCH('Sheet1 (2)'!B202,Table1[[#Headers],[Especificação]:[Total Testes]],0))</f>
        <v>0</v>
      </c>
      <c r="H202" s="239">
        <f t="shared" si="35"/>
        <v>0</v>
      </c>
      <c r="I202" s="235"/>
      <c r="J202" s="170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  <c r="AA202" s="165"/>
      <c r="AB202" s="165"/>
      <c r="AC202" s="165"/>
      <c r="AD202" s="165"/>
      <c r="AE202" s="165"/>
      <c r="AF202" s="165"/>
      <c r="AG202" s="165"/>
      <c r="AH202" s="165"/>
      <c r="AI202" s="165"/>
      <c r="AJ202" s="165"/>
      <c r="AK202" s="165"/>
      <c r="AL202" s="165"/>
      <c r="AM202" s="165"/>
      <c r="AN202" s="165"/>
      <c r="AO202" s="165"/>
      <c r="AP202" s="165"/>
      <c r="AQ202" s="165"/>
      <c r="AR202" s="165"/>
      <c r="AS202" s="165"/>
      <c r="AT202" s="165"/>
      <c r="AU202" s="165"/>
      <c r="AV202" s="165"/>
      <c r="AW202" s="165"/>
      <c r="AX202" s="165"/>
      <c r="AY202" s="165"/>
      <c r="AZ202" s="165"/>
      <c r="BA202" s="165"/>
      <c r="BB202" s="170"/>
      <c r="BC202" s="165"/>
      <c r="BD202" s="165"/>
      <c r="BE202" s="165"/>
      <c r="BF202" s="165"/>
      <c r="BG202" s="165"/>
      <c r="BH202" s="165"/>
      <c r="BI202" s="203"/>
      <c r="BJ202" s="165"/>
      <c r="BK202" s="165"/>
      <c r="BL202" s="165"/>
      <c r="BM202" s="165"/>
      <c r="BN202" s="165"/>
      <c r="BO202" s="165"/>
      <c r="BP202" s="165"/>
      <c r="BQ202" s="165"/>
      <c r="BR202" s="165"/>
      <c r="BS202" s="165"/>
      <c r="BT202" s="165"/>
      <c r="BU202" s="165"/>
      <c r="BV202" s="165"/>
      <c r="BW202" s="165"/>
      <c r="BX202" s="165"/>
      <c r="BY202" s="165"/>
      <c r="BZ202" s="165"/>
      <c r="CA202" s="165"/>
      <c r="CB202" s="165"/>
      <c r="CC202" s="165"/>
      <c r="CD202" s="165"/>
      <c r="CE202" s="165"/>
      <c r="CF202" s="165"/>
      <c r="CG202" s="165"/>
      <c r="CH202" s="165"/>
      <c r="CI202" s="170"/>
      <c r="CJ202" s="165"/>
      <c r="CK202" s="165"/>
      <c r="CL202" s="165"/>
      <c r="CM202" s="165"/>
      <c r="CN202" s="170"/>
      <c r="CO202" s="165"/>
      <c r="CP202" s="165"/>
      <c r="CQ202" s="165"/>
    </row>
    <row r="203" spans="1:95" outlineLevel="1" x14ac:dyDescent="0.25">
      <c r="A203" s="228"/>
      <c r="B203" s="236" t="str">
        <f>Table1[[#Headers],[Total Testes]]</f>
        <v>Total Testes</v>
      </c>
      <c r="C203" s="237" t="str">
        <f t="shared" si="34"/>
        <v>PROTECTION_DT_MTRTY_INSRNC</v>
      </c>
      <c r="D203" s="232" t="s">
        <v>1114</v>
      </c>
      <c r="E203" s="232" t="s">
        <v>1284</v>
      </c>
      <c r="F203" s="238"/>
      <c r="G203" s="233">
        <f>INDEX(Table1[[Especificação]:[Total Testes]],MATCH('Sheet1 (2)'!C203,Table1[CONCAT],0),MATCH('Sheet1 (2)'!B203,Table1[[#Headers],[Especificação]:[Total Testes]],0))</f>
        <v>0</v>
      </c>
      <c r="H203" s="239">
        <f t="shared" si="35"/>
        <v>0</v>
      </c>
      <c r="I203" s="235"/>
      <c r="J203" s="170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  <c r="AA203" s="165"/>
      <c r="AB203" s="165"/>
      <c r="AC203" s="165"/>
      <c r="AD203" s="165"/>
      <c r="AE203" s="165"/>
      <c r="AF203" s="165"/>
      <c r="AG203" s="165"/>
      <c r="AH203" s="165"/>
      <c r="AI203" s="165"/>
      <c r="AJ203" s="165"/>
      <c r="AK203" s="165"/>
      <c r="AL203" s="165"/>
      <c r="AM203" s="165"/>
      <c r="AN203" s="165"/>
      <c r="AO203" s="165"/>
      <c r="AP203" s="165"/>
      <c r="AQ203" s="165"/>
      <c r="AR203" s="165"/>
      <c r="AS203" s="165"/>
      <c r="AT203" s="165"/>
      <c r="AU203" s="165"/>
      <c r="AV203" s="165"/>
      <c r="AW203" s="165"/>
      <c r="AX203" s="165"/>
      <c r="AY203" s="165"/>
      <c r="AZ203" s="165"/>
      <c r="BA203" s="165"/>
      <c r="BB203" s="170"/>
      <c r="BC203" s="165"/>
      <c r="BD203" s="165"/>
      <c r="BE203" s="165"/>
      <c r="BF203" s="165"/>
      <c r="BG203" s="165"/>
      <c r="BH203" s="165"/>
      <c r="BI203" s="165"/>
      <c r="BJ203" s="165"/>
      <c r="BK203" s="165"/>
      <c r="BL203" s="165"/>
      <c r="BM203" s="165"/>
      <c r="BN203" s="165"/>
      <c r="BO203" s="165"/>
      <c r="BP203" s="165"/>
      <c r="BQ203" s="165"/>
      <c r="BR203" s="165"/>
      <c r="BS203" s="165"/>
      <c r="BT203" s="165"/>
      <c r="BU203" s="165"/>
      <c r="BV203" s="165"/>
      <c r="BW203" s="165"/>
      <c r="BX203" s="165"/>
      <c r="BY203" s="165"/>
      <c r="BZ203" s="165"/>
      <c r="CA203" s="165"/>
      <c r="CB203" s="165"/>
      <c r="CC203" s="165"/>
      <c r="CD203" s="165"/>
      <c r="CE203" s="165"/>
      <c r="CF203" s="165"/>
      <c r="CG203" s="165"/>
      <c r="CH203" s="165"/>
      <c r="CI203" s="170"/>
      <c r="CJ203" s="165"/>
      <c r="CK203" s="165"/>
      <c r="CL203" s="165"/>
      <c r="CM203" s="165"/>
      <c r="CN203" s="170"/>
      <c r="CO203" s="165"/>
      <c r="CP203" s="165"/>
      <c r="CQ203" s="165"/>
    </row>
    <row r="204" spans="1:95" outlineLevel="1" x14ac:dyDescent="0.25">
      <c r="A204" s="228"/>
      <c r="B204" s="236" t="str">
        <f>Table1[[#Headers],[Total Testes]]</f>
        <v>Total Testes</v>
      </c>
      <c r="C204" s="237" t="str">
        <f t="shared" si="34"/>
        <v>PROTECTION_FLG_FRST_HM</v>
      </c>
      <c r="D204" s="232" t="s">
        <v>1114</v>
      </c>
      <c r="E204" s="243" t="s">
        <v>1287</v>
      </c>
      <c r="F204" s="238"/>
      <c r="G204" s="233">
        <f>INDEX(Table1[[Especificação]:[Total Testes]],MATCH('Sheet1 (2)'!C204,Table1[CONCAT],0),MATCH('Sheet1 (2)'!B204,Table1[[#Headers],[Especificação]:[Total Testes]],0))</f>
        <v>0</v>
      </c>
      <c r="H204" s="239">
        <f t="shared" si="35"/>
        <v>0</v>
      </c>
      <c r="I204" s="235"/>
      <c r="J204" s="170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  <c r="AA204" s="165"/>
      <c r="AB204" s="165"/>
      <c r="AC204" s="165"/>
      <c r="AD204" s="165"/>
      <c r="AE204" s="165"/>
      <c r="AF204" s="165"/>
      <c r="AG204" s="165"/>
      <c r="AH204" s="165"/>
      <c r="AI204" s="165"/>
      <c r="AJ204" s="165"/>
      <c r="AK204" s="165"/>
      <c r="AL204" s="165"/>
      <c r="AM204" s="165"/>
      <c r="AN204" s="165"/>
      <c r="AO204" s="165"/>
      <c r="AP204" s="165"/>
      <c r="AQ204" s="165"/>
      <c r="AR204" s="165"/>
      <c r="AS204" s="165"/>
      <c r="AT204" s="165"/>
      <c r="AU204" s="165"/>
      <c r="AV204" s="165"/>
      <c r="AW204" s="165"/>
      <c r="AX204" s="165"/>
      <c r="AY204" s="165"/>
      <c r="AZ204" s="165"/>
      <c r="BA204" s="165"/>
      <c r="BB204" s="170"/>
      <c r="BC204" s="165"/>
      <c r="BD204" s="165"/>
      <c r="BE204" s="165"/>
      <c r="BF204" s="165"/>
      <c r="BG204" s="165"/>
      <c r="BH204" s="165"/>
      <c r="BI204" s="165"/>
      <c r="BJ204" s="165"/>
      <c r="BK204" s="165"/>
      <c r="BL204" s="165"/>
      <c r="BM204" s="165"/>
      <c r="BN204" s="165"/>
      <c r="BO204" s="165"/>
      <c r="BP204" s="165"/>
      <c r="BQ204" s="165"/>
      <c r="BR204" s="165"/>
      <c r="BS204" s="165"/>
      <c r="BT204" s="165"/>
      <c r="BU204" s="165"/>
      <c r="BV204" s="165"/>
      <c r="BW204" s="165"/>
      <c r="BX204" s="165"/>
      <c r="BY204" s="165"/>
      <c r="BZ204" s="165"/>
      <c r="CA204" s="165"/>
      <c r="CB204" s="165"/>
      <c r="CC204" s="165"/>
      <c r="CD204" s="165"/>
      <c r="CE204" s="165"/>
      <c r="CF204" s="165"/>
      <c r="CG204" s="165"/>
      <c r="CH204" s="165"/>
      <c r="CI204" s="170"/>
      <c r="CJ204" s="165"/>
      <c r="CK204" s="165"/>
      <c r="CL204" s="165"/>
      <c r="CM204" s="165"/>
      <c r="CN204" s="170"/>
      <c r="CO204" s="165"/>
      <c r="CP204" s="165"/>
      <c r="CQ204" s="165"/>
    </row>
    <row r="205" spans="1:95" outlineLevel="1" x14ac:dyDescent="0.25">
      <c r="A205" s="228"/>
      <c r="B205" s="236" t="str">
        <f>Table1[[#Headers],[Total Testes]]</f>
        <v>Total Testes</v>
      </c>
      <c r="C205" s="237" t="str">
        <f t="shared" si="34"/>
        <v>ENTITY_ENTTY_NM</v>
      </c>
      <c r="D205" s="232" t="s">
        <v>10</v>
      </c>
      <c r="E205" s="232" t="s">
        <v>59</v>
      </c>
      <c r="F205" s="238"/>
      <c r="G205" s="233">
        <f>INDEX(Table1[[Especificação]:[Total Testes]],MATCH('Sheet1 (2)'!C205,Table1[CONCAT],0),MATCH('Sheet1 (2)'!B205,Table1[[#Headers],[Especificação]:[Total Testes]],0))</f>
        <v>0</v>
      </c>
      <c r="H205" s="239">
        <f t="shared" si="35"/>
        <v>0</v>
      </c>
      <c r="I205" s="235"/>
      <c r="J205" s="170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5"/>
      <c r="AO205" s="165"/>
      <c r="AP205" s="165"/>
      <c r="AQ205" s="165"/>
      <c r="AR205" s="165"/>
      <c r="AS205" s="165"/>
      <c r="AT205" s="165"/>
      <c r="AU205" s="165"/>
      <c r="AV205" s="165"/>
      <c r="AW205" s="165"/>
      <c r="AX205" s="165"/>
      <c r="AY205" s="165"/>
      <c r="AZ205" s="165"/>
      <c r="BA205" s="165"/>
      <c r="BB205" s="170"/>
      <c r="BC205" s="165"/>
      <c r="BD205" s="165"/>
      <c r="BE205" s="165"/>
      <c r="BF205" s="165"/>
      <c r="BG205" s="165"/>
      <c r="BH205" s="165"/>
      <c r="BI205" s="165"/>
      <c r="BJ205" s="165"/>
      <c r="BK205" s="165"/>
      <c r="BL205" s="165"/>
      <c r="BM205" s="165"/>
      <c r="BN205" s="165"/>
      <c r="BO205" s="165"/>
      <c r="BP205" s="165"/>
      <c r="BQ205" s="165"/>
      <c r="BR205" s="165"/>
      <c r="BS205" s="165"/>
      <c r="BT205" s="165"/>
      <c r="BU205" s="165"/>
      <c r="BV205" s="165"/>
      <c r="BW205" s="165"/>
      <c r="BX205" s="165"/>
      <c r="BY205" s="165"/>
      <c r="BZ205" s="165"/>
      <c r="CA205" s="165"/>
      <c r="CB205" s="165"/>
      <c r="CC205" s="165"/>
      <c r="CD205" s="165"/>
      <c r="CE205" s="165"/>
      <c r="CF205" s="165"/>
      <c r="CG205" s="165"/>
      <c r="CH205" s="165"/>
      <c r="CI205" s="170"/>
      <c r="CJ205" s="165"/>
      <c r="CK205" s="165"/>
      <c r="CL205" s="165"/>
      <c r="CM205" s="165"/>
      <c r="CN205" s="170"/>
      <c r="CO205" s="165"/>
      <c r="CP205" s="165"/>
      <c r="CQ205" s="165"/>
    </row>
    <row r="206" spans="1:95" outlineLevel="1" x14ac:dyDescent="0.25">
      <c r="A206" s="228"/>
      <c r="B206" s="236" t="str">
        <f>Table1[[#Headers],[Total Testes]]</f>
        <v>Total Testes</v>
      </c>
      <c r="C206" s="237" t="str">
        <f t="shared" si="34"/>
        <v>ENTITY_EC_GRP_NM</v>
      </c>
      <c r="D206" s="232" t="s">
        <v>10</v>
      </c>
      <c r="E206" s="232" t="s">
        <v>284</v>
      </c>
      <c r="F206" s="238"/>
      <c r="G206" s="233">
        <f>INDEX(Table1[[Especificação]:[Total Testes]],MATCH('Sheet1 (2)'!C206,Table1[CONCAT],0),MATCH('Sheet1 (2)'!B206,Table1[[#Headers],[Especificação]:[Total Testes]],0))</f>
        <v>0</v>
      </c>
      <c r="H206" s="239">
        <f t="shared" si="35"/>
        <v>0</v>
      </c>
      <c r="I206" s="235"/>
      <c r="J206" s="170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  <c r="AA206" s="165"/>
      <c r="AB206" s="165"/>
      <c r="AC206" s="165"/>
      <c r="AD206" s="165"/>
      <c r="AE206" s="165"/>
      <c r="AF206" s="165"/>
      <c r="AG206" s="165"/>
      <c r="AH206" s="165"/>
      <c r="AI206" s="165"/>
      <c r="AJ206" s="165"/>
      <c r="AK206" s="165"/>
      <c r="AL206" s="165"/>
      <c r="AM206" s="165"/>
      <c r="AN206" s="165"/>
      <c r="AO206" s="165"/>
      <c r="AP206" s="165"/>
      <c r="AQ206" s="165"/>
      <c r="AR206" s="165"/>
      <c r="AS206" s="165"/>
      <c r="AT206" s="165"/>
      <c r="AU206" s="165"/>
      <c r="AV206" s="165"/>
      <c r="AW206" s="165"/>
      <c r="AX206" s="165"/>
      <c r="AY206" s="165"/>
      <c r="AZ206" s="165"/>
      <c r="BA206" s="165"/>
      <c r="BB206" s="170"/>
      <c r="BC206" s="165"/>
      <c r="BD206" s="165"/>
      <c r="BE206" s="165"/>
      <c r="BF206" s="165"/>
      <c r="BG206" s="165"/>
      <c r="BH206" s="165"/>
      <c r="BI206" s="165"/>
      <c r="BJ206" s="165"/>
      <c r="BK206" s="165"/>
      <c r="BL206" s="165"/>
      <c r="BM206" s="165"/>
      <c r="BN206" s="165"/>
      <c r="BO206" s="165"/>
      <c r="BP206" s="165"/>
      <c r="BQ206" s="165"/>
      <c r="BR206" s="165"/>
      <c r="BS206" s="165"/>
      <c r="BT206" s="165"/>
      <c r="BU206" s="165"/>
      <c r="BV206" s="165"/>
      <c r="BW206" s="165"/>
      <c r="BX206" s="165"/>
      <c r="BY206" s="165"/>
      <c r="BZ206" s="165"/>
      <c r="CA206" s="165"/>
      <c r="CB206" s="165"/>
      <c r="CC206" s="165"/>
      <c r="CD206" s="165"/>
      <c r="CE206" s="165"/>
      <c r="CF206" s="165"/>
      <c r="CG206" s="165"/>
      <c r="CH206" s="165"/>
      <c r="CI206" s="170"/>
      <c r="CJ206" s="165"/>
      <c r="CK206" s="165"/>
      <c r="CL206" s="165"/>
      <c r="CM206" s="165"/>
      <c r="CN206" s="170"/>
      <c r="CO206" s="165"/>
      <c r="CP206" s="165"/>
      <c r="CQ206" s="165"/>
    </row>
    <row r="207" spans="1:95" outlineLevel="1" x14ac:dyDescent="0.25">
      <c r="A207" s="228"/>
      <c r="B207" s="236" t="str">
        <f>Table1[[#Headers],[Total Testes]]</f>
        <v>Total Testes</v>
      </c>
      <c r="C207" s="237" t="str">
        <f t="shared" si="34"/>
        <v>INSTRUMENT_FRBRNC_STTS_INSTRMNT</v>
      </c>
      <c r="D207" s="232" t="s">
        <v>414</v>
      </c>
      <c r="E207" s="232" t="s">
        <v>501</v>
      </c>
      <c r="F207" s="238"/>
      <c r="G207" s="233">
        <f>INDEX(Table1[[Especificação]:[Total Testes]],MATCH('Sheet1 (2)'!C207,Table1[CONCAT],0),MATCH('Sheet1 (2)'!B207,Table1[[#Headers],[Especificação]:[Total Testes]],0))</f>
        <v>0</v>
      </c>
      <c r="H207" s="239">
        <f t="shared" si="35"/>
        <v>0</v>
      </c>
      <c r="I207" s="235"/>
      <c r="J207" s="170"/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  <c r="AA207" s="165"/>
      <c r="AB207" s="165"/>
      <c r="AC207" s="165"/>
      <c r="AD207" s="165"/>
      <c r="AE207" s="165"/>
      <c r="AF207" s="165"/>
      <c r="AG207" s="165"/>
      <c r="AH207" s="165"/>
      <c r="AI207" s="165"/>
      <c r="AJ207" s="165"/>
      <c r="AK207" s="165"/>
      <c r="AL207" s="165"/>
      <c r="AM207" s="165"/>
      <c r="AN207" s="165"/>
      <c r="AO207" s="165"/>
      <c r="AP207" s="165"/>
      <c r="AQ207" s="165"/>
      <c r="AR207" s="165"/>
      <c r="AS207" s="165"/>
      <c r="AT207" s="165"/>
      <c r="AU207" s="165"/>
      <c r="AV207" s="165"/>
      <c r="AW207" s="165"/>
      <c r="AX207" s="165"/>
      <c r="AY207" s="165"/>
      <c r="AZ207" s="165"/>
      <c r="BA207" s="165"/>
      <c r="BB207" s="170"/>
      <c r="BC207" s="165"/>
      <c r="BD207" s="165"/>
      <c r="BE207" s="165"/>
      <c r="BF207" s="165"/>
      <c r="BG207" s="165"/>
      <c r="BH207" s="165"/>
      <c r="BI207" s="165"/>
      <c r="BJ207" s="165"/>
      <c r="BK207" s="165"/>
      <c r="BL207" s="165"/>
      <c r="BM207" s="165"/>
      <c r="BN207" s="165"/>
      <c r="BO207" s="165"/>
      <c r="BP207" s="165"/>
      <c r="BQ207" s="165"/>
      <c r="BR207" s="165"/>
      <c r="BS207" s="165"/>
      <c r="BT207" s="165"/>
      <c r="BU207" s="165"/>
      <c r="BV207" s="165"/>
      <c r="BW207" s="165"/>
      <c r="BX207" s="165"/>
      <c r="BY207" s="165"/>
      <c r="BZ207" s="165"/>
      <c r="CA207" s="165"/>
      <c r="CB207" s="165"/>
      <c r="CC207" s="165"/>
      <c r="CD207" s="165"/>
      <c r="CE207" s="165"/>
      <c r="CF207" s="165"/>
      <c r="CG207" s="165"/>
      <c r="CH207" s="165"/>
      <c r="CI207" s="170"/>
      <c r="CJ207" s="165"/>
      <c r="CK207" s="165"/>
      <c r="CL207" s="165"/>
      <c r="CM207" s="165"/>
      <c r="CN207" s="170"/>
      <c r="CO207" s="165"/>
      <c r="CP207" s="165"/>
      <c r="CQ207" s="165"/>
    </row>
    <row r="208" spans="1:95" outlineLevel="1" x14ac:dyDescent="0.25">
      <c r="A208" s="228"/>
      <c r="B208" s="236" t="str">
        <f>Table1[[#Headers],[Total Testes]]</f>
        <v>Total Testes</v>
      </c>
      <c r="C208" s="237" t="str">
        <f t="shared" si="34"/>
        <v>INSTRUMENT_IFRS9_BHVRL_MTRTY</v>
      </c>
      <c r="D208" s="232" t="s">
        <v>414</v>
      </c>
      <c r="E208" s="232" t="s">
        <v>614</v>
      </c>
      <c r="F208" s="238"/>
      <c r="G208" s="233">
        <f>INDEX(Table1[[Especificação]:[Total Testes]],MATCH('Sheet1 (2)'!C208,Table1[CONCAT],0),MATCH('Sheet1 (2)'!B208,Table1[[#Headers],[Especificação]:[Total Testes]],0))</f>
        <v>0</v>
      </c>
      <c r="H208" s="239">
        <f t="shared" si="35"/>
        <v>0</v>
      </c>
      <c r="I208" s="235"/>
      <c r="J208" s="170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  <c r="AA208" s="165"/>
      <c r="AB208" s="165"/>
      <c r="AC208" s="165"/>
      <c r="AD208" s="165"/>
      <c r="AE208" s="165"/>
      <c r="AF208" s="165"/>
      <c r="AG208" s="165"/>
      <c r="AH208" s="165"/>
      <c r="AI208" s="165"/>
      <c r="AJ208" s="165"/>
      <c r="AK208" s="165"/>
      <c r="AL208" s="165"/>
      <c r="AM208" s="165"/>
      <c r="AN208" s="165"/>
      <c r="AO208" s="165"/>
      <c r="AP208" s="165"/>
      <c r="AQ208" s="165"/>
      <c r="AR208" s="165"/>
      <c r="AS208" s="165"/>
      <c r="AT208" s="165"/>
      <c r="AU208" s="165"/>
      <c r="AV208" s="165"/>
      <c r="AW208" s="165"/>
      <c r="AX208" s="165"/>
      <c r="AY208" s="165"/>
      <c r="AZ208" s="165"/>
      <c r="BA208" s="165"/>
      <c r="BB208" s="170"/>
      <c r="BC208" s="165"/>
      <c r="BD208" s="165"/>
      <c r="BE208" s="165"/>
      <c r="BF208" s="165"/>
      <c r="BG208" s="165"/>
      <c r="BH208" s="165"/>
      <c r="BI208" s="165"/>
      <c r="BJ208" s="165"/>
      <c r="BK208" s="165"/>
      <c r="BL208" s="165"/>
      <c r="BM208" s="165"/>
      <c r="BN208" s="165"/>
      <c r="BO208" s="165"/>
      <c r="BP208" s="165"/>
      <c r="BQ208" s="165"/>
      <c r="BR208" s="165"/>
      <c r="BS208" s="165"/>
      <c r="BT208" s="165"/>
      <c r="BU208" s="165"/>
      <c r="BV208" s="165"/>
      <c r="BW208" s="165"/>
      <c r="BX208" s="165"/>
      <c r="BY208" s="165"/>
      <c r="BZ208" s="165"/>
      <c r="CA208" s="165"/>
      <c r="CB208" s="165"/>
      <c r="CC208" s="165"/>
      <c r="CD208" s="165"/>
      <c r="CE208" s="165"/>
      <c r="CF208" s="165"/>
      <c r="CG208" s="165"/>
      <c r="CH208" s="165"/>
      <c r="CI208" s="170"/>
      <c r="CJ208" s="165"/>
      <c r="CK208" s="165"/>
      <c r="CL208" s="165"/>
      <c r="CM208" s="165"/>
      <c r="CN208" s="170"/>
      <c r="CO208" s="165"/>
      <c r="CP208" s="165"/>
      <c r="CQ208" s="165"/>
    </row>
    <row r="209" spans="1:95" outlineLevel="1" x14ac:dyDescent="0.25">
      <c r="A209" s="228"/>
      <c r="B209" s="236" t="str">
        <f>Table1[[#Headers],[Total Testes]]</f>
        <v>Total Testes</v>
      </c>
      <c r="C209" s="237" t="str">
        <f t="shared" si="34"/>
        <v>INSTRUMENT_LTV</v>
      </c>
      <c r="D209" s="232" t="s">
        <v>414</v>
      </c>
      <c r="E209" s="232" t="s">
        <v>724</v>
      </c>
      <c r="F209" s="238"/>
      <c r="G209" s="233">
        <f>INDEX(Table1[[Especificação]:[Total Testes]],MATCH('Sheet1 (2)'!C209,Table1[CONCAT],0),MATCH('Sheet1 (2)'!B209,Table1[[#Headers],[Especificação]:[Total Testes]],0))</f>
        <v>0</v>
      </c>
      <c r="H209" s="239">
        <f t="shared" si="35"/>
        <v>0</v>
      </c>
      <c r="I209" s="235"/>
      <c r="J209" s="170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  <c r="AA209" s="165"/>
      <c r="AB209" s="165"/>
      <c r="AC209" s="165"/>
      <c r="AD209" s="165"/>
      <c r="AE209" s="165"/>
      <c r="AF209" s="165"/>
      <c r="AG209" s="165"/>
      <c r="AH209" s="165"/>
      <c r="AI209" s="165"/>
      <c r="AJ209" s="165"/>
      <c r="AK209" s="165"/>
      <c r="AL209" s="165"/>
      <c r="AM209" s="165"/>
      <c r="AN209" s="165"/>
      <c r="AO209" s="165"/>
      <c r="AP209" s="165"/>
      <c r="AQ209" s="165"/>
      <c r="AR209" s="165"/>
      <c r="AS209" s="165"/>
      <c r="AT209" s="165"/>
      <c r="AU209" s="165"/>
      <c r="AV209" s="165"/>
      <c r="AW209" s="165"/>
      <c r="AX209" s="165"/>
      <c r="AY209" s="165"/>
      <c r="AZ209" s="165"/>
      <c r="BA209" s="165"/>
      <c r="BB209" s="170"/>
      <c r="BC209" s="165"/>
      <c r="BD209" s="165"/>
      <c r="BE209" s="165"/>
      <c r="BF209" s="165"/>
      <c r="BG209" s="165"/>
      <c r="BH209" s="165"/>
      <c r="BI209" s="165"/>
      <c r="BJ209" s="165"/>
      <c r="BK209" s="165"/>
      <c r="BL209" s="165"/>
      <c r="BM209" s="165"/>
      <c r="BN209" s="165"/>
      <c r="BO209" s="165"/>
      <c r="BP209" s="165"/>
      <c r="BQ209" s="165"/>
      <c r="BR209" s="165"/>
      <c r="BS209" s="165"/>
      <c r="BT209" s="165"/>
      <c r="BU209" s="165"/>
      <c r="BV209" s="165"/>
      <c r="BW209" s="165"/>
      <c r="BX209" s="165"/>
      <c r="BY209" s="165"/>
      <c r="BZ209" s="165"/>
      <c r="CA209" s="165"/>
      <c r="CB209" s="165"/>
      <c r="CC209" s="165"/>
      <c r="CD209" s="165"/>
      <c r="CE209" s="165"/>
      <c r="CF209" s="165"/>
      <c r="CG209" s="165"/>
      <c r="CH209" s="165"/>
      <c r="CI209" s="170"/>
      <c r="CJ209" s="165"/>
      <c r="CK209" s="165"/>
      <c r="CL209" s="165"/>
      <c r="CM209" s="165"/>
      <c r="CN209" s="170"/>
      <c r="CO209" s="165"/>
      <c r="CP209" s="165"/>
      <c r="CQ209" s="165"/>
    </row>
    <row r="210" spans="1:95" outlineLevel="1" x14ac:dyDescent="0.25">
      <c r="A210" s="228"/>
      <c r="B210" s="236" t="str">
        <f>Table1[[#Headers],[Total Testes]]</f>
        <v>Total Testes</v>
      </c>
      <c r="C210" s="237" t="str">
        <f t="shared" si="34"/>
        <v>INSTRUMENT_LTV_INCPTN</v>
      </c>
      <c r="D210" s="232" t="s">
        <v>414</v>
      </c>
      <c r="E210" s="232" t="s">
        <v>727</v>
      </c>
      <c r="F210" s="238"/>
      <c r="G210" s="233">
        <f>INDEX(Table1[[Especificação]:[Total Testes]],MATCH('Sheet1 (2)'!C210,Table1[CONCAT],0),MATCH('Sheet1 (2)'!B210,Table1[[#Headers],[Especificação]:[Total Testes]],0))</f>
        <v>0</v>
      </c>
      <c r="H210" s="239">
        <f t="shared" si="35"/>
        <v>0</v>
      </c>
      <c r="I210" s="235"/>
      <c r="J210" s="170"/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5"/>
      <c r="AJ210" s="165"/>
      <c r="AK210" s="165"/>
      <c r="AL210" s="165"/>
      <c r="AM210" s="165"/>
      <c r="AN210" s="165"/>
      <c r="AO210" s="165"/>
      <c r="AP210" s="165"/>
      <c r="AQ210" s="165"/>
      <c r="AR210" s="165"/>
      <c r="AS210" s="165"/>
      <c r="AT210" s="165"/>
      <c r="AU210" s="165"/>
      <c r="AV210" s="165"/>
      <c r="AW210" s="165"/>
      <c r="AX210" s="165"/>
      <c r="AY210" s="165"/>
      <c r="AZ210" s="165"/>
      <c r="BA210" s="165"/>
      <c r="BB210" s="170"/>
      <c r="BC210" s="165"/>
      <c r="BD210" s="165"/>
      <c r="BE210" s="165"/>
      <c r="BF210" s="165"/>
      <c r="BG210" s="165"/>
      <c r="BH210" s="165"/>
      <c r="BI210" s="165"/>
      <c r="BJ210" s="165"/>
      <c r="BK210" s="165"/>
      <c r="BL210" s="165"/>
      <c r="BM210" s="165"/>
      <c r="BN210" s="165"/>
      <c r="BO210" s="165"/>
      <c r="BP210" s="165"/>
      <c r="BQ210" s="165"/>
      <c r="BR210" s="165"/>
      <c r="BS210" s="165"/>
      <c r="BT210" s="165"/>
      <c r="BU210" s="165"/>
      <c r="BV210" s="165"/>
      <c r="BW210" s="165"/>
      <c r="BX210" s="165"/>
      <c r="BY210" s="165"/>
      <c r="BZ210" s="165"/>
      <c r="CA210" s="165"/>
      <c r="CB210" s="165"/>
      <c r="CC210" s="165"/>
      <c r="CD210" s="165"/>
      <c r="CE210" s="165"/>
      <c r="CF210" s="165"/>
      <c r="CG210" s="165"/>
      <c r="CH210" s="165"/>
      <c r="CI210" s="170"/>
      <c r="CJ210" s="165"/>
      <c r="CK210" s="165"/>
      <c r="CL210" s="165"/>
      <c r="CM210" s="165"/>
      <c r="CN210" s="170"/>
      <c r="CO210" s="165"/>
      <c r="CP210" s="165"/>
      <c r="CQ210" s="165"/>
    </row>
    <row r="211" spans="1:95" outlineLevel="1" x14ac:dyDescent="0.25">
      <c r="A211" s="228"/>
      <c r="B211" s="236" t="str">
        <f>Table1[[#Headers],[Total Testes]]</f>
        <v>Total Testes</v>
      </c>
      <c r="C211" s="237" t="str">
        <f t="shared" si="34"/>
        <v>INSTRUMENT_ANNLSD_AGRD_RT</v>
      </c>
      <c r="D211" s="232" t="s">
        <v>414</v>
      </c>
      <c r="E211" s="232" t="s">
        <v>757</v>
      </c>
      <c r="F211" s="238"/>
      <c r="G211" s="233">
        <f>INDEX(Table1[[Especificação]:[Total Testes]],MATCH('Sheet1 (2)'!C211,Table1[CONCAT],0),MATCH('Sheet1 (2)'!B211,Table1[[#Headers],[Especificação]:[Total Testes]],0))</f>
        <v>0</v>
      </c>
      <c r="H211" s="239">
        <f t="shared" si="35"/>
        <v>0</v>
      </c>
      <c r="I211" s="235"/>
      <c r="J211" s="170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5"/>
      <c r="AJ211" s="165"/>
      <c r="AK211" s="165"/>
      <c r="AL211" s="165"/>
      <c r="AM211" s="165"/>
      <c r="AN211" s="165"/>
      <c r="AO211" s="165"/>
      <c r="AP211" s="165"/>
      <c r="AQ211" s="165"/>
      <c r="AR211" s="165"/>
      <c r="AS211" s="165"/>
      <c r="AT211" s="165"/>
      <c r="AU211" s="165"/>
      <c r="AV211" s="165"/>
      <c r="AW211" s="165"/>
      <c r="AX211" s="165"/>
      <c r="AY211" s="165"/>
      <c r="AZ211" s="165"/>
      <c r="BA211" s="165"/>
      <c r="BB211" s="170"/>
      <c r="BC211" s="165"/>
      <c r="BD211" s="165"/>
      <c r="BE211" s="165"/>
      <c r="BF211" s="165"/>
      <c r="BG211" s="165"/>
      <c r="BH211" s="165"/>
      <c r="BI211" s="165"/>
      <c r="BJ211" s="165"/>
      <c r="BK211" s="165"/>
      <c r="BL211" s="165"/>
      <c r="BM211" s="165"/>
      <c r="BN211" s="165"/>
      <c r="BO211" s="165"/>
      <c r="BP211" s="165"/>
      <c r="BQ211" s="165"/>
      <c r="BR211" s="165"/>
      <c r="BS211" s="165"/>
      <c r="BT211" s="165"/>
      <c r="BU211" s="165"/>
      <c r="BV211" s="165"/>
      <c r="BW211" s="165"/>
      <c r="BX211" s="165"/>
      <c r="BY211" s="165"/>
      <c r="BZ211" s="165"/>
      <c r="CA211" s="165"/>
      <c r="CB211" s="165"/>
      <c r="CC211" s="165"/>
      <c r="CD211" s="165"/>
      <c r="CE211" s="165"/>
      <c r="CF211" s="165"/>
      <c r="CG211" s="165"/>
      <c r="CH211" s="165"/>
      <c r="CI211" s="170"/>
      <c r="CJ211" s="165"/>
      <c r="CK211" s="165"/>
      <c r="CL211" s="165"/>
      <c r="CM211" s="165"/>
      <c r="CN211" s="170"/>
      <c r="CO211" s="165"/>
      <c r="CP211" s="165"/>
      <c r="CQ211" s="165"/>
    </row>
    <row r="212" spans="1:95" outlineLevel="1" x14ac:dyDescent="0.25">
      <c r="A212" s="228"/>
      <c r="B212" s="236" t="str">
        <f>Table1[[#Headers],[Total Testes]]</f>
        <v>Total Testes</v>
      </c>
      <c r="C212" s="237" t="str">
        <f t="shared" si="34"/>
        <v>INSTRUMENT_EIR_INCPTN</v>
      </c>
      <c r="D212" s="232" t="s">
        <v>414</v>
      </c>
      <c r="E212" s="232" t="s">
        <v>763</v>
      </c>
      <c r="F212" s="238"/>
      <c r="G212" s="233">
        <f>INDEX(Table1[[Especificação]:[Total Testes]],MATCH('Sheet1 (2)'!C212,Table1[CONCAT],0),MATCH('Sheet1 (2)'!B212,Table1[[#Headers],[Especificação]:[Total Testes]],0))</f>
        <v>0</v>
      </c>
      <c r="H212" s="239">
        <f t="shared" si="35"/>
        <v>0</v>
      </c>
      <c r="I212" s="235"/>
      <c r="J212" s="170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  <c r="AA212" s="165"/>
      <c r="AB212" s="165"/>
      <c r="AC212" s="165"/>
      <c r="AD212" s="165"/>
      <c r="AE212" s="165"/>
      <c r="AF212" s="165"/>
      <c r="AG212" s="165"/>
      <c r="AH212" s="165"/>
      <c r="AI212" s="165"/>
      <c r="AJ212" s="165"/>
      <c r="AK212" s="165"/>
      <c r="AL212" s="165"/>
      <c r="AM212" s="165"/>
      <c r="AN212" s="165"/>
      <c r="AO212" s="165"/>
      <c r="AP212" s="165"/>
      <c r="AQ212" s="165"/>
      <c r="AR212" s="165"/>
      <c r="AS212" s="165"/>
      <c r="AT212" s="165"/>
      <c r="AU212" s="165"/>
      <c r="AV212" s="165"/>
      <c r="AW212" s="165"/>
      <c r="AX212" s="165"/>
      <c r="AY212" s="165"/>
      <c r="AZ212" s="165"/>
      <c r="BA212" s="165"/>
      <c r="BB212" s="170"/>
      <c r="BC212" s="165"/>
      <c r="BD212" s="165"/>
      <c r="BE212" s="165"/>
      <c r="BF212" s="165"/>
      <c r="BG212" s="165"/>
      <c r="BH212" s="165"/>
      <c r="BI212" s="165"/>
      <c r="BJ212" s="165"/>
      <c r="BK212" s="165"/>
      <c r="BL212" s="165"/>
      <c r="BM212" s="165"/>
      <c r="BN212" s="165"/>
      <c r="BO212" s="165"/>
      <c r="BP212" s="165"/>
      <c r="BQ212" s="165"/>
      <c r="BR212" s="165"/>
      <c r="BS212" s="165"/>
      <c r="BT212" s="165"/>
      <c r="BU212" s="165"/>
      <c r="BV212" s="165"/>
      <c r="BW212" s="165"/>
      <c r="BX212" s="165"/>
      <c r="BY212" s="165"/>
      <c r="BZ212" s="165"/>
      <c r="CA212" s="165"/>
      <c r="CB212" s="165"/>
      <c r="CC212" s="165"/>
      <c r="CD212" s="165"/>
      <c r="CE212" s="165"/>
      <c r="CF212" s="165"/>
      <c r="CG212" s="165"/>
      <c r="CH212" s="165"/>
      <c r="CI212" s="170"/>
      <c r="CJ212" s="165"/>
      <c r="CK212" s="165"/>
      <c r="CL212" s="165"/>
      <c r="CM212" s="165"/>
      <c r="CN212" s="170"/>
      <c r="CO212" s="165"/>
      <c r="CP212" s="165"/>
      <c r="CQ212" s="165"/>
    </row>
    <row r="213" spans="1:95" outlineLevel="1" x14ac:dyDescent="0.25">
      <c r="A213" s="228"/>
      <c r="B213" s="236" t="str">
        <f>Table1[[#Headers],[Total Testes]]</f>
        <v>Total Testes</v>
      </c>
      <c r="C213" s="237" t="str">
        <f t="shared" si="34"/>
        <v>PROTECTION_YR_CNSTRCTN</v>
      </c>
      <c r="D213" s="232" t="s">
        <v>1114</v>
      </c>
      <c r="E213" s="232" t="s">
        <v>1290</v>
      </c>
      <c r="F213" s="238"/>
      <c r="G213" s="233">
        <f>INDEX(Table1[[Especificação]:[Total Testes]],MATCH('Sheet1 (2)'!C213,Table1[CONCAT],0),MATCH('Sheet1 (2)'!B213,Table1[[#Headers],[Especificação]:[Total Testes]],0))</f>
        <v>0</v>
      </c>
      <c r="H213" s="239">
        <f t="shared" si="35"/>
        <v>0</v>
      </c>
      <c r="I213" s="235"/>
      <c r="J213" s="170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  <c r="AA213" s="165"/>
      <c r="AB213" s="165"/>
      <c r="AC213" s="165"/>
      <c r="AD213" s="165"/>
      <c r="AE213" s="165"/>
      <c r="AF213" s="165"/>
      <c r="AG213" s="165"/>
      <c r="AH213" s="165"/>
      <c r="AI213" s="165"/>
      <c r="AJ213" s="165"/>
      <c r="AK213" s="165"/>
      <c r="AL213" s="165"/>
      <c r="AM213" s="165"/>
      <c r="AN213" s="165"/>
      <c r="AO213" s="165"/>
      <c r="AP213" s="165"/>
      <c r="AQ213" s="165"/>
      <c r="AR213" s="165"/>
      <c r="AS213" s="165"/>
      <c r="AT213" s="165"/>
      <c r="AU213" s="165"/>
      <c r="AV213" s="165"/>
      <c r="AW213" s="165"/>
      <c r="AX213" s="165"/>
      <c r="AY213" s="165"/>
      <c r="AZ213" s="165"/>
      <c r="BA213" s="165"/>
      <c r="BB213" s="170"/>
      <c r="BC213" s="165"/>
      <c r="BD213" s="165"/>
      <c r="BE213" s="165"/>
      <c r="BF213" s="165"/>
      <c r="BG213" s="165"/>
      <c r="BH213" s="165"/>
      <c r="BI213" s="165"/>
      <c r="BJ213" s="165"/>
      <c r="BK213" s="165"/>
      <c r="BL213" s="165"/>
      <c r="BM213" s="165"/>
      <c r="BN213" s="165"/>
      <c r="BO213" s="165"/>
      <c r="BP213" s="165"/>
      <c r="BQ213" s="165"/>
      <c r="BR213" s="165"/>
      <c r="BS213" s="165"/>
      <c r="BT213" s="165"/>
      <c r="BU213" s="165"/>
      <c r="BV213" s="165"/>
      <c r="BW213" s="165"/>
      <c r="BX213" s="165"/>
      <c r="BY213" s="165"/>
      <c r="BZ213" s="165"/>
      <c r="CA213" s="165"/>
      <c r="CB213" s="165"/>
      <c r="CC213" s="165"/>
      <c r="CD213" s="165"/>
      <c r="CE213" s="165"/>
      <c r="CF213" s="165"/>
      <c r="CG213" s="165"/>
      <c r="CH213" s="165"/>
      <c r="CI213" s="170"/>
      <c r="CJ213" s="165"/>
      <c r="CK213" s="165"/>
      <c r="CL213" s="165"/>
      <c r="CM213" s="165"/>
      <c r="CN213" s="170"/>
      <c r="CO213" s="165"/>
      <c r="CP213" s="165"/>
      <c r="CQ213" s="165"/>
    </row>
    <row r="214" spans="1:95" outlineLevel="1" x14ac:dyDescent="0.25">
      <c r="A214" s="228"/>
      <c r="B214" s="236" t="str">
        <f>Table1[[#Headers],[Total Testes]]</f>
        <v>Total Testes</v>
      </c>
      <c r="C214" s="237" t="str">
        <f t="shared" si="34"/>
        <v>INSTRUMENT_INTRNL_SGMNT</v>
      </c>
      <c r="D214" s="232" t="s">
        <v>414</v>
      </c>
      <c r="E214" s="232" t="s">
        <v>50</v>
      </c>
      <c r="F214" s="238"/>
      <c r="G214" s="233">
        <f>INDEX(Table1[[Especificação]:[Total Testes]],MATCH('Sheet1 (2)'!C214,Table1[CONCAT],0),MATCH('Sheet1 (2)'!B214,Table1[[#Headers],[Especificação]:[Total Testes]],0))</f>
        <v>0</v>
      </c>
      <c r="H214" s="239">
        <f t="shared" si="35"/>
        <v>0</v>
      </c>
      <c r="I214" s="235"/>
      <c r="J214" s="170"/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  <c r="AA214" s="165"/>
      <c r="AB214" s="165"/>
      <c r="AC214" s="165"/>
      <c r="AD214" s="165"/>
      <c r="AE214" s="165"/>
      <c r="AF214" s="165"/>
      <c r="AG214" s="165"/>
      <c r="AH214" s="165"/>
      <c r="AI214" s="165"/>
      <c r="AJ214" s="165"/>
      <c r="AK214" s="165"/>
      <c r="AL214" s="165"/>
      <c r="AM214" s="165"/>
      <c r="AN214" s="165"/>
      <c r="AO214" s="165"/>
      <c r="AP214" s="165"/>
      <c r="AQ214" s="165"/>
      <c r="AR214" s="165"/>
      <c r="AS214" s="165"/>
      <c r="AT214" s="165"/>
      <c r="AU214" s="165"/>
      <c r="AV214" s="165"/>
      <c r="AW214" s="165"/>
      <c r="AX214" s="165"/>
      <c r="AY214" s="165"/>
      <c r="AZ214" s="165"/>
      <c r="BA214" s="165"/>
      <c r="BB214" s="170"/>
      <c r="BC214" s="165"/>
      <c r="BD214" s="165"/>
      <c r="BE214" s="165"/>
      <c r="BF214" s="165"/>
      <c r="BG214" s="165"/>
      <c r="BH214" s="165"/>
      <c r="BI214" s="165"/>
      <c r="BJ214" s="165"/>
      <c r="BK214" s="165"/>
      <c r="BL214" s="165"/>
      <c r="BM214" s="165"/>
      <c r="BN214" s="165"/>
      <c r="BO214" s="165"/>
      <c r="BP214" s="165"/>
      <c r="BQ214" s="165"/>
      <c r="BR214" s="165"/>
      <c r="BS214" s="165"/>
      <c r="BT214" s="165"/>
      <c r="BU214" s="165"/>
      <c r="BV214" s="165"/>
      <c r="BW214" s="165"/>
      <c r="BX214" s="165"/>
      <c r="BY214" s="165"/>
      <c r="BZ214" s="165"/>
      <c r="CA214" s="165"/>
      <c r="CB214" s="165"/>
      <c r="CC214" s="165"/>
      <c r="CD214" s="165"/>
      <c r="CE214" s="165"/>
      <c r="CF214" s="165"/>
      <c r="CG214" s="165"/>
      <c r="CH214" s="165"/>
      <c r="CI214" s="170"/>
      <c r="CJ214" s="165"/>
      <c r="CK214" s="165"/>
      <c r="CL214" s="165"/>
      <c r="CM214" s="165"/>
      <c r="CN214" s="170"/>
      <c r="CO214" s="165"/>
      <c r="CP214" s="165"/>
      <c r="CQ214" s="165"/>
    </row>
    <row r="215" spans="1:95" outlineLevel="1" x14ac:dyDescent="0.25">
      <c r="A215" s="228"/>
      <c r="B215" s="236" t="str">
        <f>Table1[[#Headers],[Total Testes]]</f>
        <v>Total Testes</v>
      </c>
      <c r="C215" s="237" t="str">
        <f t="shared" si="34"/>
        <v>INSTRUMENT_EAD</v>
      </c>
      <c r="D215" s="232" t="s">
        <v>414</v>
      </c>
      <c r="E215" s="232" t="s">
        <v>617</v>
      </c>
      <c r="F215" s="238"/>
      <c r="G215" s="233">
        <f>INDEX(Table1[[Especificação]:[Total Testes]],MATCH('Sheet1 (2)'!C215,Table1[CONCAT],0),MATCH('Sheet1 (2)'!B215,Table1[[#Headers],[Especificação]:[Total Testes]],0))</f>
        <v>0</v>
      </c>
      <c r="H215" s="239">
        <f t="shared" si="35"/>
        <v>0</v>
      </c>
      <c r="I215" s="235"/>
      <c r="J215" s="170"/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  <c r="AA215" s="165"/>
      <c r="AB215" s="165"/>
      <c r="AC215" s="165"/>
      <c r="AD215" s="165"/>
      <c r="AE215" s="165"/>
      <c r="AF215" s="165"/>
      <c r="AG215" s="165"/>
      <c r="AH215" s="165"/>
      <c r="AI215" s="165"/>
      <c r="AJ215" s="165"/>
      <c r="AK215" s="165"/>
      <c r="AL215" s="165"/>
      <c r="AM215" s="165"/>
      <c r="AN215" s="165"/>
      <c r="AO215" s="165"/>
      <c r="AP215" s="165"/>
      <c r="AQ215" s="165"/>
      <c r="AR215" s="165"/>
      <c r="AS215" s="165"/>
      <c r="AT215" s="165"/>
      <c r="AU215" s="165"/>
      <c r="AV215" s="165"/>
      <c r="AW215" s="165"/>
      <c r="AX215" s="165"/>
      <c r="AY215" s="165"/>
      <c r="AZ215" s="165"/>
      <c r="BA215" s="165"/>
      <c r="BB215" s="170"/>
      <c r="BC215" s="165"/>
      <c r="BD215" s="165"/>
      <c r="BE215" s="165"/>
      <c r="BF215" s="165"/>
      <c r="BG215" s="165"/>
      <c r="BH215" s="165"/>
      <c r="BI215" s="165"/>
      <c r="BJ215" s="165"/>
      <c r="BK215" s="165"/>
      <c r="BL215" s="165"/>
      <c r="BM215" s="165"/>
      <c r="BN215" s="165"/>
      <c r="BO215" s="165"/>
      <c r="BP215" s="165"/>
      <c r="BQ215" s="165"/>
      <c r="BR215" s="165"/>
      <c r="BS215" s="165"/>
      <c r="BT215" s="165"/>
      <c r="BU215" s="165"/>
      <c r="BV215" s="165"/>
      <c r="BW215" s="165"/>
      <c r="BX215" s="165"/>
      <c r="BY215" s="165"/>
      <c r="BZ215" s="165"/>
      <c r="CA215" s="165"/>
      <c r="CB215" s="165"/>
      <c r="CC215" s="165"/>
      <c r="CD215" s="165"/>
      <c r="CE215" s="165"/>
      <c r="CF215" s="165"/>
      <c r="CG215" s="165"/>
      <c r="CH215" s="165"/>
      <c r="CI215" s="170"/>
      <c r="CJ215" s="165"/>
      <c r="CK215" s="165"/>
      <c r="CL215" s="165"/>
      <c r="CM215" s="165"/>
      <c r="CN215" s="170"/>
      <c r="CO215" s="165"/>
      <c r="CP215" s="165"/>
      <c r="CQ215" s="165"/>
    </row>
    <row r="216" spans="1:95" outlineLevel="1" x14ac:dyDescent="0.25">
      <c r="A216" s="228"/>
      <c r="B216" s="236" t="str">
        <f>Table1[[#Headers],[Total Testes]]</f>
        <v>Total Testes</v>
      </c>
      <c r="C216" s="237" t="str">
        <f t="shared" si="34"/>
        <v>INSTRUMENT_OFF_BLNC_SHT_AMNT_INSTRMNT</v>
      </c>
      <c r="D216" s="232" t="s">
        <v>414</v>
      </c>
      <c r="E216" s="232" t="s">
        <v>629</v>
      </c>
      <c r="F216" s="238"/>
      <c r="G216" s="233">
        <f>INDEX(Table1[[Especificação]:[Total Testes]],MATCH('Sheet1 (2)'!C216,Table1[CONCAT],0),MATCH('Sheet1 (2)'!B216,Table1[[#Headers],[Especificação]:[Total Testes]],0))</f>
        <v>0</v>
      </c>
      <c r="H216" s="239">
        <f t="shared" si="35"/>
        <v>0</v>
      </c>
      <c r="I216" s="235"/>
      <c r="J216" s="170"/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  <c r="AA216" s="165"/>
      <c r="AB216" s="165"/>
      <c r="AC216" s="165"/>
      <c r="AD216" s="165"/>
      <c r="AE216" s="165"/>
      <c r="AF216" s="165"/>
      <c r="AG216" s="165"/>
      <c r="AH216" s="165"/>
      <c r="AI216" s="165"/>
      <c r="AJ216" s="165"/>
      <c r="AK216" s="165"/>
      <c r="AL216" s="165"/>
      <c r="AM216" s="165"/>
      <c r="AN216" s="165"/>
      <c r="AO216" s="165"/>
      <c r="AP216" s="165"/>
      <c r="AQ216" s="165"/>
      <c r="AR216" s="165"/>
      <c r="AS216" s="165"/>
      <c r="AT216" s="165"/>
      <c r="AU216" s="165"/>
      <c r="AV216" s="165"/>
      <c r="AW216" s="165"/>
      <c r="AX216" s="165"/>
      <c r="AY216" s="165"/>
      <c r="AZ216" s="165"/>
      <c r="BA216" s="165"/>
      <c r="BB216" s="170"/>
      <c r="BC216" s="165"/>
      <c r="BD216" s="165"/>
      <c r="BE216" s="165"/>
      <c r="BF216" s="165"/>
      <c r="BG216" s="165"/>
      <c r="BH216" s="165"/>
      <c r="BI216" s="165"/>
      <c r="BJ216" s="165"/>
      <c r="BK216" s="165"/>
      <c r="BL216" s="165"/>
      <c r="BM216" s="165"/>
      <c r="BN216" s="165"/>
      <c r="BO216" s="165"/>
      <c r="BP216" s="165"/>
      <c r="BQ216" s="165"/>
      <c r="BR216" s="165"/>
      <c r="BS216" s="165"/>
      <c r="BT216" s="165"/>
      <c r="BU216" s="165"/>
      <c r="BV216" s="165"/>
      <c r="BW216" s="165"/>
      <c r="BX216" s="165"/>
      <c r="BY216" s="165"/>
      <c r="BZ216" s="165"/>
      <c r="CA216" s="165"/>
      <c r="CB216" s="165"/>
      <c r="CC216" s="165"/>
      <c r="CD216" s="165"/>
      <c r="CE216" s="165"/>
      <c r="CF216" s="165"/>
      <c r="CG216" s="165"/>
      <c r="CH216" s="165"/>
      <c r="CI216" s="170"/>
      <c r="CJ216" s="165"/>
      <c r="CK216" s="165"/>
      <c r="CL216" s="165"/>
      <c r="CM216" s="165"/>
      <c r="CN216" s="170"/>
      <c r="CO216" s="165"/>
      <c r="CP216" s="165"/>
      <c r="CQ216" s="165"/>
    </row>
    <row r="217" spans="1:95" outlineLevel="1" x14ac:dyDescent="0.25">
      <c r="A217" s="228"/>
      <c r="B217" s="236" t="str">
        <f>Table1[[#Headers],[Total Testes]]</f>
        <v>Total Testes</v>
      </c>
      <c r="C217" s="237" t="str">
        <f t="shared" si="34"/>
        <v>INSTRUMENT_INTRNL_SGMNT_CAT_MSTA</v>
      </c>
      <c r="D217" s="232" t="s">
        <v>414</v>
      </c>
      <c r="E217" s="232" t="s">
        <v>943</v>
      </c>
      <c r="F217" s="238"/>
      <c r="G217" s="233">
        <f>INDEX(Table1[[Especificação]:[Total Testes]],MATCH('Sheet1 (2)'!C217,Table1[CONCAT],0),MATCH('Sheet1 (2)'!B217,Table1[[#Headers],[Especificação]:[Total Testes]],0))</f>
        <v>0</v>
      </c>
      <c r="H217" s="239">
        <f t="shared" si="35"/>
        <v>0</v>
      </c>
      <c r="I217" s="235"/>
      <c r="J217" s="170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  <c r="AA217" s="165"/>
      <c r="AB217" s="165"/>
      <c r="AC217" s="165"/>
      <c r="AD217" s="165"/>
      <c r="AE217" s="165"/>
      <c r="AF217" s="165"/>
      <c r="AG217" s="165"/>
      <c r="AH217" s="165"/>
      <c r="AI217" s="165"/>
      <c r="AJ217" s="165"/>
      <c r="AK217" s="165"/>
      <c r="AL217" s="165"/>
      <c r="AM217" s="165"/>
      <c r="AN217" s="165"/>
      <c r="AO217" s="165"/>
      <c r="AP217" s="165"/>
      <c r="AQ217" s="165"/>
      <c r="AR217" s="165"/>
      <c r="AS217" s="165"/>
      <c r="AT217" s="165"/>
      <c r="AU217" s="165"/>
      <c r="AV217" s="165"/>
      <c r="AW217" s="165"/>
      <c r="AX217" s="165"/>
      <c r="AY217" s="165"/>
      <c r="AZ217" s="165"/>
      <c r="BA217" s="165"/>
      <c r="BB217" s="170"/>
      <c r="BC217" s="165"/>
      <c r="BD217" s="165"/>
      <c r="BE217" s="165"/>
      <c r="BF217" s="165"/>
      <c r="BG217" s="165"/>
      <c r="BH217" s="165"/>
      <c r="BI217" s="165"/>
      <c r="BJ217" s="165"/>
      <c r="BK217" s="165"/>
      <c r="BL217" s="165"/>
      <c r="BM217" s="165"/>
      <c r="BN217" s="165"/>
      <c r="BO217" s="165"/>
      <c r="BP217" s="165"/>
      <c r="BQ217" s="165"/>
      <c r="BR217" s="165"/>
      <c r="BS217" s="165"/>
      <c r="BT217" s="165"/>
      <c r="BU217" s="165"/>
      <c r="BV217" s="165"/>
      <c r="BW217" s="165"/>
      <c r="BX217" s="165"/>
      <c r="BY217" s="165"/>
      <c r="BZ217" s="165"/>
      <c r="CA217" s="165"/>
      <c r="CB217" s="165"/>
      <c r="CC217" s="165"/>
      <c r="CD217" s="165"/>
      <c r="CE217" s="165"/>
      <c r="CF217" s="165"/>
      <c r="CG217" s="165"/>
      <c r="CH217" s="165"/>
      <c r="CI217" s="170"/>
      <c r="CJ217" s="165"/>
      <c r="CK217" s="165"/>
      <c r="CL217" s="165"/>
      <c r="CM217" s="165"/>
      <c r="CN217" s="170"/>
      <c r="CO217" s="165"/>
      <c r="CP217" s="165"/>
      <c r="CQ217" s="165"/>
    </row>
    <row r="218" spans="1:95" outlineLevel="1" x14ac:dyDescent="0.25">
      <c r="A218" s="228"/>
      <c r="B218" s="236" t="str">
        <f>Table1[[#Headers],[Total Testes]]</f>
        <v>Total Testes</v>
      </c>
      <c r="C218" s="237" t="str">
        <f t="shared" ref="C218:C221" si="38">D218&amp;"_"&amp;E218</f>
        <v>INSTRUMENT_INTRNL_SGMNT_CATGSUB</v>
      </c>
      <c r="D218" s="232" t="s">
        <v>414</v>
      </c>
      <c r="E218" s="232" t="s">
        <v>946</v>
      </c>
      <c r="F218" s="238"/>
      <c r="G218" s="233">
        <f>INDEX(Table1[[Especificação]:[Total Testes]],MATCH('Sheet1 (2)'!C218,Table1[CONCAT],0),MATCH('Sheet1 (2)'!B218,Table1[[#Headers],[Especificação]:[Total Testes]],0))</f>
        <v>0</v>
      </c>
      <c r="H218" s="239">
        <f t="shared" ref="H218:H221" si="39">ROUND(G218/8,2)</f>
        <v>0</v>
      </c>
      <c r="I218" s="235"/>
      <c r="J218" s="170"/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  <c r="AA218" s="165"/>
      <c r="AB218" s="165"/>
      <c r="AC218" s="165"/>
      <c r="AD218" s="165"/>
      <c r="AE218" s="165"/>
      <c r="AF218" s="165"/>
      <c r="AG218" s="165"/>
      <c r="AH218" s="165"/>
      <c r="AI218" s="165"/>
      <c r="AJ218" s="165"/>
      <c r="AK218" s="165"/>
      <c r="AL218" s="165"/>
      <c r="AM218" s="165"/>
      <c r="AN218" s="165"/>
      <c r="AO218" s="165"/>
      <c r="AP218" s="165"/>
      <c r="AQ218" s="165"/>
      <c r="AR218" s="165"/>
      <c r="AS218" s="165"/>
      <c r="AT218" s="165"/>
      <c r="AU218" s="165"/>
      <c r="AV218" s="165"/>
      <c r="AW218" s="165"/>
      <c r="AX218" s="165"/>
      <c r="AY218" s="165"/>
      <c r="AZ218" s="165"/>
      <c r="BA218" s="165"/>
      <c r="BB218" s="170"/>
      <c r="BC218" s="165"/>
      <c r="BD218" s="165"/>
      <c r="BE218" s="165"/>
      <c r="BF218" s="165"/>
      <c r="BG218" s="165"/>
      <c r="BH218" s="165"/>
      <c r="BI218" s="165"/>
      <c r="BJ218" s="165"/>
      <c r="BK218" s="165"/>
      <c r="BL218" s="165"/>
      <c r="BM218" s="165"/>
      <c r="BN218" s="165"/>
      <c r="BO218" s="165"/>
      <c r="BP218" s="165"/>
      <c r="BQ218" s="165"/>
      <c r="BR218" s="165"/>
      <c r="BS218" s="165"/>
      <c r="BT218" s="165"/>
      <c r="BU218" s="165"/>
      <c r="BV218" s="165"/>
      <c r="BW218" s="165"/>
      <c r="BX218" s="165"/>
      <c r="BY218" s="165"/>
      <c r="BZ218" s="165"/>
      <c r="CA218" s="165"/>
      <c r="CB218" s="165"/>
      <c r="CC218" s="165"/>
      <c r="CD218" s="165"/>
      <c r="CE218" s="165"/>
      <c r="CF218" s="165"/>
      <c r="CG218" s="165"/>
      <c r="CH218" s="165"/>
      <c r="CI218" s="170"/>
      <c r="CJ218" s="165"/>
      <c r="CK218" s="165"/>
      <c r="CL218" s="165"/>
      <c r="CM218" s="165"/>
      <c r="CN218" s="170"/>
      <c r="CO218" s="165"/>
      <c r="CP218" s="165"/>
      <c r="CQ218" s="165"/>
    </row>
    <row r="219" spans="1:95" outlineLevel="1" x14ac:dyDescent="0.25">
      <c r="A219" s="228"/>
      <c r="B219" s="236" t="str">
        <f>Table1[[#Headers],[Total Testes]]</f>
        <v>Total Testes</v>
      </c>
      <c r="C219" s="237" t="str">
        <f t="shared" si="38"/>
        <v>PROTECTION_RL_ESTT_ADDRSS</v>
      </c>
      <c r="D219" s="232" t="s">
        <v>1114</v>
      </c>
      <c r="E219" s="232" t="s">
        <v>1127</v>
      </c>
      <c r="F219" s="238"/>
      <c r="G219" s="233">
        <f>INDEX(Table1[[Especificação]:[Total Testes]],MATCH('Sheet1 (2)'!C219,Table1[CONCAT],0),MATCH('Sheet1 (2)'!B219,Table1[[#Headers],[Especificação]:[Total Testes]],0))</f>
        <v>0</v>
      </c>
      <c r="H219" s="239">
        <f t="shared" si="39"/>
        <v>0</v>
      </c>
      <c r="I219" s="235"/>
      <c r="J219" s="170"/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  <c r="AA219" s="165"/>
      <c r="AB219" s="165"/>
      <c r="AC219" s="165"/>
      <c r="AD219" s="165"/>
      <c r="AE219" s="165"/>
      <c r="AF219" s="165"/>
      <c r="AG219" s="165"/>
      <c r="AH219" s="165"/>
      <c r="AI219" s="165"/>
      <c r="AJ219" s="165"/>
      <c r="AK219" s="165"/>
      <c r="AL219" s="165"/>
      <c r="AM219" s="165"/>
      <c r="AN219" s="165"/>
      <c r="AO219" s="165"/>
      <c r="AP219" s="165"/>
      <c r="AQ219" s="165"/>
      <c r="AR219" s="165"/>
      <c r="AS219" s="165"/>
      <c r="AT219" s="165"/>
      <c r="AU219" s="165"/>
      <c r="AV219" s="165"/>
      <c r="AW219" s="165"/>
      <c r="AX219" s="165"/>
      <c r="AY219" s="165"/>
      <c r="AZ219" s="165"/>
      <c r="BA219" s="165"/>
      <c r="BB219" s="170"/>
      <c r="BC219" s="165"/>
      <c r="BD219" s="165"/>
      <c r="BE219" s="165"/>
      <c r="BF219" s="165"/>
      <c r="BG219" s="165"/>
      <c r="BH219" s="165"/>
      <c r="BI219" s="165"/>
      <c r="BJ219" s="165"/>
      <c r="BK219" s="165"/>
      <c r="BL219" s="165"/>
      <c r="BM219" s="165"/>
      <c r="BN219" s="165"/>
      <c r="BO219" s="165"/>
      <c r="BP219" s="165"/>
      <c r="BQ219" s="165"/>
      <c r="BR219" s="165"/>
      <c r="BS219" s="165"/>
      <c r="BT219" s="165"/>
      <c r="BU219" s="165"/>
      <c r="BV219" s="165"/>
      <c r="BW219" s="165"/>
      <c r="BX219" s="165"/>
      <c r="BY219" s="165"/>
      <c r="BZ219" s="165"/>
      <c r="CA219" s="165"/>
      <c r="CB219" s="165"/>
      <c r="CC219" s="165"/>
      <c r="CD219" s="165"/>
      <c r="CE219" s="165"/>
      <c r="CF219" s="165"/>
      <c r="CG219" s="165"/>
      <c r="CH219" s="165"/>
      <c r="CI219" s="170"/>
      <c r="CJ219" s="165"/>
      <c r="CK219" s="165"/>
      <c r="CL219" s="165"/>
      <c r="CM219" s="165"/>
      <c r="CN219" s="170"/>
      <c r="CO219" s="165"/>
      <c r="CP219" s="165"/>
      <c r="CQ219" s="165"/>
    </row>
    <row r="220" spans="1:95" outlineLevel="1" x14ac:dyDescent="0.25">
      <c r="A220" s="228"/>
      <c r="B220" s="236" t="str">
        <f>Table1[[#Headers],[Total Testes]]</f>
        <v>Total Testes</v>
      </c>
      <c r="C220" s="237" t="str">
        <f t="shared" si="38"/>
        <v>PROTECTION_RL_ESTT_CLLTRL_LCTN_INT</v>
      </c>
      <c r="D220" s="232" t="s">
        <v>1114</v>
      </c>
      <c r="E220" s="232" t="s">
        <v>1133</v>
      </c>
      <c r="F220" s="238"/>
      <c r="G220" s="233">
        <f>INDEX(Table1[[Especificação]:[Total Testes]],MATCH('Sheet1 (2)'!C220,Table1[CONCAT],0),MATCH('Sheet1 (2)'!B220,Table1[[#Headers],[Especificação]:[Total Testes]],0))</f>
        <v>0</v>
      </c>
      <c r="H220" s="239">
        <f t="shared" si="39"/>
        <v>0</v>
      </c>
      <c r="I220" s="235"/>
      <c r="J220" s="170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  <c r="AA220" s="165"/>
      <c r="AB220" s="165"/>
      <c r="AC220" s="165"/>
      <c r="AD220" s="165"/>
      <c r="AE220" s="165"/>
      <c r="AF220" s="165"/>
      <c r="AG220" s="165"/>
      <c r="AH220" s="165"/>
      <c r="AI220" s="165"/>
      <c r="AJ220" s="165"/>
      <c r="AK220" s="165"/>
      <c r="AL220" s="165"/>
      <c r="AM220" s="165"/>
      <c r="AN220" s="165"/>
      <c r="AO220" s="165"/>
      <c r="AP220" s="165"/>
      <c r="AQ220" s="165"/>
      <c r="AR220" s="165"/>
      <c r="AS220" s="165"/>
      <c r="AT220" s="165"/>
      <c r="AU220" s="165"/>
      <c r="AV220" s="165"/>
      <c r="AW220" s="165"/>
      <c r="AX220" s="165"/>
      <c r="AY220" s="165"/>
      <c r="AZ220" s="165"/>
      <c r="BA220" s="165"/>
      <c r="BB220" s="170"/>
      <c r="BC220" s="165"/>
      <c r="BD220" s="165"/>
      <c r="BE220" s="165"/>
      <c r="BF220" s="165"/>
      <c r="BG220" s="165"/>
      <c r="BH220" s="165"/>
      <c r="BI220" s="165"/>
      <c r="BJ220" s="165"/>
      <c r="BK220" s="165"/>
      <c r="BL220" s="165"/>
      <c r="BM220" s="165"/>
      <c r="BN220" s="165"/>
      <c r="BO220" s="165"/>
      <c r="BP220" s="165"/>
      <c r="BQ220" s="165"/>
      <c r="BR220" s="165"/>
      <c r="BS220" s="165"/>
      <c r="BT220" s="165"/>
      <c r="BU220" s="165"/>
      <c r="BV220" s="165"/>
      <c r="BW220" s="165"/>
      <c r="BX220" s="165"/>
      <c r="BY220" s="165"/>
      <c r="BZ220" s="165"/>
      <c r="CA220" s="165"/>
      <c r="CB220" s="165"/>
      <c r="CC220" s="165"/>
      <c r="CD220" s="165"/>
      <c r="CE220" s="165"/>
      <c r="CF220" s="165"/>
      <c r="CG220" s="165"/>
      <c r="CH220" s="165"/>
      <c r="CI220" s="170"/>
      <c r="CJ220" s="165"/>
      <c r="CK220" s="165"/>
      <c r="CL220" s="165"/>
      <c r="CM220" s="165"/>
      <c r="CN220" s="170"/>
      <c r="CO220" s="165"/>
      <c r="CP220" s="165"/>
      <c r="CQ220" s="165"/>
    </row>
    <row r="221" spans="1:95" outlineLevel="1" x14ac:dyDescent="0.25">
      <c r="A221" s="228"/>
      <c r="B221" s="236" t="str">
        <f>Table1[[#Headers],[Total Testes]]</f>
        <v>Total Testes</v>
      </c>
      <c r="C221" s="237" t="str">
        <f t="shared" si="38"/>
        <v>PROTECTION_RL_ESTT_CTY</v>
      </c>
      <c r="D221" s="232" t="s">
        <v>1114</v>
      </c>
      <c r="E221" s="232" t="s">
        <v>1136</v>
      </c>
      <c r="F221" s="238"/>
      <c r="G221" s="233">
        <f>INDEX(Table1[[Especificação]:[Total Testes]],MATCH('Sheet1 (2)'!C221,Table1[CONCAT],0),MATCH('Sheet1 (2)'!B221,Table1[[#Headers],[Especificação]:[Total Testes]],0))</f>
        <v>0</v>
      </c>
      <c r="H221" s="239">
        <f t="shared" si="39"/>
        <v>0</v>
      </c>
      <c r="I221" s="235"/>
      <c r="J221" s="170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  <c r="AA221" s="165"/>
      <c r="AB221" s="165"/>
      <c r="AC221" s="165"/>
      <c r="AD221" s="165"/>
      <c r="AE221" s="165"/>
      <c r="AF221" s="165"/>
      <c r="AG221" s="165"/>
      <c r="AH221" s="165"/>
      <c r="AI221" s="165"/>
      <c r="AJ221" s="165"/>
      <c r="AK221" s="165"/>
      <c r="AL221" s="165"/>
      <c r="AM221" s="165"/>
      <c r="AN221" s="165"/>
      <c r="AO221" s="165"/>
      <c r="AP221" s="165"/>
      <c r="AQ221" s="165"/>
      <c r="AR221" s="165"/>
      <c r="AS221" s="165"/>
      <c r="AT221" s="165"/>
      <c r="AU221" s="165"/>
      <c r="AV221" s="165"/>
      <c r="AW221" s="165"/>
      <c r="AX221" s="165"/>
      <c r="AY221" s="165"/>
      <c r="AZ221" s="165"/>
      <c r="BA221" s="165"/>
      <c r="BB221" s="170"/>
      <c r="BC221" s="165"/>
      <c r="BD221" s="165"/>
      <c r="BE221" s="165"/>
      <c r="BF221" s="165"/>
      <c r="BG221" s="165"/>
      <c r="BH221" s="165"/>
      <c r="BI221" s="165"/>
      <c r="BJ221" s="165"/>
      <c r="BK221" s="165"/>
      <c r="BL221" s="165"/>
      <c r="BM221" s="165"/>
      <c r="BN221" s="165"/>
      <c r="BO221" s="165"/>
      <c r="BP221" s="165"/>
      <c r="BQ221" s="165"/>
      <c r="BR221" s="165"/>
      <c r="BS221" s="165"/>
      <c r="BT221" s="165"/>
      <c r="BU221" s="165"/>
      <c r="BV221" s="165"/>
      <c r="BW221" s="165"/>
      <c r="BX221" s="165"/>
      <c r="BY221" s="165"/>
      <c r="BZ221" s="165"/>
      <c r="CA221" s="165"/>
      <c r="CB221" s="165"/>
      <c r="CC221" s="165"/>
      <c r="CD221" s="165"/>
      <c r="CE221" s="165"/>
      <c r="CF221" s="165"/>
      <c r="CG221" s="165"/>
      <c r="CH221" s="165"/>
      <c r="CI221" s="170"/>
      <c r="CJ221" s="165"/>
      <c r="CK221" s="165"/>
      <c r="CL221" s="165"/>
      <c r="CM221" s="165"/>
      <c r="CN221" s="170"/>
      <c r="CO221" s="165"/>
      <c r="CP221" s="165"/>
      <c r="CQ221" s="165"/>
    </row>
    <row r="222" spans="1:95" outlineLevel="1" x14ac:dyDescent="0.25">
      <c r="A222" s="228"/>
      <c r="B222" s="236" t="str">
        <f>Table1[[#Headers],[Total Testes]]</f>
        <v>Total Testes</v>
      </c>
      <c r="C222" s="237" t="str">
        <f t="shared" ref="C222:C229" si="40">D222&amp;"_"&amp;E222</f>
        <v>INSTRUMENT_TYP_OFF_BLNC_PRDCT</v>
      </c>
      <c r="D222" s="232" t="s">
        <v>414</v>
      </c>
      <c r="E222" s="232" t="s">
        <v>1351</v>
      </c>
      <c r="F222" s="238"/>
      <c r="G222" s="233">
        <f>INDEX(Table1[[Especificação]:[Total Testes]],MATCH('Sheet1 (2)'!C222,Table1[CONCAT],0),MATCH('Sheet1 (2)'!B222,Table1[[#Headers],[Especificação]:[Total Testes]],0))</f>
        <v>0</v>
      </c>
      <c r="H222" s="239">
        <f t="shared" ref="H222:H229" si="41">ROUND(G222/8,2)</f>
        <v>0</v>
      </c>
      <c r="I222" s="235"/>
      <c r="J222" s="170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  <c r="AA222" s="165"/>
      <c r="AB222" s="165"/>
      <c r="AC222" s="165"/>
      <c r="AD222" s="165"/>
      <c r="AE222" s="165"/>
      <c r="AF222" s="165"/>
      <c r="AG222" s="165"/>
      <c r="AH222" s="165"/>
      <c r="AI222" s="165"/>
      <c r="AJ222" s="165"/>
      <c r="AK222" s="165"/>
      <c r="AL222" s="165"/>
      <c r="AM222" s="165"/>
      <c r="AN222" s="165"/>
      <c r="AO222" s="165"/>
      <c r="AP222" s="165"/>
      <c r="AQ222" s="165"/>
      <c r="AR222" s="165"/>
      <c r="AS222" s="165"/>
      <c r="AT222" s="165"/>
      <c r="AU222" s="165"/>
      <c r="AV222" s="165"/>
      <c r="AW222" s="165"/>
      <c r="AX222" s="165"/>
      <c r="AY222" s="165"/>
      <c r="AZ222" s="165"/>
      <c r="BA222" s="165"/>
      <c r="BB222" s="170"/>
      <c r="BC222" s="165"/>
      <c r="BD222" s="165"/>
      <c r="BE222" s="165"/>
      <c r="BF222" s="165"/>
      <c r="BG222" s="165"/>
      <c r="BH222" s="165"/>
      <c r="BI222" s="165"/>
      <c r="BJ222" s="165"/>
      <c r="BK222" s="165"/>
      <c r="BL222" s="165"/>
      <c r="BM222" s="165"/>
      <c r="BN222" s="165"/>
      <c r="BO222" s="165"/>
      <c r="BP222" s="165"/>
      <c r="BQ222" s="165"/>
      <c r="BR222" s="165"/>
      <c r="BS222" s="165"/>
      <c r="BT222" s="165"/>
      <c r="BU222" s="165"/>
      <c r="BV222" s="165"/>
      <c r="BW222" s="165"/>
      <c r="BX222" s="165"/>
      <c r="BY222" s="165"/>
      <c r="BZ222" s="165"/>
      <c r="CA222" s="165"/>
      <c r="CB222" s="165"/>
      <c r="CC222" s="165"/>
      <c r="CD222" s="165"/>
      <c r="CE222" s="165"/>
      <c r="CF222" s="165"/>
      <c r="CG222" s="165"/>
      <c r="CH222" s="165"/>
      <c r="CI222" s="170"/>
      <c r="CJ222" s="165"/>
      <c r="CK222" s="165"/>
      <c r="CL222" s="165"/>
      <c r="CM222" s="165"/>
      <c r="CN222" s="170"/>
      <c r="CO222" s="165"/>
      <c r="CP222" s="165"/>
      <c r="CQ222" s="165"/>
    </row>
    <row r="223" spans="1:95" outlineLevel="1" x14ac:dyDescent="0.25">
      <c r="A223" s="228"/>
      <c r="B223" s="236" t="str">
        <f>Table1[[#Headers],[Total Testes]]</f>
        <v>Total Testes</v>
      </c>
      <c r="C223" s="237" t="str">
        <f t="shared" si="40"/>
        <v>INSTRUMENT_FLG_MNMM_SFGRDS</v>
      </c>
      <c r="D223" s="232" t="s">
        <v>414</v>
      </c>
      <c r="E223" s="232" t="s">
        <v>1480</v>
      </c>
      <c r="F223" s="238"/>
      <c r="G223" s="233">
        <f>INDEX(Table1[[Especificação]:[Total Testes]],MATCH('Sheet1 (2)'!C223,Table1[CONCAT],0),MATCH('Sheet1 (2)'!B223,Table1[[#Headers],[Especificação]:[Total Testes]],0))</f>
        <v>0</v>
      </c>
      <c r="H223" s="239">
        <f t="shared" si="41"/>
        <v>0</v>
      </c>
      <c r="I223" s="235"/>
      <c r="J223" s="170"/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  <c r="AA223" s="165"/>
      <c r="AB223" s="165"/>
      <c r="AC223" s="165"/>
      <c r="AD223" s="165"/>
      <c r="AE223" s="165"/>
      <c r="AF223" s="165"/>
      <c r="AG223" s="165"/>
      <c r="AH223" s="165"/>
      <c r="AI223" s="165"/>
      <c r="AJ223" s="165"/>
      <c r="AK223" s="165"/>
      <c r="AL223" s="165"/>
      <c r="AM223" s="165"/>
      <c r="AN223" s="165"/>
      <c r="AO223" s="165"/>
      <c r="AP223" s="165"/>
      <c r="AQ223" s="165"/>
      <c r="AR223" s="165"/>
      <c r="AS223" s="165"/>
      <c r="AT223" s="165"/>
      <c r="AU223" s="165"/>
      <c r="AV223" s="165"/>
      <c r="AW223" s="165"/>
      <c r="AX223" s="165"/>
      <c r="AY223" s="165"/>
      <c r="AZ223" s="165"/>
      <c r="BA223" s="165"/>
      <c r="BB223" s="170"/>
      <c r="BC223" s="165"/>
      <c r="BD223" s="165"/>
      <c r="BE223" s="165"/>
      <c r="BF223" s="165"/>
      <c r="BG223" s="165"/>
      <c r="BH223" s="165"/>
      <c r="BI223" s="165"/>
      <c r="BJ223" s="165"/>
      <c r="BK223" s="165"/>
      <c r="BL223" s="165"/>
      <c r="BM223" s="165"/>
      <c r="BN223" s="165"/>
      <c r="BO223" s="165"/>
      <c r="BP223" s="165"/>
      <c r="BQ223" s="165"/>
      <c r="BR223" s="165"/>
      <c r="BS223" s="165"/>
      <c r="BT223" s="165"/>
      <c r="BU223" s="165"/>
      <c r="BV223" s="165"/>
      <c r="BW223" s="165"/>
      <c r="BX223" s="165"/>
      <c r="BY223" s="165"/>
      <c r="BZ223" s="165"/>
      <c r="CA223" s="165"/>
      <c r="CB223" s="165"/>
      <c r="CC223" s="165"/>
      <c r="CD223" s="165"/>
      <c r="CE223" s="165"/>
      <c r="CF223" s="165"/>
      <c r="CG223" s="165"/>
      <c r="CH223" s="165"/>
      <c r="CI223" s="170"/>
      <c r="CJ223" s="165"/>
      <c r="CK223" s="165"/>
      <c r="CL223" s="165"/>
      <c r="CM223" s="165"/>
      <c r="CN223" s="170"/>
      <c r="CO223" s="165"/>
      <c r="CP223" s="165"/>
      <c r="CQ223" s="165"/>
    </row>
    <row r="224" spans="1:95" outlineLevel="1" x14ac:dyDescent="0.25">
      <c r="A224" s="228"/>
      <c r="B224" s="236" t="str">
        <f>Table1[[#Headers],[Total Testes]]</f>
        <v>Total Testes</v>
      </c>
      <c r="C224" s="237" t="str">
        <f t="shared" si="40"/>
        <v>PROTECTION_BLDNG_AR</v>
      </c>
      <c r="D224" s="232" t="s">
        <v>1114</v>
      </c>
      <c r="E224" s="232" t="s">
        <v>1387</v>
      </c>
      <c r="F224" s="238"/>
      <c r="G224" s="233">
        <f>INDEX(Table1[[Especificação]:[Total Testes]],MATCH('Sheet1 (2)'!C224,Table1[CONCAT],0),MATCH('Sheet1 (2)'!B224,Table1[[#Headers],[Especificação]:[Total Testes]],0))</f>
        <v>0</v>
      </c>
      <c r="H224" s="239">
        <f t="shared" si="41"/>
        <v>0</v>
      </c>
      <c r="I224" s="235"/>
      <c r="J224" s="170"/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  <c r="AA224" s="165"/>
      <c r="AB224" s="165"/>
      <c r="AC224" s="165"/>
      <c r="AD224" s="165"/>
      <c r="AE224" s="165"/>
      <c r="AF224" s="165"/>
      <c r="AG224" s="165"/>
      <c r="AH224" s="165"/>
      <c r="AI224" s="165"/>
      <c r="AJ224" s="165"/>
      <c r="AK224" s="165"/>
      <c r="AL224" s="165"/>
      <c r="AM224" s="165"/>
      <c r="AN224" s="165"/>
      <c r="AO224" s="165"/>
      <c r="AP224" s="165"/>
      <c r="AQ224" s="165"/>
      <c r="AR224" s="165"/>
      <c r="AS224" s="165"/>
      <c r="AT224" s="165"/>
      <c r="AU224" s="165"/>
      <c r="AV224" s="165"/>
      <c r="AW224" s="165"/>
      <c r="AX224" s="165"/>
      <c r="AY224" s="165"/>
      <c r="AZ224" s="165"/>
      <c r="BA224" s="165"/>
      <c r="BB224" s="170"/>
      <c r="BC224" s="165"/>
      <c r="BD224" s="165"/>
      <c r="BE224" s="165"/>
      <c r="BF224" s="165"/>
      <c r="BG224" s="165"/>
      <c r="BH224" s="165"/>
      <c r="BI224" s="165"/>
      <c r="BJ224" s="165"/>
      <c r="BK224" s="165"/>
      <c r="BL224" s="165"/>
      <c r="BM224" s="165"/>
      <c r="BN224" s="165"/>
      <c r="BO224" s="165"/>
      <c r="BP224" s="165"/>
      <c r="BQ224" s="165"/>
      <c r="BR224" s="165"/>
      <c r="BS224" s="165"/>
      <c r="BT224" s="165"/>
      <c r="BU224" s="165"/>
      <c r="BV224" s="165"/>
      <c r="BW224" s="165"/>
      <c r="BX224" s="165"/>
      <c r="BY224" s="165"/>
      <c r="BZ224" s="165"/>
      <c r="CA224" s="165"/>
      <c r="CB224" s="165"/>
      <c r="CC224" s="165"/>
      <c r="CD224" s="165"/>
      <c r="CE224" s="165"/>
      <c r="CF224" s="165"/>
      <c r="CG224" s="165"/>
      <c r="CH224" s="165"/>
      <c r="CI224" s="170"/>
      <c r="CJ224" s="165"/>
      <c r="CK224" s="165"/>
      <c r="CL224" s="165"/>
      <c r="CM224" s="165"/>
      <c r="CN224" s="170"/>
      <c r="CO224" s="165"/>
      <c r="CP224" s="165"/>
      <c r="CQ224" s="165"/>
    </row>
    <row r="225" spans="1:95" outlineLevel="1" x14ac:dyDescent="0.25">
      <c r="A225" s="228"/>
      <c r="B225" s="236" t="str">
        <f>Table1[[#Headers],[Total Testes]]</f>
        <v>Total Testes</v>
      </c>
      <c r="C225" s="237" t="str">
        <f t="shared" si="40"/>
        <v>PROTECTION_RL_ESTT_CRTFCTN</v>
      </c>
      <c r="D225" s="232" t="s">
        <v>1114</v>
      </c>
      <c r="E225" s="232" t="s">
        <v>1512</v>
      </c>
      <c r="F225" s="238"/>
      <c r="G225" s="233">
        <f>INDEX(Table1[[Especificação]:[Total Testes]],MATCH('Sheet1 (2)'!C225,Table1[CONCAT],0),MATCH('Sheet1 (2)'!B225,Table1[[#Headers],[Especificação]:[Total Testes]],0))</f>
        <v>0</v>
      </c>
      <c r="H225" s="239">
        <f t="shared" si="41"/>
        <v>0</v>
      </c>
      <c r="I225" s="235"/>
      <c r="J225" s="170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5"/>
      <c r="AH225" s="165"/>
      <c r="AI225" s="165"/>
      <c r="AJ225" s="165"/>
      <c r="AK225" s="165"/>
      <c r="AL225" s="165"/>
      <c r="AM225" s="165"/>
      <c r="AN225" s="165"/>
      <c r="AO225" s="165"/>
      <c r="AP225" s="165"/>
      <c r="AQ225" s="165"/>
      <c r="AR225" s="165"/>
      <c r="AS225" s="165"/>
      <c r="AT225" s="165"/>
      <c r="AU225" s="165"/>
      <c r="AV225" s="165"/>
      <c r="AW225" s="165"/>
      <c r="AX225" s="165"/>
      <c r="AY225" s="165"/>
      <c r="AZ225" s="165"/>
      <c r="BA225" s="165"/>
      <c r="BB225" s="170"/>
      <c r="BC225" s="165"/>
      <c r="BD225" s="165"/>
      <c r="BE225" s="165"/>
      <c r="BF225" s="165"/>
      <c r="BG225" s="165"/>
      <c r="BH225" s="165"/>
      <c r="BI225" s="165"/>
      <c r="BJ225" s="165"/>
      <c r="BK225" s="165"/>
      <c r="BL225" s="165"/>
      <c r="BM225" s="165"/>
      <c r="BN225" s="165"/>
      <c r="BO225" s="165"/>
      <c r="BP225" s="165"/>
      <c r="BQ225" s="165"/>
      <c r="BR225" s="165"/>
      <c r="BS225" s="165"/>
      <c r="BT225" s="165"/>
      <c r="BU225" s="165"/>
      <c r="BV225" s="165"/>
      <c r="BW225" s="165"/>
      <c r="BX225" s="165"/>
      <c r="BY225" s="165"/>
      <c r="BZ225" s="165"/>
      <c r="CA225" s="165"/>
      <c r="CB225" s="165"/>
      <c r="CC225" s="165"/>
      <c r="CD225" s="165"/>
      <c r="CE225" s="165"/>
      <c r="CF225" s="165"/>
      <c r="CG225" s="165"/>
      <c r="CH225" s="165"/>
      <c r="CI225" s="170"/>
      <c r="CJ225" s="165"/>
      <c r="CK225" s="165"/>
      <c r="CL225" s="165"/>
      <c r="CM225" s="165"/>
      <c r="CN225" s="170"/>
      <c r="CO225" s="165"/>
      <c r="CP225" s="165"/>
      <c r="CQ225" s="165"/>
    </row>
    <row r="226" spans="1:95" outlineLevel="1" x14ac:dyDescent="0.25">
      <c r="A226" s="228"/>
      <c r="B226" s="236" t="str">
        <f>Table1[[#Headers],[Total Testes]]</f>
        <v>Total Testes</v>
      </c>
      <c r="C226" s="237" t="str">
        <f t="shared" si="40"/>
        <v>PROTECTION_TYP_VHCL</v>
      </c>
      <c r="D226" s="232" t="s">
        <v>1114</v>
      </c>
      <c r="E226" s="232" t="s">
        <v>1515</v>
      </c>
      <c r="F226" s="238"/>
      <c r="G226" s="233">
        <f>INDEX(Table1[[Especificação]:[Total Testes]],MATCH('Sheet1 (2)'!C226,Table1[CONCAT],0),MATCH('Sheet1 (2)'!B226,Table1[[#Headers],[Especificação]:[Total Testes]],0))</f>
        <v>0</v>
      </c>
      <c r="H226" s="239">
        <f t="shared" si="41"/>
        <v>0</v>
      </c>
      <c r="I226" s="235"/>
      <c r="J226" s="170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5"/>
      <c r="AH226" s="165"/>
      <c r="AI226" s="165"/>
      <c r="AJ226" s="165"/>
      <c r="AK226" s="165"/>
      <c r="AL226" s="165"/>
      <c r="AM226" s="165"/>
      <c r="AN226" s="165"/>
      <c r="AO226" s="165"/>
      <c r="AP226" s="165"/>
      <c r="AQ226" s="165"/>
      <c r="AR226" s="165"/>
      <c r="AS226" s="165"/>
      <c r="AT226" s="165"/>
      <c r="AU226" s="165"/>
      <c r="AV226" s="165"/>
      <c r="AW226" s="165"/>
      <c r="AX226" s="165"/>
      <c r="AY226" s="165"/>
      <c r="AZ226" s="165"/>
      <c r="BA226" s="165"/>
      <c r="BB226" s="170"/>
      <c r="BC226" s="165"/>
      <c r="BD226" s="165"/>
      <c r="BE226" s="165"/>
      <c r="BF226" s="165"/>
      <c r="BG226" s="165"/>
      <c r="BH226" s="165"/>
      <c r="BI226" s="165"/>
      <c r="BJ226" s="165"/>
      <c r="BK226" s="165"/>
      <c r="BL226" s="165"/>
      <c r="BM226" s="165"/>
      <c r="BN226" s="165"/>
      <c r="BO226" s="165"/>
      <c r="BP226" s="165"/>
      <c r="BQ226" s="165"/>
      <c r="BR226" s="165"/>
      <c r="BS226" s="165"/>
      <c r="BT226" s="165"/>
      <c r="BU226" s="165"/>
      <c r="BV226" s="165"/>
      <c r="BW226" s="165"/>
      <c r="BX226" s="165"/>
      <c r="BY226" s="165"/>
      <c r="BZ226" s="165"/>
      <c r="CA226" s="165"/>
      <c r="CB226" s="165"/>
      <c r="CC226" s="165"/>
      <c r="CD226" s="165"/>
      <c r="CE226" s="165"/>
      <c r="CF226" s="165"/>
      <c r="CG226" s="165"/>
      <c r="CH226" s="165"/>
      <c r="CI226" s="170"/>
      <c r="CJ226" s="165"/>
      <c r="CK226" s="165"/>
      <c r="CL226" s="165"/>
      <c r="CM226" s="165"/>
      <c r="CN226" s="170"/>
      <c r="CO226" s="165"/>
      <c r="CP226" s="165"/>
      <c r="CQ226" s="165"/>
    </row>
    <row r="227" spans="1:95" outlineLevel="1" x14ac:dyDescent="0.25">
      <c r="A227" s="228"/>
      <c r="B227" s="236" t="str">
        <f>Table1[[#Headers],[Total Testes]]</f>
        <v>Total Testes</v>
      </c>
      <c r="C227" s="237" t="str">
        <f t="shared" si="40"/>
        <v>PROTECTION_DT_RGSTRTN</v>
      </c>
      <c r="D227" s="232" t="s">
        <v>1114</v>
      </c>
      <c r="E227" s="232" t="s">
        <v>1518</v>
      </c>
      <c r="F227" s="238"/>
      <c r="G227" s="233">
        <f>INDEX(Table1[[Especificação]:[Total Testes]],MATCH('Sheet1 (2)'!C227,Table1[CONCAT],0),MATCH('Sheet1 (2)'!B227,Table1[[#Headers],[Especificação]:[Total Testes]],0))</f>
        <v>0</v>
      </c>
      <c r="H227" s="239">
        <f t="shared" si="41"/>
        <v>0</v>
      </c>
      <c r="I227" s="235"/>
      <c r="J227" s="170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5"/>
      <c r="AH227" s="165"/>
      <c r="AI227" s="165"/>
      <c r="AJ227" s="165"/>
      <c r="AK227" s="165"/>
      <c r="AL227" s="165"/>
      <c r="AM227" s="165"/>
      <c r="AN227" s="165"/>
      <c r="AO227" s="165"/>
      <c r="AP227" s="165"/>
      <c r="AQ227" s="165"/>
      <c r="AR227" s="165"/>
      <c r="AS227" s="165"/>
      <c r="AT227" s="165"/>
      <c r="AU227" s="165"/>
      <c r="AV227" s="165"/>
      <c r="AW227" s="165"/>
      <c r="AX227" s="165"/>
      <c r="AY227" s="165"/>
      <c r="AZ227" s="165"/>
      <c r="BA227" s="165"/>
      <c r="BB227" s="170"/>
      <c r="BC227" s="165"/>
      <c r="BD227" s="165"/>
      <c r="BE227" s="165"/>
      <c r="BF227" s="165"/>
      <c r="BG227" s="165"/>
      <c r="BH227" s="165"/>
      <c r="BI227" s="165"/>
      <c r="BJ227" s="165"/>
      <c r="BK227" s="165"/>
      <c r="BL227" s="165"/>
      <c r="BM227" s="165"/>
      <c r="BN227" s="165"/>
      <c r="BO227" s="165"/>
      <c r="BP227" s="165"/>
      <c r="BQ227" s="165"/>
      <c r="BR227" s="165"/>
      <c r="BS227" s="165"/>
      <c r="BT227" s="165"/>
      <c r="BU227" s="165"/>
      <c r="BV227" s="165"/>
      <c r="BW227" s="165"/>
      <c r="BX227" s="165"/>
      <c r="BY227" s="165"/>
      <c r="BZ227" s="165"/>
      <c r="CA227" s="165"/>
      <c r="CB227" s="165"/>
      <c r="CC227" s="165"/>
      <c r="CD227" s="165"/>
      <c r="CE227" s="165"/>
      <c r="CF227" s="165"/>
      <c r="CG227" s="165"/>
      <c r="CH227" s="165"/>
      <c r="CI227" s="170"/>
      <c r="CJ227" s="165"/>
      <c r="CK227" s="165"/>
      <c r="CL227" s="165"/>
      <c r="CM227" s="165"/>
      <c r="CN227" s="170"/>
      <c r="CO227" s="165"/>
      <c r="CP227" s="165"/>
      <c r="CQ227" s="165"/>
    </row>
    <row r="228" spans="1:95" outlineLevel="1" x14ac:dyDescent="0.25">
      <c r="A228" s="228"/>
      <c r="B228" s="236" t="str">
        <f>Table1[[#Headers],[Total Testes]]</f>
        <v>Total Testes</v>
      </c>
      <c r="C228" s="237" t="str">
        <f t="shared" si="40"/>
        <v>INSTR_ACTIVITY_FLG_DNSH_CMPLNC</v>
      </c>
      <c r="D228" s="232" t="s">
        <v>1542</v>
      </c>
      <c r="E228" s="232" t="s">
        <v>1557</v>
      </c>
      <c r="F228" s="238"/>
      <c r="G228" s="233">
        <f>INDEX(Table1[[Especificação]:[Total Testes]],MATCH('Sheet1 (2)'!C228,Table1[CONCAT],0),MATCH('Sheet1 (2)'!B228,Table1[[#Headers],[Especificação]:[Total Testes]],0))</f>
        <v>0</v>
      </c>
      <c r="H228" s="239">
        <f t="shared" si="41"/>
        <v>0</v>
      </c>
      <c r="I228" s="235"/>
      <c r="J228" s="170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5"/>
      <c r="AH228" s="165"/>
      <c r="AI228" s="165"/>
      <c r="AJ228" s="165"/>
      <c r="AK228" s="165"/>
      <c r="AL228" s="165"/>
      <c r="AM228" s="165"/>
      <c r="AN228" s="165"/>
      <c r="AO228" s="165"/>
      <c r="AP228" s="165"/>
      <c r="AQ228" s="165"/>
      <c r="AR228" s="165"/>
      <c r="AS228" s="165"/>
      <c r="AT228" s="165"/>
      <c r="AU228" s="165"/>
      <c r="AV228" s="165"/>
      <c r="AW228" s="165"/>
      <c r="AX228" s="165"/>
      <c r="AY228" s="165"/>
      <c r="AZ228" s="165"/>
      <c r="BA228" s="165"/>
      <c r="BB228" s="170"/>
      <c r="BC228" s="165"/>
      <c r="BD228" s="165"/>
      <c r="BE228" s="165"/>
      <c r="BF228" s="165"/>
      <c r="BG228" s="165"/>
      <c r="BH228" s="165"/>
      <c r="BI228" s="165"/>
      <c r="BJ228" s="165"/>
      <c r="BK228" s="165"/>
      <c r="BL228" s="165"/>
      <c r="BM228" s="165"/>
      <c r="BN228" s="165"/>
      <c r="BO228" s="165"/>
      <c r="BP228" s="165"/>
      <c r="BQ228" s="165"/>
      <c r="BR228" s="165"/>
      <c r="BS228" s="165"/>
      <c r="BT228" s="165"/>
      <c r="BU228" s="165"/>
      <c r="BV228" s="165"/>
      <c r="BW228" s="165"/>
      <c r="BX228" s="165"/>
      <c r="BY228" s="165"/>
      <c r="BZ228" s="165"/>
      <c r="CA228" s="165"/>
      <c r="CB228" s="165"/>
      <c r="CC228" s="165"/>
      <c r="CD228" s="165"/>
      <c r="CE228" s="165"/>
      <c r="CF228" s="165"/>
      <c r="CG228" s="165"/>
      <c r="CH228" s="165"/>
      <c r="CI228" s="170"/>
      <c r="CJ228" s="165"/>
      <c r="CK228" s="165"/>
      <c r="CL228" s="165"/>
      <c r="CM228" s="165"/>
      <c r="CN228" s="170"/>
      <c r="CO228" s="165"/>
      <c r="CP228" s="165"/>
      <c r="CQ228" s="165"/>
    </row>
    <row r="229" spans="1:95" outlineLevel="1" x14ac:dyDescent="0.25">
      <c r="A229" s="228"/>
      <c r="B229" s="236" t="str">
        <f>Table1[[#Headers],[Total Testes]]</f>
        <v>Total Testes</v>
      </c>
      <c r="C229" s="237" t="str">
        <f t="shared" si="40"/>
        <v>INSTR_ACTIVITY_DNSH_DTL</v>
      </c>
      <c r="D229" s="232" t="s">
        <v>1542</v>
      </c>
      <c r="E229" s="232" t="s">
        <v>1560</v>
      </c>
      <c r="F229" s="238"/>
      <c r="G229" s="233">
        <f>INDEX(Table1[[Especificação]:[Total Testes]],MATCH('Sheet1 (2)'!C229,Table1[CONCAT],0),MATCH('Sheet1 (2)'!B229,Table1[[#Headers],[Especificação]:[Total Testes]],0))</f>
        <v>0</v>
      </c>
      <c r="H229" s="239">
        <f t="shared" si="41"/>
        <v>0</v>
      </c>
      <c r="I229" s="235"/>
      <c r="J229" s="170"/>
      <c r="K229" s="165"/>
      <c r="L229" s="165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5"/>
      <c r="AH229" s="165"/>
      <c r="AI229" s="165"/>
      <c r="AJ229" s="165"/>
      <c r="AK229" s="165"/>
      <c r="AL229" s="165"/>
      <c r="AM229" s="165"/>
      <c r="AN229" s="165"/>
      <c r="AO229" s="165"/>
      <c r="AP229" s="165"/>
      <c r="AQ229" s="165"/>
      <c r="AR229" s="165"/>
      <c r="AS229" s="165"/>
      <c r="AT229" s="165"/>
      <c r="AU229" s="165"/>
      <c r="AV229" s="165"/>
      <c r="AW229" s="165"/>
      <c r="AX229" s="165"/>
      <c r="AY229" s="165"/>
      <c r="AZ229" s="165"/>
      <c r="BA229" s="165"/>
      <c r="BB229" s="170"/>
      <c r="BC229" s="165"/>
      <c r="BD229" s="165"/>
      <c r="BE229" s="165"/>
      <c r="BF229" s="165"/>
      <c r="BG229" s="165"/>
      <c r="BH229" s="165"/>
      <c r="BI229" s="165"/>
      <c r="BJ229" s="165"/>
      <c r="BK229" s="165"/>
      <c r="BL229" s="165"/>
      <c r="BM229" s="165"/>
      <c r="BN229" s="165"/>
      <c r="BO229" s="165"/>
      <c r="BP229" s="165"/>
      <c r="BQ229" s="165"/>
      <c r="BR229" s="165"/>
      <c r="BS229" s="165"/>
      <c r="BT229" s="165"/>
      <c r="BU229" s="165"/>
      <c r="BV229" s="165"/>
      <c r="BW229" s="165"/>
      <c r="BX229" s="165"/>
      <c r="BY229" s="165"/>
      <c r="BZ229" s="165"/>
      <c r="CA229" s="165"/>
      <c r="CB229" s="165"/>
      <c r="CC229" s="165"/>
      <c r="CD229" s="165"/>
      <c r="CE229" s="165"/>
      <c r="CF229" s="165"/>
      <c r="CG229" s="165"/>
      <c r="CH229" s="165"/>
      <c r="CI229" s="170"/>
      <c r="CJ229" s="165"/>
      <c r="CK229" s="165"/>
      <c r="CL229" s="165"/>
      <c r="CM229" s="165"/>
      <c r="CN229" s="170"/>
      <c r="CO229" s="165"/>
      <c r="CP229" s="165"/>
      <c r="CQ229" s="165"/>
    </row>
    <row r="230" spans="1:95" x14ac:dyDescent="0.25">
      <c r="B230" s="156"/>
      <c r="C230" s="177" t="s">
        <v>1751</v>
      </c>
      <c r="D230" s="178"/>
      <c r="E230" s="179"/>
      <c r="F230" s="205"/>
      <c r="G230" s="205">
        <f>H230*8</f>
        <v>32</v>
      </c>
      <c r="H230" s="208">
        <f>ROUNDUP(Auxiliar!$E$12*H161,0)</f>
        <v>4</v>
      </c>
      <c r="I230" s="222">
        <f t="shared" ref="I230" si="42">SUM(J230:CQ230)-H230</f>
        <v>2.1999999999999993</v>
      </c>
      <c r="J230" s="170"/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5"/>
      <c r="AH230" s="165"/>
      <c r="AI230" s="165"/>
      <c r="AJ230" s="165"/>
      <c r="AK230" s="165"/>
      <c r="AL230" s="165"/>
      <c r="AM230" s="165"/>
      <c r="AN230" s="165"/>
      <c r="AO230" s="165"/>
      <c r="AP230" s="165"/>
      <c r="AQ230" s="165"/>
      <c r="AR230" s="165"/>
      <c r="AS230" s="165"/>
      <c r="AT230" s="165"/>
      <c r="AU230" s="165"/>
      <c r="AV230" s="165"/>
      <c r="AW230" s="165"/>
      <c r="AX230" s="165"/>
      <c r="AY230" s="165"/>
      <c r="AZ230" s="165"/>
      <c r="BA230" s="165"/>
      <c r="BB230" s="170"/>
      <c r="BC230" s="165"/>
      <c r="BD230" s="165"/>
      <c r="BE230" s="165"/>
      <c r="BF230" s="165">
        <v>0.9</v>
      </c>
      <c r="BG230" s="165">
        <v>2</v>
      </c>
      <c r="BH230" s="165">
        <v>1.1000000000000001</v>
      </c>
      <c r="BI230" s="165">
        <v>1.1000000000000001</v>
      </c>
      <c r="BJ230" s="165">
        <v>1.1000000000000001</v>
      </c>
      <c r="BK230" s="165"/>
      <c r="BL230" s="165"/>
      <c r="BM230" s="165"/>
      <c r="BN230" s="165"/>
      <c r="BO230" s="165"/>
      <c r="BP230" s="165"/>
      <c r="BQ230" s="165"/>
      <c r="BR230" s="165"/>
      <c r="BS230" s="165"/>
      <c r="BT230" s="165"/>
      <c r="BU230" s="165"/>
      <c r="BV230" s="165"/>
      <c r="BW230" s="165"/>
      <c r="BX230" s="165"/>
      <c r="BY230" s="165"/>
      <c r="BZ230" s="165"/>
      <c r="CA230" s="165"/>
      <c r="CB230" s="165"/>
      <c r="CC230" s="165"/>
      <c r="CD230" s="165"/>
      <c r="CE230" s="165"/>
      <c r="CF230" s="165"/>
      <c r="CG230" s="165"/>
      <c r="CH230" s="165"/>
      <c r="CI230" s="170"/>
      <c r="CJ230" s="165"/>
      <c r="CK230" s="165"/>
      <c r="CL230" s="165"/>
      <c r="CM230" s="165"/>
      <c r="CN230" s="170"/>
      <c r="CO230" s="165"/>
      <c r="CP230" s="165"/>
      <c r="CQ230" s="165"/>
    </row>
    <row r="231" spans="1:95" x14ac:dyDescent="0.25">
      <c r="A231"/>
      <c r="B231"/>
      <c r="C231"/>
      <c r="D231"/>
      <c r="E231"/>
      <c r="F231" s="218"/>
      <c r="G231"/>
      <c r="H231"/>
      <c r="I231"/>
      <c r="J231"/>
      <c r="K231"/>
      <c r="L231"/>
      <c r="M231"/>
      <c r="N231"/>
    </row>
    <row r="236" spans="1:95" x14ac:dyDescent="0.25">
      <c r="C236" s="245" t="s">
        <v>1729</v>
      </c>
      <c r="D236" s="246">
        <f>SUM(K1:CA1)</f>
        <v>651.20000000000039</v>
      </c>
      <c r="E236" s="144" t="s">
        <v>1731</v>
      </c>
    </row>
    <row r="237" spans="1:95" x14ac:dyDescent="0.25">
      <c r="C237" s="143" t="s">
        <v>1730</v>
      </c>
      <c r="D237" s="224" t="s">
        <v>1752</v>
      </c>
      <c r="E237" s="144" t="s">
        <v>1732</v>
      </c>
    </row>
    <row r="239" spans="1:95" x14ac:dyDescent="0.25">
      <c r="D239" s="224"/>
      <c r="Z239">
        <f>9+8</f>
        <v>17</v>
      </c>
    </row>
    <row r="240" spans="1:95" x14ac:dyDescent="0.25">
      <c r="Z240">
        <f>17/5</f>
        <v>3.4</v>
      </c>
    </row>
    <row r="241" spans="3:3" x14ac:dyDescent="0.25">
      <c r="C241" s="143" t="s">
        <v>1753</v>
      </c>
    </row>
    <row r="242" spans="3:3" x14ac:dyDescent="0.25">
      <c r="C242" s="143" t="s">
        <v>1754</v>
      </c>
    </row>
  </sheetData>
  <conditionalFormatting sqref="I10:I230">
    <cfRule type="cellIs" dxfId="8" priority="4" operator="notEqual">
      <formula>0</formula>
    </cfRule>
    <cfRule type="cellIs" dxfId="7" priority="10" operator="equal">
      <formula>0</formula>
    </cfRule>
  </conditionalFormatting>
  <conditionalFormatting sqref="J9:J230 BB9:BB230 CI9:CI230 CN9:CN230">
    <cfRule type="cellIs" dxfId="6" priority="8" operator="greaterThan">
      <formula>0</formula>
    </cfRule>
  </conditionalFormatting>
  <conditionalFormatting sqref="J2:CA2">
    <cfRule type="cellIs" dxfId="5" priority="1" operator="equal">
      <formula>0</formula>
    </cfRule>
    <cfRule type="cellIs" dxfId="4" priority="2" operator="greaterThan">
      <formula>0</formula>
    </cfRule>
    <cfRule type="cellIs" dxfId="3" priority="3" operator="lessThan">
      <formula>0</formula>
    </cfRule>
  </conditionalFormatting>
  <conditionalFormatting sqref="K9:BA230 BC9:CH230 CJ9:CM230 CO9:CQ230">
    <cfRule type="cellIs" dxfId="2" priority="9" operator="not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autoPageBreaks="0"/>
  </sheetPr>
  <dimension ref="A1:AL549"/>
  <sheetViews>
    <sheetView showGridLines="0" zoomScale="99" zoomScaleNormal="8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defaultColWidth="9" defaultRowHeight="14.85" customHeight="1" x14ac:dyDescent="0.25"/>
  <cols>
    <col min="1" max="1" width="23.8984375" style="36" customWidth="1"/>
    <col min="2" max="2" width="14.69921875" style="36" customWidth="1"/>
    <col min="3" max="3" width="17.5" style="37" customWidth="1"/>
    <col min="4" max="4" width="40.8984375" style="38" customWidth="1"/>
    <col min="5" max="5" width="60.3984375" style="6" customWidth="1"/>
    <col min="6" max="6" width="21.3984375" style="39" customWidth="1"/>
    <col min="7" max="10" width="18.69921875" style="38" customWidth="1"/>
    <col min="11" max="11" width="19.3984375" style="38" customWidth="1"/>
    <col min="12" max="12" width="18.69921875" style="6" hidden="1" customWidth="1"/>
    <col min="13" max="13" width="18.8984375" style="6" customWidth="1"/>
    <col min="14" max="14" width="18.69921875" style="6" hidden="1" customWidth="1"/>
    <col min="15" max="15" width="13.5" style="6" customWidth="1"/>
    <col min="16" max="16" width="18.69921875" style="6" hidden="1" customWidth="1"/>
    <col min="17" max="17" width="13.5" style="6" customWidth="1"/>
    <col min="18" max="19" width="18.69921875" style="6" hidden="1" customWidth="1"/>
    <col min="20" max="20" width="16.3984375" style="6" customWidth="1"/>
    <col min="21" max="21" width="18.69921875" style="6" hidden="1" customWidth="1"/>
    <col min="22" max="22" width="17" style="6" customWidth="1"/>
    <col min="23" max="23" width="36.19921875" style="6" bestFit="1" customWidth="1"/>
    <col min="24" max="24" width="64.3984375" style="6" customWidth="1"/>
    <col min="25" max="25" width="28.59765625" style="6" customWidth="1"/>
    <col min="26" max="26" width="27" style="6" bestFit="1" customWidth="1"/>
    <col min="27" max="27" width="96.69921875" style="6" bestFit="1" customWidth="1"/>
    <col min="28" max="28" width="22.3984375" style="6" bestFit="1" customWidth="1"/>
    <col min="29" max="29" width="14.59765625" style="6" customWidth="1"/>
    <col min="30" max="30" width="15.09765625" style="6" customWidth="1"/>
    <col min="31" max="31" width="14.59765625" style="6" customWidth="1"/>
    <col min="32" max="32" width="23.5" style="6" customWidth="1"/>
    <col min="33" max="33" width="24.5" style="6" customWidth="1"/>
    <col min="34" max="34" width="16.69921875" style="6" customWidth="1"/>
    <col min="35" max="35" width="16.8984375" style="6" customWidth="1"/>
    <col min="36" max="36" width="21.69921875" style="6" customWidth="1"/>
    <col min="37" max="37" width="13.59765625" style="6" customWidth="1"/>
    <col min="38" max="38" width="30.69921875" style="6" customWidth="1"/>
    <col min="39" max="16384" width="9" style="6"/>
  </cols>
  <sheetData>
    <row r="1" spans="1:38" ht="14.85" customHeight="1" x14ac:dyDescent="0.25">
      <c r="M1" s="48"/>
      <c r="O1" s="48"/>
      <c r="Q1" s="48"/>
      <c r="T1" s="48"/>
      <c r="Y1" s="74" t="s">
        <v>1602</v>
      </c>
    </row>
    <row r="2" spans="1:38" ht="17.399999999999999" x14ac:dyDescent="0.25">
      <c r="A2" s="78" t="s">
        <v>1562</v>
      </c>
      <c r="B2" s="79"/>
      <c r="C2" s="79"/>
      <c r="D2" s="79"/>
      <c r="E2" s="80"/>
      <c r="F2" s="76" t="s">
        <v>1567</v>
      </c>
      <c r="G2" s="77" t="s">
        <v>1598</v>
      </c>
      <c r="H2" s="77" t="s">
        <v>1599</v>
      </c>
      <c r="I2" s="77" t="s">
        <v>1604</v>
      </c>
      <c r="J2" s="77" t="s">
        <v>1600</v>
      </c>
      <c r="K2" s="77" t="s">
        <v>1601</v>
      </c>
      <c r="L2" s="117" t="s">
        <v>1632</v>
      </c>
      <c r="M2" s="75"/>
      <c r="N2" s="75"/>
      <c r="O2" s="75"/>
      <c r="P2" s="75"/>
      <c r="Q2" s="75"/>
      <c r="R2" s="75"/>
      <c r="S2" s="75"/>
      <c r="T2" s="75"/>
      <c r="U2" s="75"/>
      <c r="V2" s="117" t="s">
        <v>1632</v>
      </c>
      <c r="W2" s="75"/>
      <c r="X2" s="75"/>
      <c r="Y2" s="75"/>
      <c r="Z2" s="75"/>
      <c r="AC2" s="132" t="s">
        <v>1644</v>
      </c>
      <c r="AD2" s="132"/>
      <c r="AE2" s="133"/>
      <c r="AF2" s="133"/>
      <c r="AG2" s="132"/>
      <c r="AH2" s="133"/>
      <c r="AI2" s="133"/>
      <c r="AJ2" s="133"/>
      <c r="AK2" s="133"/>
    </row>
    <row r="3" spans="1:38" ht="27.6" x14ac:dyDescent="0.25">
      <c r="A3" s="157" t="s">
        <v>0</v>
      </c>
      <c r="B3" s="109" t="s">
        <v>1595</v>
      </c>
      <c r="C3" s="110" t="s">
        <v>1</v>
      </c>
      <c r="D3" s="110" t="s">
        <v>2</v>
      </c>
      <c r="E3" s="110" t="s">
        <v>3</v>
      </c>
      <c r="F3" s="111" t="s">
        <v>4</v>
      </c>
      <c r="G3" s="111" t="s">
        <v>5</v>
      </c>
      <c r="H3" s="111" t="s">
        <v>6</v>
      </c>
      <c r="I3" s="112" t="s">
        <v>1395</v>
      </c>
      <c r="J3" s="111" t="s">
        <v>7</v>
      </c>
      <c r="K3" s="112" t="s">
        <v>1396</v>
      </c>
      <c r="L3" s="114" t="s">
        <v>1589</v>
      </c>
      <c r="M3" s="114" t="s">
        <v>1586</v>
      </c>
      <c r="N3" s="114" t="s">
        <v>1590</v>
      </c>
      <c r="O3" s="114" t="s">
        <v>1585</v>
      </c>
      <c r="P3" s="114" t="s">
        <v>1591</v>
      </c>
      <c r="Q3" s="114" t="s">
        <v>1587</v>
      </c>
      <c r="R3" s="115" t="s">
        <v>1592</v>
      </c>
      <c r="S3" s="114" t="s">
        <v>1593</v>
      </c>
      <c r="T3" s="114" t="s">
        <v>1588</v>
      </c>
      <c r="U3" s="115" t="s">
        <v>1594</v>
      </c>
      <c r="V3" s="113" t="s">
        <v>1619</v>
      </c>
      <c r="W3" s="113" t="s">
        <v>1584</v>
      </c>
      <c r="X3" s="113" t="s">
        <v>1620</v>
      </c>
      <c r="Y3" s="116" t="s">
        <v>1568</v>
      </c>
      <c r="Z3" s="130" t="s">
        <v>1603</v>
      </c>
      <c r="AA3" s="227" t="s">
        <v>1569</v>
      </c>
      <c r="AB3" s="136" t="s">
        <v>1664</v>
      </c>
      <c r="AC3" s="134" t="s">
        <v>1665</v>
      </c>
      <c r="AD3" s="134" t="s">
        <v>1670</v>
      </c>
      <c r="AE3" s="134" t="s">
        <v>1676</v>
      </c>
      <c r="AF3" s="134" t="s">
        <v>1645</v>
      </c>
      <c r="AG3" s="134" t="s">
        <v>1666</v>
      </c>
      <c r="AH3" s="134" t="s">
        <v>1646</v>
      </c>
      <c r="AI3" s="134" t="s">
        <v>1647</v>
      </c>
      <c r="AJ3" s="134" t="s">
        <v>1648</v>
      </c>
      <c r="AK3" s="159" t="s">
        <v>1675</v>
      </c>
      <c r="AL3" s="164" t="s">
        <v>1616</v>
      </c>
    </row>
    <row r="4" spans="1:38" ht="13.8" x14ac:dyDescent="0.25">
      <c r="A4" s="158" t="s">
        <v>9</v>
      </c>
      <c r="B4" s="81" t="str">
        <f>C4&amp;"_"&amp;D4</f>
        <v>ENTITY_COD_SOC</v>
      </c>
      <c r="C4" s="82" t="s">
        <v>10</v>
      </c>
      <c r="D4" s="83" t="s">
        <v>12</v>
      </c>
      <c r="E4" s="84" t="s">
        <v>14</v>
      </c>
      <c r="F4" s="85" t="s">
        <v>13</v>
      </c>
      <c r="G4" s="85" t="s">
        <v>11</v>
      </c>
      <c r="H4" s="85" t="s">
        <v>13</v>
      </c>
      <c r="I4" s="85" t="s">
        <v>11</v>
      </c>
      <c r="J4" s="85" t="s">
        <v>13</v>
      </c>
      <c r="K4" s="85" t="s">
        <v>13</v>
      </c>
      <c r="L4" s="86" t="str">
        <f>IFERROR(VLOOKUP($B4,'LISTA - Atual'!$B$1:$I$444,5,0),"Novo")</f>
        <v>Y</v>
      </c>
      <c r="M4" s="86" t="str">
        <f t="shared" ref="M4:M35" si="0">IF(L4="Novo","Novo Campo",IF(L4=F4,"Igual","Diferente"))</f>
        <v>Igual</v>
      </c>
      <c r="N4" s="86" t="str">
        <f>IFERROR(VLOOKUP($B4,'LISTA - Atual'!$B$1:$I$444,6,0),"Novo")</f>
        <v>N</v>
      </c>
      <c r="O4" s="86" t="str">
        <f t="shared" ref="O4:O35" si="1">IF(N4="Novo","Novo Campo",IF(N4=G4,"Igual","Diferente"))</f>
        <v>Igual</v>
      </c>
      <c r="P4" s="86" t="str">
        <f>IFERROR(VLOOKUP($B4,'LISTA - Atual'!$B$1:$I$444,7,0),"Novo")</f>
        <v>Y</v>
      </c>
      <c r="Q4" s="86" t="str">
        <f t="shared" ref="Q4:Q35" si="2">IF(P4="Novo","Novo Campo",IF(P4=H4,"Igual","Diferente"))</f>
        <v>Igual</v>
      </c>
      <c r="R4" s="86" t="s">
        <v>1563</v>
      </c>
      <c r="S4" s="86" t="str">
        <f>IFERROR(VLOOKUP($B4,'LISTA - Atual'!$B$1:$I$444,8,0),"Novo")</f>
        <v>Y</v>
      </c>
      <c r="T4" s="86" t="str">
        <f t="shared" ref="T4:T35" si="3">IF(S4="Novo","Novo Campo",IF(S4=J4,"Igual","Diferente"))</f>
        <v>Igual</v>
      </c>
      <c r="U4" s="86" t="s">
        <v>1563</v>
      </c>
      <c r="V4" s="86" t="s">
        <v>11</v>
      </c>
      <c r="W4" s="87" t="str">
        <f>IFERROR(VLOOKUP(B4,#REF!,11,0),"n/a")</f>
        <v>n/a</v>
      </c>
      <c r="X4" s="87" t="str">
        <f>IFERROR(VLOOKUP(B4,#REF!,8,0),"n/a")</f>
        <v>n/a</v>
      </c>
      <c r="Y4" s="87" t="str">
        <f>$F$2&amp;$Y$1&amp;$H$2</f>
        <v>ESTR &amp; PILAR3</v>
      </c>
      <c r="Z4" s="131" t="s">
        <v>1605</v>
      </c>
      <c r="AA4" s="227" t="e">
        <f>VLOOKUP(Table1[[#This Row],[CONCAT]],'Campos Resumo Prop2.0'!A:H,8,0)</f>
        <v>#N/A</v>
      </c>
      <c r="AB4" s="87" t="s">
        <v>1649</v>
      </c>
      <c r="AC4" s="135" t="s">
        <v>1625</v>
      </c>
      <c r="AD4" s="91">
        <f>INDEX(Auxiliar!$D$5:$I$10,MATCH('LISTA - Setembro2024'!AD$3,Auxiliar!$B$5:$B$10,0),MATCH('LISTA - Setembro2024'!$AC4,Auxiliar!$D$4:$I$4,0))</f>
        <v>0</v>
      </c>
      <c r="AE4" s="91">
        <f>INDEX(Auxiliar!$D$5:$I$10,MATCH('LISTA - Setembro2024'!AE$3,Auxiliar!$B$5:$B$10,0),MATCH('LISTA - Setembro2024'!$AC4,Auxiliar!$D$4:$I$4,0))</f>
        <v>0</v>
      </c>
      <c r="AF4" s="87">
        <f>INDEX(Auxiliar!$D$5:$I$10,MATCH('LISTA - Setembro2024'!AF$3,Auxiliar!$B$5:$B$10,0),MATCH('LISTA - Setembro2024'!$AC4,Auxiliar!$D$4:$I$4,0))</f>
        <v>0</v>
      </c>
      <c r="AG4" s="87" t="str">
        <f t="shared" ref="AG4:AG67" si="4">IF(OR(AB4="Code List",AB4="Y, N"),AC4,"n.a.")</f>
        <v>n.a.</v>
      </c>
      <c r="AH4" s="87">
        <f>INDEX(Auxiliar!$D$5:$I$10,MATCH('LISTA - Setembro2024'!AH$3,Auxiliar!$B$5:$B$10,0),MATCH('LISTA - Setembro2024'!$AG4,Auxiliar!$D$4:$I$4,0))</f>
        <v>0</v>
      </c>
      <c r="AI4" s="87">
        <f>INDEX(Auxiliar!$D$5:$I$10,MATCH('LISTA - Setembro2024'!AI$3,Auxiliar!$B$5:$B$10,0),MATCH('LISTA - Setembro2024'!$AC4,Auxiliar!$D$4:$I$4,0))</f>
        <v>0</v>
      </c>
      <c r="AJ4" s="87">
        <f>INDEX(Auxiliar!$D$5:$I$10,MATCH('LISTA - Setembro2024'!AJ$3,Auxiliar!$B$5:$B$10,0),MATCH('LISTA - Setembro2024'!$AC4,Auxiliar!$D$4:$I$4,0))</f>
        <v>0</v>
      </c>
      <c r="AK4" s="160">
        <f t="shared" ref="AK4:AK67" si="5">SUM(AF4,AH4:AJ4)</f>
        <v>0</v>
      </c>
      <c r="AL4" s="162"/>
    </row>
    <row r="5" spans="1:38" ht="13.8" x14ac:dyDescent="0.25">
      <c r="A5" s="158" t="s">
        <v>16</v>
      </c>
      <c r="B5" s="81" t="str">
        <f t="shared" ref="B5:B68" si="6">C5&amp;"_"&amp;D5</f>
        <v>ENTITY_CNTRY</v>
      </c>
      <c r="C5" s="82" t="s">
        <v>10</v>
      </c>
      <c r="D5" s="83" t="s">
        <v>17</v>
      </c>
      <c r="E5" s="84" t="s">
        <v>18</v>
      </c>
      <c r="F5" s="85" t="s">
        <v>13</v>
      </c>
      <c r="G5" s="85" t="s">
        <v>11</v>
      </c>
      <c r="H5" s="85" t="s">
        <v>13</v>
      </c>
      <c r="I5" s="85" t="s">
        <v>11</v>
      </c>
      <c r="J5" s="85" t="s">
        <v>13</v>
      </c>
      <c r="K5" s="85" t="s">
        <v>13</v>
      </c>
      <c r="L5" s="86" t="str">
        <f>IFERROR(VLOOKUP($B5,'LISTA - Atual'!$B$1:$I$444,5,0),"Novo")</f>
        <v>Y</v>
      </c>
      <c r="M5" s="86" t="str">
        <f t="shared" si="0"/>
        <v>Igual</v>
      </c>
      <c r="N5" s="86" t="str">
        <f>IFERROR(VLOOKUP($B5,'LISTA - Atual'!$B$1:$I$444,6,0),"Novo")</f>
        <v>N</v>
      </c>
      <c r="O5" s="86" t="str">
        <f t="shared" si="1"/>
        <v>Igual</v>
      </c>
      <c r="P5" s="86" t="str">
        <f>IFERROR(VLOOKUP($B5,'LISTA - Atual'!$B$1:$I$444,7,0),"Novo")</f>
        <v>Y</v>
      </c>
      <c r="Q5" s="86" t="str">
        <f t="shared" si="2"/>
        <v>Igual</v>
      </c>
      <c r="R5" s="86" t="s">
        <v>1563</v>
      </c>
      <c r="S5" s="86" t="str">
        <f>IFERROR(VLOOKUP($B5,'LISTA - Atual'!$B$1:$I$444,8,0),"Novo")</f>
        <v>Y</v>
      </c>
      <c r="T5" s="86" t="str">
        <f t="shared" si="3"/>
        <v>Igual</v>
      </c>
      <c r="U5" s="86" t="s">
        <v>1563</v>
      </c>
      <c r="V5" s="86" t="s">
        <v>11</v>
      </c>
      <c r="W5" s="87" t="str">
        <f>IFERROR(VLOOKUP(B5,#REF!,11,0),"n/a")</f>
        <v>n/a</v>
      </c>
      <c r="X5" s="87" t="str">
        <f>IFERROR(VLOOKUP(B5,#REF!,8,0),"n/a")</f>
        <v>n/a</v>
      </c>
      <c r="Y5" s="87" t="str">
        <f>$F$2&amp;$Y$1&amp;$H$2</f>
        <v>ESTR &amp; PILAR3</v>
      </c>
      <c r="Z5" s="131" t="s">
        <v>1605</v>
      </c>
      <c r="AA5" s="227" t="e">
        <f>VLOOKUP(Table1[[#This Row],[CONCAT]],'Campos Resumo Prop2.0'!A:H,8,0)</f>
        <v>#N/A</v>
      </c>
      <c r="AB5" s="87" t="s">
        <v>1650</v>
      </c>
      <c r="AC5" s="135" t="s">
        <v>1625</v>
      </c>
      <c r="AD5" s="91">
        <f>INDEX(Auxiliar!$D$5:$I$10,MATCH('LISTA - Setembro2024'!AD$3,Auxiliar!$B$5:$B$10,0),MATCH('LISTA - Setembro2024'!$AC5,Auxiliar!$D$4:$I$4,0))</f>
        <v>0</v>
      </c>
      <c r="AE5" s="91">
        <f>INDEX(Auxiliar!$D$5:$I$10,MATCH('LISTA - Setembro2024'!AE$3,Auxiliar!$B$5:$B$10,0),MATCH('LISTA - Setembro2024'!$AC5,Auxiliar!$D$4:$I$4,0))</f>
        <v>0</v>
      </c>
      <c r="AF5" s="87">
        <f>INDEX(Auxiliar!$D$5:$I$10,MATCH('LISTA - Setembro2024'!AF$3,Auxiliar!$B$5:$B$10,0),MATCH('LISTA - Setembro2024'!$AC5,Auxiliar!$D$4:$I$4,0))</f>
        <v>0</v>
      </c>
      <c r="AG5" s="87" t="str">
        <f t="shared" si="4"/>
        <v>n.a.</v>
      </c>
      <c r="AH5" s="87">
        <f>INDEX(Auxiliar!$D$5:$I$10,MATCH('LISTA - Setembro2024'!AH$3,Auxiliar!$B$5:$B$10,0),MATCH('LISTA - Setembro2024'!$AG5,Auxiliar!$D$4:$I$4,0))</f>
        <v>0</v>
      </c>
      <c r="AI5" s="87">
        <f>INDEX(Auxiliar!$D$5:$I$10,MATCH('LISTA - Setembro2024'!AI$3,Auxiliar!$B$5:$B$10,0),MATCH('LISTA - Setembro2024'!$AC5,Auxiliar!$D$4:$I$4,0))</f>
        <v>0</v>
      </c>
      <c r="AJ5" s="87">
        <f>INDEX(Auxiliar!$D$5:$I$10,MATCH('LISTA - Setembro2024'!AJ$3,Auxiliar!$B$5:$B$10,0),MATCH('LISTA - Setembro2024'!$AC5,Auxiliar!$D$4:$I$4,0))</f>
        <v>0</v>
      </c>
      <c r="AK5" s="160">
        <f t="shared" si="5"/>
        <v>0</v>
      </c>
      <c r="AL5" s="87"/>
    </row>
    <row r="6" spans="1:38" ht="13.8" x14ac:dyDescent="0.25">
      <c r="A6" s="158" t="s">
        <v>19</v>
      </c>
      <c r="B6" s="81" t="str">
        <f t="shared" si="6"/>
        <v>ENTITY_DT_BRTH</v>
      </c>
      <c r="C6" s="82" t="s">
        <v>10</v>
      </c>
      <c r="D6" s="83" t="s">
        <v>20</v>
      </c>
      <c r="E6" s="84" t="s">
        <v>21</v>
      </c>
      <c r="F6" s="85" t="s">
        <v>13</v>
      </c>
      <c r="G6" s="85" t="s">
        <v>11</v>
      </c>
      <c r="H6" s="85" t="s">
        <v>11</v>
      </c>
      <c r="I6" s="85" t="s">
        <v>11</v>
      </c>
      <c r="J6" s="85" t="s">
        <v>11</v>
      </c>
      <c r="K6" s="85" t="s">
        <v>11</v>
      </c>
      <c r="L6" s="86" t="str">
        <f>IFERROR(VLOOKUP($B6,'LISTA - Atual'!$B$1:$I$444,5,0),"Novo")</f>
        <v>Y</v>
      </c>
      <c r="M6" s="86" t="str">
        <f t="shared" si="0"/>
        <v>Igual</v>
      </c>
      <c r="N6" s="86" t="str">
        <f>IFERROR(VLOOKUP($B6,'LISTA - Atual'!$B$1:$I$444,6,0),"Novo")</f>
        <v>N</v>
      </c>
      <c r="O6" s="86" t="str">
        <f t="shared" si="1"/>
        <v>Igual</v>
      </c>
      <c r="P6" s="86" t="str">
        <f>IFERROR(VLOOKUP($B6,'LISTA - Atual'!$B$1:$I$444,7,0),"Novo")</f>
        <v>N</v>
      </c>
      <c r="Q6" s="86" t="str">
        <f t="shared" si="2"/>
        <v>Igual</v>
      </c>
      <c r="R6" s="86" t="s">
        <v>1563</v>
      </c>
      <c r="S6" s="86" t="str">
        <f>IFERROR(VLOOKUP($B6,'LISTA - Atual'!$B$1:$I$444,8,0),"Novo")</f>
        <v>N</v>
      </c>
      <c r="T6" s="86" t="str">
        <f t="shared" si="3"/>
        <v>Igual</v>
      </c>
      <c r="U6" s="86" t="s">
        <v>1563</v>
      </c>
      <c r="V6" s="86" t="s">
        <v>11</v>
      </c>
      <c r="W6" s="87" t="str">
        <f>IFERROR(VLOOKUP(B6,#REF!,11,0),"n/a")</f>
        <v>n/a</v>
      </c>
      <c r="X6" s="87" t="str">
        <f>IFERROR(VLOOKUP(B6,#REF!,8,0),"n/a")</f>
        <v>n/a</v>
      </c>
      <c r="Y6" s="87" t="str">
        <f>$F$2</f>
        <v>ESTR</v>
      </c>
      <c r="Z6" s="131" t="s">
        <v>1605</v>
      </c>
      <c r="AA6" s="227" t="e">
        <f>VLOOKUP(Table1[[#This Row],[CONCAT]],'Campos Resumo Prop2.0'!A:H,8,0)</f>
        <v>#N/A</v>
      </c>
      <c r="AB6" s="87" t="s">
        <v>1651</v>
      </c>
      <c r="AC6" s="135" t="s">
        <v>1625</v>
      </c>
      <c r="AD6" s="91">
        <f>INDEX(Auxiliar!$D$5:$I$10,MATCH('LISTA - Setembro2024'!AD$3,Auxiliar!$B$5:$B$10,0),MATCH('LISTA - Setembro2024'!$AC6,Auxiliar!$D$4:$I$4,0))</f>
        <v>0</v>
      </c>
      <c r="AE6" s="91">
        <f>INDEX(Auxiliar!$D$5:$I$10,MATCH('LISTA - Setembro2024'!AE$3,Auxiliar!$B$5:$B$10,0),MATCH('LISTA - Setembro2024'!$AC6,Auxiliar!$D$4:$I$4,0))</f>
        <v>0</v>
      </c>
      <c r="AF6" s="87">
        <f>INDEX(Auxiliar!$D$5:$I$10,MATCH('LISTA - Setembro2024'!AF$3,Auxiliar!$B$5:$B$10,0),MATCH('LISTA - Setembro2024'!$AC6,Auxiliar!$D$4:$I$4,0))</f>
        <v>0</v>
      </c>
      <c r="AG6" s="87" t="str">
        <f t="shared" si="4"/>
        <v>n.a.</v>
      </c>
      <c r="AH6" s="87">
        <f>INDEX(Auxiliar!$D$5:$I$10,MATCH('LISTA - Setembro2024'!AH$3,Auxiliar!$B$5:$B$10,0),MATCH('LISTA - Setembro2024'!$AG6,Auxiliar!$D$4:$I$4,0))</f>
        <v>0</v>
      </c>
      <c r="AI6" s="87">
        <f>INDEX(Auxiliar!$D$5:$I$10,MATCH('LISTA - Setembro2024'!AI$3,Auxiliar!$B$5:$B$10,0),MATCH('LISTA - Setembro2024'!$AC6,Auxiliar!$D$4:$I$4,0))</f>
        <v>0</v>
      </c>
      <c r="AJ6" s="87">
        <f>INDEX(Auxiliar!$D$5:$I$10,MATCH('LISTA - Setembro2024'!AJ$3,Auxiliar!$B$5:$B$10,0),MATCH('LISTA - Setembro2024'!$AC6,Auxiliar!$D$4:$I$4,0))</f>
        <v>0</v>
      </c>
      <c r="AK6" s="160">
        <f t="shared" si="5"/>
        <v>0</v>
      </c>
      <c r="AL6" s="87"/>
    </row>
    <row r="7" spans="1:38" ht="13.8" x14ac:dyDescent="0.25">
      <c r="A7" s="158" t="s">
        <v>22</v>
      </c>
      <c r="B7" s="81" t="str">
        <f t="shared" si="6"/>
        <v>ENTITY_DT_DFLT_STTS</v>
      </c>
      <c r="C7" s="82" t="s">
        <v>10</v>
      </c>
      <c r="D7" s="83" t="s">
        <v>23</v>
      </c>
      <c r="E7" s="84" t="s">
        <v>24</v>
      </c>
      <c r="F7" s="85" t="s">
        <v>13</v>
      </c>
      <c r="G7" s="85" t="s">
        <v>11</v>
      </c>
      <c r="H7" s="85" t="s">
        <v>11</v>
      </c>
      <c r="I7" s="85" t="s">
        <v>11</v>
      </c>
      <c r="J7" s="85" t="s">
        <v>11</v>
      </c>
      <c r="K7" s="85" t="s">
        <v>13</v>
      </c>
      <c r="L7" s="86" t="str">
        <f>IFERROR(VLOOKUP($B7,'LISTA - Atual'!$B$1:$I$444,5,0),"Novo")</f>
        <v>Y</v>
      </c>
      <c r="M7" s="86" t="str">
        <f t="shared" si="0"/>
        <v>Igual</v>
      </c>
      <c r="N7" s="86" t="str">
        <f>IFERROR(VLOOKUP($B7,'LISTA - Atual'!$B$1:$I$444,6,0),"Novo")</f>
        <v>N</v>
      </c>
      <c r="O7" s="86" t="str">
        <f t="shared" si="1"/>
        <v>Igual</v>
      </c>
      <c r="P7" s="86" t="str">
        <f>IFERROR(VLOOKUP($B7,'LISTA - Atual'!$B$1:$I$444,7,0),"Novo")</f>
        <v>N</v>
      </c>
      <c r="Q7" s="86" t="str">
        <f t="shared" si="2"/>
        <v>Igual</v>
      </c>
      <c r="R7" s="86" t="s">
        <v>1563</v>
      </c>
      <c r="S7" s="86" t="str">
        <f>IFERROR(VLOOKUP($B7,'LISTA - Atual'!$B$1:$I$444,8,0),"Novo")</f>
        <v>N</v>
      </c>
      <c r="T7" s="86" t="str">
        <f t="shared" si="3"/>
        <v>Igual</v>
      </c>
      <c r="U7" s="86" t="s">
        <v>1563</v>
      </c>
      <c r="V7" s="86" t="s">
        <v>11</v>
      </c>
      <c r="W7" s="87" t="str">
        <f>IFERROR(VLOOKUP(B7,#REF!,11,0),"n/a")</f>
        <v>n/a</v>
      </c>
      <c r="X7" s="87" t="str">
        <f>IFERROR(VLOOKUP(B7,#REF!,8,0),"n/a")</f>
        <v>n/a</v>
      </c>
      <c r="Y7" s="87" t="str">
        <f t="shared" ref="Y7:Y11" si="7">$F$2</f>
        <v>ESTR</v>
      </c>
      <c r="Z7" s="131" t="s">
        <v>1605</v>
      </c>
      <c r="AA7" s="227" t="e">
        <f>VLOOKUP(Table1[[#This Row],[CONCAT]],'Campos Resumo Prop2.0'!A:H,8,0)</f>
        <v>#N/A</v>
      </c>
      <c r="AB7" s="87" t="s">
        <v>1651</v>
      </c>
      <c r="AC7" s="135" t="s">
        <v>1625</v>
      </c>
      <c r="AD7" s="91">
        <f>INDEX(Auxiliar!$D$5:$I$10,MATCH('LISTA - Setembro2024'!AD$3,Auxiliar!$B$5:$B$10,0),MATCH('LISTA - Setembro2024'!$AC7,Auxiliar!$D$4:$I$4,0))</f>
        <v>0</v>
      </c>
      <c r="AE7" s="91">
        <f>INDEX(Auxiliar!$D$5:$I$10,MATCH('LISTA - Setembro2024'!AE$3,Auxiliar!$B$5:$B$10,0),MATCH('LISTA - Setembro2024'!$AC7,Auxiliar!$D$4:$I$4,0))</f>
        <v>0</v>
      </c>
      <c r="AF7" s="87">
        <f>INDEX(Auxiliar!$D$5:$I$10,MATCH('LISTA - Setembro2024'!AF$3,Auxiliar!$B$5:$B$10,0),MATCH('LISTA - Setembro2024'!$AC7,Auxiliar!$D$4:$I$4,0))</f>
        <v>0</v>
      </c>
      <c r="AG7" s="87" t="str">
        <f t="shared" si="4"/>
        <v>n.a.</v>
      </c>
      <c r="AH7" s="87">
        <f>INDEX(Auxiliar!$D$5:$I$10,MATCH('LISTA - Setembro2024'!AH$3,Auxiliar!$B$5:$B$10,0),MATCH('LISTA - Setembro2024'!$AG7,Auxiliar!$D$4:$I$4,0))</f>
        <v>0</v>
      </c>
      <c r="AI7" s="87">
        <f>INDEX(Auxiliar!$D$5:$I$10,MATCH('LISTA - Setembro2024'!AI$3,Auxiliar!$B$5:$B$10,0),MATCH('LISTA - Setembro2024'!$AC7,Auxiliar!$D$4:$I$4,0))</f>
        <v>0</v>
      </c>
      <c r="AJ7" s="87">
        <f>INDEX(Auxiliar!$D$5:$I$10,MATCH('LISTA - Setembro2024'!AJ$3,Auxiliar!$B$5:$B$10,0),MATCH('LISTA - Setembro2024'!$AC7,Auxiliar!$D$4:$I$4,0))</f>
        <v>0</v>
      </c>
      <c r="AK7" s="160">
        <f t="shared" si="5"/>
        <v>0</v>
      </c>
      <c r="AL7" s="87" t="s">
        <v>1692</v>
      </c>
    </row>
    <row r="8" spans="1:38" ht="13.8" x14ac:dyDescent="0.25">
      <c r="A8" s="158" t="s">
        <v>25</v>
      </c>
      <c r="B8" s="81" t="str">
        <f t="shared" si="6"/>
        <v>ENTITY_DT_FNNCL_STTMTS</v>
      </c>
      <c r="C8" s="82" t="s">
        <v>10</v>
      </c>
      <c r="D8" s="83" t="s">
        <v>26</v>
      </c>
      <c r="E8" s="84" t="s">
        <v>27</v>
      </c>
      <c r="F8" s="85" t="s">
        <v>13</v>
      </c>
      <c r="G8" s="85" t="s">
        <v>11</v>
      </c>
      <c r="H8" s="85" t="s">
        <v>11</v>
      </c>
      <c r="I8" s="85" t="s">
        <v>11</v>
      </c>
      <c r="J8" s="85" t="s">
        <v>11</v>
      </c>
      <c r="K8" s="85" t="s">
        <v>13</v>
      </c>
      <c r="L8" s="86" t="str">
        <f>IFERROR(VLOOKUP($B8,'LISTA - Atual'!$B$1:$I$444,5,0),"Novo")</f>
        <v>Y</v>
      </c>
      <c r="M8" s="86" t="str">
        <f t="shared" si="0"/>
        <v>Igual</v>
      </c>
      <c r="N8" s="86" t="str">
        <f>IFERROR(VLOOKUP($B8,'LISTA - Atual'!$B$1:$I$444,6,0),"Novo")</f>
        <v>N</v>
      </c>
      <c r="O8" s="86" t="str">
        <f t="shared" si="1"/>
        <v>Igual</v>
      </c>
      <c r="P8" s="86" t="str">
        <f>IFERROR(VLOOKUP($B8,'LISTA - Atual'!$B$1:$I$444,7,0),"Novo")</f>
        <v>N</v>
      </c>
      <c r="Q8" s="86" t="str">
        <f t="shared" si="2"/>
        <v>Igual</v>
      </c>
      <c r="R8" s="86" t="s">
        <v>1563</v>
      </c>
      <c r="S8" s="86" t="str">
        <f>IFERROR(VLOOKUP($B8,'LISTA - Atual'!$B$1:$I$444,8,0),"Novo")</f>
        <v>N</v>
      </c>
      <c r="T8" s="86" t="str">
        <f t="shared" si="3"/>
        <v>Igual</v>
      </c>
      <c r="U8" s="86" t="s">
        <v>1563</v>
      </c>
      <c r="V8" s="86" t="s">
        <v>11</v>
      </c>
      <c r="W8" s="87" t="str">
        <f>IFERROR(VLOOKUP(B8,#REF!,11,0),"n/a")</f>
        <v>n/a</v>
      </c>
      <c r="X8" s="88" t="str">
        <f>IFERROR(VLOOKUP(B8,#REF!,8,0),"n/a")</f>
        <v>n/a</v>
      </c>
      <c r="Y8" s="87" t="str">
        <f t="shared" si="7"/>
        <v>ESTR</v>
      </c>
      <c r="Z8" s="131" t="s">
        <v>1605</v>
      </c>
      <c r="AA8" s="227" t="e">
        <f>VLOOKUP(Table1[[#This Row],[CONCAT]],'Campos Resumo Prop2.0'!A:H,8,0)</f>
        <v>#N/A</v>
      </c>
      <c r="AB8" s="87" t="s">
        <v>1651</v>
      </c>
      <c r="AC8" s="135" t="s">
        <v>1625</v>
      </c>
      <c r="AD8" s="91">
        <f>INDEX(Auxiliar!$D$5:$I$10,MATCH('LISTA - Setembro2024'!AD$3,Auxiliar!$B$5:$B$10,0),MATCH('LISTA - Setembro2024'!$AC8,Auxiliar!$D$4:$I$4,0))</f>
        <v>0</v>
      </c>
      <c r="AE8" s="91">
        <f>INDEX(Auxiliar!$D$5:$I$10,MATCH('LISTA - Setembro2024'!AE$3,Auxiliar!$B$5:$B$10,0),MATCH('LISTA - Setembro2024'!$AC8,Auxiliar!$D$4:$I$4,0))</f>
        <v>0</v>
      </c>
      <c r="AF8" s="87">
        <f>INDEX(Auxiliar!$D$5:$I$10,MATCH('LISTA - Setembro2024'!AF$3,Auxiliar!$B$5:$B$10,0),MATCH('LISTA - Setembro2024'!$AC8,Auxiliar!$D$4:$I$4,0))</f>
        <v>0</v>
      </c>
      <c r="AG8" s="87" t="str">
        <f t="shared" si="4"/>
        <v>n.a.</v>
      </c>
      <c r="AH8" s="87">
        <f>INDEX(Auxiliar!$D$5:$I$10,MATCH('LISTA - Setembro2024'!AH$3,Auxiliar!$B$5:$B$10,0),MATCH('LISTA - Setembro2024'!$AG8,Auxiliar!$D$4:$I$4,0))</f>
        <v>0</v>
      </c>
      <c r="AI8" s="87">
        <f>INDEX(Auxiliar!$D$5:$I$10,MATCH('LISTA - Setembro2024'!AI$3,Auxiliar!$B$5:$B$10,0),MATCH('LISTA - Setembro2024'!$AC8,Auxiliar!$D$4:$I$4,0))</f>
        <v>0</v>
      </c>
      <c r="AJ8" s="87">
        <f>INDEX(Auxiliar!$D$5:$I$10,MATCH('LISTA - Setembro2024'!AJ$3,Auxiliar!$B$5:$B$10,0),MATCH('LISTA - Setembro2024'!$AC8,Auxiliar!$D$4:$I$4,0))</f>
        <v>0</v>
      </c>
      <c r="AK8" s="160">
        <f t="shared" si="5"/>
        <v>0</v>
      </c>
      <c r="AL8" s="87" t="s">
        <v>1669</v>
      </c>
    </row>
    <row r="9" spans="1:38" ht="13.8" x14ac:dyDescent="0.25">
      <c r="A9" s="158" t="s">
        <v>28</v>
      </c>
      <c r="B9" s="81" t="str">
        <f t="shared" si="6"/>
        <v>ENTITY_DT_FNNCL_STTMTS_PRVS</v>
      </c>
      <c r="C9" s="82" t="s">
        <v>10</v>
      </c>
      <c r="D9" s="83" t="s">
        <v>29</v>
      </c>
      <c r="E9" s="84" t="s">
        <v>30</v>
      </c>
      <c r="F9" s="85" t="s">
        <v>13</v>
      </c>
      <c r="G9" s="85" t="s">
        <v>11</v>
      </c>
      <c r="H9" s="85" t="s">
        <v>11</v>
      </c>
      <c r="I9" s="85" t="s">
        <v>11</v>
      </c>
      <c r="J9" s="85" t="s">
        <v>11</v>
      </c>
      <c r="K9" s="85" t="s">
        <v>13</v>
      </c>
      <c r="L9" s="86" t="str">
        <f>IFERROR(VLOOKUP($B9,'LISTA - Atual'!$B$1:$I$444,5,0),"Novo")</f>
        <v>Y</v>
      </c>
      <c r="M9" s="86" t="str">
        <f t="shared" si="0"/>
        <v>Igual</v>
      </c>
      <c r="N9" s="86" t="str">
        <f>IFERROR(VLOOKUP($B9,'LISTA - Atual'!$B$1:$I$444,6,0),"Novo")</f>
        <v>N</v>
      </c>
      <c r="O9" s="86" t="str">
        <f t="shared" si="1"/>
        <v>Igual</v>
      </c>
      <c r="P9" s="86" t="str">
        <f>IFERROR(VLOOKUP($B9,'LISTA - Atual'!$B$1:$I$444,7,0),"Novo")</f>
        <v>N</v>
      </c>
      <c r="Q9" s="86" t="str">
        <f t="shared" si="2"/>
        <v>Igual</v>
      </c>
      <c r="R9" s="86" t="s">
        <v>1563</v>
      </c>
      <c r="S9" s="86" t="str">
        <f>IFERROR(VLOOKUP($B9,'LISTA - Atual'!$B$1:$I$444,8,0),"Novo")</f>
        <v>N</v>
      </c>
      <c r="T9" s="86" t="str">
        <f t="shared" si="3"/>
        <v>Igual</v>
      </c>
      <c r="U9" s="86" t="s">
        <v>1563</v>
      </c>
      <c r="V9" s="86" t="s">
        <v>11</v>
      </c>
      <c r="W9" s="87" t="str">
        <f>IFERROR(VLOOKUP(B9,#REF!,11,0),"n/a")</f>
        <v>n/a</v>
      </c>
      <c r="X9" s="88" t="str">
        <f>IFERROR(VLOOKUP(B9,#REF!,8,0),"n/a")</f>
        <v>n/a</v>
      </c>
      <c r="Y9" s="87" t="str">
        <f t="shared" si="7"/>
        <v>ESTR</v>
      </c>
      <c r="Z9" s="131" t="s">
        <v>1605</v>
      </c>
      <c r="AA9" s="227" t="e">
        <f>VLOOKUP(Table1[[#This Row],[CONCAT]],'Campos Resumo Prop2.0'!A:H,8,0)</f>
        <v>#N/A</v>
      </c>
      <c r="AB9" s="87" t="s">
        <v>1651</v>
      </c>
      <c r="AC9" s="135" t="s">
        <v>1625</v>
      </c>
      <c r="AD9" s="91">
        <f>INDEX(Auxiliar!$D$5:$I$10,MATCH('LISTA - Setembro2024'!AD$3,Auxiliar!$B$5:$B$10,0),MATCH('LISTA - Setembro2024'!$AC9,Auxiliar!$D$4:$I$4,0))</f>
        <v>0</v>
      </c>
      <c r="AE9" s="91">
        <f>INDEX(Auxiliar!$D$5:$I$10,MATCH('LISTA - Setembro2024'!AE$3,Auxiliar!$B$5:$B$10,0),MATCH('LISTA - Setembro2024'!$AC9,Auxiliar!$D$4:$I$4,0))</f>
        <v>0</v>
      </c>
      <c r="AF9" s="87">
        <f>INDEX(Auxiliar!$D$5:$I$10,MATCH('LISTA - Setembro2024'!AF$3,Auxiliar!$B$5:$B$10,0),MATCH('LISTA - Setembro2024'!$AC9,Auxiliar!$D$4:$I$4,0))</f>
        <v>0</v>
      </c>
      <c r="AG9" s="87" t="str">
        <f t="shared" si="4"/>
        <v>n.a.</v>
      </c>
      <c r="AH9" s="87">
        <f>INDEX(Auxiliar!$D$5:$I$10,MATCH('LISTA - Setembro2024'!AH$3,Auxiliar!$B$5:$B$10,0),MATCH('LISTA - Setembro2024'!$AG9,Auxiliar!$D$4:$I$4,0))</f>
        <v>0</v>
      </c>
      <c r="AI9" s="87">
        <f>INDEX(Auxiliar!$D$5:$I$10,MATCH('LISTA - Setembro2024'!AI$3,Auxiliar!$B$5:$B$10,0),MATCH('LISTA - Setembro2024'!$AC9,Auxiliar!$D$4:$I$4,0))</f>
        <v>0</v>
      </c>
      <c r="AJ9" s="87">
        <f>INDEX(Auxiliar!$D$5:$I$10,MATCH('LISTA - Setembro2024'!AJ$3,Auxiliar!$B$5:$B$10,0),MATCH('LISTA - Setembro2024'!$AC9,Auxiliar!$D$4:$I$4,0))</f>
        <v>0</v>
      </c>
      <c r="AK9" s="160">
        <f t="shared" si="5"/>
        <v>0</v>
      </c>
      <c r="AL9" s="87" t="s">
        <v>1669</v>
      </c>
    </row>
    <row r="10" spans="1:38" ht="13.8" x14ac:dyDescent="0.25">
      <c r="A10" s="158" t="s">
        <v>31</v>
      </c>
      <c r="B10" s="81" t="str">
        <f t="shared" si="6"/>
        <v>ENTITY_DT_INTTN_LGL_PRCDNGS_LE</v>
      </c>
      <c r="C10" s="82" t="s">
        <v>10</v>
      </c>
      <c r="D10" s="83" t="s">
        <v>32</v>
      </c>
      <c r="E10" s="84" t="s">
        <v>33</v>
      </c>
      <c r="F10" s="85" t="s">
        <v>13</v>
      </c>
      <c r="G10" s="85" t="s">
        <v>11</v>
      </c>
      <c r="H10" s="85" t="s">
        <v>11</v>
      </c>
      <c r="I10" s="85" t="s">
        <v>11</v>
      </c>
      <c r="J10" s="85" t="s">
        <v>11</v>
      </c>
      <c r="K10" s="85" t="s">
        <v>13</v>
      </c>
      <c r="L10" s="86" t="str">
        <f>IFERROR(VLOOKUP($B10,'LISTA - Atual'!$B$1:$I$444,5,0),"Novo")</f>
        <v>Y</v>
      </c>
      <c r="M10" s="86" t="str">
        <f t="shared" si="0"/>
        <v>Igual</v>
      </c>
      <c r="N10" s="86" t="str">
        <f>IFERROR(VLOOKUP($B10,'LISTA - Atual'!$B$1:$I$444,6,0),"Novo")</f>
        <v>N</v>
      </c>
      <c r="O10" s="86" t="str">
        <f t="shared" si="1"/>
        <v>Igual</v>
      </c>
      <c r="P10" s="86" t="str">
        <f>IFERROR(VLOOKUP($B10,'LISTA - Atual'!$B$1:$I$444,7,0),"Novo")</f>
        <v>N</v>
      </c>
      <c r="Q10" s="86" t="str">
        <f t="shared" si="2"/>
        <v>Igual</v>
      </c>
      <c r="R10" s="86" t="s">
        <v>1563</v>
      </c>
      <c r="S10" s="86" t="str">
        <f>IFERROR(VLOOKUP($B10,'LISTA - Atual'!$B$1:$I$444,8,0),"Novo")</f>
        <v>N</v>
      </c>
      <c r="T10" s="86" t="str">
        <f t="shared" si="3"/>
        <v>Igual</v>
      </c>
      <c r="U10" s="86" t="s">
        <v>1563</v>
      </c>
      <c r="V10" s="86" t="s">
        <v>11</v>
      </c>
      <c r="W10" s="87" t="str">
        <f>IFERROR(VLOOKUP(B10,#REF!,11,0),"n/a")</f>
        <v>n/a</v>
      </c>
      <c r="X10" s="87" t="str">
        <f>IFERROR(VLOOKUP(B10,#REF!,8,0),"n/a")</f>
        <v>n/a</v>
      </c>
      <c r="Y10" s="87" t="str">
        <f t="shared" si="7"/>
        <v>ESTR</v>
      </c>
      <c r="Z10" s="131" t="s">
        <v>1605</v>
      </c>
      <c r="AA10" s="227" t="e">
        <f>VLOOKUP(Table1[[#This Row],[CONCAT]],'Campos Resumo Prop2.0'!A:H,8,0)</f>
        <v>#N/A</v>
      </c>
      <c r="AB10" s="87" t="s">
        <v>1651</v>
      </c>
      <c r="AC10" s="135" t="s">
        <v>1625</v>
      </c>
      <c r="AD10" s="91">
        <f>INDEX(Auxiliar!$D$5:$I$10,MATCH('LISTA - Setembro2024'!AD$3,Auxiliar!$B$5:$B$10,0),MATCH('LISTA - Setembro2024'!$AC10,Auxiliar!$D$4:$I$4,0))</f>
        <v>0</v>
      </c>
      <c r="AE10" s="91">
        <f>INDEX(Auxiliar!$D$5:$I$10,MATCH('LISTA - Setembro2024'!AE$3,Auxiliar!$B$5:$B$10,0),MATCH('LISTA - Setembro2024'!$AC10,Auxiliar!$D$4:$I$4,0))</f>
        <v>0</v>
      </c>
      <c r="AF10" s="87">
        <f>INDEX(Auxiliar!$D$5:$I$10,MATCH('LISTA - Setembro2024'!AF$3,Auxiliar!$B$5:$B$10,0),MATCH('LISTA - Setembro2024'!$AC10,Auxiliar!$D$4:$I$4,0))</f>
        <v>0</v>
      </c>
      <c r="AG10" s="87" t="str">
        <f t="shared" si="4"/>
        <v>n.a.</v>
      </c>
      <c r="AH10" s="87">
        <f>INDEX(Auxiliar!$D$5:$I$10,MATCH('LISTA - Setembro2024'!AH$3,Auxiliar!$B$5:$B$10,0),MATCH('LISTA - Setembro2024'!$AG10,Auxiliar!$D$4:$I$4,0))</f>
        <v>0</v>
      </c>
      <c r="AI10" s="87">
        <f>INDEX(Auxiliar!$D$5:$I$10,MATCH('LISTA - Setembro2024'!AI$3,Auxiliar!$B$5:$B$10,0),MATCH('LISTA - Setembro2024'!$AC10,Auxiliar!$D$4:$I$4,0))</f>
        <v>0</v>
      </c>
      <c r="AJ10" s="87">
        <f>INDEX(Auxiliar!$D$5:$I$10,MATCH('LISTA - Setembro2024'!AJ$3,Auxiliar!$B$5:$B$10,0),MATCH('LISTA - Setembro2024'!$AC10,Auxiliar!$D$4:$I$4,0))</f>
        <v>0</v>
      </c>
      <c r="AK10" s="160">
        <f t="shared" si="5"/>
        <v>0</v>
      </c>
      <c r="AL10" s="87"/>
    </row>
    <row r="11" spans="1:38" ht="13.8" x14ac:dyDescent="0.25">
      <c r="A11" s="158" t="s">
        <v>34</v>
      </c>
      <c r="B11" s="81" t="str">
        <f t="shared" si="6"/>
        <v>ENTITY_DT_PRFRMNG_STTS_LE</v>
      </c>
      <c r="C11" s="82" t="s">
        <v>10</v>
      </c>
      <c r="D11" s="83" t="s">
        <v>35</v>
      </c>
      <c r="E11" s="84" t="s">
        <v>36</v>
      </c>
      <c r="F11" s="85" t="s">
        <v>13</v>
      </c>
      <c r="G11" s="85" t="s">
        <v>11</v>
      </c>
      <c r="H11" s="85" t="s">
        <v>11</v>
      </c>
      <c r="I11" s="85" t="s">
        <v>11</v>
      </c>
      <c r="J11" s="85" t="s">
        <v>11</v>
      </c>
      <c r="K11" s="85" t="s">
        <v>13</v>
      </c>
      <c r="L11" s="86" t="str">
        <f>IFERROR(VLOOKUP($B11,'LISTA - Atual'!$B$1:$I$444,5,0),"Novo")</f>
        <v>Y</v>
      </c>
      <c r="M11" s="86" t="str">
        <f t="shared" si="0"/>
        <v>Igual</v>
      </c>
      <c r="N11" s="86" t="str">
        <f>IFERROR(VLOOKUP($B11,'LISTA - Atual'!$B$1:$I$444,6,0),"Novo")</f>
        <v>N</v>
      </c>
      <c r="O11" s="86" t="str">
        <f t="shared" si="1"/>
        <v>Igual</v>
      </c>
      <c r="P11" s="86" t="str">
        <f>IFERROR(VLOOKUP($B11,'LISTA - Atual'!$B$1:$I$444,7,0),"Novo")</f>
        <v>N</v>
      </c>
      <c r="Q11" s="86" t="str">
        <f t="shared" si="2"/>
        <v>Igual</v>
      </c>
      <c r="R11" s="86" t="s">
        <v>1563</v>
      </c>
      <c r="S11" s="86" t="str">
        <f>IFERROR(VLOOKUP($B11,'LISTA - Atual'!$B$1:$I$444,8,0),"Novo")</f>
        <v>N</v>
      </c>
      <c r="T11" s="86" t="str">
        <f t="shared" si="3"/>
        <v>Igual</v>
      </c>
      <c r="U11" s="86" t="s">
        <v>1563</v>
      </c>
      <c r="V11" s="86" t="s">
        <v>11</v>
      </c>
      <c r="W11" s="87" t="str">
        <f>IFERROR(VLOOKUP(B11,#REF!,11,0),"n/a")</f>
        <v>n/a</v>
      </c>
      <c r="X11" s="87" t="str">
        <f>IFERROR(VLOOKUP(B11,#REF!,8,0),"n/a")</f>
        <v>n/a</v>
      </c>
      <c r="Y11" s="87" t="str">
        <f t="shared" si="7"/>
        <v>ESTR</v>
      </c>
      <c r="Z11" s="131" t="s">
        <v>1605</v>
      </c>
      <c r="AA11" s="227" t="e">
        <f>VLOOKUP(Table1[[#This Row],[CONCAT]],'Campos Resumo Prop2.0'!A:H,8,0)</f>
        <v>#N/A</v>
      </c>
      <c r="AB11" s="87" t="s">
        <v>1651</v>
      </c>
      <c r="AC11" s="135" t="s">
        <v>1625</v>
      </c>
      <c r="AD11" s="91">
        <f>INDEX(Auxiliar!$D$5:$I$10,MATCH('LISTA - Setembro2024'!AD$3,Auxiliar!$B$5:$B$10,0),MATCH('LISTA - Setembro2024'!$AC11,Auxiliar!$D$4:$I$4,0))</f>
        <v>0</v>
      </c>
      <c r="AE11" s="91">
        <f>INDEX(Auxiliar!$D$5:$I$10,MATCH('LISTA - Setembro2024'!AE$3,Auxiliar!$B$5:$B$10,0),MATCH('LISTA - Setembro2024'!$AC11,Auxiliar!$D$4:$I$4,0))</f>
        <v>0</v>
      </c>
      <c r="AF11" s="87">
        <f>INDEX(Auxiliar!$D$5:$I$10,MATCH('LISTA - Setembro2024'!AF$3,Auxiliar!$B$5:$B$10,0),MATCH('LISTA - Setembro2024'!$AC11,Auxiliar!$D$4:$I$4,0))</f>
        <v>0</v>
      </c>
      <c r="AG11" s="87" t="str">
        <f t="shared" si="4"/>
        <v>n.a.</v>
      </c>
      <c r="AH11" s="87">
        <f>INDEX(Auxiliar!$D$5:$I$10,MATCH('LISTA - Setembro2024'!AH$3,Auxiliar!$B$5:$B$10,0),MATCH('LISTA - Setembro2024'!$AG11,Auxiliar!$D$4:$I$4,0))</f>
        <v>0</v>
      </c>
      <c r="AI11" s="87">
        <f>INDEX(Auxiliar!$D$5:$I$10,MATCH('LISTA - Setembro2024'!AI$3,Auxiliar!$B$5:$B$10,0),MATCH('LISTA - Setembro2024'!$AC11,Auxiliar!$D$4:$I$4,0))</f>
        <v>0</v>
      </c>
      <c r="AJ11" s="87">
        <f>INDEX(Auxiliar!$D$5:$I$10,MATCH('LISTA - Setembro2024'!AJ$3,Auxiliar!$B$5:$B$10,0),MATCH('LISTA - Setembro2024'!$AC11,Auxiliar!$D$4:$I$4,0))</f>
        <v>0</v>
      </c>
      <c r="AK11" s="160">
        <f t="shared" si="5"/>
        <v>0</v>
      </c>
      <c r="AL11" s="87" t="s">
        <v>1692</v>
      </c>
    </row>
    <row r="12" spans="1:38" ht="13.8" x14ac:dyDescent="0.25">
      <c r="A12" s="158" t="s">
        <v>37</v>
      </c>
      <c r="B12" s="81" t="str">
        <f t="shared" si="6"/>
        <v>ENTITY_DT_RFRNC</v>
      </c>
      <c r="C12" s="82" t="s">
        <v>10</v>
      </c>
      <c r="D12" s="83" t="s">
        <v>38</v>
      </c>
      <c r="E12" s="84" t="s">
        <v>39</v>
      </c>
      <c r="F12" s="85" t="s">
        <v>13</v>
      </c>
      <c r="G12" s="85" t="s">
        <v>11</v>
      </c>
      <c r="H12" s="85" t="s">
        <v>13</v>
      </c>
      <c r="I12" s="85" t="s">
        <v>11</v>
      </c>
      <c r="J12" s="85" t="s">
        <v>11</v>
      </c>
      <c r="K12" s="85" t="s">
        <v>13</v>
      </c>
      <c r="L12" s="86" t="str">
        <f>IFERROR(VLOOKUP($B12,'LISTA - Atual'!$B$1:$I$444,5,0),"Novo")</f>
        <v>Y</v>
      </c>
      <c r="M12" s="86" t="str">
        <f t="shared" si="0"/>
        <v>Igual</v>
      </c>
      <c r="N12" s="86" t="str">
        <f>IFERROR(VLOOKUP($B12,'LISTA - Atual'!$B$1:$I$444,6,0),"Novo")</f>
        <v>N</v>
      </c>
      <c r="O12" s="86" t="str">
        <f t="shared" si="1"/>
        <v>Igual</v>
      </c>
      <c r="P12" s="86" t="str">
        <f>IFERROR(VLOOKUP($B12,'LISTA - Atual'!$B$1:$I$444,7,0),"Novo")</f>
        <v>Y</v>
      </c>
      <c r="Q12" s="86" t="str">
        <f t="shared" si="2"/>
        <v>Igual</v>
      </c>
      <c r="R12" s="86" t="s">
        <v>1563</v>
      </c>
      <c r="S12" s="86" t="str">
        <f>IFERROR(VLOOKUP($B12,'LISTA - Atual'!$B$1:$I$444,8,0),"Novo")</f>
        <v>N</v>
      </c>
      <c r="T12" s="86" t="str">
        <f t="shared" si="3"/>
        <v>Igual</v>
      </c>
      <c r="U12" s="86" t="s">
        <v>1563</v>
      </c>
      <c r="V12" s="86" t="s">
        <v>11</v>
      </c>
      <c r="W12" s="87" t="str">
        <f>IFERROR(VLOOKUP(B12,#REF!,11,0),"n/a")</f>
        <v>n/a</v>
      </c>
      <c r="X12" s="87" t="str">
        <f>IFERROR(VLOOKUP(B12,#REF!,8,0),"n/a")</f>
        <v>n/a</v>
      </c>
      <c r="Y12" s="87" t="str">
        <f>$F$2&amp;$Y$1&amp;$H$2</f>
        <v>ESTR &amp; PILAR3</v>
      </c>
      <c r="Z12" s="131" t="s">
        <v>1605</v>
      </c>
      <c r="AA12" s="227" t="e">
        <f>VLOOKUP(Table1[[#This Row],[CONCAT]],'Campos Resumo Prop2.0'!A:H,8,0)</f>
        <v>#N/A</v>
      </c>
      <c r="AB12" s="87" t="s">
        <v>1651</v>
      </c>
      <c r="AC12" s="135" t="s">
        <v>1625</v>
      </c>
      <c r="AD12" s="91">
        <f>INDEX(Auxiliar!$D$5:$I$10,MATCH('LISTA - Setembro2024'!AD$3,Auxiliar!$B$5:$B$10,0),MATCH('LISTA - Setembro2024'!$AC12,Auxiliar!$D$4:$I$4,0))</f>
        <v>0</v>
      </c>
      <c r="AE12" s="91">
        <f>INDEX(Auxiliar!$D$5:$I$10,MATCH('LISTA - Setembro2024'!AE$3,Auxiliar!$B$5:$B$10,0),MATCH('LISTA - Setembro2024'!$AC12,Auxiliar!$D$4:$I$4,0))</f>
        <v>0</v>
      </c>
      <c r="AF12" s="87">
        <f>INDEX(Auxiliar!$D$5:$I$10,MATCH('LISTA - Setembro2024'!AF$3,Auxiliar!$B$5:$B$10,0),MATCH('LISTA - Setembro2024'!$AC12,Auxiliar!$D$4:$I$4,0))</f>
        <v>0</v>
      </c>
      <c r="AG12" s="87" t="str">
        <f t="shared" si="4"/>
        <v>n.a.</v>
      </c>
      <c r="AH12" s="87">
        <f>INDEX(Auxiliar!$D$5:$I$10,MATCH('LISTA - Setembro2024'!AH$3,Auxiliar!$B$5:$B$10,0),MATCH('LISTA - Setembro2024'!$AG12,Auxiliar!$D$4:$I$4,0))</f>
        <v>0</v>
      </c>
      <c r="AI12" s="87">
        <f>INDEX(Auxiliar!$D$5:$I$10,MATCH('LISTA - Setembro2024'!AI$3,Auxiliar!$B$5:$B$10,0),MATCH('LISTA - Setembro2024'!$AC12,Auxiliar!$D$4:$I$4,0))</f>
        <v>0</v>
      </c>
      <c r="AJ12" s="87">
        <f>INDEX(Auxiliar!$D$5:$I$10,MATCH('LISTA - Setembro2024'!AJ$3,Auxiliar!$B$5:$B$10,0),MATCH('LISTA - Setembro2024'!$AC12,Auxiliar!$D$4:$I$4,0))</f>
        <v>0</v>
      </c>
      <c r="AK12" s="160">
        <f t="shared" si="5"/>
        <v>0</v>
      </c>
      <c r="AL12" s="87"/>
    </row>
    <row r="13" spans="1:38" ht="13.8" x14ac:dyDescent="0.25">
      <c r="A13" s="158" t="s">
        <v>40</v>
      </c>
      <c r="B13" s="81" t="str">
        <f t="shared" si="6"/>
        <v>ENTITY_ENTTY_ID</v>
      </c>
      <c r="C13" s="82" t="s">
        <v>10</v>
      </c>
      <c r="D13" s="83" t="s">
        <v>41</v>
      </c>
      <c r="E13" s="84" t="s">
        <v>42</v>
      </c>
      <c r="F13" s="85" t="s">
        <v>13</v>
      </c>
      <c r="G13" s="85" t="s">
        <v>11</v>
      </c>
      <c r="H13" s="85" t="s">
        <v>13</v>
      </c>
      <c r="I13" s="85" t="s">
        <v>11</v>
      </c>
      <c r="J13" s="85" t="s">
        <v>13</v>
      </c>
      <c r="K13" s="85" t="s">
        <v>13</v>
      </c>
      <c r="L13" s="86" t="str">
        <f>IFERROR(VLOOKUP($B13,'LISTA - Atual'!$B$1:$I$444,5,0),"Novo")</f>
        <v>Y</v>
      </c>
      <c r="M13" s="86" t="str">
        <f t="shared" si="0"/>
        <v>Igual</v>
      </c>
      <c r="N13" s="86" t="str">
        <f>IFERROR(VLOOKUP($B13,'LISTA - Atual'!$B$1:$I$444,6,0),"Novo")</f>
        <v>N</v>
      </c>
      <c r="O13" s="86" t="str">
        <f t="shared" si="1"/>
        <v>Igual</v>
      </c>
      <c r="P13" s="86" t="str">
        <f>IFERROR(VLOOKUP($B13,'LISTA - Atual'!$B$1:$I$444,7,0),"Novo")</f>
        <v>Y</v>
      </c>
      <c r="Q13" s="86" t="str">
        <f t="shared" si="2"/>
        <v>Igual</v>
      </c>
      <c r="R13" s="86" t="s">
        <v>1563</v>
      </c>
      <c r="S13" s="86" t="str">
        <f>IFERROR(VLOOKUP($B13,'LISTA - Atual'!$B$1:$I$444,8,0),"Novo")</f>
        <v>Y</v>
      </c>
      <c r="T13" s="86" t="str">
        <f t="shared" si="3"/>
        <v>Igual</v>
      </c>
      <c r="U13" s="86" t="s">
        <v>1563</v>
      </c>
      <c r="V13" s="86" t="s">
        <v>11</v>
      </c>
      <c r="W13" s="87" t="str">
        <f>IFERROR(VLOOKUP(B13,#REF!,11,0),"n/a")</f>
        <v>n/a</v>
      </c>
      <c r="X13" s="87" t="str">
        <f>IFERROR(VLOOKUP(B13,#REF!,8,0),"n/a")</f>
        <v>n/a</v>
      </c>
      <c r="Y13" s="87" t="str">
        <f>$F$2&amp;$Y$1&amp;$H$2</f>
        <v>ESTR &amp; PILAR3</v>
      </c>
      <c r="Z13" s="131" t="s">
        <v>1605</v>
      </c>
      <c r="AA13" s="227" t="e">
        <f>VLOOKUP(Table1[[#This Row],[CONCAT]],'Campos Resumo Prop2.0'!A:H,8,0)</f>
        <v>#N/A</v>
      </c>
      <c r="AB13" s="87" t="s">
        <v>1652</v>
      </c>
      <c r="AC13" s="135" t="s">
        <v>1625</v>
      </c>
      <c r="AD13" s="91">
        <f>INDEX(Auxiliar!$D$5:$I$10,MATCH('LISTA - Setembro2024'!AD$3,Auxiliar!$B$5:$B$10,0),MATCH('LISTA - Setembro2024'!$AC13,Auxiliar!$D$4:$I$4,0))</f>
        <v>0</v>
      </c>
      <c r="AE13" s="91">
        <f>INDEX(Auxiliar!$D$5:$I$10,MATCH('LISTA - Setembro2024'!AE$3,Auxiliar!$B$5:$B$10,0),MATCH('LISTA - Setembro2024'!$AC13,Auxiliar!$D$4:$I$4,0))</f>
        <v>0</v>
      </c>
      <c r="AF13" s="87">
        <f>INDEX(Auxiliar!$D$5:$I$10,MATCH('LISTA - Setembro2024'!AF$3,Auxiliar!$B$5:$B$10,0),MATCH('LISTA - Setembro2024'!$AC13,Auxiliar!$D$4:$I$4,0))</f>
        <v>0</v>
      </c>
      <c r="AG13" s="87" t="str">
        <f t="shared" si="4"/>
        <v>n.a.</v>
      </c>
      <c r="AH13" s="87">
        <f>INDEX(Auxiliar!$D$5:$I$10,MATCH('LISTA - Setembro2024'!AH$3,Auxiliar!$B$5:$B$10,0),MATCH('LISTA - Setembro2024'!$AG13,Auxiliar!$D$4:$I$4,0))</f>
        <v>0</v>
      </c>
      <c r="AI13" s="87">
        <f>INDEX(Auxiliar!$D$5:$I$10,MATCH('LISTA - Setembro2024'!AI$3,Auxiliar!$B$5:$B$10,0),MATCH('LISTA - Setembro2024'!$AC13,Auxiliar!$D$4:$I$4,0))</f>
        <v>0</v>
      </c>
      <c r="AJ13" s="87">
        <f>INDEX(Auxiliar!$D$5:$I$10,MATCH('LISTA - Setembro2024'!AJ$3,Auxiliar!$B$5:$B$10,0),MATCH('LISTA - Setembro2024'!$AC13,Auxiliar!$D$4:$I$4,0))</f>
        <v>0</v>
      </c>
      <c r="AK13" s="160">
        <f t="shared" si="5"/>
        <v>0</v>
      </c>
      <c r="AL13" s="87"/>
    </row>
    <row r="14" spans="1:38" ht="13.8" x14ac:dyDescent="0.25">
      <c r="A14" s="158" t="s">
        <v>43</v>
      </c>
      <c r="B14" s="81" t="str">
        <f t="shared" si="6"/>
        <v>ENTITY_GCC_PRNT_ID</v>
      </c>
      <c r="C14" s="82" t="s">
        <v>10</v>
      </c>
      <c r="D14" s="83" t="s">
        <v>44</v>
      </c>
      <c r="E14" s="84" t="s">
        <v>45</v>
      </c>
      <c r="F14" s="85" t="s">
        <v>13</v>
      </c>
      <c r="G14" s="85" t="s">
        <v>11</v>
      </c>
      <c r="H14" s="85" t="s">
        <v>11</v>
      </c>
      <c r="I14" s="85" t="s">
        <v>11</v>
      </c>
      <c r="J14" s="85" t="s">
        <v>11</v>
      </c>
      <c r="K14" s="85" t="s">
        <v>13</v>
      </c>
      <c r="L14" s="86" t="str">
        <f>IFERROR(VLOOKUP($B14,'LISTA - Atual'!$B$1:$I$444,5,0),"Novo")</f>
        <v>Y</v>
      </c>
      <c r="M14" s="86" t="str">
        <f t="shared" si="0"/>
        <v>Igual</v>
      </c>
      <c r="N14" s="86" t="str">
        <f>IFERROR(VLOOKUP($B14,'LISTA - Atual'!$B$1:$I$444,6,0),"Novo")</f>
        <v>N</v>
      </c>
      <c r="O14" s="86" t="str">
        <f t="shared" si="1"/>
        <v>Igual</v>
      </c>
      <c r="P14" s="86" t="str">
        <f>IFERROR(VLOOKUP($B14,'LISTA - Atual'!$B$1:$I$444,7,0),"Novo")</f>
        <v>N</v>
      </c>
      <c r="Q14" s="86" t="str">
        <f t="shared" si="2"/>
        <v>Igual</v>
      </c>
      <c r="R14" s="86" t="s">
        <v>1563</v>
      </c>
      <c r="S14" s="86" t="str">
        <f>IFERROR(VLOOKUP($B14,'LISTA - Atual'!$B$1:$I$444,8,0),"Novo")</f>
        <v>N</v>
      </c>
      <c r="T14" s="86" t="str">
        <f t="shared" si="3"/>
        <v>Igual</v>
      </c>
      <c r="U14" s="86" t="s">
        <v>1563</v>
      </c>
      <c r="V14" s="86" t="s">
        <v>11</v>
      </c>
      <c r="W14" s="87" t="str">
        <f>IFERROR(VLOOKUP(B14,#REF!,11,0),"n/a")</f>
        <v>n/a</v>
      </c>
      <c r="X14" s="87" t="str">
        <f>IFERROR(VLOOKUP(B14,#REF!,8,0),"n/a")</f>
        <v>n/a</v>
      </c>
      <c r="Y14" s="87" t="str">
        <f t="shared" ref="Y14:Y17" si="8">$F$2</f>
        <v>ESTR</v>
      </c>
      <c r="Z14" s="131" t="s">
        <v>1605</v>
      </c>
      <c r="AA14" s="227" t="e">
        <f>VLOOKUP(Table1[[#This Row],[CONCAT]],'Campos Resumo Prop2.0'!A:H,8,0)</f>
        <v>#N/A</v>
      </c>
      <c r="AB14" s="87" t="s">
        <v>1652</v>
      </c>
      <c r="AC14" s="135" t="s">
        <v>1625</v>
      </c>
      <c r="AD14" s="91">
        <f>INDEX(Auxiliar!$D$5:$I$10,MATCH('LISTA - Setembro2024'!AD$3,Auxiliar!$B$5:$B$10,0),MATCH('LISTA - Setembro2024'!$AC14,Auxiliar!$D$4:$I$4,0))</f>
        <v>0</v>
      </c>
      <c r="AE14" s="91">
        <f>INDEX(Auxiliar!$D$5:$I$10,MATCH('LISTA - Setembro2024'!AE$3,Auxiliar!$B$5:$B$10,0),MATCH('LISTA - Setembro2024'!$AC14,Auxiliar!$D$4:$I$4,0))</f>
        <v>0</v>
      </c>
      <c r="AF14" s="87">
        <f>INDEX(Auxiliar!$D$5:$I$10,MATCH('LISTA - Setembro2024'!AF$3,Auxiliar!$B$5:$B$10,0),MATCH('LISTA - Setembro2024'!$AC14,Auxiliar!$D$4:$I$4,0))</f>
        <v>0</v>
      </c>
      <c r="AG14" s="87" t="str">
        <f t="shared" si="4"/>
        <v>n.a.</v>
      </c>
      <c r="AH14" s="87">
        <f>INDEX(Auxiliar!$D$5:$I$10,MATCH('LISTA - Setembro2024'!AH$3,Auxiliar!$B$5:$B$10,0),MATCH('LISTA - Setembro2024'!$AG14,Auxiliar!$D$4:$I$4,0))</f>
        <v>0</v>
      </c>
      <c r="AI14" s="87">
        <f>INDEX(Auxiliar!$D$5:$I$10,MATCH('LISTA - Setembro2024'!AI$3,Auxiliar!$B$5:$B$10,0),MATCH('LISTA - Setembro2024'!$AC14,Auxiliar!$D$4:$I$4,0))</f>
        <v>0</v>
      </c>
      <c r="AJ14" s="87">
        <f>INDEX(Auxiliar!$D$5:$I$10,MATCH('LISTA - Setembro2024'!AJ$3,Auxiliar!$B$5:$B$10,0),MATCH('LISTA - Setembro2024'!$AC14,Auxiliar!$D$4:$I$4,0))</f>
        <v>0</v>
      </c>
      <c r="AK14" s="160">
        <f t="shared" si="5"/>
        <v>0</v>
      </c>
      <c r="AL14" s="87"/>
    </row>
    <row r="15" spans="1:38" ht="13.8" x14ac:dyDescent="0.25">
      <c r="A15" s="158" t="s">
        <v>46</v>
      </c>
      <c r="B15" s="81" t="str">
        <f t="shared" si="6"/>
        <v>ENTITY_GCC_PRNT_NM</v>
      </c>
      <c r="C15" s="82" t="s">
        <v>10</v>
      </c>
      <c r="D15" s="83" t="s">
        <v>47</v>
      </c>
      <c r="E15" s="84" t="s">
        <v>48</v>
      </c>
      <c r="F15" s="85" t="s">
        <v>13</v>
      </c>
      <c r="G15" s="85" t="s">
        <v>11</v>
      </c>
      <c r="H15" s="85" t="s">
        <v>11</v>
      </c>
      <c r="I15" s="85" t="s">
        <v>11</v>
      </c>
      <c r="J15" s="85" t="s">
        <v>11</v>
      </c>
      <c r="K15" s="85" t="s">
        <v>13</v>
      </c>
      <c r="L15" s="86" t="str">
        <f>IFERROR(VLOOKUP($B15,'LISTA - Atual'!$B$1:$I$444,5,0),"Novo")</f>
        <v>Y</v>
      </c>
      <c r="M15" s="86" t="str">
        <f t="shared" si="0"/>
        <v>Igual</v>
      </c>
      <c r="N15" s="86" t="str">
        <f>IFERROR(VLOOKUP($B15,'LISTA - Atual'!$B$1:$I$444,6,0),"Novo")</f>
        <v>N</v>
      </c>
      <c r="O15" s="86" t="str">
        <f t="shared" si="1"/>
        <v>Igual</v>
      </c>
      <c r="P15" s="86" t="str">
        <f>IFERROR(VLOOKUP($B15,'LISTA - Atual'!$B$1:$I$444,7,0),"Novo")</f>
        <v>N</v>
      </c>
      <c r="Q15" s="86" t="str">
        <f t="shared" si="2"/>
        <v>Igual</v>
      </c>
      <c r="R15" s="86" t="s">
        <v>1563</v>
      </c>
      <c r="S15" s="86" t="str">
        <f>IFERROR(VLOOKUP($B15,'LISTA - Atual'!$B$1:$I$444,8,0),"Novo")</f>
        <v>N</v>
      </c>
      <c r="T15" s="86" t="str">
        <f t="shared" si="3"/>
        <v>Igual</v>
      </c>
      <c r="U15" s="86" t="s">
        <v>1563</v>
      </c>
      <c r="V15" s="86" t="s">
        <v>11</v>
      </c>
      <c r="W15" s="87" t="str">
        <f>IFERROR(VLOOKUP(B15,#REF!,11,0),"n/a")</f>
        <v>n/a</v>
      </c>
      <c r="X15" s="87" t="str">
        <f>IFERROR(VLOOKUP(B15,#REF!,8,0),"n/a")</f>
        <v>n/a</v>
      </c>
      <c r="Y15" s="87" t="str">
        <f t="shared" si="8"/>
        <v>ESTR</v>
      </c>
      <c r="Z15" s="131" t="s">
        <v>1605</v>
      </c>
      <c r="AA15" s="227" t="e">
        <f>VLOOKUP(Table1[[#This Row],[CONCAT]],'Campos Resumo Prop2.0'!A:H,8,0)</f>
        <v>#N/A</v>
      </c>
      <c r="AB15" s="87" t="s">
        <v>1652</v>
      </c>
      <c r="AC15" s="135" t="s">
        <v>1625</v>
      </c>
      <c r="AD15" s="91">
        <f>INDEX(Auxiliar!$D$5:$I$10,MATCH('LISTA - Setembro2024'!AD$3,Auxiliar!$B$5:$B$10,0),MATCH('LISTA - Setembro2024'!$AC15,Auxiliar!$D$4:$I$4,0))</f>
        <v>0</v>
      </c>
      <c r="AE15" s="91">
        <f>INDEX(Auxiliar!$D$5:$I$10,MATCH('LISTA - Setembro2024'!AE$3,Auxiliar!$B$5:$B$10,0),MATCH('LISTA - Setembro2024'!$AC15,Auxiliar!$D$4:$I$4,0))</f>
        <v>0</v>
      </c>
      <c r="AF15" s="87">
        <f>INDEX(Auxiliar!$D$5:$I$10,MATCH('LISTA - Setembro2024'!AF$3,Auxiliar!$B$5:$B$10,0),MATCH('LISTA - Setembro2024'!$AC15,Auxiliar!$D$4:$I$4,0))</f>
        <v>0</v>
      </c>
      <c r="AG15" s="87" t="str">
        <f t="shared" si="4"/>
        <v>n.a.</v>
      </c>
      <c r="AH15" s="87">
        <f>INDEX(Auxiliar!$D$5:$I$10,MATCH('LISTA - Setembro2024'!AH$3,Auxiliar!$B$5:$B$10,0),MATCH('LISTA - Setembro2024'!$AG15,Auxiliar!$D$4:$I$4,0))</f>
        <v>0</v>
      </c>
      <c r="AI15" s="87">
        <f>INDEX(Auxiliar!$D$5:$I$10,MATCH('LISTA - Setembro2024'!AI$3,Auxiliar!$B$5:$B$10,0),MATCH('LISTA - Setembro2024'!$AC15,Auxiliar!$D$4:$I$4,0))</f>
        <v>0</v>
      </c>
      <c r="AJ15" s="87">
        <f>INDEX(Auxiliar!$D$5:$I$10,MATCH('LISTA - Setembro2024'!AJ$3,Auxiliar!$B$5:$B$10,0),MATCH('LISTA - Setembro2024'!$AC15,Auxiliar!$D$4:$I$4,0))</f>
        <v>0</v>
      </c>
      <c r="AK15" s="160">
        <f t="shared" si="5"/>
        <v>0</v>
      </c>
      <c r="AL15" s="87"/>
    </row>
    <row r="16" spans="1:38" ht="13.8" x14ac:dyDescent="0.25">
      <c r="A16" s="158" t="s">
        <v>49</v>
      </c>
      <c r="B16" s="81" t="str">
        <f t="shared" si="6"/>
        <v>ENTITY_INTRNL_SGMNT</v>
      </c>
      <c r="C16" s="82" t="s">
        <v>10</v>
      </c>
      <c r="D16" s="83" t="s">
        <v>50</v>
      </c>
      <c r="E16" s="84" t="s">
        <v>51</v>
      </c>
      <c r="F16" s="85" t="s">
        <v>13</v>
      </c>
      <c r="G16" s="85" t="s">
        <v>11</v>
      </c>
      <c r="H16" s="85" t="s">
        <v>11</v>
      </c>
      <c r="I16" s="85" t="s">
        <v>11</v>
      </c>
      <c r="J16" s="85" t="s">
        <v>11</v>
      </c>
      <c r="K16" s="85" t="s">
        <v>13</v>
      </c>
      <c r="L16" s="86" t="str">
        <f>IFERROR(VLOOKUP($B16,'LISTA - Atual'!$B$1:$I$444,5,0),"Novo")</f>
        <v>Y</v>
      </c>
      <c r="M16" s="86" t="str">
        <f t="shared" si="0"/>
        <v>Igual</v>
      </c>
      <c r="N16" s="86" t="str">
        <f>IFERROR(VLOOKUP($B16,'LISTA - Atual'!$B$1:$I$444,6,0),"Novo")</f>
        <v>N</v>
      </c>
      <c r="O16" s="86" t="str">
        <f t="shared" si="1"/>
        <v>Igual</v>
      </c>
      <c r="P16" s="86" t="str">
        <f>IFERROR(VLOOKUP($B16,'LISTA - Atual'!$B$1:$I$444,7,0),"Novo")</f>
        <v>N</v>
      </c>
      <c r="Q16" s="86" t="str">
        <f t="shared" si="2"/>
        <v>Igual</v>
      </c>
      <c r="R16" s="86" t="s">
        <v>1563</v>
      </c>
      <c r="S16" s="86" t="str">
        <f>IFERROR(VLOOKUP($B16,'LISTA - Atual'!$B$1:$I$444,8,0),"Novo")</f>
        <v>N</v>
      </c>
      <c r="T16" s="86" t="str">
        <f t="shared" si="3"/>
        <v>Igual</v>
      </c>
      <c r="U16" s="86" t="s">
        <v>1563</v>
      </c>
      <c r="V16" s="86" t="s">
        <v>11</v>
      </c>
      <c r="W16" s="87" t="str">
        <f>IFERROR(VLOOKUP(B16,#REF!,11,0),"n/a")</f>
        <v>n/a</v>
      </c>
      <c r="X16" s="87" t="str">
        <f>IFERROR(VLOOKUP(B16,#REF!,8,0),"n/a")</f>
        <v>n/a</v>
      </c>
      <c r="Y16" s="87" t="str">
        <f t="shared" si="8"/>
        <v>ESTR</v>
      </c>
      <c r="Z16" s="131" t="s">
        <v>1605</v>
      </c>
      <c r="AA16" s="227" t="e">
        <f>VLOOKUP(Table1[[#This Row],[CONCAT]],'Campos Resumo Prop2.0'!A:H,8,0)</f>
        <v>#N/A</v>
      </c>
      <c r="AB16" s="87" t="s">
        <v>1652</v>
      </c>
      <c r="AC16" s="135" t="s">
        <v>1625</v>
      </c>
      <c r="AD16" s="91">
        <f>INDEX(Auxiliar!$D$5:$I$10,MATCH('LISTA - Setembro2024'!AD$3,Auxiliar!$B$5:$B$10,0),MATCH('LISTA - Setembro2024'!$AC16,Auxiliar!$D$4:$I$4,0))</f>
        <v>0</v>
      </c>
      <c r="AE16" s="91">
        <f>INDEX(Auxiliar!$D$5:$I$10,MATCH('LISTA - Setembro2024'!AE$3,Auxiliar!$B$5:$B$10,0),MATCH('LISTA - Setembro2024'!$AC16,Auxiliar!$D$4:$I$4,0))</f>
        <v>0</v>
      </c>
      <c r="AF16" s="87">
        <f>INDEX(Auxiliar!$D$5:$I$10,MATCH('LISTA - Setembro2024'!AF$3,Auxiliar!$B$5:$B$10,0),MATCH('LISTA - Setembro2024'!$AC16,Auxiliar!$D$4:$I$4,0))</f>
        <v>0</v>
      </c>
      <c r="AG16" s="87" t="str">
        <f t="shared" si="4"/>
        <v>n.a.</v>
      </c>
      <c r="AH16" s="87">
        <f>INDEX(Auxiliar!$D$5:$I$10,MATCH('LISTA - Setembro2024'!AH$3,Auxiliar!$B$5:$B$10,0),MATCH('LISTA - Setembro2024'!$AG16,Auxiliar!$D$4:$I$4,0))</f>
        <v>0</v>
      </c>
      <c r="AI16" s="87">
        <f>INDEX(Auxiliar!$D$5:$I$10,MATCH('LISTA - Setembro2024'!AI$3,Auxiliar!$B$5:$B$10,0),MATCH('LISTA - Setembro2024'!$AC16,Auxiliar!$D$4:$I$4,0))</f>
        <v>0</v>
      </c>
      <c r="AJ16" s="87">
        <f>INDEX(Auxiliar!$D$5:$I$10,MATCH('LISTA - Setembro2024'!AJ$3,Auxiliar!$B$5:$B$10,0),MATCH('LISTA - Setembro2024'!$AC16,Auxiliar!$D$4:$I$4,0))</f>
        <v>0</v>
      </c>
      <c r="AK16" s="160">
        <f t="shared" si="5"/>
        <v>0</v>
      </c>
      <c r="AL16" s="87"/>
    </row>
    <row r="17" spans="1:38" ht="13.8" x14ac:dyDescent="0.25">
      <c r="A17" s="158" t="s">
        <v>52</v>
      </c>
      <c r="B17" s="81" t="str">
        <f t="shared" si="6"/>
        <v>ENTITY_INTRNL_UNT</v>
      </c>
      <c r="C17" s="82" t="s">
        <v>10</v>
      </c>
      <c r="D17" s="83" t="s">
        <v>53</v>
      </c>
      <c r="E17" s="84" t="s">
        <v>54</v>
      </c>
      <c r="F17" s="85" t="s">
        <v>13</v>
      </c>
      <c r="G17" s="85" t="s">
        <v>11</v>
      </c>
      <c r="H17" s="85" t="s">
        <v>11</v>
      </c>
      <c r="I17" s="85" t="s">
        <v>11</v>
      </c>
      <c r="J17" s="85" t="s">
        <v>11</v>
      </c>
      <c r="K17" s="85" t="s">
        <v>13</v>
      </c>
      <c r="L17" s="86" t="str">
        <f>IFERROR(VLOOKUP($B17,'LISTA - Atual'!$B$1:$I$444,5,0),"Novo")</f>
        <v>Y</v>
      </c>
      <c r="M17" s="86" t="str">
        <f t="shared" si="0"/>
        <v>Igual</v>
      </c>
      <c r="N17" s="86" t="str">
        <f>IFERROR(VLOOKUP($B17,'LISTA - Atual'!$B$1:$I$444,6,0),"Novo")</f>
        <v>N</v>
      </c>
      <c r="O17" s="86" t="str">
        <f t="shared" si="1"/>
        <v>Igual</v>
      </c>
      <c r="P17" s="86" t="str">
        <f>IFERROR(VLOOKUP($B17,'LISTA - Atual'!$B$1:$I$444,7,0),"Novo")</f>
        <v>N</v>
      </c>
      <c r="Q17" s="86" t="str">
        <f t="shared" si="2"/>
        <v>Igual</v>
      </c>
      <c r="R17" s="86" t="s">
        <v>1563</v>
      </c>
      <c r="S17" s="86" t="str">
        <f>IFERROR(VLOOKUP($B17,'LISTA - Atual'!$B$1:$I$444,8,0),"Novo")</f>
        <v>N</v>
      </c>
      <c r="T17" s="86" t="str">
        <f t="shared" si="3"/>
        <v>Igual</v>
      </c>
      <c r="U17" s="86" t="s">
        <v>1563</v>
      </c>
      <c r="V17" s="86" t="s">
        <v>11</v>
      </c>
      <c r="W17" s="87" t="str">
        <f>IFERROR(VLOOKUP(B17,#REF!,11,0),"n/a")</f>
        <v>n/a</v>
      </c>
      <c r="X17" s="87" t="str">
        <f>IFERROR(VLOOKUP(B17,#REF!,8,0),"n/a")</f>
        <v>n/a</v>
      </c>
      <c r="Y17" s="87" t="str">
        <f t="shared" si="8"/>
        <v>ESTR</v>
      </c>
      <c r="Z17" s="131" t="s">
        <v>1605</v>
      </c>
      <c r="AA17" s="227" t="e">
        <f>VLOOKUP(Table1[[#This Row],[CONCAT]],'Campos Resumo Prop2.0'!A:H,8,0)</f>
        <v>#N/A</v>
      </c>
      <c r="AB17" s="87" t="s">
        <v>1652</v>
      </c>
      <c r="AC17" s="135" t="s">
        <v>1625</v>
      </c>
      <c r="AD17" s="91">
        <f>INDEX(Auxiliar!$D$5:$I$10,MATCH('LISTA - Setembro2024'!AD$3,Auxiliar!$B$5:$B$10,0),MATCH('LISTA - Setembro2024'!$AC17,Auxiliar!$D$4:$I$4,0))</f>
        <v>0</v>
      </c>
      <c r="AE17" s="91">
        <f>INDEX(Auxiliar!$D$5:$I$10,MATCH('LISTA - Setembro2024'!AE$3,Auxiliar!$B$5:$B$10,0),MATCH('LISTA - Setembro2024'!$AC17,Auxiliar!$D$4:$I$4,0))</f>
        <v>0</v>
      </c>
      <c r="AF17" s="87">
        <f>INDEX(Auxiliar!$D$5:$I$10,MATCH('LISTA - Setembro2024'!AF$3,Auxiliar!$B$5:$B$10,0),MATCH('LISTA - Setembro2024'!$AC17,Auxiliar!$D$4:$I$4,0))</f>
        <v>0</v>
      </c>
      <c r="AG17" s="87" t="str">
        <f t="shared" si="4"/>
        <v>n.a.</v>
      </c>
      <c r="AH17" s="87">
        <f>INDEX(Auxiliar!$D$5:$I$10,MATCH('LISTA - Setembro2024'!AH$3,Auxiliar!$B$5:$B$10,0),MATCH('LISTA - Setembro2024'!$AG17,Auxiliar!$D$4:$I$4,0))</f>
        <v>0</v>
      </c>
      <c r="AI17" s="87">
        <f>INDEX(Auxiliar!$D$5:$I$10,MATCH('LISTA - Setembro2024'!AI$3,Auxiliar!$B$5:$B$10,0),MATCH('LISTA - Setembro2024'!$AC17,Auxiliar!$D$4:$I$4,0))</f>
        <v>0</v>
      </c>
      <c r="AJ17" s="87">
        <f>INDEX(Auxiliar!$D$5:$I$10,MATCH('LISTA - Setembro2024'!AJ$3,Auxiliar!$B$5:$B$10,0),MATCH('LISTA - Setembro2024'!$AC17,Auxiliar!$D$4:$I$4,0))</f>
        <v>0</v>
      </c>
      <c r="AK17" s="160">
        <f t="shared" si="5"/>
        <v>0</v>
      </c>
      <c r="AL17" s="87"/>
    </row>
    <row r="18" spans="1:38" ht="13.8" x14ac:dyDescent="0.25">
      <c r="A18" s="158" t="s">
        <v>55</v>
      </c>
      <c r="B18" s="81" t="str">
        <f t="shared" si="6"/>
        <v>ENTITY_LEI</v>
      </c>
      <c r="C18" s="82" t="s">
        <v>10</v>
      </c>
      <c r="D18" s="83" t="s">
        <v>56</v>
      </c>
      <c r="E18" s="84" t="s">
        <v>57</v>
      </c>
      <c r="F18" s="85" t="s">
        <v>13</v>
      </c>
      <c r="G18" s="85" t="s">
        <v>11</v>
      </c>
      <c r="H18" s="85" t="s">
        <v>13</v>
      </c>
      <c r="I18" s="85" t="s">
        <v>11</v>
      </c>
      <c r="J18" s="85" t="s">
        <v>11</v>
      </c>
      <c r="K18" s="85" t="s">
        <v>13</v>
      </c>
      <c r="L18" s="86" t="str">
        <f>IFERROR(VLOOKUP($B18,'LISTA - Atual'!$B$1:$I$444,5,0),"Novo")</f>
        <v>Y</v>
      </c>
      <c r="M18" s="86" t="str">
        <f t="shared" si="0"/>
        <v>Igual</v>
      </c>
      <c r="N18" s="86" t="str">
        <f>IFERROR(VLOOKUP($B18,'LISTA - Atual'!$B$1:$I$444,6,0),"Novo")</f>
        <v>N</v>
      </c>
      <c r="O18" s="86" t="str">
        <f t="shared" si="1"/>
        <v>Igual</v>
      </c>
      <c r="P18" s="86" t="str">
        <f>IFERROR(VLOOKUP($B18,'LISTA - Atual'!$B$1:$I$444,7,0),"Novo")</f>
        <v>Y</v>
      </c>
      <c r="Q18" s="86" t="str">
        <f t="shared" si="2"/>
        <v>Igual</v>
      </c>
      <c r="R18" s="86" t="s">
        <v>1563</v>
      </c>
      <c r="S18" s="86" t="str">
        <f>IFERROR(VLOOKUP($B18,'LISTA - Atual'!$B$1:$I$444,8,0),"Novo")</f>
        <v>N</v>
      </c>
      <c r="T18" s="86" t="str">
        <f t="shared" si="3"/>
        <v>Igual</v>
      </c>
      <c r="U18" s="86" t="s">
        <v>1563</v>
      </c>
      <c r="V18" s="86" t="s">
        <v>11</v>
      </c>
      <c r="W18" s="87" t="str">
        <f>IFERROR(VLOOKUP(B18,#REF!,11,0),"n/a")</f>
        <v>n/a</v>
      </c>
      <c r="X18" s="87" t="str">
        <f>IFERROR(VLOOKUP(B18,#REF!,8,0),"n/a")</f>
        <v>n/a</v>
      </c>
      <c r="Y18" s="87" t="str">
        <f>$F$2&amp;$Y$1&amp;$H$2</f>
        <v>ESTR &amp; PILAR3</v>
      </c>
      <c r="Z18" s="131" t="s">
        <v>1605</v>
      </c>
      <c r="AA18" s="227" t="e">
        <f>VLOOKUP(Table1[[#This Row],[CONCAT]],'Campos Resumo Prop2.0'!A:H,8,0)</f>
        <v>#N/A</v>
      </c>
      <c r="AB18" s="87" t="s">
        <v>1653</v>
      </c>
      <c r="AC18" s="135" t="s">
        <v>1625</v>
      </c>
      <c r="AD18" s="91">
        <f>INDEX(Auxiliar!$D$5:$I$10,MATCH('LISTA - Setembro2024'!AD$3,Auxiliar!$B$5:$B$10,0),MATCH('LISTA - Setembro2024'!$AC18,Auxiliar!$D$4:$I$4,0))</f>
        <v>0</v>
      </c>
      <c r="AE18" s="91">
        <f>INDEX(Auxiliar!$D$5:$I$10,MATCH('LISTA - Setembro2024'!AE$3,Auxiliar!$B$5:$B$10,0),MATCH('LISTA - Setembro2024'!$AC18,Auxiliar!$D$4:$I$4,0))</f>
        <v>0</v>
      </c>
      <c r="AF18" s="87">
        <f>INDEX(Auxiliar!$D$5:$I$10,MATCH('LISTA - Setembro2024'!AF$3,Auxiliar!$B$5:$B$10,0),MATCH('LISTA - Setembro2024'!$AC18,Auxiliar!$D$4:$I$4,0))</f>
        <v>0</v>
      </c>
      <c r="AG18" s="87" t="str">
        <f t="shared" si="4"/>
        <v>n.a.</v>
      </c>
      <c r="AH18" s="87">
        <f>INDEX(Auxiliar!$D$5:$I$10,MATCH('LISTA - Setembro2024'!AH$3,Auxiliar!$B$5:$B$10,0),MATCH('LISTA - Setembro2024'!$AG18,Auxiliar!$D$4:$I$4,0))</f>
        <v>0</v>
      </c>
      <c r="AI18" s="87">
        <f>INDEX(Auxiliar!$D$5:$I$10,MATCH('LISTA - Setembro2024'!AI$3,Auxiliar!$B$5:$B$10,0),MATCH('LISTA - Setembro2024'!$AC18,Auxiliar!$D$4:$I$4,0))</f>
        <v>0</v>
      </c>
      <c r="AJ18" s="87">
        <f>INDEX(Auxiliar!$D$5:$I$10,MATCH('LISTA - Setembro2024'!AJ$3,Auxiliar!$B$5:$B$10,0),MATCH('LISTA - Setembro2024'!$AC18,Auxiliar!$D$4:$I$4,0))</f>
        <v>0</v>
      </c>
      <c r="AK18" s="160">
        <f t="shared" si="5"/>
        <v>0</v>
      </c>
      <c r="AL18" s="87"/>
    </row>
    <row r="19" spans="1:38" ht="13.8" x14ac:dyDescent="0.25">
      <c r="A19" s="158" t="s">
        <v>58</v>
      </c>
      <c r="B19" s="81" t="str">
        <f t="shared" si="6"/>
        <v>ENTITY_ENTTY_NM</v>
      </c>
      <c r="C19" s="82" t="s">
        <v>10</v>
      </c>
      <c r="D19" s="83" t="s">
        <v>59</v>
      </c>
      <c r="E19" s="84" t="s">
        <v>60</v>
      </c>
      <c r="F19" s="85" t="s">
        <v>13</v>
      </c>
      <c r="G19" s="85" t="s">
        <v>11</v>
      </c>
      <c r="H19" s="89" t="s">
        <v>13</v>
      </c>
      <c r="I19" s="85" t="s">
        <v>11</v>
      </c>
      <c r="J19" s="85" t="s">
        <v>11</v>
      </c>
      <c r="K19" s="85" t="s">
        <v>13</v>
      </c>
      <c r="L19" s="86" t="str">
        <f>IFERROR(VLOOKUP($B19,'LISTA - Atual'!$B$1:$I$444,5,0),"Novo")</f>
        <v>Y</v>
      </c>
      <c r="M19" s="86" t="str">
        <f t="shared" si="0"/>
        <v>Igual</v>
      </c>
      <c r="N19" s="86" t="str">
        <f>IFERROR(VLOOKUP($B19,'LISTA - Atual'!$B$1:$I$444,6,0),"Novo")</f>
        <v>N</v>
      </c>
      <c r="O19" s="86" t="str">
        <f t="shared" si="1"/>
        <v>Igual</v>
      </c>
      <c r="P19" s="86" t="str">
        <f>IFERROR(VLOOKUP($B19,'LISTA - Atual'!$B$1:$I$444,7,0),"Novo")</f>
        <v>N</v>
      </c>
      <c r="Q19" s="86" t="str">
        <f t="shared" si="2"/>
        <v>Diferente</v>
      </c>
      <c r="R19" s="86" t="s">
        <v>1563</v>
      </c>
      <c r="S19" s="86" t="str">
        <f>IFERROR(VLOOKUP($B19,'LISTA - Atual'!$B$1:$I$444,8,0),"Novo")</f>
        <v>N</v>
      </c>
      <c r="T19" s="86" t="str">
        <f t="shared" si="3"/>
        <v>Igual</v>
      </c>
      <c r="U19" s="86" t="s">
        <v>1563</v>
      </c>
      <c r="V19" s="86" t="s">
        <v>11</v>
      </c>
      <c r="W19" s="87" t="str">
        <f>IFERROR(VLOOKUP(B19,#REF!,11,0),"n/a")</f>
        <v>n/a</v>
      </c>
      <c r="X19" s="87" t="str">
        <f>IFERROR(VLOOKUP(B19,#REF!,8,0),"n/a")</f>
        <v>n/a</v>
      </c>
      <c r="Y19" s="87" t="str">
        <f>$F$2&amp;$Y$1&amp;$H$2</f>
        <v>ESTR &amp; PILAR3</v>
      </c>
      <c r="Z19" s="215" t="s">
        <v>1570</v>
      </c>
      <c r="AA19" s="227" t="str">
        <f>VLOOKUP(Table1[[#This Row],[CONCAT]],'Campos Resumo Prop2.0'!A:H,8,0)</f>
        <v>Não será contemplado no âmbito da proposta - Campos do LT ESTR</v>
      </c>
      <c r="AB19" s="87" t="s">
        <v>1652</v>
      </c>
      <c r="AC19" s="135" t="s">
        <v>1674</v>
      </c>
      <c r="AD19" s="91">
        <f>INDEX(Auxiliar!$D$5:$I$10,MATCH('LISTA - Setembro2024'!AD$3,Auxiliar!$B$5:$B$10,0),MATCH('LISTA - Setembro2024'!$AC19,Auxiliar!$D$4:$I$4,0))</f>
        <v>1</v>
      </c>
      <c r="AE19" s="88">
        <v>0</v>
      </c>
      <c r="AF19" s="87">
        <f>INDEX(Auxiliar!$D$5:$I$10,MATCH('LISTA - Setembro2024'!AF$3,Auxiliar!$B$5:$B$10,0),MATCH('LISTA - Setembro2024'!$AC19,Auxiliar!$D$4:$I$4,0))</f>
        <v>1</v>
      </c>
      <c r="AG19" s="87" t="str">
        <f t="shared" si="4"/>
        <v>n.a.</v>
      </c>
      <c r="AH19" s="87">
        <f>INDEX(Auxiliar!$D$5:$I$10,MATCH('LISTA - Setembro2024'!AH$3,Auxiliar!$B$5:$B$10,0),MATCH('LISTA - Setembro2024'!$AG19,Auxiliar!$D$4:$I$4,0))</f>
        <v>0</v>
      </c>
      <c r="AI19" s="87">
        <f>INDEX(Auxiliar!$D$5:$I$10,MATCH('LISTA - Setembro2024'!AI$3,Auxiliar!$B$5:$B$10,0),MATCH('LISTA - Setembro2024'!$AC19,Auxiliar!$D$4:$I$4,0))</f>
        <v>0.5</v>
      </c>
      <c r="AJ19" s="87">
        <f>INDEX(Auxiliar!$D$5:$I$10,MATCH('LISTA - Setembro2024'!AJ$3,Auxiliar!$B$5:$B$10,0),MATCH('LISTA - Setembro2024'!$AC19,Auxiliar!$D$4:$I$4,0))</f>
        <v>1</v>
      </c>
      <c r="AK19" s="242">
        <v>0</v>
      </c>
      <c r="AL19" s="87"/>
    </row>
    <row r="20" spans="1:38" ht="13.8" x14ac:dyDescent="0.25">
      <c r="A20" s="158" t="s">
        <v>61</v>
      </c>
      <c r="B20" s="81" t="str">
        <f t="shared" si="6"/>
        <v>ENTITY_EXTRNL_RTNG_NM</v>
      </c>
      <c r="C20" s="82" t="s">
        <v>10</v>
      </c>
      <c r="D20" s="83" t="s">
        <v>62</v>
      </c>
      <c r="E20" s="84" t="s">
        <v>63</v>
      </c>
      <c r="F20" s="85" t="s">
        <v>13</v>
      </c>
      <c r="G20" s="85" t="s">
        <v>11</v>
      </c>
      <c r="H20" s="85" t="s">
        <v>11</v>
      </c>
      <c r="I20" s="85" t="s">
        <v>11</v>
      </c>
      <c r="J20" s="85" t="s">
        <v>11</v>
      </c>
      <c r="K20" s="85" t="s">
        <v>13</v>
      </c>
      <c r="L20" s="86" t="str">
        <f>IFERROR(VLOOKUP($B20,'LISTA - Atual'!$B$1:$I$444,5,0),"Novo")</f>
        <v>Y</v>
      </c>
      <c r="M20" s="86" t="str">
        <f t="shared" si="0"/>
        <v>Igual</v>
      </c>
      <c r="N20" s="86" t="str">
        <f>IFERROR(VLOOKUP($B20,'LISTA - Atual'!$B$1:$I$444,6,0),"Novo")</f>
        <v>N</v>
      </c>
      <c r="O20" s="86" t="str">
        <f t="shared" si="1"/>
        <v>Igual</v>
      </c>
      <c r="P20" s="86" t="str">
        <f>IFERROR(VLOOKUP($B20,'LISTA - Atual'!$B$1:$I$444,7,0),"Novo")</f>
        <v>N</v>
      </c>
      <c r="Q20" s="86" t="str">
        <f t="shared" si="2"/>
        <v>Igual</v>
      </c>
      <c r="R20" s="86" t="s">
        <v>1563</v>
      </c>
      <c r="S20" s="86" t="str">
        <f>IFERROR(VLOOKUP($B20,'LISTA - Atual'!$B$1:$I$444,8,0),"Novo")</f>
        <v>N</v>
      </c>
      <c r="T20" s="86" t="str">
        <f t="shared" si="3"/>
        <v>Igual</v>
      </c>
      <c r="U20" s="86" t="s">
        <v>1563</v>
      </c>
      <c r="V20" s="86" t="s">
        <v>11</v>
      </c>
      <c r="W20" s="87" t="str">
        <f>IFERROR(VLOOKUP(B20,#REF!,11,0),"n/a")</f>
        <v>n/a</v>
      </c>
      <c r="X20" s="88" t="str">
        <f>IFERROR(VLOOKUP(B20,#REF!,8,0),"n/a")</f>
        <v>n/a</v>
      </c>
      <c r="Y20" s="87" t="str">
        <f t="shared" ref="Y20:Y26" si="9">$F$2</f>
        <v>ESTR</v>
      </c>
      <c r="Z20" s="131" t="s">
        <v>1605</v>
      </c>
      <c r="AA20" s="227" t="e">
        <f>VLOOKUP(Table1[[#This Row],[CONCAT]],'Campos Resumo Prop2.0'!A:H,8,0)</f>
        <v>#N/A</v>
      </c>
      <c r="AB20" s="87" t="s">
        <v>1652</v>
      </c>
      <c r="AC20" s="135" t="s">
        <v>1625</v>
      </c>
      <c r="AD20" s="91">
        <f>INDEX(Auxiliar!$D$5:$I$10,MATCH('LISTA - Setembro2024'!AD$3,Auxiliar!$B$5:$B$10,0),MATCH('LISTA - Setembro2024'!$AC20,Auxiliar!$D$4:$I$4,0))</f>
        <v>0</v>
      </c>
      <c r="AE20" s="91">
        <f>INDEX(Auxiliar!$D$5:$I$10,MATCH('LISTA - Setembro2024'!AE$3,Auxiliar!$B$5:$B$10,0),MATCH('LISTA - Setembro2024'!$AC20,Auxiliar!$D$4:$I$4,0))</f>
        <v>0</v>
      </c>
      <c r="AF20" s="87">
        <f>INDEX(Auxiliar!$D$5:$I$10,MATCH('LISTA - Setembro2024'!AF$3,Auxiliar!$B$5:$B$10,0),MATCH('LISTA - Setembro2024'!$AC20,Auxiliar!$D$4:$I$4,0))</f>
        <v>0</v>
      </c>
      <c r="AG20" s="87" t="str">
        <f t="shared" si="4"/>
        <v>n.a.</v>
      </c>
      <c r="AH20" s="87">
        <f>INDEX(Auxiliar!$D$5:$I$10,MATCH('LISTA - Setembro2024'!AH$3,Auxiliar!$B$5:$B$10,0),MATCH('LISTA - Setembro2024'!$AG20,Auxiliar!$D$4:$I$4,0))</f>
        <v>0</v>
      </c>
      <c r="AI20" s="87">
        <f>INDEX(Auxiliar!$D$5:$I$10,MATCH('LISTA - Setembro2024'!AI$3,Auxiliar!$B$5:$B$10,0),MATCH('LISTA - Setembro2024'!$AC20,Auxiliar!$D$4:$I$4,0))</f>
        <v>0</v>
      </c>
      <c r="AJ20" s="87">
        <f>INDEX(Auxiliar!$D$5:$I$10,MATCH('LISTA - Setembro2024'!AJ$3,Auxiliar!$B$5:$B$10,0),MATCH('LISTA - Setembro2024'!$AC20,Auxiliar!$D$4:$I$4,0))</f>
        <v>0</v>
      </c>
      <c r="AK20" s="160">
        <f t="shared" si="5"/>
        <v>0</v>
      </c>
      <c r="AL20" s="87" t="s">
        <v>1678</v>
      </c>
    </row>
    <row r="21" spans="1:38" ht="13.8" x14ac:dyDescent="0.25">
      <c r="A21" s="158" t="s">
        <v>64</v>
      </c>
      <c r="B21" s="81" t="str">
        <f t="shared" si="6"/>
        <v>ENTITY_ACCNTNG_FRMWRK_SL</v>
      </c>
      <c r="C21" s="82" t="s">
        <v>10</v>
      </c>
      <c r="D21" s="83" t="s">
        <v>65</v>
      </c>
      <c r="E21" s="84" t="s">
        <v>66</v>
      </c>
      <c r="F21" s="85" t="s">
        <v>13</v>
      </c>
      <c r="G21" s="85" t="s">
        <v>11</v>
      </c>
      <c r="H21" s="85" t="s">
        <v>11</v>
      </c>
      <c r="I21" s="85" t="s">
        <v>11</v>
      </c>
      <c r="J21" s="85" t="s">
        <v>11</v>
      </c>
      <c r="K21" s="85" t="s">
        <v>13</v>
      </c>
      <c r="L21" s="86" t="str">
        <f>IFERROR(VLOOKUP($B21,'LISTA - Atual'!$B$1:$I$444,5,0),"Novo")</f>
        <v>Y</v>
      </c>
      <c r="M21" s="86" t="str">
        <f t="shared" si="0"/>
        <v>Igual</v>
      </c>
      <c r="N21" s="86" t="str">
        <f>IFERROR(VLOOKUP($B21,'LISTA - Atual'!$B$1:$I$444,6,0),"Novo")</f>
        <v>N</v>
      </c>
      <c r="O21" s="86" t="str">
        <f t="shared" si="1"/>
        <v>Igual</v>
      </c>
      <c r="P21" s="86" t="str">
        <f>IFERROR(VLOOKUP($B21,'LISTA - Atual'!$B$1:$I$444,7,0),"Novo")</f>
        <v>N</v>
      </c>
      <c r="Q21" s="86" t="str">
        <f t="shared" si="2"/>
        <v>Igual</v>
      </c>
      <c r="R21" s="86" t="s">
        <v>1563</v>
      </c>
      <c r="S21" s="86" t="str">
        <f>IFERROR(VLOOKUP($B21,'LISTA - Atual'!$B$1:$I$444,8,0),"Novo")</f>
        <v>N</v>
      </c>
      <c r="T21" s="86" t="str">
        <f t="shared" si="3"/>
        <v>Igual</v>
      </c>
      <c r="U21" s="86" t="s">
        <v>1563</v>
      </c>
      <c r="V21" s="86" t="s">
        <v>11</v>
      </c>
      <c r="W21" s="87" t="str">
        <f>IFERROR(VLOOKUP(B21,#REF!,11,0),"n/a")</f>
        <v>n/a</v>
      </c>
      <c r="X21" s="88" t="str">
        <f>IFERROR(VLOOKUP(B21,#REF!,8,0),"n/a")</f>
        <v>n/a</v>
      </c>
      <c r="Y21" s="87" t="str">
        <f t="shared" si="9"/>
        <v>ESTR</v>
      </c>
      <c r="Z21" s="131" t="s">
        <v>1605</v>
      </c>
      <c r="AA21" s="227" t="e">
        <f>VLOOKUP(Table1[[#This Row],[CONCAT]],'Campos Resumo Prop2.0'!A:H,8,0)</f>
        <v>#N/A</v>
      </c>
      <c r="AB21" s="87" t="s">
        <v>1650</v>
      </c>
      <c r="AC21" s="135" t="s">
        <v>1625</v>
      </c>
      <c r="AD21" s="91">
        <f>INDEX(Auxiliar!$D$5:$I$10,MATCH('LISTA - Setembro2024'!AD$3,Auxiliar!$B$5:$B$10,0),MATCH('LISTA - Setembro2024'!$AC21,Auxiliar!$D$4:$I$4,0))</f>
        <v>0</v>
      </c>
      <c r="AE21" s="91">
        <f>INDEX(Auxiliar!$D$5:$I$10,MATCH('LISTA - Setembro2024'!AE$3,Auxiliar!$B$5:$B$10,0),MATCH('LISTA - Setembro2024'!$AC21,Auxiliar!$D$4:$I$4,0))</f>
        <v>0</v>
      </c>
      <c r="AF21" s="87">
        <f>INDEX(Auxiliar!$D$5:$I$10,MATCH('LISTA - Setembro2024'!AF$3,Auxiliar!$B$5:$B$10,0),MATCH('LISTA - Setembro2024'!$AC21,Auxiliar!$D$4:$I$4,0))</f>
        <v>0</v>
      </c>
      <c r="AG21" s="87" t="str">
        <f t="shared" si="4"/>
        <v>n.a.</v>
      </c>
      <c r="AH21" s="87">
        <f>INDEX(Auxiliar!$D$5:$I$10,MATCH('LISTA - Setembro2024'!AH$3,Auxiliar!$B$5:$B$10,0),MATCH('LISTA - Setembro2024'!$AG21,Auxiliar!$D$4:$I$4,0))</f>
        <v>0</v>
      </c>
      <c r="AI21" s="87">
        <f>INDEX(Auxiliar!$D$5:$I$10,MATCH('LISTA - Setembro2024'!AI$3,Auxiliar!$B$5:$B$10,0),MATCH('LISTA - Setembro2024'!$AC21,Auxiliar!$D$4:$I$4,0))</f>
        <v>0</v>
      </c>
      <c r="AJ21" s="87">
        <f>INDEX(Auxiliar!$D$5:$I$10,MATCH('LISTA - Setembro2024'!AJ$3,Auxiliar!$B$5:$B$10,0),MATCH('LISTA - Setembro2024'!$AC21,Auxiliar!$D$4:$I$4,0))</f>
        <v>0</v>
      </c>
      <c r="AK21" s="160">
        <f t="shared" si="5"/>
        <v>0</v>
      </c>
      <c r="AL21" s="87" t="s">
        <v>1669</v>
      </c>
    </row>
    <row r="22" spans="1:38" ht="13.8" x14ac:dyDescent="0.25">
      <c r="A22" s="158" t="s">
        <v>67</v>
      </c>
      <c r="B22" s="81" t="str">
        <f t="shared" si="6"/>
        <v>ENTITY_CR_FLG</v>
      </c>
      <c r="C22" s="82" t="s">
        <v>10</v>
      </c>
      <c r="D22" s="83" t="s">
        <v>68</v>
      </c>
      <c r="E22" s="84" t="s">
        <v>69</v>
      </c>
      <c r="F22" s="85" t="s">
        <v>13</v>
      </c>
      <c r="G22" s="85" t="s">
        <v>11</v>
      </c>
      <c r="H22" s="85" t="s">
        <v>11</v>
      </c>
      <c r="I22" s="85" t="s">
        <v>11</v>
      </c>
      <c r="J22" s="85" t="s">
        <v>11</v>
      </c>
      <c r="K22" s="85" t="s">
        <v>11</v>
      </c>
      <c r="L22" s="86" t="str">
        <f>IFERROR(VLOOKUP($B22,'LISTA - Atual'!$B$1:$I$444,5,0),"Novo")</f>
        <v>Y</v>
      </c>
      <c r="M22" s="86" t="str">
        <f t="shared" si="0"/>
        <v>Igual</v>
      </c>
      <c r="N22" s="86" t="str">
        <f>IFERROR(VLOOKUP($B22,'LISTA - Atual'!$B$1:$I$444,6,0),"Novo")</f>
        <v>N</v>
      </c>
      <c r="O22" s="86" t="str">
        <f t="shared" si="1"/>
        <v>Igual</v>
      </c>
      <c r="P22" s="86" t="str">
        <f>IFERROR(VLOOKUP($B22,'LISTA - Atual'!$B$1:$I$444,7,0),"Novo")</f>
        <v>N</v>
      </c>
      <c r="Q22" s="86" t="str">
        <f t="shared" si="2"/>
        <v>Igual</v>
      </c>
      <c r="R22" s="86" t="s">
        <v>1563</v>
      </c>
      <c r="S22" s="86" t="str">
        <f>IFERROR(VLOOKUP($B22,'LISTA - Atual'!$B$1:$I$444,8,0),"Novo")</f>
        <v>N</v>
      </c>
      <c r="T22" s="86" t="str">
        <f t="shared" si="3"/>
        <v>Igual</v>
      </c>
      <c r="U22" s="86" t="s">
        <v>1563</v>
      </c>
      <c r="V22" s="86" t="s">
        <v>11</v>
      </c>
      <c r="W22" s="87" t="str">
        <f>IFERROR(VLOOKUP(B22,#REF!,11,0),"n/a")</f>
        <v>n/a</v>
      </c>
      <c r="X22" s="87" t="str">
        <f>IFERROR(VLOOKUP(B22,#REF!,8,0),"n/a")</f>
        <v>n/a</v>
      </c>
      <c r="Y22" s="87" t="str">
        <f t="shared" si="9"/>
        <v>ESTR</v>
      </c>
      <c r="Z22" s="131" t="s">
        <v>1605</v>
      </c>
      <c r="AA22" s="227" t="e">
        <f>VLOOKUP(Table1[[#This Row],[CONCAT]],'Campos Resumo Prop2.0'!A:H,8,0)</f>
        <v>#N/A</v>
      </c>
      <c r="AB22" s="87" t="s">
        <v>1654</v>
      </c>
      <c r="AC22" s="135" t="s">
        <v>1625</v>
      </c>
      <c r="AD22" s="91">
        <f>INDEX(Auxiliar!$D$5:$I$10,MATCH('LISTA - Setembro2024'!AD$3,Auxiliar!$B$5:$B$10,0),MATCH('LISTA - Setembro2024'!$AC22,Auxiliar!$D$4:$I$4,0))</f>
        <v>0</v>
      </c>
      <c r="AE22" s="91">
        <f>INDEX(Auxiliar!$D$5:$I$10,MATCH('LISTA - Setembro2024'!AE$3,Auxiliar!$B$5:$B$10,0),MATCH('LISTA - Setembro2024'!$AC22,Auxiliar!$D$4:$I$4,0))</f>
        <v>0</v>
      </c>
      <c r="AF22" s="87">
        <f>INDEX(Auxiliar!$D$5:$I$10,MATCH('LISTA - Setembro2024'!AF$3,Auxiliar!$B$5:$B$10,0),MATCH('LISTA - Setembro2024'!$AC22,Auxiliar!$D$4:$I$4,0))</f>
        <v>0</v>
      </c>
      <c r="AG22" s="87" t="str">
        <f t="shared" si="4"/>
        <v>n.a.</v>
      </c>
      <c r="AH22" s="87">
        <f>INDEX(Auxiliar!$D$5:$I$10,MATCH('LISTA - Setembro2024'!AH$3,Auxiliar!$B$5:$B$10,0),MATCH('LISTA - Setembro2024'!$AG22,Auxiliar!$D$4:$I$4,0))</f>
        <v>0</v>
      </c>
      <c r="AI22" s="87">
        <f>INDEX(Auxiliar!$D$5:$I$10,MATCH('LISTA - Setembro2024'!AI$3,Auxiliar!$B$5:$B$10,0),MATCH('LISTA - Setembro2024'!$AC22,Auxiliar!$D$4:$I$4,0))</f>
        <v>0</v>
      </c>
      <c r="AJ22" s="87">
        <f>INDEX(Auxiliar!$D$5:$I$10,MATCH('LISTA - Setembro2024'!AJ$3,Auxiliar!$B$5:$B$10,0),MATCH('LISTA - Setembro2024'!$AC22,Auxiliar!$D$4:$I$4,0))</f>
        <v>0</v>
      </c>
      <c r="AK22" s="160">
        <f t="shared" si="5"/>
        <v>0</v>
      </c>
      <c r="AL22" s="87"/>
    </row>
    <row r="23" spans="1:38" ht="13.8" x14ac:dyDescent="0.25">
      <c r="A23" s="158" t="s">
        <v>70</v>
      </c>
      <c r="B23" s="81" t="str">
        <f t="shared" si="6"/>
        <v>ENTITY_DCSD</v>
      </c>
      <c r="C23" s="82" t="s">
        <v>10</v>
      </c>
      <c r="D23" s="83" t="s">
        <v>71</v>
      </c>
      <c r="E23" s="84" t="s">
        <v>72</v>
      </c>
      <c r="F23" s="85" t="s">
        <v>13</v>
      </c>
      <c r="G23" s="85" t="s">
        <v>11</v>
      </c>
      <c r="H23" s="85" t="s">
        <v>11</v>
      </c>
      <c r="I23" s="85" t="s">
        <v>11</v>
      </c>
      <c r="J23" s="85" t="s">
        <v>11</v>
      </c>
      <c r="K23" s="85" t="s">
        <v>11</v>
      </c>
      <c r="L23" s="86" t="str">
        <f>IFERROR(VLOOKUP($B23,'LISTA - Atual'!$B$1:$I$444,5,0),"Novo")</f>
        <v>Y</v>
      </c>
      <c r="M23" s="86" t="str">
        <f t="shared" si="0"/>
        <v>Igual</v>
      </c>
      <c r="N23" s="86" t="str">
        <f>IFERROR(VLOOKUP($B23,'LISTA - Atual'!$B$1:$I$444,6,0),"Novo")</f>
        <v>N</v>
      </c>
      <c r="O23" s="86" t="str">
        <f t="shared" si="1"/>
        <v>Igual</v>
      </c>
      <c r="P23" s="86" t="str">
        <f>IFERROR(VLOOKUP($B23,'LISTA - Atual'!$B$1:$I$444,7,0),"Novo")</f>
        <v>N</v>
      </c>
      <c r="Q23" s="86" t="str">
        <f t="shared" si="2"/>
        <v>Igual</v>
      </c>
      <c r="R23" s="86" t="s">
        <v>1563</v>
      </c>
      <c r="S23" s="86" t="str">
        <f>IFERROR(VLOOKUP($B23,'LISTA - Atual'!$B$1:$I$444,8,0),"Novo")</f>
        <v>N</v>
      </c>
      <c r="T23" s="86" t="str">
        <f t="shared" si="3"/>
        <v>Igual</v>
      </c>
      <c r="U23" s="86" t="s">
        <v>1563</v>
      </c>
      <c r="V23" s="86" t="s">
        <v>11</v>
      </c>
      <c r="W23" s="87" t="str">
        <f>IFERROR(VLOOKUP(B23,#REF!,11,0),"n/a")</f>
        <v>n/a</v>
      </c>
      <c r="X23" s="87" t="str">
        <f>IFERROR(VLOOKUP(B23,#REF!,8,0),"n/a")</f>
        <v>n/a</v>
      </c>
      <c r="Y23" s="87" t="str">
        <f t="shared" si="9"/>
        <v>ESTR</v>
      </c>
      <c r="Z23" s="131" t="s">
        <v>1605</v>
      </c>
      <c r="AA23" s="227" t="e">
        <f>VLOOKUP(Table1[[#This Row],[CONCAT]],'Campos Resumo Prop2.0'!A:H,8,0)</f>
        <v>#N/A</v>
      </c>
      <c r="AB23" s="87" t="s">
        <v>1654</v>
      </c>
      <c r="AC23" s="135" t="s">
        <v>1625</v>
      </c>
      <c r="AD23" s="91">
        <f>INDEX(Auxiliar!$D$5:$I$10,MATCH('LISTA - Setembro2024'!AD$3,Auxiliar!$B$5:$B$10,0),MATCH('LISTA - Setembro2024'!$AC23,Auxiliar!$D$4:$I$4,0))</f>
        <v>0</v>
      </c>
      <c r="AE23" s="91">
        <f>INDEX(Auxiliar!$D$5:$I$10,MATCH('LISTA - Setembro2024'!AE$3,Auxiliar!$B$5:$B$10,0),MATCH('LISTA - Setembro2024'!$AC23,Auxiliar!$D$4:$I$4,0))</f>
        <v>0</v>
      </c>
      <c r="AF23" s="87">
        <f>INDEX(Auxiliar!$D$5:$I$10,MATCH('LISTA - Setembro2024'!AF$3,Auxiliar!$B$5:$B$10,0),MATCH('LISTA - Setembro2024'!$AC23,Auxiliar!$D$4:$I$4,0))</f>
        <v>0</v>
      </c>
      <c r="AG23" s="87" t="str">
        <f t="shared" si="4"/>
        <v>n.a.</v>
      </c>
      <c r="AH23" s="87">
        <f>INDEX(Auxiliar!$D$5:$I$10,MATCH('LISTA - Setembro2024'!AH$3,Auxiliar!$B$5:$B$10,0),MATCH('LISTA - Setembro2024'!$AG23,Auxiliar!$D$4:$I$4,0))</f>
        <v>0</v>
      </c>
      <c r="AI23" s="87">
        <f>INDEX(Auxiliar!$D$5:$I$10,MATCH('LISTA - Setembro2024'!AI$3,Auxiliar!$B$5:$B$10,0),MATCH('LISTA - Setembro2024'!$AC23,Auxiliar!$D$4:$I$4,0))</f>
        <v>0</v>
      </c>
      <c r="AJ23" s="87">
        <f>INDEX(Auxiliar!$D$5:$I$10,MATCH('LISTA - Setembro2024'!AJ$3,Auxiliar!$B$5:$B$10,0),MATCH('LISTA - Setembro2024'!$AC23,Auxiliar!$D$4:$I$4,0))</f>
        <v>0</v>
      </c>
      <c r="AK23" s="160">
        <f t="shared" si="5"/>
        <v>0</v>
      </c>
      <c r="AL23" s="87"/>
    </row>
    <row r="24" spans="1:38" ht="13.8" x14ac:dyDescent="0.25">
      <c r="A24" s="158" t="s">
        <v>73</v>
      </c>
      <c r="B24" s="81" t="str">
        <f t="shared" si="6"/>
        <v>ENTITY_DFLT_STTS</v>
      </c>
      <c r="C24" s="82" t="s">
        <v>10</v>
      </c>
      <c r="D24" s="83" t="s">
        <v>74</v>
      </c>
      <c r="E24" s="84" t="s">
        <v>75</v>
      </c>
      <c r="F24" s="85" t="s">
        <v>13</v>
      </c>
      <c r="G24" s="85" t="s">
        <v>11</v>
      </c>
      <c r="H24" s="85" t="s">
        <v>11</v>
      </c>
      <c r="I24" s="85" t="s">
        <v>11</v>
      </c>
      <c r="J24" s="85" t="s">
        <v>11</v>
      </c>
      <c r="K24" s="85" t="s">
        <v>13</v>
      </c>
      <c r="L24" s="86" t="str">
        <f>IFERROR(VLOOKUP($B24,'LISTA - Atual'!$B$1:$I$444,5,0),"Novo")</f>
        <v>Y</v>
      </c>
      <c r="M24" s="86" t="str">
        <f t="shared" si="0"/>
        <v>Igual</v>
      </c>
      <c r="N24" s="86" t="str">
        <f>IFERROR(VLOOKUP($B24,'LISTA - Atual'!$B$1:$I$444,6,0),"Novo")</f>
        <v>N</v>
      </c>
      <c r="O24" s="86" t="str">
        <f t="shared" si="1"/>
        <v>Igual</v>
      </c>
      <c r="P24" s="86" t="str">
        <f>IFERROR(VLOOKUP($B24,'LISTA - Atual'!$B$1:$I$444,7,0),"Novo")</f>
        <v>N</v>
      </c>
      <c r="Q24" s="86" t="str">
        <f t="shared" si="2"/>
        <v>Igual</v>
      </c>
      <c r="R24" s="86" t="s">
        <v>1563</v>
      </c>
      <c r="S24" s="86" t="str">
        <f>IFERROR(VLOOKUP($B24,'LISTA - Atual'!$B$1:$I$444,8,0),"Novo")</f>
        <v>N</v>
      </c>
      <c r="T24" s="86" t="str">
        <f t="shared" si="3"/>
        <v>Igual</v>
      </c>
      <c r="U24" s="86" t="s">
        <v>1563</v>
      </c>
      <c r="V24" s="86" t="s">
        <v>11</v>
      </c>
      <c r="W24" s="87" t="str">
        <f>IFERROR(VLOOKUP(B24,#REF!,11,0),"n/a")</f>
        <v>n/a</v>
      </c>
      <c r="X24" s="87" t="str">
        <f>IFERROR(VLOOKUP(B24,#REF!,8,0),"n/a")</f>
        <v>n/a</v>
      </c>
      <c r="Y24" s="87" t="str">
        <f t="shared" si="9"/>
        <v>ESTR</v>
      </c>
      <c r="Z24" s="131" t="s">
        <v>1605</v>
      </c>
      <c r="AA24" s="227" t="e">
        <f>VLOOKUP(Table1[[#This Row],[CONCAT]],'Campos Resumo Prop2.0'!A:H,8,0)</f>
        <v>#N/A</v>
      </c>
      <c r="AB24" s="87" t="s">
        <v>1650</v>
      </c>
      <c r="AC24" s="135" t="s">
        <v>1625</v>
      </c>
      <c r="AD24" s="91">
        <f>INDEX(Auxiliar!$D$5:$I$10,MATCH('LISTA - Setembro2024'!AD$3,Auxiliar!$B$5:$B$10,0),MATCH('LISTA - Setembro2024'!$AC24,Auxiliar!$D$4:$I$4,0))</f>
        <v>0</v>
      </c>
      <c r="AE24" s="91">
        <f>INDEX(Auxiliar!$D$5:$I$10,MATCH('LISTA - Setembro2024'!AE$3,Auxiliar!$B$5:$B$10,0),MATCH('LISTA - Setembro2024'!$AC24,Auxiliar!$D$4:$I$4,0))</f>
        <v>0</v>
      </c>
      <c r="AF24" s="87">
        <f>INDEX(Auxiliar!$D$5:$I$10,MATCH('LISTA - Setembro2024'!AF$3,Auxiliar!$B$5:$B$10,0),MATCH('LISTA - Setembro2024'!$AC24,Auxiliar!$D$4:$I$4,0))</f>
        <v>0</v>
      </c>
      <c r="AG24" s="87" t="str">
        <f t="shared" si="4"/>
        <v>n.a.</v>
      </c>
      <c r="AH24" s="87">
        <f>INDEX(Auxiliar!$D$5:$I$10,MATCH('LISTA - Setembro2024'!AH$3,Auxiliar!$B$5:$B$10,0),MATCH('LISTA - Setembro2024'!$AG24,Auxiliar!$D$4:$I$4,0))</f>
        <v>0</v>
      </c>
      <c r="AI24" s="87">
        <f>INDEX(Auxiliar!$D$5:$I$10,MATCH('LISTA - Setembro2024'!AI$3,Auxiliar!$B$5:$B$10,0),MATCH('LISTA - Setembro2024'!$AC24,Auxiliar!$D$4:$I$4,0))</f>
        <v>0</v>
      </c>
      <c r="AJ24" s="87">
        <f>INDEX(Auxiliar!$D$5:$I$10,MATCH('LISTA - Setembro2024'!AJ$3,Auxiliar!$B$5:$B$10,0),MATCH('LISTA - Setembro2024'!$AC24,Auxiliar!$D$4:$I$4,0))</f>
        <v>0</v>
      </c>
      <c r="AK24" s="160">
        <f t="shared" si="5"/>
        <v>0</v>
      </c>
      <c r="AL24" s="87" t="s">
        <v>1692</v>
      </c>
    </row>
    <row r="25" spans="1:38" ht="13.8" x14ac:dyDescent="0.25">
      <c r="A25" s="158" t="s">
        <v>76</v>
      </c>
      <c r="B25" s="81" t="str">
        <f t="shared" si="6"/>
        <v>ENTITY_DT_EXTRNL_RTNG</v>
      </c>
      <c r="C25" s="82" t="s">
        <v>10</v>
      </c>
      <c r="D25" s="83" t="s">
        <v>77</v>
      </c>
      <c r="E25" s="84" t="s">
        <v>78</v>
      </c>
      <c r="F25" s="85" t="s">
        <v>13</v>
      </c>
      <c r="G25" s="85" t="s">
        <v>11</v>
      </c>
      <c r="H25" s="85" t="s">
        <v>11</v>
      </c>
      <c r="I25" s="85" t="s">
        <v>11</v>
      </c>
      <c r="J25" s="85" t="s">
        <v>11</v>
      </c>
      <c r="K25" s="85" t="s">
        <v>13</v>
      </c>
      <c r="L25" s="86" t="str">
        <f>IFERROR(VLOOKUP($B25,'LISTA - Atual'!$B$1:$I$444,5,0),"Novo")</f>
        <v>Y</v>
      </c>
      <c r="M25" s="86" t="str">
        <f t="shared" si="0"/>
        <v>Igual</v>
      </c>
      <c r="N25" s="86" t="str">
        <f>IFERROR(VLOOKUP($B25,'LISTA - Atual'!$B$1:$I$444,6,0),"Novo")</f>
        <v>N</v>
      </c>
      <c r="O25" s="86" t="str">
        <f t="shared" si="1"/>
        <v>Igual</v>
      </c>
      <c r="P25" s="86" t="str">
        <f>IFERROR(VLOOKUP($B25,'LISTA - Atual'!$B$1:$I$444,7,0),"Novo")</f>
        <v>N</v>
      </c>
      <c r="Q25" s="86" t="str">
        <f t="shared" si="2"/>
        <v>Igual</v>
      </c>
      <c r="R25" s="86" t="s">
        <v>1563</v>
      </c>
      <c r="S25" s="86" t="str">
        <f>IFERROR(VLOOKUP($B25,'LISTA - Atual'!$B$1:$I$444,8,0),"Novo")</f>
        <v>N</v>
      </c>
      <c r="T25" s="86" t="str">
        <f t="shared" si="3"/>
        <v>Igual</v>
      </c>
      <c r="U25" s="86" t="s">
        <v>1563</v>
      </c>
      <c r="V25" s="86" t="s">
        <v>11</v>
      </c>
      <c r="W25" s="87" t="str">
        <f>IFERROR(VLOOKUP(B25,#REF!,11,0),"n/a")</f>
        <v>n/a</v>
      </c>
      <c r="X25" s="88" t="str">
        <f>IFERROR(VLOOKUP(B25,#REF!,8,0),"n/a")</f>
        <v>n/a</v>
      </c>
      <c r="Y25" s="87" t="str">
        <f t="shared" si="9"/>
        <v>ESTR</v>
      </c>
      <c r="Z25" s="131" t="s">
        <v>1605</v>
      </c>
      <c r="AA25" s="227" t="e">
        <f>VLOOKUP(Table1[[#This Row],[CONCAT]],'Campos Resumo Prop2.0'!A:H,8,0)</f>
        <v>#N/A</v>
      </c>
      <c r="AB25" s="87" t="s">
        <v>1651</v>
      </c>
      <c r="AC25" s="135" t="s">
        <v>1625</v>
      </c>
      <c r="AD25" s="91">
        <f>INDEX(Auxiliar!$D$5:$I$10,MATCH('LISTA - Setembro2024'!AD$3,Auxiliar!$B$5:$B$10,0),MATCH('LISTA - Setembro2024'!$AC25,Auxiliar!$D$4:$I$4,0))</f>
        <v>0</v>
      </c>
      <c r="AE25" s="91">
        <f>INDEX(Auxiliar!$D$5:$I$10,MATCH('LISTA - Setembro2024'!AE$3,Auxiliar!$B$5:$B$10,0),MATCH('LISTA - Setembro2024'!$AC25,Auxiliar!$D$4:$I$4,0))</f>
        <v>0</v>
      </c>
      <c r="AF25" s="87">
        <f>INDEX(Auxiliar!$D$5:$I$10,MATCH('LISTA - Setembro2024'!AF$3,Auxiliar!$B$5:$B$10,0),MATCH('LISTA - Setembro2024'!$AC25,Auxiliar!$D$4:$I$4,0))</f>
        <v>0</v>
      </c>
      <c r="AG25" s="87" t="str">
        <f t="shared" si="4"/>
        <v>n.a.</v>
      </c>
      <c r="AH25" s="87">
        <f>INDEX(Auxiliar!$D$5:$I$10,MATCH('LISTA - Setembro2024'!AH$3,Auxiliar!$B$5:$B$10,0),MATCH('LISTA - Setembro2024'!$AG25,Auxiliar!$D$4:$I$4,0))</f>
        <v>0</v>
      </c>
      <c r="AI25" s="87">
        <f>INDEX(Auxiliar!$D$5:$I$10,MATCH('LISTA - Setembro2024'!AI$3,Auxiliar!$B$5:$B$10,0),MATCH('LISTA - Setembro2024'!$AC25,Auxiliar!$D$4:$I$4,0))</f>
        <v>0</v>
      </c>
      <c r="AJ25" s="87">
        <f>INDEX(Auxiliar!$D$5:$I$10,MATCH('LISTA - Setembro2024'!AJ$3,Auxiliar!$B$5:$B$10,0),MATCH('LISTA - Setembro2024'!$AC25,Auxiliar!$D$4:$I$4,0))</f>
        <v>0</v>
      </c>
      <c r="AK25" s="160">
        <f t="shared" si="5"/>
        <v>0</v>
      </c>
      <c r="AL25" s="87" t="s">
        <v>1678</v>
      </c>
    </row>
    <row r="26" spans="1:38" ht="13.8" x14ac:dyDescent="0.25">
      <c r="A26" s="158" t="s">
        <v>79</v>
      </c>
      <c r="B26" s="81" t="str">
        <f t="shared" si="6"/>
        <v>ENTITY_DT_INTRNL_RTNG</v>
      </c>
      <c r="C26" s="82" t="s">
        <v>10</v>
      </c>
      <c r="D26" s="83" t="s">
        <v>80</v>
      </c>
      <c r="E26" s="84" t="s">
        <v>81</v>
      </c>
      <c r="F26" s="85" t="s">
        <v>13</v>
      </c>
      <c r="G26" s="85" t="s">
        <v>11</v>
      </c>
      <c r="H26" s="85" t="s">
        <v>11</v>
      </c>
      <c r="I26" s="85" t="s">
        <v>11</v>
      </c>
      <c r="J26" s="85" t="s">
        <v>11</v>
      </c>
      <c r="K26" s="85" t="s">
        <v>13</v>
      </c>
      <c r="L26" s="86" t="str">
        <f>IFERROR(VLOOKUP($B26,'LISTA - Atual'!$B$1:$I$444,5,0),"Novo")</f>
        <v>Y</v>
      </c>
      <c r="M26" s="86" t="str">
        <f t="shared" si="0"/>
        <v>Igual</v>
      </c>
      <c r="N26" s="86" t="str">
        <f>IFERROR(VLOOKUP($B26,'LISTA - Atual'!$B$1:$I$444,6,0),"Novo")</f>
        <v>N</v>
      </c>
      <c r="O26" s="86" t="str">
        <f t="shared" si="1"/>
        <v>Igual</v>
      </c>
      <c r="P26" s="86" t="str">
        <f>IFERROR(VLOOKUP($B26,'LISTA - Atual'!$B$1:$I$444,7,0),"Novo")</f>
        <v>N</v>
      </c>
      <c r="Q26" s="86" t="str">
        <f t="shared" si="2"/>
        <v>Igual</v>
      </c>
      <c r="R26" s="86" t="s">
        <v>1563</v>
      </c>
      <c r="S26" s="86" t="str">
        <f>IFERROR(VLOOKUP($B26,'LISTA - Atual'!$B$1:$I$444,8,0),"Novo")</f>
        <v>N</v>
      </c>
      <c r="T26" s="86" t="str">
        <f t="shared" si="3"/>
        <v>Igual</v>
      </c>
      <c r="U26" s="86" t="s">
        <v>1563</v>
      </c>
      <c r="V26" s="86" t="s">
        <v>11</v>
      </c>
      <c r="W26" s="87" t="str">
        <f>IFERROR(VLOOKUP(B26,#REF!,11,0),"n/a")</f>
        <v>n/a</v>
      </c>
      <c r="X26" s="87" t="str">
        <f>IFERROR(VLOOKUP(B26,#REF!,8,0),"n/a")</f>
        <v>n/a</v>
      </c>
      <c r="Y26" s="87" t="str">
        <f t="shared" si="9"/>
        <v>ESTR</v>
      </c>
      <c r="Z26" s="131" t="s">
        <v>1605</v>
      </c>
      <c r="AA26" s="227" t="e">
        <f>VLOOKUP(Table1[[#This Row],[CONCAT]],'Campos Resumo Prop2.0'!A:H,8,0)</f>
        <v>#N/A</v>
      </c>
      <c r="AB26" s="87" t="s">
        <v>1651</v>
      </c>
      <c r="AC26" s="135" t="s">
        <v>1625</v>
      </c>
      <c r="AD26" s="135">
        <v>1</v>
      </c>
      <c r="AE26" s="91">
        <f>INDEX(Auxiliar!$D$5:$I$10,MATCH('LISTA - Setembro2024'!AE$3,Auxiliar!$B$5:$B$10,0),MATCH('LISTA - Setembro2024'!$AC26,Auxiliar!$D$4:$I$4,0))</f>
        <v>0</v>
      </c>
      <c r="AF26" s="87">
        <f>INDEX(Auxiliar!$D$5:$I$10,MATCH('LISTA - Setembro2024'!AF$3,Auxiliar!$B$5:$B$10,0),MATCH('LISTA - Setembro2024'!$AC26,Auxiliar!$D$4:$I$4,0))</f>
        <v>0</v>
      </c>
      <c r="AG26" s="87" t="str">
        <f t="shared" si="4"/>
        <v>n.a.</v>
      </c>
      <c r="AH26" s="87">
        <f>INDEX(Auxiliar!$D$5:$I$10,MATCH('LISTA - Setembro2024'!AH$3,Auxiliar!$B$5:$B$10,0),MATCH('LISTA - Setembro2024'!$AG26,Auxiliar!$D$4:$I$4,0))</f>
        <v>0</v>
      </c>
      <c r="AI26" s="87">
        <f>INDEX(Auxiliar!$D$5:$I$10,MATCH('LISTA - Setembro2024'!AI$3,Auxiliar!$B$5:$B$10,0),MATCH('LISTA - Setembro2024'!$AC26,Auxiliar!$D$4:$I$4,0))</f>
        <v>0</v>
      </c>
      <c r="AJ26" s="87">
        <f>INDEX(Auxiliar!$D$5:$I$10,MATCH('LISTA - Setembro2024'!AJ$3,Auxiliar!$B$5:$B$10,0),MATCH('LISTA - Setembro2024'!$AC26,Auxiliar!$D$4:$I$4,0))</f>
        <v>0</v>
      </c>
      <c r="AK26" s="160">
        <f t="shared" si="5"/>
        <v>0</v>
      </c>
      <c r="AL26" s="87" t="s">
        <v>1685</v>
      </c>
    </row>
    <row r="27" spans="1:38" ht="13.8" x14ac:dyDescent="0.25">
      <c r="A27" s="158" t="s">
        <v>82</v>
      </c>
      <c r="B27" s="81" t="str">
        <f t="shared" si="6"/>
        <v>ENTITY_ECNMC_ACTVTY</v>
      </c>
      <c r="C27" s="82" t="s">
        <v>10</v>
      </c>
      <c r="D27" s="83" t="s">
        <v>83</v>
      </c>
      <c r="E27" s="84" t="s">
        <v>84</v>
      </c>
      <c r="F27" s="85" t="s">
        <v>13</v>
      </c>
      <c r="G27" s="85" t="s">
        <v>11</v>
      </c>
      <c r="H27" s="85" t="s">
        <v>13</v>
      </c>
      <c r="I27" s="85" t="s">
        <v>11</v>
      </c>
      <c r="J27" s="85" t="s">
        <v>13</v>
      </c>
      <c r="K27" s="85" t="s">
        <v>13</v>
      </c>
      <c r="L27" s="86" t="str">
        <f>IFERROR(VLOOKUP($B27,'LISTA - Atual'!$B$1:$I$444,5,0),"Novo")</f>
        <v>Y</v>
      </c>
      <c r="M27" s="86" t="str">
        <f t="shared" si="0"/>
        <v>Igual</v>
      </c>
      <c r="N27" s="86" t="str">
        <f>IFERROR(VLOOKUP($B27,'LISTA - Atual'!$B$1:$I$444,6,0),"Novo")</f>
        <v>N</v>
      </c>
      <c r="O27" s="86" t="str">
        <f t="shared" si="1"/>
        <v>Igual</v>
      </c>
      <c r="P27" s="86" t="str">
        <f>IFERROR(VLOOKUP($B27,'LISTA - Atual'!$B$1:$I$444,7,0),"Novo")</f>
        <v>Y</v>
      </c>
      <c r="Q27" s="86" t="str">
        <f t="shared" si="2"/>
        <v>Igual</v>
      </c>
      <c r="R27" s="86" t="s">
        <v>1563</v>
      </c>
      <c r="S27" s="86" t="str">
        <f>IFERROR(VLOOKUP($B27,'LISTA - Atual'!$B$1:$I$444,8,0),"Novo")</f>
        <v>Y</v>
      </c>
      <c r="T27" s="86" t="str">
        <f t="shared" si="3"/>
        <v>Igual</v>
      </c>
      <c r="U27" s="86" t="s">
        <v>1563</v>
      </c>
      <c r="V27" s="86" t="s">
        <v>11</v>
      </c>
      <c r="W27" s="87" t="str">
        <f>IFERROR(VLOOKUP(B27,#REF!,11,0),"n/a")</f>
        <v>n/a</v>
      </c>
      <c r="X27" s="87" t="str">
        <f>IFERROR(VLOOKUP(B27,#REF!,8,0),"n/a")</f>
        <v>n/a</v>
      </c>
      <c r="Y27" s="87" t="str">
        <f>$F$2&amp;$Y$1&amp;$H$2</f>
        <v>ESTR &amp; PILAR3</v>
      </c>
      <c r="Z27" s="131" t="s">
        <v>1605</v>
      </c>
      <c r="AA27" s="227" t="e">
        <f>VLOOKUP(Table1[[#This Row],[CONCAT]],'Campos Resumo Prop2.0'!A:H,8,0)</f>
        <v>#N/A</v>
      </c>
      <c r="AB27" s="87" t="s">
        <v>1650</v>
      </c>
      <c r="AC27" s="135" t="s">
        <v>1625</v>
      </c>
      <c r="AD27" s="91">
        <f>INDEX(Auxiliar!$D$5:$I$10,MATCH('LISTA - Setembro2024'!AD$3,Auxiliar!$B$5:$B$10,0),MATCH('LISTA - Setembro2024'!$AC27,Auxiliar!$D$4:$I$4,0))</f>
        <v>0</v>
      </c>
      <c r="AE27" s="91">
        <f>INDEX(Auxiliar!$D$5:$I$10,MATCH('LISTA - Setembro2024'!AE$3,Auxiliar!$B$5:$B$10,0),MATCH('LISTA - Setembro2024'!$AC27,Auxiliar!$D$4:$I$4,0))</f>
        <v>0</v>
      </c>
      <c r="AF27" s="87">
        <f>INDEX(Auxiliar!$D$5:$I$10,MATCH('LISTA - Setembro2024'!AF$3,Auxiliar!$B$5:$B$10,0),MATCH('LISTA - Setembro2024'!$AC27,Auxiliar!$D$4:$I$4,0))</f>
        <v>0</v>
      </c>
      <c r="AG27" s="87" t="str">
        <f t="shared" si="4"/>
        <v>n.a.</v>
      </c>
      <c r="AH27" s="87">
        <f>INDEX(Auxiliar!$D$5:$I$10,MATCH('LISTA - Setembro2024'!AH$3,Auxiliar!$B$5:$B$10,0),MATCH('LISTA - Setembro2024'!$AG27,Auxiliar!$D$4:$I$4,0))</f>
        <v>0</v>
      </c>
      <c r="AI27" s="87">
        <f>INDEX(Auxiliar!$D$5:$I$10,MATCH('LISTA - Setembro2024'!AI$3,Auxiliar!$B$5:$B$10,0),MATCH('LISTA - Setembro2024'!$AC27,Auxiliar!$D$4:$I$4,0))</f>
        <v>0</v>
      </c>
      <c r="AJ27" s="87">
        <f>INDEX(Auxiliar!$D$5:$I$10,MATCH('LISTA - Setembro2024'!AJ$3,Auxiliar!$B$5:$B$10,0),MATCH('LISTA - Setembro2024'!$AC27,Auxiliar!$D$4:$I$4,0))</f>
        <v>0</v>
      </c>
      <c r="AK27" s="160">
        <f t="shared" si="5"/>
        <v>0</v>
      </c>
      <c r="AL27" s="87"/>
    </row>
    <row r="28" spans="1:38" ht="13.8" x14ac:dyDescent="0.25">
      <c r="A28" s="158" t="s">
        <v>85</v>
      </c>
      <c r="B28" s="81" t="str">
        <f t="shared" si="6"/>
        <v>ENTITY_EMPLYMNT_STTS_INTRNL</v>
      </c>
      <c r="C28" s="82" t="s">
        <v>10</v>
      </c>
      <c r="D28" s="83" t="s">
        <v>86</v>
      </c>
      <c r="E28" s="84" t="s">
        <v>87</v>
      </c>
      <c r="F28" s="85" t="s">
        <v>13</v>
      </c>
      <c r="G28" s="85" t="s">
        <v>11</v>
      </c>
      <c r="H28" s="85" t="s">
        <v>11</v>
      </c>
      <c r="I28" s="85" t="s">
        <v>11</v>
      </c>
      <c r="J28" s="85" t="s">
        <v>11</v>
      </c>
      <c r="K28" s="85" t="s">
        <v>11</v>
      </c>
      <c r="L28" s="86" t="str">
        <f>IFERROR(VLOOKUP($B28,'LISTA - Atual'!$B$1:$I$444,5,0),"Novo")</f>
        <v>Y</v>
      </c>
      <c r="M28" s="86" t="str">
        <f t="shared" si="0"/>
        <v>Igual</v>
      </c>
      <c r="N28" s="86" t="str">
        <f>IFERROR(VLOOKUP($B28,'LISTA - Atual'!$B$1:$I$444,6,0),"Novo")</f>
        <v>N</v>
      </c>
      <c r="O28" s="86" t="str">
        <f t="shared" si="1"/>
        <v>Igual</v>
      </c>
      <c r="P28" s="86" t="str">
        <f>IFERROR(VLOOKUP($B28,'LISTA - Atual'!$B$1:$I$444,7,0),"Novo")</f>
        <v>N</v>
      </c>
      <c r="Q28" s="86" t="str">
        <f t="shared" si="2"/>
        <v>Igual</v>
      </c>
      <c r="R28" s="86" t="s">
        <v>1563</v>
      </c>
      <c r="S28" s="86" t="str">
        <f>IFERROR(VLOOKUP($B28,'LISTA - Atual'!$B$1:$I$444,8,0),"Novo")</f>
        <v>N</v>
      </c>
      <c r="T28" s="86" t="str">
        <f t="shared" si="3"/>
        <v>Igual</v>
      </c>
      <c r="U28" s="86" t="s">
        <v>1563</v>
      </c>
      <c r="V28" s="86" t="s">
        <v>11</v>
      </c>
      <c r="W28" s="87" t="str">
        <f>IFERROR(VLOOKUP(B28,#REF!,11,0),"n/a")</f>
        <v>n/a</v>
      </c>
      <c r="X28" s="87" t="str">
        <f>IFERROR(VLOOKUP(B28,#REF!,8,0),"n/a")</f>
        <v>n/a</v>
      </c>
      <c r="Y28" s="87" t="str">
        <f t="shared" ref="Y28:Y51" si="10">$F$2</f>
        <v>ESTR</v>
      </c>
      <c r="Z28" s="131" t="s">
        <v>1605</v>
      </c>
      <c r="AA28" s="227" t="e">
        <f>VLOOKUP(Table1[[#This Row],[CONCAT]],'Campos Resumo Prop2.0'!A:H,8,0)</f>
        <v>#N/A</v>
      </c>
      <c r="AB28" s="87" t="s">
        <v>1652</v>
      </c>
      <c r="AC28" s="135" t="s">
        <v>1625</v>
      </c>
      <c r="AD28" s="91">
        <f>INDEX(Auxiliar!$D$5:$I$10,MATCH('LISTA - Setembro2024'!AD$3,Auxiliar!$B$5:$B$10,0),MATCH('LISTA - Setembro2024'!$AC28,Auxiliar!$D$4:$I$4,0))</f>
        <v>0</v>
      </c>
      <c r="AE28" s="91">
        <f>INDEX(Auxiliar!$D$5:$I$10,MATCH('LISTA - Setembro2024'!AE$3,Auxiliar!$B$5:$B$10,0),MATCH('LISTA - Setembro2024'!$AC28,Auxiliar!$D$4:$I$4,0))</f>
        <v>0</v>
      </c>
      <c r="AF28" s="87">
        <f>INDEX(Auxiliar!$D$5:$I$10,MATCH('LISTA - Setembro2024'!AF$3,Auxiliar!$B$5:$B$10,0),MATCH('LISTA - Setembro2024'!$AC28,Auxiliar!$D$4:$I$4,0))</f>
        <v>0</v>
      </c>
      <c r="AG28" s="87" t="str">
        <f t="shared" si="4"/>
        <v>n.a.</v>
      </c>
      <c r="AH28" s="87">
        <f>INDEX(Auxiliar!$D$5:$I$10,MATCH('LISTA - Setembro2024'!AH$3,Auxiliar!$B$5:$B$10,0),MATCH('LISTA - Setembro2024'!$AG28,Auxiliar!$D$4:$I$4,0))</f>
        <v>0</v>
      </c>
      <c r="AI28" s="87">
        <f>INDEX(Auxiliar!$D$5:$I$10,MATCH('LISTA - Setembro2024'!AI$3,Auxiliar!$B$5:$B$10,0),MATCH('LISTA - Setembro2024'!$AC28,Auxiliar!$D$4:$I$4,0))</f>
        <v>0</v>
      </c>
      <c r="AJ28" s="87">
        <f>INDEX(Auxiliar!$D$5:$I$10,MATCH('LISTA - Setembro2024'!AJ$3,Auxiliar!$B$5:$B$10,0),MATCH('LISTA - Setembro2024'!$AC28,Auxiliar!$D$4:$I$4,0))</f>
        <v>0</v>
      </c>
      <c r="AK28" s="160">
        <f t="shared" si="5"/>
        <v>0</v>
      </c>
      <c r="AL28" s="87"/>
    </row>
    <row r="29" spans="1:38" ht="13.8" x14ac:dyDescent="0.25">
      <c r="A29" s="158" t="s">
        <v>88</v>
      </c>
      <c r="B29" s="81" t="str">
        <f t="shared" si="6"/>
        <v>ENTITY_EMPLYMNT_STTS</v>
      </c>
      <c r="C29" s="82" t="s">
        <v>10</v>
      </c>
      <c r="D29" s="83" t="s">
        <v>89</v>
      </c>
      <c r="E29" s="84" t="s">
        <v>90</v>
      </c>
      <c r="F29" s="85" t="s">
        <v>13</v>
      </c>
      <c r="G29" s="85" t="s">
        <v>11</v>
      </c>
      <c r="H29" s="85" t="s">
        <v>11</v>
      </c>
      <c r="I29" s="85" t="s">
        <v>11</v>
      </c>
      <c r="J29" s="85" t="s">
        <v>11</v>
      </c>
      <c r="K29" s="85" t="s">
        <v>11</v>
      </c>
      <c r="L29" s="86" t="str">
        <f>IFERROR(VLOOKUP($B29,'LISTA - Atual'!$B$1:$I$444,5,0),"Novo")</f>
        <v>Y</v>
      </c>
      <c r="M29" s="86" t="str">
        <f t="shared" si="0"/>
        <v>Igual</v>
      </c>
      <c r="N29" s="86" t="str">
        <f>IFERROR(VLOOKUP($B29,'LISTA - Atual'!$B$1:$I$444,6,0),"Novo")</f>
        <v>N</v>
      </c>
      <c r="O29" s="86" t="str">
        <f t="shared" si="1"/>
        <v>Igual</v>
      </c>
      <c r="P29" s="86" t="str">
        <f>IFERROR(VLOOKUP($B29,'LISTA - Atual'!$B$1:$I$444,7,0),"Novo")</f>
        <v>N</v>
      </c>
      <c r="Q29" s="86" t="str">
        <f t="shared" si="2"/>
        <v>Igual</v>
      </c>
      <c r="R29" s="86" t="s">
        <v>1563</v>
      </c>
      <c r="S29" s="86" t="str">
        <f>IFERROR(VLOOKUP($B29,'LISTA - Atual'!$B$1:$I$444,8,0),"Novo")</f>
        <v>N</v>
      </c>
      <c r="T29" s="86" t="str">
        <f t="shared" si="3"/>
        <v>Igual</v>
      </c>
      <c r="U29" s="86" t="s">
        <v>1563</v>
      </c>
      <c r="V29" s="86" t="s">
        <v>11</v>
      </c>
      <c r="W29" s="87" t="str">
        <f>IFERROR(VLOOKUP(B29,#REF!,11,0),"n/a")</f>
        <v>n/a</v>
      </c>
      <c r="X29" s="87" t="str">
        <f>IFERROR(VLOOKUP(B29,#REF!,8,0),"n/a")</f>
        <v>n/a</v>
      </c>
      <c r="Y29" s="87" t="str">
        <f t="shared" si="10"/>
        <v>ESTR</v>
      </c>
      <c r="Z29" s="131" t="s">
        <v>1605</v>
      </c>
      <c r="AA29" s="227" t="e">
        <f>VLOOKUP(Table1[[#This Row],[CONCAT]],'Campos Resumo Prop2.0'!A:H,8,0)</f>
        <v>#N/A</v>
      </c>
      <c r="AB29" s="87" t="s">
        <v>1650</v>
      </c>
      <c r="AC29" s="135" t="s">
        <v>1625</v>
      </c>
      <c r="AD29" s="91">
        <f>INDEX(Auxiliar!$D$5:$I$10,MATCH('LISTA - Setembro2024'!AD$3,Auxiliar!$B$5:$B$10,0),MATCH('LISTA - Setembro2024'!$AC29,Auxiliar!$D$4:$I$4,0))</f>
        <v>0</v>
      </c>
      <c r="AE29" s="91">
        <f>INDEX(Auxiliar!$D$5:$I$10,MATCH('LISTA - Setembro2024'!AE$3,Auxiliar!$B$5:$B$10,0),MATCH('LISTA - Setembro2024'!$AC29,Auxiliar!$D$4:$I$4,0))</f>
        <v>0</v>
      </c>
      <c r="AF29" s="87">
        <f>INDEX(Auxiliar!$D$5:$I$10,MATCH('LISTA - Setembro2024'!AF$3,Auxiliar!$B$5:$B$10,0),MATCH('LISTA - Setembro2024'!$AC29,Auxiliar!$D$4:$I$4,0))</f>
        <v>0</v>
      </c>
      <c r="AG29" s="87" t="str">
        <f t="shared" si="4"/>
        <v>n.a.</v>
      </c>
      <c r="AH29" s="87">
        <f>INDEX(Auxiliar!$D$5:$I$10,MATCH('LISTA - Setembro2024'!AH$3,Auxiliar!$B$5:$B$10,0),MATCH('LISTA - Setembro2024'!$AG29,Auxiliar!$D$4:$I$4,0))</f>
        <v>0</v>
      </c>
      <c r="AI29" s="87">
        <f>INDEX(Auxiliar!$D$5:$I$10,MATCH('LISTA - Setembro2024'!AI$3,Auxiliar!$B$5:$B$10,0),MATCH('LISTA - Setembro2024'!$AC29,Auxiliar!$D$4:$I$4,0))</f>
        <v>0</v>
      </c>
      <c r="AJ29" s="87">
        <f>INDEX(Auxiliar!$D$5:$I$10,MATCH('LISTA - Setembro2024'!AJ$3,Auxiliar!$B$5:$B$10,0),MATCH('LISTA - Setembro2024'!$AC29,Auxiliar!$D$4:$I$4,0))</f>
        <v>0</v>
      </c>
      <c r="AK29" s="160">
        <f t="shared" si="5"/>
        <v>0</v>
      </c>
      <c r="AL29" s="87"/>
    </row>
    <row r="30" spans="1:38" ht="13.8" x14ac:dyDescent="0.25">
      <c r="A30" s="158" t="s">
        <v>91</v>
      </c>
      <c r="B30" s="81" t="str">
        <f t="shared" si="6"/>
        <v>ENTITY_ENTRPRS_SZ_LE</v>
      </c>
      <c r="C30" s="82" t="s">
        <v>10</v>
      </c>
      <c r="D30" s="83" t="s">
        <v>92</v>
      </c>
      <c r="E30" s="84" t="s">
        <v>93</v>
      </c>
      <c r="F30" s="85" t="s">
        <v>13</v>
      </c>
      <c r="G30" s="85" t="s">
        <v>11</v>
      </c>
      <c r="H30" s="85" t="s">
        <v>11</v>
      </c>
      <c r="I30" s="85" t="s">
        <v>11</v>
      </c>
      <c r="J30" s="85" t="s">
        <v>11</v>
      </c>
      <c r="K30" s="85" t="s">
        <v>11</v>
      </c>
      <c r="L30" s="86" t="str">
        <f>IFERROR(VLOOKUP($B30,'LISTA - Atual'!$B$1:$I$444,5,0),"Novo")</f>
        <v>Y</v>
      </c>
      <c r="M30" s="86" t="str">
        <f t="shared" si="0"/>
        <v>Igual</v>
      </c>
      <c r="N30" s="86" t="str">
        <f>IFERROR(VLOOKUP($B30,'LISTA - Atual'!$B$1:$I$444,6,0),"Novo")</f>
        <v>N</v>
      </c>
      <c r="O30" s="86" t="str">
        <f t="shared" si="1"/>
        <v>Igual</v>
      </c>
      <c r="P30" s="86" t="str">
        <f>IFERROR(VLOOKUP($B30,'LISTA - Atual'!$B$1:$I$444,7,0),"Novo")</f>
        <v>N</v>
      </c>
      <c r="Q30" s="86" t="str">
        <f t="shared" si="2"/>
        <v>Igual</v>
      </c>
      <c r="R30" s="86" t="s">
        <v>1563</v>
      </c>
      <c r="S30" s="86" t="str">
        <f>IFERROR(VLOOKUP($B30,'LISTA - Atual'!$B$1:$I$444,8,0),"Novo")</f>
        <v>N</v>
      </c>
      <c r="T30" s="86" t="str">
        <f t="shared" si="3"/>
        <v>Igual</v>
      </c>
      <c r="U30" s="86" t="s">
        <v>1563</v>
      </c>
      <c r="V30" s="86" t="s">
        <v>11</v>
      </c>
      <c r="W30" s="87" t="str">
        <f>IFERROR(VLOOKUP(B30,#REF!,11,0),"n/a")</f>
        <v>n/a</v>
      </c>
      <c r="X30" s="87" t="str">
        <f>IFERROR(VLOOKUP(B30,#REF!,8,0),"n/a")</f>
        <v>n/a</v>
      </c>
      <c r="Y30" s="87" t="str">
        <f t="shared" si="10"/>
        <v>ESTR</v>
      </c>
      <c r="Z30" s="131" t="s">
        <v>1605</v>
      </c>
      <c r="AA30" s="227" t="e">
        <f>VLOOKUP(Table1[[#This Row],[CONCAT]],'Campos Resumo Prop2.0'!A:H,8,0)</f>
        <v>#N/A</v>
      </c>
      <c r="AB30" s="87" t="s">
        <v>1650</v>
      </c>
      <c r="AC30" s="135" t="s">
        <v>1625</v>
      </c>
      <c r="AD30" s="91">
        <f>INDEX(Auxiliar!$D$5:$I$10,MATCH('LISTA - Setembro2024'!AD$3,Auxiliar!$B$5:$B$10,0),MATCH('LISTA - Setembro2024'!$AC30,Auxiliar!$D$4:$I$4,0))</f>
        <v>0</v>
      </c>
      <c r="AE30" s="91">
        <f>INDEX(Auxiliar!$D$5:$I$10,MATCH('LISTA - Setembro2024'!AE$3,Auxiliar!$B$5:$B$10,0),MATCH('LISTA - Setembro2024'!$AC30,Auxiliar!$D$4:$I$4,0))</f>
        <v>0</v>
      </c>
      <c r="AF30" s="87">
        <f>INDEX(Auxiliar!$D$5:$I$10,MATCH('LISTA - Setembro2024'!AF$3,Auxiliar!$B$5:$B$10,0),MATCH('LISTA - Setembro2024'!$AC30,Auxiliar!$D$4:$I$4,0))</f>
        <v>0</v>
      </c>
      <c r="AG30" s="87" t="str">
        <f t="shared" si="4"/>
        <v>n.a.</v>
      </c>
      <c r="AH30" s="87">
        <f>INDEX(Auxiliar!$D$5:$I$10,MATCH('LISTA - Setembro2024'!AH$3,Auxiliar!$B$5:$B$10,0),MATCH('LISTA - Setembro2024'!$AG30,Auxiliar!$D$4:$I$4,0))</f>
        <v>0</v>
      </c>
      <c r="AI30" s="87">
        <f>INDEX(Auxiliar!$D$5:$I$10,MATCH('LISTA - Setembro2024'!AI$3,Auxiliar!$B$5:$B$10,0),MATCH('LISTA - Setembro2024'!$AC30,Auxiliar!$D$4:$I$4,0))</f>
        <v>0</v>
      </c>
      <c r="AJ30" s="87">
        <f>INDEX(Auxiliar!$D$5:$I$10,MATCH('LISTA - Setembro2024'!AJ$3,Auxiliar!$B$5:$B$10,0),MATCH('LISTA - Setembro2024'!$AC30,Auxiliar!$D$4:$I$4,0))</f>
        <v>0</v>
      </c>
      <c r="AK30" s="160">
        <f t="shared" si="5"/>
        <v>0</v>
      </c>
      <c r="AL30" s="87"/>
    </row>
    <row r="31" spans="1:38" ht="13.8" x14ac:dyDescent="0.25">
      <c r="A31" s="158" t="s">
        <v>94</v>
      </c>
      <c r="B31" s="81" t="str">
        <f t="shared" si="6"/>
        <v>ENTITY_EXTRNL_RTNG</v>
      </c>
      <c r="C31" s="82" t="s">
        <v>10</v>
      </c>
      <c r="D31" s="83" t="s">
        <v>95</v>
      </c>
      <c r="E31" s="84" t="s">
        <v>96</v>
      </c>
      <c r="F31" s="85" t="s">
        <v>13</v>
      </c>
      <c r="G31" s="85" t="s">
        <v>11</v>
      </c>
      <c r="H31" s="85" t="s">
        <v>11</v>
      </c>
      <c r="I31" s="85" t="s">
        <v>11</v>
      </c>
      <c r="J31" s="85" t="s">
        <v>11</v>
      </c>
      <c r="K31" s="85" t="s">
        <v>13</v>
      </c>
      <c r="L31" s="86" t="str">
        <f>IFERROR(VLOOKUP($B31,'LISTA - Atual'!$B$1:$I$444,5,0),"Novo")</f>
        <v>Y</v>
      </c>
      <c r="M31" s="86" t="str">
        <f t="shared" si="0"/>
        <v>Igual</v>
      </c>
      <c r="N31" s="86" t="str">
        <f>IFERROR(VLOOKUP($B31,'LISTA - Atual'!$B$1:$I$444,6,0),"Novo")</f>
        <v>N</v>
      </c>
      <c r="O31" s="86" t="str">
        <f t="shared" si="1"/>
        <v>Igual</v>
      </c>
      <c r="P31" s="86" t="str">
        <f>IFERROR(VLOOKUP($B31,'LISTA - Atual'!$B$1:$I$444,7,0),"Novo")</f>
        <v>N</v>
      </c>
      <c r="Q31" s="86" t="str">
        <f t="shared" si="2"/>
        <v>Igual</v>
      </c>
      <c r="R31" s="86" t="s">
        <v>1563</v>
      </c>
      <c r="S31" s="86" t="str">
        <f>IFERROR(VLOOKUP($B31,'LISTA - Atual'!$B$1:$I$444,8,0),"Novo")</f>
        <v>N</v>
      </c>
      <c r="T31" s="86" t="str">
        <f t="shared" si="3"/>
        <v>Igual</v>
      </c>
      <c r="U31" s="86" t="s">
        <v>1563</v>
      </c>
      <c r="V31" s="86" t="s">
        <v>11</v>
      </c>
      <c r="W31" s="87" t="str">
        <f>IFERROR(VLOOKUP(B31,#REF!,11,0),"n/a")</f>
        <v>n/a</v>
      </c>
      <c r="X31" s="88" t="str">
        <f>IFERROR(VLOOKUP(B31,#REF!,8,0),"n/a")</f>
        <v>n/a</v>
      </c>
      <c r="Y31" s="87" t="str">
        <f t="shared" si="10"/>
        <v>ESTR</v>
      </c>
      <c r="Z31" s="131" t="s">
        <v>1605</v>
      </c>
      <c r="AA31" s="227" t="e">
        <f>VLOOKUP(Table1[[#This Row],[CONCAT]],'Campos Resumo Prop2.0'!A:H,8,0)</f>
        <v>#N/A</v>
      </c>
      <c r="AB31" s="87" t="s">
        <v>1650</v>
      </c>
      <c r="AC31" s="135" t="s">
        <v>1625</v>
      </c>
      <c r="AD31" s="91">
        <f>INDEX(Auxiliar!$D$5:$I$10,MATCH('LISTA - Setembro2024'!AD$3,Auxiliar!$B$5:$B$10,0),MATCH('LISTA - Setembro2024'!$AC31,Auxiliar!$D$4:$I$4,0))</f>
        <v>0</v>
      </c>
      <c r="AE31" s="91">
        <f>INDEX(Auxiliar!$D$5:$I$10,MATCH('LISTA - Setembro2024'!AE$3,Auxiliar!$B$5:$B$10,0),MATCH('LISTA - Setembro2024'!$AC31,Auxiliar!$D$4:$I$4,0))</f>
        <v>0</v>
      </c>
      <c r="AF31" s="87">
        <f>INDEX(Auxiliar!$D$5:$I$10,MATCH('LISTA - Setembro2024'!AF$3,Auxiliar!$B$5:$B$10,0),MATCH('LISTA - Setembro2024'!$AC31,Auxiliar!$D$4:$I$4,0))</f>
        <v>0</v>
      </c>
      <c r="AG31" s="87" t="str">
        <f t="shared" si="4"/>
        <v>n.a.</v>
      </c>
      <c r="AH31" s="87">
        <f>INDEX(Auxiliar!$D$5:$I$10,MATCH('LISTA - Setembro2024'!AH$3,Auxiliar!$B$5:$B$10,0),MATCH('LISTA - Setembro2024'!$AG31,Auxiliar!$D$4:$I$4,0))</f>
        <v>0</v>
      </c>
      <c r="AI31" s="87">
        <f>INDEX(Auxiliar!$D$5:$I$10,MATCH('LISTA - Setembro2024'!AI$3,Auxiliar!$B$5:$B$10,0),MATCH('LISTA - Setembro2024'!$AC31,Auxiliar!$D$4:$I$4,0))</f>
        <v>0</v>
      </c>
      <c r="AJ31" s="87">
        <f>INDEX(Auxiliar!$D$5:$I$10,MATCH('LISTA - Setembro2024'!AJ$3,Auxiliar!$B$5:$B$10,0),MATCH('LISTA - Setembro2024'!$AC31,Auxiliar!$D$4:$I$4,0))</f>
        <v>0</v>
      </c>
      <c r="AK31" s="160">
        <f t="shared" si="5"/>
        <v>0</v>
      </c>
      <c r="AL31" s="87" t="s">
        <v>1678</v>
      </c>
    </row>
    <row r="32" spans="1:38" ht="13.8" x14ac:dyDescent="0.25">
      <c r="A32" s="158" t="s">
        <v>97</v>
      </c>
      <c r="B32" s="81" t="str">
        <f t="shared" si="6"/>
        <v>ENTITY_EXTRNL_RTNG_PRVS</v>
      </c>
      <c r="C32" s="82" t="s">
        <v>10</v>
      </c>
      <c r="D32" s="83" t="s">
        <v>98</v>
      </c>
      <c r="E32" s="84" t="s">
        <v>99</v>
      </c>
      <c r="F32" s="85" t="s">
        <v>13</v>
      </c>
      <c r="G32" s="85" t="s">
        <v>11</v>
      </c>
      <c r="H32" s="85" t="s">
        <v>11</v>
      </c>
      <c r="I32" s="85" t="s">
        <v>11</v>
      </c>
      <c r="J32" s="85" t="s">
        <v>11</v>
      </c>
      <c r="K32" s="85" t="s">
        <v>13</v>
      </c>
      <c r="L32" s="86" t="str">
        <f>IFERROR(VLOOKUP($B32,'LISTA - Atual'!$B$1:$I$444,5,0),"Novo")</f>
        <v>Y</v>
      </c>
      <c r="M32" s="86" t="str">
        <f t="shared" si="0"/>
        <v>Igual</v>
      </c>
      <c r="N32" s="86" t="str">
        <f>IFERROR(VLOOKUP($B32,'LISTA - Atual'!$B$1:$I$444,6,0),"Novo")</f>
        <v>N</v>
      </c>
      <c r="O32" s="86" t="str">
        <f t="shared" si="1"/>
        <v>Igual</v>
      </c>
      <c r="P32" s="86" t="str">
        <f>IFERROR(VLOOKUP($B32,'LISTA - Atual'!$B$1:$I$444,7,0),"Novo")</f>
        <v>N</v>
      </c>
      <c r="Q32" s="86" t="str">
        <f t="shared" si="2"/>
        <v>Igual</v>
      </c>
      <c r="R32" s="86" t="s">
        <v>1563</v>
      </c>
      <c r="S32" s="86" t="str">
        <f>IFERROR(VLOOKUP($B32,'LISTA - Atual'!$B$1:$I$444,8,0),"Novo")</f>
        <v>N</v>
      </c>
      <c r="T32" s="86" t="str">
        <f t="shared" si="3"/>
        <v>Igual</v>
      </c>
      <c r="U32" s="86" t="s">
        <v>1563</v>
      </c>
      <c r="V32" s="86" t="s">
        <v>11</v>
      </c>
      <c r="W32" s="87" t="str">
        <f>IFERROR(VLOOKUP(B32,#REF!,11,0),"n/a")</f>
        <v>n/a</v>
      </c>
      <c r="X32" s="88" t="str">
        <f>IFERROR(VLOOKUP(B32,#REF!,8,0),"n/a")</f>
        <v>n/a</v>
      </c>
      <c r="Y32" s="87" t="str">
        <f t="shared" si="10"/>
        <v>ESTR</v>
      </c>
      <c r="Z32" s="131" t="s">
        <v>1605</v>
      </c>
      <c r="AA32" s="227" t="e">
        <f>VLOOKUP(Table1[[#This Row],[CONCAT]],'Campos Resumo Prop2.0'!A:H,8,0)</f>
        <v>#N/A</v>
      </c>
      <c r="AB32" s="87" t="s">
        <v>1650</v>
      </c>
      <c r="AC32" s="135" t="s">
        <v>1625</v>
      </c>
      <c r="AD32" s="91">
        <f>INDEX(Auxiliar!$D$5:$I$10,MATCH('LISTA - Setembro2024'!AD$3,Auxiliar!$B$5:$B$10,0),MATCH('LISTA - Setembro2024'!$AC32,Auxiliar!$D$4:$I$4,0))</f>
        <v>0</v>
      </c>
      <c r="AE32" s="91">
        <f>INDEX(Auxiliar!$D$5:$I$10,MATCH('LISTA - Setembro2024'!AE$3,Auxiliar!$B$5:$B$10,0),MATCH('LISTA - Setembro2024'!$AC32,Auxiliar!$D$4:$I$4,0))</f>
        <v>0</v>
      </c>
      <c r="AF32" s="87">
        <f>INDEX(Auxiliar!$D$5:$I$10,MATCH('LISTA - Setembro2024'!AF$3,Auxiliar!$B$5:$B$10,0),MATCH('LISTA - Setembro2024'!$AC32,Auxiliar!$D$4:$I$4,0))</f>
        <v>0</v>
      </c>
      <c r="AG32" s="87" t="str">
        <f t="shared" si="4"/>
        <v>n.a.</v>
      </c>
      <c r="AH32" s="87">
        <f>INDEX(Auxiliar!$D$5:$I$10,MATCH('LISTA - Setembro2024'!AH$3,Auxiliar!$B$5:$B$10,0),MATCH('LISTA - Setembro2024'!$AG32,Auxiliar!$D$4:$I$4,0))</f>
        <v>0</v>
      </c>
      <c r="AI32" s="87">
        <f>INDEX(Auxiliar!$D$5:$I$10,MATCH('LISTA - Setembro2024'!AI$3,Auxiliar!$B$5:$B$10,0),MATCH('LISTA - Setembro2024'!$AC32,Auxiliar!$D$4:$I$4,0))</f>
        <v>0</v>
      </c>
      <c r="AJ32" s="87">
        <f>INDEX(Auxiliar!$D$5:$I$10,MATCH('LISTA - Setembro2024'!AJ$3,Auxiliar!$B$5:$B$10,0),MATCH('LISTA - Setembro2024'!$AC32,Auxiliar!$D$4:$I$4,0))</f>
        <v>0</v>
      </c>
      <c r="AK32" s="160">
        <f t="shared" si="5"/>
        <v>0</v>
      </c>
      <c r="AL32" s="87" t="s">
        <v>1678</v>
      </c>
    </row>
    <row r="33" spans="1:38" ht="13.8" x14ac:dyDescent="0.25">
      <c r="A33" s="158" t="s">
        <v>100</v>
      </c>
      <c r="B33" s="81" t="str">
        <f t="shared" si="6"/>
        <v>ENTITY_FLG_BNKRPTCY_IN_GRP</v>
      </c>
      <c r="C33" s="82" t="s">
        <v>10</v>
      </c>
      <c r="D33" s="83" t="s">
        <v>101</v>
      </c>
      <c r="E33" s="84" t="s">
        <v>102</v>
      </c>
      <c r="F33" s="85" t="s">
        <v>13</v>
      </c>
      <c r="G33" s="85" t="s">
        <v>11</v>
      </c>
      <c r="H33" s="85" t="s">
        <v>11</v>
      </c>
      <c r="I33" s="85" t="s">
        <v>11</v>
      </c>
      <c r="J33" s="85" t="s">
        <v>11</v>
      </c>
      <c r="K33" s="85" t="s">
        <v>11</v>
      </c>
      <c r="L33" s="86" t="str">
        <f>IFERROR(VLOOKUP($B33,'LISTA - Atual'!$B$1:$I$444,5,0),"Novo")</f>
        <v>Y</v>
      </c>
      <c r="M33" s="86" t="str">
        <f t="shared" si="0"/>
        <v>Igual</v>
      </c>
      <c r="N33" s="86" t="str">
        <f>IFERROR(VLOOKUP($B33,'LISTA - Atual'!$B$1:$I$444,6,0),"Novo")</f>
        <v>N</v>
      </c>
      <c r="O33" s="86" t="str">
        <f t="shared" si="1"/>
        <v>Igual</v>
      </c>
      <c r="P33" s="86" t="str">
        <f>IFERROR(VLOOKUP($B33,'LISTA - Atual'!$B$1:$I$444,7,0),"Novo")</f>
        <v>N</v>
      </c>
      <c r="Q33" s="86" t="str">
        <f t="shared" si="2"/>
        <v>Igual</v>
      </c>
      <c r="R33" s="86" t="s">
        <v>1563</v>
      </c>
      <c r="S33" s="86" t="str">
        <f>IFERROR(VLOOKUP($B33,'LISTA - Atual'!$B$1:$I$444,8,0),"Novo")</f>
        <v>N</v>
      </c>
      <c r="T33" s="86" t="str">
        <f t="shared" si="3"/>
        <v>Igual</v>
      </c>
      <c r="U33" s="86" t="s">
        <v>1563</v>
      </c>
      <c r="V33" s="86" t="s">
        <v>11</v>
      </c>
      <c r="W33" s="87" t="str">
        <f>IFERROR(VLOOKUP(B33,#REF!,11,0),"n/a")</f>
        <v>n/a</v>
      </c>
      <c r="X33" s="87" t="str">
        <f>IFERROR(VLOOKUP(B33,#REF!,8,0),"n/a")</f>
        <v>n/a</v>
      </c>
      <c r="Y33" s="87" t="str">
        <f t="shared" si="10"/>
        <v>ESTR</v>
      </c>
      <c r="Z33" s="131" t="s">
        <v>1605</v>
      </c>
      <c r="AA33" s="227" t="e">
        <f>VLOOKUP(Table1[[#This Row],[CONCAT]],'Campos Resumo Prop2.0'!A:H,8,0)</f>
        <v>#N/A</v>
      </c>
      <c r="AB33" s="87" t="s">
        <v>1654</v>
      </c>
      <c r="AC33" s="135" t="s">
        <v>1625</v>
      </c>
      <c r="AD33" s="91">
        <f>INDEX(Auxiliar!$D$5:$I$10,MATCH('LISTA - Setembro2024'!AD$3,Auxiliar!$B$5:$B$10,0),MATCH('LISTA - Setembro2024'!$AC33,Auxiliar!$D$4:$I$4,0))</f>
        <v>0</v>
      </c>
      <c r="AE33" s="91">
        <f>INDEX(Auxiliar!$D$5:$I$10,MATCH('LISTA - Setembro2024'!AE$3,Auxiliar!$B$5:$B$10,0),MATCH('LISTA - Setembro2024'!$AC33,Auxiliar!$D$4:$I$4,0))</f>
        <v>0</v>
      </c>
      <c r="AF33" s="87">
        <f>INDEX(Auxiliar!$D$5:$I$10,MATCH('LISTA - Setembro2024'!AF$3,Auxiliar!$B$5:$B$10,0),MATCH('LISTA - Setembro2024'!$AC33,Auxiliar!$D$4:$I$4,0))</f>
        <v>0</v>
      </c>
      <c r="AG33" s="87" t="str">
        <f t="shared" si="4"/>
        <v>n.a.</v>
      </c>
      <c r="AH33" s="87">
        <f>INDEX(Auxiliar!$D$5:$I$10,MATCH('LISTA - Setembro2024'!AH$3,Auxiliar!$B$5:$B$10,0),MATCH('LISTA - Setembro2024'!$AG33,Auxiliar!$D$4:$I$4,0))</f>
        <v>0</v>
      </c>
      <c r="AI33" s="87">
        <f>INDEX(Auxiliar!$D$5:$I$10,MATCH('LISTA - Setembro2024'!AI$3,Auxiliar!$B$5:$B$10,0),MATCH('LISTA - Setembro2024'!$AC33,Auxiliar!$D$4:$I$4,0))</f>
        <v>0</v>
      </c>
      <c r="AJ33" s="87">
        <f>INDEX(Auxiliar!$D$5:$I$10,MATCH('LISTA - Setembro2024'!AJ$3,Auxiliar!$B$5:$B$10,0),MATCH('LISTA - Setembro2024'!$AC33,Auxiliar!$D$4:$I$4,0))</f>
        <v>0</v>
      </c>
      <c r="AK33" s="160">
        <f t="shared" si="5"/>
        <v>0</v>
      </c>
      <c r="AL33" s="87"/>
    </row>
    <row r="34" spans="1:38" ht="13.8" x14ac:dyDescent="0.25">
      <c r="A34" s="158" t="s">
        <v>103</v>
      </c>
      <c r="B34" s="81" t="str">
        <f t="shared" si="6"/>
        <v>ENTITY_FLG_HGH_CDS</v>
      </c>
      <c r="C34" s="82" t="s">
        <v>10</v>
      </c>
      <c r="D34" s="83" t="s">
        <v>104</v>
      </c>
      <c r="E34" s="84" t="s">
        <v>105</v>
      </c>
      <c r="F34" s="85" t="s">
        <v>13</v>
      </c>
      <c r="G34" s="85" t="s">
        <v>11</v>
      </c>
      <c r="H34" s="85" t="s">
        <v>11</v>
      </c>
      <c r="I34" s="85" t="s">
        <v>11</v>
      </c>
      <c r="J34" s="85" t="s">
        <v>11</v>
      </c>
      <c r="K34" s="85" t="s">
        <v>11</v>
      </c>
      <c r="L34" s="86" t="str">
        <f>IFERROR(VLOOKUP($B34,'LISTA - Atual'!$B$1:$I$444,5,0),"Novo")</f>
        <v>Y</v>
      </c>
      <c r="M34" s="86" t="str">
        <f t="shared" si="0"/>
        <v>Igual</v>
      </c>
      <c r="N34" s="86" t="str">
        <f>IFERROR(VLOOKUP($B34,'LISTA - Atual'!$B$1:$I$444,6,0),"Novo")</f>
        <v>N</v>
      </c>
      <c r="O34" s="86" t="str">
        <f t="shared" si="1"/>
        <v>Igual</v>
      </c>
      <c r="P34" s="86" t="str">
        <f>IFERROR(VLOOKUP($B34,'LISTA - Atual'!$B$1:$I$444,7,0),"Novo")</f>
        <v>N</v>
      </c>
      <c r="Q34" s="86" t="str">
        <f t="shared" si="2"/>
        <v>Igual</v>
      </c>
      <c r="R34" s="86" t="s">
        <v>1563</v>
      </c>
      <c r="S34" s="86" t="str">
        <f>IFERROR(VLOOKUP($B34,'LISTA - Atual'!$B$1:$I$444,8,0),"Novo")</f>
        <v>N</v>
      </c>
      <c r="T34" s="86" t="str">
        <f t="shared" si="3"/>
        <v>Igual</v>
      </c>
      <c r="U34" s="86" t="s">
        <v>1563</v>
      </c>
      <c r="V34" s="86" t="s">
        <v>11</v>
      </c>
      <c r="W34" s="87" t="str">
        <f>IFERROR(VLOOKUP(B34,#REF!,11,0),"n/a")</f>
        <v>n/a</v>
      </c>
      <c r="X34" s="87" t="str">
        <f>IFERROR(VLOOKUP(B34,#REF!,8,0),"n/a")</f>
        <v>n/a</v>
      </c>
      <c r="Y34" s="87" t="str">
        <f t="shared" si="10"/>
        <v>ESTR</v>
      </c>
      <c r="Z34" s="131" t="s">
        <v>1605</v>
      </c>
      <c r="AA34" s="227" t="e">
        <f>VLOOKUP(Table1[[#This Row],[CONCAT]],'Campos Resumo Prop2.0'!A:H,8,0)</f>
        <v>#N/A</v>
      </c>
      <c r="AB34" s="87" t="s">
        <v>1654</v>
      </c>
      <c r="AC34" s="135" t="s">
        <v>1625</v>
      </c>
      <c r="AD34" s="91">
        <f>INDEX(Auxiliar!$D$5:$I$10,MATCH('LISTA - Setembro2024'!AD$3,Auxiliar!$B$5:$B$10,0),MATCH('LISTA - Setembro2024'!$AC34,Auxiliar!$D$4:$I$4,0))</f>
        <v>0</v>
      </c>
      <c r="AE34" s="91">
        <f>INDEX(Auxiliar!$D$5:$I$10,MATCH('LISTA - Setembro2024'!AE$3,Auxiliar!$B$5:$B$10,0),MATCH('LISTA - Setembro2024'!$AC34,Auxiliar!$D$4:$I$4,0))</f>
        <v>0</v>
      </c>
      <c r="AF34" s="87">
        <f>INDEX(Auxiliar!$D$5:$I$10,MATCH('LISTA - Setembro2024'!AF$3,Auxiliar!$B$5:$B$10,0),MATCH('LISTA - Setembro2024'!$AC34,Auxiliar!$D$4:$I$4,0))</f>
        <v>0</v>
      </c>
      <c r="AG34" s="87" t="str">
        <f t="shared" si="4"/>
        <v>n.a.</v>
      </c>
      <c r="AH34" s="87">
        <f>INDEX(Auxiliar!$D$5:$I$10,MATCH('LISTA - Setembro2024'!AH$3,Auxiliar!$B$5:$B$10,0),MATCH('LISTA - Setembro2024'!$AG34,Auxiliar!$D$4:$I$4,0))</f>
        <v>0</v>
      </c>
      <c r="AI34" s="87">
        <f>INDEX(Auxiliar!$D$5:$I$10,MATCH('LISTA - Setembro2024'!AI$3,Auxiliar!$B$5:$B$10,0),MATCH('LISTA - Setembro2024'!$AC34,Auxiliar!$D$4:$I$4,0))</f>
        <v>0</v>
      </c>
      <c r="AJ34" s="87">
        <f>INDEX(Auxiliar!$D$5:$I$10,MATCH('LISTA - Setembro2024'!AJ$3,Auxiliar!$B$5:$B$10,0),MATCH('LISTA - Setembro2024'!$AC34,Auxiliar!$D$4:$I$4,0))</f>
        <v>0</v>
      </c>
      <c r="AK34" s="160">
        <f t="shared" si="5"/>
        <v>0</v>
      </c>
      <c r="AL34" s="87"/>
    </row>
    <row r="35" spans="1:38" ht="13.8" x14ac:dyDescent="0.25">
      <c r="A35" s="158" t="s">
        <v>106</v>
      </c>
      <c r="B35" s="81" t="str">
        <f t="shared" si="6"/>
        <v>ENTITY_FLG_ISDA_CRDT_EVNT</v>
      </c>
      <c r="C35" s="82" t="s">
        <v>10</v>
      </c>
      <c r="D35" s="83" t="s">
        <v>107</v>
      </c>
      <c r="E35" s="84" t="s">
        <v>108</v>
      </c>
      <c r="F35" s="85" t="s">
        <v>13</v>
      </c>
      <c r="G35" s="85" t="s">
        <v>11</v>
      </c>
      <c r="H35" s="85" t="s">
        <v>11</v>
      </c>
      <c r="I35" s="85" t="s">
        <v>11</v>
      </c>
      <c r="J35" s="85" t="s">
        <v>11</v>
      </c>
      <c r="K35" s="85" t="s">
        <v>11</v>
      </c>
      <c r="L35" s="86" t="str">
        <f>IFERROR(VLOOKUP($B35,'LISTA - Atual'!$B$1:$I$444,5,0),"Novo")</f>
        <v>Y</v>
      </c>
      <c r="M35" s="86" t="str">
        <f t="shared" si="0"/>
        <v>Igual</v>
      </c>
      <c r="N35" s="86" t="str">
        <f>IFERROR(VLOOKUP($B35,'LISTA - Atual'!$B$1:$I$444,6,0),"Novo")</f>
        <v>N</v>
      </c>
      <c r="O35" s="86" t="str">
        <f t="shared" si="1"/>
        <v>Igual</v>
      </c>
      <c r="P35" s="86" t="str">
        <f>IFERROR(VLOOKUP($B35,'LISTA - Atual'!$B$1:$I$444,7,0),"Novo")</f>
        <v>N</v>
      </c>
      <c r="Q35" s="86" t="str">
        <f t="shared" si="2"/>
        <v>Igual</v>
      </c>
      <c r="R35" s="86" t="s">
        <v>1563</v>
      </c>
      <c r="S35" s="86" t="str">
        <f>IFERROR(VLOOKUP($B35,'LISTA - Atual'!$B$1:$I$444,8,0),"Novo")</f>
        <v>N</v>
      </c>
      <c r="T35" s="86" t="str">
        <f t="shared" si="3"/>
        <v>Igual</v>
      </c>
      <c r="U35" s="86" t="s">
        <v>1563</v>
      </c>
      <c r="V35" s="86" t="s">
        <v>11</v>
      </c>
      <c r="W35" s="87" t="str">
        <f>IFERROR(VLOOKUP(B35,#REF!,11,0),"n/a")</f>
        <v>n/a</v>
      </c>
      <c r="X35" s="87" t="str">
        <f>IFERROR(VLOOKUP(B35,#REF!,8,0),"n/a")</f>
        <v>n/a</v>
      </c>
      <c r="Y35" s="87" t="str">
        <f t="shared" si="10"/>
        <v>ESTR</v>
      </c>
      <c r="Z35" s="131" t="s">
        <v>1605</v>
      </c>
      <c r="AA35" s="227" t="e">
        <f>VLOOKUP(Table1[[#This Row],[CONCAT]],'Campos Resumo Prop2.0'!A:H,8,0)</f>
        <v>#N/A</v>
      </c>
      <c r="AB35" s="87" t="s">
        <v>1654</v>
      </c>
      <c r="AC35" s="135" t="s">
        <v>1625</v>
      </c>
      <c r="AD35" s="91">
        <f>INDEX(Auxiliar!$D$5:$I$10,MATCH('LISTA - Setembro2024'!AD$3,Auxiliar!$B$5:$B$10,0),MATCH('LISTA - Setembro2024'!$AC35,Auxiliar!$D$4:$I$4,0))</f>
        <v>0</v>
      </c>
      <c r="AE35" s="91">
        <f>INDEX(Auxiliar!$D$5:$I$10,MATCH('LISTA - Setembro2024'!AE$3,Auxiliar!$B$5:$B$10,0),MATCH('LISTA - Setembro2024'!$AC35,Auxiliar!$D$4:$I$4,0))</f>
        <v>0</v>
      </c>
      <c r="AF35" s="87">
        <f>INDEX(Auxiliar!$D$5:$I$10,MATCH('LISTA - Setembro2024'!AF$3,Auxiliar!$B$5:$B$10,0),MATCH('LISTA - Setembro2024'!$AC35,Auxiliar!$D$4:$I$4,0))</f>
        <v>0</v>
      </c>
      <c r="AG35" s="87" t="str">
        <f t="shared" si="4"/>
        <v>n.a.</v>
      </c>
      <c r="AH35" s="87">
        <f>INDEX(Auxiliar!$D$5:$I$10,MATCH('LISTA - Setembro2024'!AH$3,Auxiliar!$B$5:$B$10,0),MATCH('LISTA - Setembro2024'!$AG35,Auxiliar!$D$4:$I$4,0))</f>
        <v>0</v>
      </c>
      <c r="AI35" s="87">
        <f>INDEX(Auxiliar!$D$5:$I$10,MATCH('LISTA - Setembro2024'!AI$3,Auxiliar!$B$5:$B$10,0),MATCH('LISTA - Setembro2024'!$AC35,Auxiliar!$D$4:$I$4,0))</f>
        <v>0</v>
      </c>
      <c r="AJ35" s="87">
        <f>INDEX(Auxiliar!$D$5:$I$10,MATCH('LISTA - Setembro2024'!AJ$3,Auxiliar!$B$5:$B$10,0),MATCH('LISTA - Setembro2024'!$AC35,Auxiliar!$D$4:$I$4,0))</f>
        <v>0</v>
      </c>
      <c r="AK35" s="160">
        <f t="shared" si="5"/>
        <v>0</v>
      </c>
      <c r="AL35" s="87"/>
    </row>
    <row r="36" spans="1:38" ht="13.8" x14ac:dyDescent="0.25">
      <c r="A36" s="158" t="s">
        <v>109</v>
      </c>
      <c r="B36" s="81" t="str">
        <f t="shared" si="6"/>
        <v>ENTITY_FLG_NN_ACCRL</v>
      </c>
      <c r="C36" s="82" t="s">
        <v>10</v>
      </c>
      <c r="D36" s="83" t="s">
        <v>110</v>
      </c>
      <c r="E36" s="84" t="s">
        <v>111</v>
      </c>
      <c r="F36" s="85" t="s">
        <v>13</v>
      </c>
      <c r="G36" s="85" t="s">
        <v>11</v>
      </c>
      <c r="H36" s="85" t="s">
        <v>11</v>
      </c>
      <c r="I36" s="85" t="s">
        <v>11</v>
      </c>
      <c r="J36" s="85" t="s">
        <v>11</v>
      </c>
      <c r="K36" s="85" t="s">
        <v>11</v>
      </c>
      <c r="L36" s="86" t="str">
        <f>IFERROR(VLOOKUP($B36,'LISTA - Atual'!$B$1:$I$444,5,0),"Novo")</f>
        <v>Y</v>
      </c>
      <c r="M36" s="86" t="str">
        <f t="shared" ref="M36:M67" si="11">IF(L36="Novo","Novo Campo",IF(L36=F36,"Igual","Diferente"))</f>
        <v>Igual</v>
      </c>
      <c r="N36" s="86" t="str">
        <f>IFERROR(VLOOKUP($B36,'LISTA - Atual'!$B$1:$I$444,6,0),"Novo")</f>
        <v>N</v>
      </c>
      <c r="O36" s="86" t="str">
        <f t="shared" ref="O36:O67" si="12">IF(N36="Novo","Novo Campo",IF(N36=G36,"Igual","Diferente"))</f>
        <v>Igual</v>
      </c>
      <c r="P36" s="86" t="str">
        <f>IFERROR(VLOOKUP($B36,'LISTA - Atual'!$B$1:$I$444,7,0),"Novo")</f>
        <v>N</v>
      </c>
      <c r="Q36" s="86" t="str">
        <f t="shared" ref="Q36:Q67" si="13">IF(P36="Novo","Novo Campo",IF(P36=H36,"Igual","Diferente"))</f>
        <v>Igual</v>
      </c>
      <c r="R36" s="86" t="s">
        <v>1563</v>
      </c>
      <c r="S36" s="86" t="str">
        <f>IFERROR(VLOOKUP($B36,'LISTA - Atual'!$B$1:$I$444,8,0),"Novo")</f>
        <v>N</v>
      </c>
      <c r="T36" s="86" t="str">
        <f t="shared" ref="T36:T67" si="14">IF(S36="Novo","Novo Campo",IF(S36=J36,"Igual","Diferente"))</f>
        <v>Igual</v>
      </c>
      <c r="U36" s="86" t="s">
        <v>1563</v>
      </c>
      <c r="V36" s="86" t="s">
        <v>11</v>
      </c>
      <c r="W36" s="87" t="str">
        <f>IFERROR(VLOOKUP(B36,#REF!,11,0),"n/a")</f>
        <v>n/a</v>
      </c>
      <c r="X36" s="87" t="str">
        <f>IFERROR(VLOOKUP(B36,#REF!,8,0),"n/a")</f>
        <v>n/a</v>
      </c>
      <c r="Y36" s="87" t="str">
        <f t="shared" si="10"/>
        <v>ESTR</v>
      </c>
      <c r="Z36" s="131" t="s">
        <v>1605</v>
      </c>
      <c r="AA36" s="227" t="e">
        <f>VLOOKUP(Table1[[#This Row],[CONCAT]],'Campos Resumo Prop2.0'!A:H,8,0)</f>
        <v>#N/A</v>
      </c>
      <c r="AB36" s="87" t="s">
        <v>1654</v>
      </c>
      <c r="AC36" s="135" t="s">
        <v>1625</v>
      </c>
      <c r="AD36" s="91">
        <f>INDEX(Auxiliar!$D$5:$I$10,MATCH('LISTA - Setembro2024'!AD$3,Auxiliar!$B$5:$B$10,0),MATCH('LISTA - Setembro2024'!$AC36,Auxiliar!$D$4:$I$4,0))</f>
        <v>0</v>
      </c>
      <c r="AE36" s="91">
        <f>INDEX(Auxiliar!$D$5:$I$10,MATCH('LISTA - Setembro2024'!AE$3,Auxiliar!$B$5:$B$10,0),MATCH('LISTA - Setembro2024'!$AC36,Auxiliar!$D$4:$I$4,0))</f>
        <v>0</v>
      </c>
      <c r="AF36" s="87">
        <f>INDEX(Auxiliar!$D$5:$I$10,MATCH('LISTA - Setembro2024'!AF$3,Auxiliar!$B$5:$B$10,0),MATCH('LISTA - Setembro2024'!$AC36,Auxiliar!$D$4:$I$4,0))</f>
        <v>0</v>
      </c>
      <c r="AG36" s="87" t="str">
        <f t="shared" si="4"/>
        <v>n.a.</v>
      </c>
      <c r="AH36" s="87">
        <f>INDEX(Auxiliar!$D$5:$I$10,MATCH('LISTA - Setembro2024'!AH$3,Auxiliar!$B$5:$B$10,0),MATCH('LISTA - Setembro2024'!$AG36,Auxiliar!$D$4:$I$4,0))</f>
        <v>0</v>
      </c>
      <c r="AI36" s="87">
        <f>INDEX(Auxiliar!$D$5:$I$10,MATCH('LISTA - Setembro2024'!AI$3,Auxiliar!$B$5:$B$10,0),MATCH('LISTA - Setembro2024'!$AC36,Auxiliar!$D$4:$I$4,0))</f>
        <v>0</v>
      </c>
      <c r="AJ36" s="87">
        <f>INDEX(Auxiliar!$D$5:$I$10,MATCH('LISTA - Setembro2024'!AJ$3,Auxiliar!$B$5:$B$10,0),MATCH('LISTA - Setembro2024'!$AC36,Auxiliar!$D$4:$I$4,0))</f>
        <v>0</v>
      </c>
      <c r="AK36" s="160">
        <f t="shared" si="5"/>
        <v>0</v>
      </c>
      <c r="AL36" s="87"/>
    </row>
    <row r="37" spans="1:38" ht="13.8" x14ac:dyDescent="0.25">
      <c r="A37" s="158" t="s">
        <v>112</v>
      </c>
      <c r="B37" s="81" t="str">
        <f t="shared" si="6"/>
        <v>ENTITY_FLG_RQST_BNKRPTCY</v>
      </c>
      <c r="C37" s="82" t="s">
        <v>10</v>
      </c>
      <c r="D37" s="83" t="s">
        <v>113</v>
      </c>
      <c r="E37" s="84" t="s">
        <v>114</v>
      </c>
      <c r="F37" s="85" t="s">
        <v>13</v>
      </c>
      <c r="G37" s="85" t="s">
        <v>11</v>
      </c>
      <c r="H37" s="85" t="s">
        <v>11</v>
      </c>
      <c r="I37" s="85" t="s">
        <v>11</v>
      </c>
      <c r="J37" s="85" t="s">
        <v>11</v>
      </c>
      <c r="K37" s="85" t="s">
        <v>11</v>
      </c>
      <c r="L37" s="86" t="str">
        <f>IFERROR(VLOOKUP($B37,'LISTA - Atual'!$B$1:$I$444,5,0),"Novo")</f>
        <v>Y</v>
      </c>
      <c r="M37" s="86" t="str">
        <f t="shared" si="11"/>
        <v>Igual</v>
      </c>
      <c r="N37" s="86" t="str">
        <f>IFERROR(VLOOKUP($B37,'LISTA - Atual'!$B$1:$I$444,6,0),"Novo")</f>
        <v>N</v>
      </c>
      <c r="O37" s="86" t="str">
        <f t="shared" si="12"/>
        <v>Igual</v>
      </c>
      <c r="P37" s="86" t="str">
        <f>IFERROR(VLOOKUP($B37,'LISTA - Atual'!$B$1:$I$444,7,0),"Novo")</f>
        <v>N</v>
      </c>
      <c r="Q37" s="86" t="str">
        <f t="shared" si="13"/>
        <v>Igual</v>
      </c>
      <c r="R37" s="86" t="s">
        <v>1563</v>
      </c>
      <c r="S37" s="86" t="str">
        <f>IFERROR(VLOOKUP($B37,'LISTA - Atual'!$B$1:$I$444,8,0),"Novo")</f>
        <v>N</v>
      </c>
      <c r="T37" s="86" t="str">
        <f t="shared" si="14"/>
        <v>Igual</v>
      </c>
      <c r="U37" s="86" t="s">
        <v>1563</v>
      </c>
      <c r="V37" s="86" t="s">
        <v>11</v>
      </c>
      <c r="W37" s="87" t="str">
        <f>IFERROR(VLOOKUP(B37,#REF!,11,0),"n/a")</f>
        <v>n/a</v>
      </c>
      <c r="X37" s="87" t="str">
        <f>IFERROR(VLOOKUP(B37,#REF!,8,0),"n/a")</f>
        <v>n/a</v>
      </c>
      <c r="Y37" s="87" t="str">
        <f t="shared" si="10"/>
        <v>ESTR</v>
      </c>
      <c r="Z37" s="131" t="s">
        <v>1605</v>
      </c>
      <c r="AA37" s="227" t="e">
        <f>VLOOKUP(Table1[[#This Row],[CONCAT]],'Campos Resumo Prop2.0'!A:H,8,0)</f>
        <v>#N/A</v>
      </c>
      <c r="AB37" s="87" t="s">
        <v>1654</v>
      </c>
      <c r="AC37" s="135" t="s">
        <v>1625</v>
      </c>
      <c r="AD37" s="91">
        <f>INDEX(Auxiliar!$D$5:$I$10,MATCH('LISTA - Setembro2024'!AD$3,Auxiliar!$B$5:$B$10,0),MATCH('LISTA - Setembro2024'!$AC37,Auxiliar!$D$4:$I$4,0))</f>
        <v>0</v>
      </c>
      <c r="AE37" s="91">
        <f>INDEX(Auxiliar!$D$5:$I$10,MATCH('LISTA - Setembro2024'!AE$3,Auxiliar!$B$5:$B$10,0),MATCH('LISTA - Setembro2024'!$AC37,Auxiliar!$D$4:$I$4,0))</f>
        <v>0</v>
      </c>
      <c r="AF37" s="87">
        <f>INDEX(Auxiliar!$D$5:$I$10,MATCH('LISTA - Setembro2024'!AF$3,Auxiliar!$B$5:$B$10,0),MATCH('LISTA - Setembro2024'!$AC37,Auxiliar!$D$4:$I$4,0))</f>
        <v>0</v>
      </c>
      <c r="AG37" s="87" t="str">
        <f t="shared" si="4"/>
        <v>n.a.</v>
      </c>
      <c r="AH37" s="87">
        <f>INDEX(Auxiliar!$D$5:$I$10,MATCH('LISTA - Setembro2024'!AH$3,Auxiliar!$B$5:$B$10,0),MATCH('LISTA - Setembro2024'!$AG37,Auxiliar!$D$4:$I$4,0))</f>
        <v>0</v>
      </c>
      <c r="AI37" s="87">
        <f>INDEX(Auxiliar!$D$5:$I$10,MATCH('LISTA - Setembro2024'!AI$3,Auxiliar!$B$5:$B$10,0),MATCH('LISTA - Setembro2024'!$AC37,Auxiliar!$D$4:$I$4,0))</f>
        <v>0</v>
      </c>
      <c r="AJ37" s="87">
        <f>INDEX(Auxiliar!$D$5:$I$10,MATCH('LISTA - Setembro2024'!AJ$3,Auxiliar!$B$5:$B$10,0),MATCH('LISTA - Setembro2024'!$AC37,Auxiliar!$D$4:$I$4,0))</f>
        <v>0</v>
      </c>
      <c r="AK37" s="160">
        <f t="shared" si="5"/>
        <v>0</v>
      </c>
      <c r="AL37" s="87"/>
    </row>
    <row r="38" spans="1:38" ht="13.8" x14ac:dyDescent="0.25">
      <c r="A38" s="158" t="s">
        <v>115</v>
      </c>
      <c r="B38" s="81" t="str">
        <f t="shared" si="6"/>
        <v>ENTITY_FLG_RQST_DSTRSSD_RSTRCTRNG</v>
      </c>
      <c r="C38" s="82" t="s">
        <v>10</v>
      </c>
      <c r="D38" s="83" t="s">
        <v>116</v>
      </c>
      <c r="E38" s="84" t="s">
        <v>117</v>
      </c>
      <c r="F38" s="85" t="s">
        <v>13</v>
      </c>
      <c r="G38" s="85" t="s">
        <v>11</v>
      </c>
      <c r="H38" s="85" t="s">
        <v>11</v>
      </c>
      <c r="I38" s="85" t="s">
        <v>11</v>
      </c>
      <c r="J38" s="85" t="s">
        <v>11</v>
      </c>
      <c r="K38" s="85" t="s">
        <v>11</v>
      </c>
      <c r="L38" s="86" t="str">
        <f>IFERROR(VLOOKUP($B38,'LISTA - Atual'!$B$1:$I$444,5,0),"Novo")</f>
        <v>Y</v>
      </c>
      <c r="M38" s="86" t="str">
        <f t="shared" si="11"/>
        <v>Igual</v>
      </c>
      <c r="N38" s="86" t="str">
        <f>IFERROR(VLOOKUP($B38,'LISTA - Atual'!$B$1:$I$444,6,0),"Novo")</f>
        <v>N</v>
      </c>
      <c r="O38" s="86" t="str">
        <f t="shared" si="12"/>
        <v>Igual</v>
      </c>
      <c r="P38" s="86" t="str">
        <f>IFERROR(VLOOKUP($B38,'LISTA - Atual'!$B$1:$I$444,7,0),"Novo")</f>
        <v>N</v>
      </c>
      <c r="Q38" s="86" t="str">
        <f t="shared" si="13"/>
        <v>Igual</v>
      </c>
      <c r="R38" s="86" t="s">
        <v>1563</v>
      </c>
      <c r="S38" s="86" t="str">
        <f>IFERROR(VLOOKUP($B38,'LISTA - Atual'!$B$1:$I$444,8,0),"Novo")</f>
        <v>N</v>
      </c>
      <c r="T38" s="86" t="str">
        <f t="shared" si="14"/>
        <v>Igual</v>
      </c>
      <c r="U38" s="86" t="s">
        <v>1563</v>
      </c>
      <c r="V38" s="86" t="s">
        <v>11</v>
      </c>
      <c r="W38" s="87" t="str">
        <f>IFERROR(VLOOKUP(B38,#REF!,11,0),"n/a")</f>
        <v>n/a</v>
      </c>
      <c r="X38" s="87" t="str">
        <f>IFERROR(VLOOKUP(B38,#REF!,8,0),"n/a")</f>
        <v>n/a</v>
      </c>
      <c r="Y38" s="87" t="str">
        <f t="shared" si="10"/>
        <v>ESTR</v>
      </c>
      <c r="Z38" s="131" t="s">
        <v>1605</v>
      </c>
      <c r="AA38" s="227" t="e">
        <f>VLOOKUP(Table1[[#This Row],[CONCAT]],'Campos Resumo Prop2.0'!A:H,8,0)</f>
        <v>#N/A</v>
      </c>
      <c r="AB38" s="87" t="s">
        <v>1654</v>
      </c>
      <c r="AC38" s="135" t="s">
        <v>1625</v>
      </c>
      <c r="AD38" s="91">
        <f>INDEX(Auxiliar!$D$5:$I$10,MATCH('LISTA - Setembro2024'!AD$3,Auxiliar!$B$5:$B$10,0),MATCH('LISTA - Setembro2024'!$AC38,Auxiliar!$D$4:$I$4,0))</f>
        <v>0</v>
      </c>
      <c r="AE38" s="91">
        <f>INDEX(Auxiliar!$D$5:$I$10,MATCH('LISTA - Setembro2024'!AE$3,Auxiliar!$B$5:$B$10,0),MATCH('LISTA - Setembro2024'!$AC38,Auxiliar!$D$4:$I$4,0))</f>
        <v>0</v>
      </c>
      <c r="AF38" s="87">
        <f>INDEX(Auxiliar!$D$5:$I$10,MATCH('LISTA - Setembro2024'!AF$3,Auxiliar!$B$5:$B$10,0),MATCH('LISTA - Setembro2024'!$AC38,Auxiliar!$D$4:$I$4,0))</f>
        <v>0</v>
      </c>
      <c r="AG38" s="87" t="str">
        <f t="shared" si="4"/>
        <v>n.a.</v>
      </c>
      <c r="AH38" s="87">
        <f>INDEX(Auxiliar!$D$5:$I$10,MATCH('LISTA - Setembro2024'!AH$3,Auxiliar!$B$5:$B$10,0),MATCH('LISTA - Setembro2024'!$AG38,Auxiliar!$D$4:$I$4,0))</f>
        <v>0</v>
      </c>
      <c r="AI38" s="87">
        <f>INDEX(Auxiliar!$D$5:$I$10,MATCH('LISTA - Setembro2024'!AI$3,Auxiliar!$B$5:$B$10,0),MATCH('LISTA - Setembro2024'!$AC38,Auxiliar!$D$4:$I$4,0))</f>
        <v>0</v>
      </c>
      <c r="AJ38" s="87">
        <f>INDEX(Auxiliar!$D$5:$I$10,MATCH('LISTA - Setembro2024'!AJ$3,Auxiliar!$B$5:$B$10,0),MATCH('LISTA - Setembro2024'!$AC38,Auxiliar!$D$4:$I$4,0))</f>
        <v>0</v>
      </c>
      <c r="AK38" s="160">
        <f t="shared" si="5"/>
        <v>0</v>
      </c>
      <c r="AL38" s="87"/>
    </row>
    <row r="39" spans="1:38" ht="13.8" x14ac:dyDescent="0.25">
      <c r="A39" s="158" t="s">
        <v>118</v>
      </c>
      <c r="B39" s="81" t="str">
        <f t="shared" si="6"/>
        <v>ENTITY_FLG_RQST_EMRGNCY_FNDNG</v>
      </c>
      <c r="C39" s="82" t="s">
        <v>10</v>
      </c>
      <c r="D39" s="83" t="s">
        <v>119</v>
      </c>
      <c r="E39" s="84" t="s">
        <v>120</v>
      </c>
      <c r="F39" s="85" t="s">
        <v>13</v>
      </c>
      <c r="G39" s="85" t="s">
        <v>11</v>
      </c>
      <c r="H39" s="85" t="s">
        <v>11</v>
      </c>
      <c r="I39" s="85" t="s">
        <v>11</v>
      </c>
      <c r="J39" s="85" t="s">
        <v>11</v>
      </c>
      <c r="K39" s="85" t="s">
        <v>13</v>
      </c>
      <c r="L39" s="86" t="str">
        <f>IFERROR(VLOOKUP($B39,'LISTA - Atual'!$B$1:$I$444,5,0),"Novo")</f>
        <v>Y</v>
      </c>
      <c r="M39" s="86" t="str">
        <f t="shared" si="11"/>
        <v>Igual</v>
      </c>
      <c r="N39" s="86" t="str">
        <f>IFERROR(VLOOKUP($B39,'LISTA - Atual'!$B$1:$I$444,6,0),"Novo")</f>
        <v>N</v>
      </c>
      <c r="O39" s="86" t="str">
        <f t="shared" si="12"/>
        <v>Igual</v>
      </c>
      <c r="P39" s="86" t="str">
        <f>IFERROR(VLOOKUP($B39,'LISTA - Atual'!$B$1:$I$444,7,0),"Novo")</f>
        <v>N</v>
      </c>
      <c r="Q39" s="86" t="str">
        <f t="shared" si="13"/>
        <v>Igual</v>
      </c>
      <c r="R39" s="86" t="s">
        <v>1563</v>
      </c>
      <c r="S39" s="86" t="str">
        <f>IFERROR(VLOOKUP($B39,'LISTA - Atual'!$B$1:$I$444,8,0),"Novo")</f>
        <v>N</v>
      </c>
      <c r="T39" s="86" t="str">
        <f t="shared" si="14"/>
        <v>Igual</v>
      </c>
      <c r="U39" s="86" t="s">
        <v>1563</v>
      </c>
      <c r="V39" s="86" t="s">
        <v>11</v>
      </c>
      <c r="W39" s="87" t="str">
        <f>IFERROR(VLOOKUP(B39,#REF!,11,0),"n/a")</f>
        <v>n/a</v>
      </c>
      <c r="X39" s="87" t="str">
        <f>IFERROR(VLOOKUP(B39,#REF!,8,0),"n/a")</f>
        <v>n/a</v>
      </c>
      <c r="Y39" s="87" t="str">
        <f t="shared" si="10"/>
        <v>ESTR</v>
      </c>
      <c r="Z39" s="131" t="s">
        <v>1605</v>
      </c>
      <c r="AA39" s="227" t="e">
        <f>VLOOKUP(Table1[[#This Row],[CONCAT]],'Campos Resumo Prop2.0'!A:H,8,0)</f>
        <v>#N/A</v>
      </c>
      <c r="AB39" s="87" t="s">
        <v>1654</v>
      </c>
      <c r="AC39" s="135" t="s">
        <v>1625</v>
      </c>
      <c r="AD39" s="91">
        <f>INDEX(Auxiliar!$D$5:$I$10,MATCH('LISTA - Setembro2024'!AD$3,Auxiliar!$B$5:$B$10,0),MATCH('LISTA - Setembro2024'!$AC39,Auxiliar!$D$4:$I$4,0))</f>
        <v>0</v>
      </c>
      <c r="AE39" s="91">
        <f>INDEX(Auxiliar!$D$5:$I$10,MATCH('LISTA - Setembro2024'!AE$3,Auxiliar!$B$5:$B$10,0),MATCH('LISTA - Setembro2024'!$AC39,Auxiliar!$D$4:$I$4,0))</f>
        <v>0</v>
      </c>
      <c r="AF39" s="87">
        <f>INDEX(Auxiliar!$D$5:$I$10,MATCH('LISTA - Setembro2024'!AF$3,Auxiliar!$B$5:$B$10,0),MATCH('LISTA - Setembro2024'!$AC39,Auxiliar!$D$4:$I$4,0))</f>
        <v>0</v>
      </c>
      <c r="AG39" s="87" t="str">
        <f t="shared" si="4"/>
        <v>n.a.</v>
      </c>
      <c r="AH39" s="87">
        <f>INDEX(Auxiliar!$D$5:$I$10,MATCH('LISTA - Setembro2024'!AH$3,Auxiliar!$B$5:$B$10,0),MATCH('LISTA - Setembro2024'!$AG39,Auxiliar!$D$4:$I$4,0))</f>
        <v>0</v>
      </c>
      <c r="AI39" s="87">
        <f>INDEX(Auxiliar!$D$5:$I$10,MATCH('LISTA - Setembro2024'!AI$3,Auxiliar!$B$5:$B$10,0),MATCH('LISTA - Setembro2024'!$AC39,Auxiliar!$D$4:$I$4,0))</f>
        <v>0</v>
      </c>
      <c r="AJ39" s="87">
        <f>INDEX(Auxiliar!$D$5:$I$10,MATCH('LISTA - Setembro2024'!AJ$3,Auxiliar!$B$5:$B$10,0),MATCH('LISTA - Setembro2024'!$AC39,Auxiliar!$D$4:$I$4,0))</f>
        <v>0</v>
      </c>
      <c r="AK39" s="160">
        <f t="shared" si="5"/>
        <v>0</v>
      </c>
      <c r="AL39" s="87"/>
    </row>
    <row r="40" spans="1:38" ht="13.8" x14ac:dyDescent="0.25">
      <c r="A40" s="158" t="s">
        <v>121</v>
      </c>
      <c r="B40" s="81" t="str">
        <f t="shared" si="6"/>
        <v>ENTITY_FLG_SLL_WTH_LSS</v>
      </c>
      <c r="C40" s="82" t="s">
        <v>10</v>
      </c>
      <c r="D40" s="83" t="s">
        <v>122</v>
      </c>
      <c r="E40" s="84" t="s">
        <v>123</v>
      </c>
      <c r="F40" s="85" t="s">
        <v>13</v>
      </c>
      <c r="G40" s="85" t="s">
        <v>11</v>
      </c>
      <c r="H40" s="85" t="s">
        <v>11</v>
      </c>
      <c r="I40" s="85" t="s">
        <v>11</v>
      </c>
      <c r="J40" s="85" t="s">
        <v>11</v>
      </c>
      <c r="K40" s="85" t="s">
        <v>11</v>
      </c>
      <c r="L40" s="86" t="str">
        <f>IFERROR(VLOOKUP($B40,'LISTA - Atual'!$B$1:$I$444,5,0),"Novo")</f>
        <v>Y</v>
      </c>
      <c r="M40" s="86" t="str">
        <f t="shared" si="11"/>
        <v>Igual</v>
      </c>
      <c r="N40" s="86" t="str">
        <f>IFERROR(VLOOKUP($B40,'LISTA - Atual'!$B$1:$I$444,6,0),"Novo")</f>
        <v>N</v>
      </c>
      <c r="O40" s="86" t="str">
        <f t="shared" si="12"/>
        <v>Igual</v>
      </c>
      <c r="P40" s="86" t="str">
        <f>IFERROR(VLOOKUP($B40,'LISTA - Atual'!$B$1:$I$444,7,0),"Novo")</f>
        <v>N</v>
      </c>
      <c r="Q40" s="86" t="str">
        <f t="shared" si="13"/>
        <v>Igual</v>
      </c>
      <c r="R40" s="86" t="s">
        <v>1563</v>
      </c>
      <c r="S40" s="86" t="str">
        <f>IFERROR(VLOOKUP($B40,'LISTA - Atual'!$B$1:$I$444,8,0),"Novo")</f>
        <v>N</v>
      </c>
      <c r="T40" s="86" t="str">
        <f t="shared" si="14"/>
        <v>Igual</v>
      </c>
      <c r="U40" s="86" t="s">
        <v>1563</v>
      </c>
      <c r="V40" s="86" t="s">
        <v>11</v>
      </c>
      <c r="W40" s="87" t="str">
        <f>IFERROR(VLOOKUP(B40,#REF!,11,0),"n/a")</f>
        <v>n/a</v>
      </c>
      <c r="X40" s="87" t="str">
        <f>IFERROR(VLOOKUP(B40,#REF!,8,0),"n/a")</f>
        <v>n/a</v>
      </c>
      <c r="Y40" s="87" t="str">
        <f t="shared" si="10"/>
        <v>ESTR</v>
      </c>
      <c r="Z40" s="131" t="s">
        <v>1605</v>
      </c>
      <c r="AA40" s="227" t="e">
        <f>VLOOKUP(Table1[[#This Row],[CONCAT]],'Campos Resumo Prop2.0'!A:H,8,0)</f>
        <v>#N/A</v>
      </c>
      <c r="AB40" s="87" t="s">
        <v>1654</v>
      </c>
      <c r="AC40" s="135" t="s">
        <v>1625</v>
      </c>
      <c r="AD40" s="91">
        <f>INDEX(Auxiliar!$D$5:$I$10,MATCH('LISTA - Setembro2024'!AD$3,Auxiliar!$B$5:$B$10,0),MATCH('LISTA - Setembro2024'!$AC40,Auxiliar!$D$4:$I$4,0))</f>
        <v>0</v>
      </c>
      <c r="AE40" s="91">
        <f>INDEX(Auxiliar!$D$5:$I$10,MATCH('LISTA - Setembro2024'!AE$3,Auxiliar!$B$5:$B$10,0),MATCH('LISTA - Setembro2024'!$AC40,Auxiliar!$D$4:$I$4,0))</f>
        <v>0</v>
      </c>
      <c r="AF40" s="87">
        <f>INDEX(Auxiliar!$D$5:$I$10,MATCH('LISTA - Setembro2024'!AF$3,Auxiliar!$B$5:$B$10,0),MATCH('LISTA - Setembro2024'!$AC40,Auxiliar!$D$4:$I$4,0))</f>
        <v>0</v>
      </c>
      <c r="AG40" s="87" t="str">
        <f t="shared" si="4"/>
        <v>n.a.</v>
      </c>
      <c r="AH40" s="87">
        <f>INDEX(Auxiliar!$D$5:$I$10,MATCH('LISTA - Setembro2024'!AH$3,Auxiliar!$B$5:$B$10,0),MATCH('LISTA - Setembro2024'!$AG40,Auxiliar!$D$4:$I$4,0))</f>
        <v>0</v>
      </c>
      <c r="AI40" s="87">
        <f>INDEX(Auxiliar!$D$5:$I$10,MATCH('LISTA - Setembro2024'!AI$3,Auxiliar!$B$5:$B$10,0),MATCH('LISTA - Setembro2024'!$AC40,Auxiliar!$D$4:$I$4,0))</f>
        <v>0</v>
      </c>
      <c r="AJ40" s="87">
        <f>INDEX(Auxiliar!$D$5:$I$10,MATCH('LISTA - Setembro2024'!AJ$3,Auxiliar!$B$5:$B$10,0),MATCH('LISTA - Setembro2024'!$AC40,Auxiliar!$D$4:$I$4,0))</f>
        <v>0</v>
      </c>
      <c r="AK40" s="160">
        <f t="shared" si="5"/>
        <v>0</v>
      </c>
      <c r="AL40" s="87"/>
    </row>
    <row r="41" spans="1:38" ht="13.8" x14ac:dyDescent="0.25">
      <c r="A41" s="158" t="s">
        <v>124</v>
      </c>
      <c r="B41" s="81" t="str">
        <f t="shared" si="6"/>
        <v>ENTITY_INCM_SC</v>
      </c>
      <c r="C41" s="82" t="s">
        <v>10</v>
      </c>
      <c r="D41" s="83" t="s">
        <v>125</v>
      </c>
      <c r="E41" s="84" t="s">
        <v>126</v>
      </c>
      <c r="F41" s="85" t="s">
        <v>13</v>
      </c>
      <c r="G41" s="85" t="s">
        <v>11</v>
      </c>
      <c r="H41" s="85" t="s">
        <v>11</v>
      </c>
      <c r="I41" s="85" t="s">
        <v>11</v>
      </c>
      <c r="J41" s="85" t="s">
        <v>11</v>
      </c>
      <c r="K41" s="85" t="s">
        <v>11</v>
      </c>
      <c r="L41" s="86" t="str">
        <f>IFERROR(VLOOKUP($B41,'LISTA - Atual'!$B$1:$I$444,5,0),"Novo")</f>
        <v>Y</v>
      </c>
      <c r="M41" s="86" t="str">
        <f t="shared" si="11"/>
        <v>Igual</v>
      </c>
      <c r="N41" s="86" t="str">
        <f>IFERROR(VLOOKUP($B41,'LISTA - Atual'!$B$1:$I$444,6,0),"Novo")</f>
        <v>N</v>
      </c>
      <c r="O41" s="86" t="str">
        <f t="shared" si="12"/>
        <v>Igual</v>
      </c>
      <c r="P41" s="86" t="str">
        <f>IFERROR(VLOOKUP($B41,'LISTA - Atual'!$B$1:$I$444,7,0),"Novo")</f>
        <v>N</v>
      </c>
      <c r="Q41" s="86" t="str">
        <f t="shared" si="13"/>
        <v>Igual</v>
      </c>
      <c r="R41" s="86" t="s">
        <v>1563</v>
      </c>
      <c r="S41" s="86" t="str">
        <f>IFERROR(VLOOKUP($B41,'LISTA - Atual'!$B$1:$I$444,8,0),"Novo")</f>
        <v>N</v>
      </c>
      <c r="T41" s="86" t="str">
        <f t="shared" si="14"/>
        <v>Igual</v>
      </c>
      <c r="U41" s="86" t="s">
        <v>1563</v>
      </c>
      <c r="V41" s="86" t="s">
        <v>11</v>
      </c>
      <c r="W41" s="87" t="str">
        <f>IFERROR(VLOOKUP(B41,#REF!,11,0),"n/a")</f>
        <v>n/a</v>
      </c>
      <c r="X41" s="87" t="str">
        <f>IFERROR(VLOOKUP(B41,#REF!,8,0),"n/a")</f>
        <v>n/a</v>
      </c>
      <c r="Y41" s="87" t="str">
        <f t="shared" si="10"/>
        <v>ESTR</v>
      </c>
      <c r="Z41" s="131" t="s">
        <v>1605</v>
      </c>
      <c r="AA41" s="227" t="e">
        <f>VLOOKUP(Table1[[#This Row],[CONCAT]],'Campos Resumo Prop2.0'!A:H,8,0)</f>
        <v>#N/A</v>
      </c>
      <c r="AB41" s="87" t="s">
        <v>1654</v>
      </c>
      <c r="AC41" s="135" t="s">
        <v>1625</v>
      </c>
      <c r="AD41" s="91">
        <f>INDEX(Auxiliar!$D$5:$I$10,MATCH('LISTA - Setembro2024'!AD$3,Auxiliar!$B$5:$B$10,0),MATCH('LISTA - Setembro2024'!$AC41,Auxiliar!$D$4:$I$4,0))</f>
        <v>0</v>
      </c>
      <c r="AE41" s="91">
        <f>INDEX(Auxiliar!$D$5:$I$10,MATCH('LISTA - Setembro2024'!AE$3,Auxiliar!$B$5:$B$10,0),MATCH('LISTA - Setembro2024'!$AC41,Auxiliar!$D$4:$I$4,0))</f>
        <v>0</v>
      </c>
      <c r="AF41" s="87">
        <f>INDEX(Auxiliar!$D$5:$I$10,MATCH('LISTA - Setembro2024'!AF$3,Auxiliar!$B$5:$B$10,0),MATCH('LISTA - Setembro2024'!$AC41,Auxiliar!$D$4:$I$4,0))</f>
        <v>0</v>
      </c>
      <c r="AG41" s="87" t="str">
        <f t="shared" si="4"/>
        <v>n.a.</v>
      </c>
      <c r="AH41" s="87">
        <f>INDEX(Auxiliar!$D$5:$I$10,MATCH('LISTA - Setembro2024'!AH$3,Auxiliar!$B$5:$B$10,0),MATCH('LISTA - Setembro2024'!$AG41,Auxiliar!$D$4:$I$4,0))</f>
        <v>0</v>
      </c>
      <c r="AI41" s="87">
        <f>INDEX(Auxiliar!$D$5:$I$10,MATCH('LISTA - Setembro2024'!AI$3,Auxiliar!$B$5:$B$10,0),MATCH('LISTA - Setembro2024'!$AC41,Auxiliar!$D$4:$I$4,0))</f>
        <v>0</v>
      </c>
      <c r="AJ41" s="87">
        <f>INDEX(Auxiliar!$D$5:$I$10,MATCH('LISTA - Setembro2024'!AJ$3,Auxiliar!$B$5:$B$10,0),MATCH('LISTA - Setembro2024'!$AC41,Auxiliar!$D$4:$I$4,0))</f>
        <v>0</v>
      </c>
      <c r="AK41" s="160">
        <f t="shared" si="5"/>
        <v>0</v>
      </c>
      <c r="AL41" s="87"/>
    </row>
    <row r="42" spans="1:38" ht="13.8" x14ac:dyDescent="0.25">
      <c r="A42" s="158" t="s">
        <v>127</v>
      </c>
      <c r="B42" s="81" t="str">
        <f t="shared" si="6"/>
        <v>ENTITY_INTRNL_RTNG</v>
      </c>
      <c r="C42" s="82" t="s">
        <v>10</v>
      </c>
      <c r="D42" s="83" t="s">
        <v>128</v>
      </c>
      <c r="E42" s="84" t="s">
        <v>129</v>
      </c>
      <c r="F42" s="85" t="s">
        <v>13</v>
      </c>
      <c r="G42" s="85" t="s">
        <v>11</v>
      </c>
      <c r="H42" s="85" t="s">
        <v>11</v>
      </c>
      <c r="I42" s="85" t="s">
        <v>11</v>
      </c>
      <c r="J42" s="85" t="s">
        <v>11</v>
      </c>
      <c r="K42" s="85" t="s">
        <v>13</v>
      </c>
      <c r="L42" s="86" t="str">
        <f>IFERROR(VLOOKUP($B42,'LISTA - Atual'!$B$1:$I$444,5,0),"Novo")</f>
        <v>Y</v>
      </c>
      <c r="M42" s="86" t="str">
        <f t="shared" si="11"/>
        <v>Igual</v>
      </c>
      <c r="N42" s="86" t="str">
        <f>IFERROR(VLOOKUP($B42,'LISTA - Atual'!$B$1:$I$444,6,0),"Novo")</f>
        <v>N</v>
      </c>
      <c r="O42" s="86" t="str">
        <f t="shared" si="12"/>
        <v>Igual</v>
      </c>
      <c r="P42" s="86" t="str">
        <f>IFERROR(VLOOKUP($B42,'LISTA - Atual'!$B$1:$I$444,7,0),"Novo")</f>
        <v>N</v>
      </c>
      <c r="Q42" s="86" t="str">
        <f t="shared" si="13"/>
        <v>Igual</v>
      </c>
      <c r="R42" s="86" t="s">
        <v>1563</v>
      </c>
      <c r="S42" s="86" t="str">
        <f>IFERROR(VLOOKUP($B42,'LISTA - Atual'!$B$1:$I$444,8,0),"Novo")</f>
        <v>N</v>
      </c>
      <c r="T42" s="86" t="str">
        <f t="shared" si="14"/>
        <v>Igual</v>
      </c>
      <c r="U42" s="86" t="s">
        <v>1563</v>
      </c>
      <c r="V42" s="86" t="s">
        <v>11</v>
      </c>
      <c r="W42" s="87" t="str">
        <f>IFERROR(VLOOKUP(B42,#REF!,11,0),"n/a")</f>
        <v>n/a</v>
      </c>
      <c r="X42" s="87" t="str">
        <f>IFERROR(VLOOKUP(B42,#REF!,8,0),"n/a")</f>
        <v>n/a</v>
      </c>
      <c r="Y42" s="87" t="str">
        <f t="shared" si="10"/>
        <v>ESTR</v>
      </c>
      <c r="Z42" s="131" t="s">
        <v>1605</v>
      </c>
      <c r="AA42" s="227" t="e">
        <f>VLOOKUP(Table1[[#This Row],[CONCAT]],'Campos Resumo Prop2.0'!A:H,8,0)</f>
        <v>#N/A</v>
      </c>
      <c r="AB42" s="87" t="s">
        <v>1650</v>
      </c>
      <c r="AC42" s="135" t="s">
        <v>1625</v>
      </c>
      <c r="AD42" s="135">
        <v>1</v>
      </c>
      <c r="AE42" s="91">
        <f>INDEX(Auxiliar!$D$5:$I$10,MATCH('LISTA - Setembro2024'!AE$3,Auxiliar!$B$5:$B$10,0),MATCH('LISTA - Setembro2024'!$AC42,Auxiliar!$D$4:$I$4,0))</f>
        <v>0</v>
      </c>
      <c r="AF42" s="87">
        <f>INDEX(Auxiliar!$D$5:$I$10,MATCH('LISTA - Setembro2024'!AF$3,Auxiliar!$B$5:$B$10,0),MATCH('LISTA - Setembro2024'!$AC42,Auxiliar!$D$4:$I$4,0))</f>
        <v>0</v>
      </c>
      <c r="AG42" s="87" t="str">
        <f t="shared" si="4"/>
        <v>n.a.</v>
      </c>
      <c r="AH42" s="87">
        <f>INDEX(Auxiliar!$D$5:$I$10,MATCH('LISTA - Setembro2024'!AH$3,Auxiliar!$B$5:$B$10,0),MATCH('LISTA - Setembro2024'!$AG42,Auxiliar!$D$4:$I$4,0))</f>
        <v>0</v>
      </c>
      <c r="AI42" s="87">
        <f>INDEX(Auxiliar!$D$5:$I$10,MATCH('LISTA - Setembro2024'!AI$3,Auxiliar!$B$5:$B$10,0),MATCH('LISTA - Setembro2024'!$AC42,Auxiliar!$D$4:$I$4,0))</f>
        <v>0</v>
      </c>
      <c r="AJ42" s="87">
        <f>INDEX(Auxiliar!$D$5:$I$10,MATCH('LISTA - Setembro2024'!AJ$3,Auxiliar!$B$5:$B$10,0),MATCH('LISTA - Setembro2024'!$AC42,Auxiliar!$D$4:$I$4,0))</f>
        <v>0</v>
      </c>
      <c r="AK42" s="160">
        <f t="shared" si="5"/>
        <v>0</v>
      </c>
      <c r="AL42" s="87" t="s">
        <v>1685</v>
      </c>
    </row>
    <row r="43" spans="1:38" ht="13.8" x14ac:dyDescent="0.25">
      <c r="A43" s="158" t="s">
        <v>130</v>
      </c>
      <c r="B43" s="81" t="str">
        <f t="shared" si="6"/>
        <v>ENTITY_INTRNL_RTNG_PRVS</v>
      </c>
      <c r="C43" s="82" t="s">
        <v>10</v>
      </c>
      <c r="D43" s="83" t="s">
        <v>131</v>
      </c>
      <c r="E43" s="84" t="s">
        <v>132</v>
      </c>
      <c r="F43" s="85" t="s">
        <v>13</v>
      </c>
      <c r="G43" s="85" t="s">
        <v>11</v>
      </c>
      <c r="H43" s="85" t="s">
        <v>11</v>
      </c>
      <c r="I43" s="85" t="s">
        <v>11</v>
      </c>
      <c r="J43" s="85" t="s">
        <v>11</v>
      </c>
      <c r="K43" s="85" t="s">
        <v>13</v>
      </c>
      <c r="L43" s="86" t="str">
        <f>IFERROR(VLOOKUP($B43,'LISTA - Atual'!$B$1:$I$444,5,0),"Novo")</f>
        <v>Y</v>
      </c>
      <c r="M43" s="86" t="str">
        <f t="shared" si="11"/>
        <v>Igual</v>
      </c>
      <c r="N43" s="86" t="str">
        <f>IFERROR(VLOOKUP($B43,'LISTA - Atual'!$B$1:$I$444,6,0),"Novo")</f>
        <v>N</v>
      </c>
      <c r="O43" s="86" t="str">
        <f t="shared" si="12"/>
        <v>Igual</v>
      </c>
      <c r="P43" s="86" t="str">
        <f>IFERROR(VLOOKUP($B43,'LISTA - Atual'!$B$1:$I$444,7,0),"Novo")</f>
        <v>N</v>
      </c>
      <c r="Q43" s="86" t="str">
        <f t="shared" si="13"/>
        <v>Igual</v>
      </c>
      <c r="R43" s="86" t="s">
        <v>1563</v>
      </c>
      <c r="S43" s="86" t="str">
        <f>IFERROR(VLOOKUP($B43,'LISTA - Atual'!$B$1:$I$444,8,0),"Novo")</f>
        <v>N</v>
      </c>
      <c r="T43" s="86" t="str">
        <f t="shared" si="14"/>
        <v>Igual</v>
      </c>
      <c r="U43" s="86" t="s">
        <v>1563</v>
      </c>
      <c r="V43" s="86" t="s">
        <v>11</v>
      </c>
      <c r="W43" s="87" t="str">
        <f>IFERROR(VLOOKUP(B43,#REF!,11,0),"n/a")</f>
        <v>n/a</v>
      </c>
      <c r="X43" s="87" t="str">
        <f>IFERROR(VLOOKUP(B43,#REF!,8,0),"n/a")</f>
        <v>n/a</v>
      </c>
      <c r="Y43" s="87" t="str">
        <f t="shared" si="10"/>
        <v>ESTR</v>
      </c>
      <c r="Z43" s="131" t="s">
        <v>1605</v>
      </c>
      <c r="AA43" s="227" t="e">
        <f>VLOOKUP(Table1[[#This Row],[CONCAT]],'Campos Resumo Prop2.0'!A:H,8,0)</f>
        <v>#N/A</v>
      </c>
      <c r="AB43" s="87" t="s">
        <v>1650</v>
      </c>
      <c r="AC43" s="135" t="s">
        <v>1625</v>
      </c>
      <c r="AD43" s="135">
        <v>1</v>
      </c>
      <c r="AE43" s="91">
        <f>INDEX(Auxiliar!$D$5:$I$10,MATCH('LISTA - Setembro2024'!AE$3,Auxiliar!$B$5:$B$10,0),MATCH('LISTA - Setembro2024'!$AC43,Auxiliar!$D$4:$I$4,0))</f>
        <v>0</v>
      </c>
      <c r="AF43" s="87">
        <f>INDEX(Auxiliar!$D$5:$I$10,MATCH('LISTA - Setembro2024'!AF$3,Auxiliar!$B$5:$B$10,0),MATCH('LISTA - Setembro2024'!$AC43,Auxiliar!$D$4:$I$4,0))</f>
        <v>0</v>
      </c>
      <c r="AG43" s="87" t="str">
        <f t="shared" si="4"/>
        <v>n.a.</v>
      </c>
      <c r="AH43" s="87">
        <f>INDEX(Auxiliar!$D$5:$I$10,MATCH('LISTA - Setembro2024'!AH$3,Auxiliar!$B$5:$B$10,0),MATCH('LISTA - Setembro2024'!$AG43,Auxiliar!$D$4:$I$4,0))</f>
        <v>0</v>
      </c>
      <c r="AI43" s="87">
        <f>INDEX(Auxiliar!$D$5:$I$10,MATCH('LISTA - Setembro2024'!AI$3,Auxiliar!$B$5:$B$10,0),MATCH('LISTA - Setembro2024'!$AC43,Auxiliar!$D$4:$I$4,0))</f>
        <v>0</v>
      </c>
      <c r="AJ43" s="87">
        <f>INDEX(Auxiliar!$D$5:$I$10,MATCH('LISTA - Setembro2024'!AJ$3,Auxiliar!$B$5:$B$10,0),MATCH('LISTA - Setembro2024'!$AC43,Auxiliar!$D$4:$I$4,0))</f>
        <v>0</v>
      </c>
      <c r="AK43" s="160">
        <f t="shared" si="5"/>
        <v>0</v>
      </c>
      <c r="AL43" s="87" t="s">
        <v>1685</v>
      </c>
    </row>
    <row r="44" spans="1:38" ht="13.8" x14ac:dyDescent="0.25">
      <c r="A44" s="158" t="s">
        <v>133</v>
      </c>
      <c r="B44" s="81" t="str">
        <f t="shared" si="6"/>
        <v>ENTITY_LGL_PRCDNG_STTS_LE</v>
      </c>
      <c r="C44" s="82" t="s">
        <v>10</v>
      </c>
      <c r="D44" s="83" t="s">
        <v>134</v>
      </c>
      <c r="E44" s="84" t="s">
        <v>135</v>
      </c>
      <c r="F44" s="85" t="s">
        <v>13</v>
      </c>
      <c r="G44" s="85" t="s">
        <v>11</v>
      </c>
      <c r="H44" s="85" t="s">
        <v>11</v>
      </c>
      <c r="I44" s="85" t="s">
        <v>11</v>
      </c>
      <c r="J44" s="85" t="s">
        <v>11</v>
      </c>
      <c r="K44" s="85" t="s">
        <v>13</v>
      </c>
      <c r="L44" s="86" t="str">
        <f>IFERROR(VLOOKUP($B44,'LISTA - Atual'!$B$1:$I$444,5,0),"Novo")</f>
        <v>Y</v>
      </c>
      <c r="M44" s="86" t="str">
        <f t="shared" si="11"/>
        <v>Igual</v>
      </c>
      <c r="N44" s="86" t="str">
        <f>IFERROR(VLOOKUP($B44,'LISTA - Atual'!$B$1:$I$444,6,0),"Novo")</f>
        <v>N</v>
      </c>
      <c r="O44" s="86" t="str">
        <f t="shared" si="12"/>
        <v>Igual</v>
      </c>
      <c r="P44" s="86" t="str">
        <f>IFERROR(VLOOKUP($B44,'LISTA - Atual'!$B$1:$I$444,7,0),"Novo")</f>
        <v>N</v>
      </c>
      <c r="Q44" s="86" t="str">
        <f t="shared" si="13"/>
        <v>Igual</v>
      </c>
      <c r="R44" s="86" t="s">
        <v>1563</v>
      </c>
      <c r="S44" s="86" t="str">
        <f>IFERROR(VLOOKUP($B44,'LISTA - Atual'!$B$1:$I$444,8,0),"Novo")</f>
        <v>N</v>
      </c>
      <c r="T44" s="86" t="str">
        <f t="shared" si="14"/>
        <v>Igual</v>
      </c>
      <c r="U44" s="86" t="s">
        <v>1563</v>
      </c>
      <c r="V44" s="86" t="s">
        <v>11</v>
      </c>
      <c r="W44" s="87" t="str">
        <f>IFERROR(VLOOKUP(B44,#REF!,11,0),"n/a")</f>
        <v>n/a</v>
      </c>
      <c r="X44" s="87" t="str">
        <f>IFERROR(VLOOKUP(B44,#REF!,8,0),"n/a")</f>
        <v>n/a</v>
      </c>
      <c r="Y44" s="87" t="str">
        <f t="shared" si="10"/>
        <v>ESTR</v>
      </c>
      <c r="Z44" s="131" t="s">
        <v>1605</v>
      </c>
      <c r="AA44" s="227" t="e">
        <f>VLOOKUP(Table1[[#This Row],[CONCAT]],'Campos Resumo Prop2.0'!A:H,8,0)</f>
        <v>#N/A</v>
      </c>
      <c r="AB44" s="87" t="s">
        <v>1650</v>
      </c>
      <c r="AC44" s="135" t="s">
        <v>1625</v>
      </c>
      <c r="AD44" s="91">
        <f>INDEX(Auxiliar!$D$5:$I$10,MATCH('LISTA - Setembro2024'!AD$3,Auxiliar!$B$5:$B$10,0),MATCH('LISTA - Setembro2024'!$AC44,Auxiliar!$D$4:$I$4,0))</f>
        <v>0</v>
      </c>
      <c r="AE44" s="91">
        <f>INDEX(Auxiliar!$D$5:$I$10,MATCH('LISTA - Setembro2024'!AE$3,Auxiliar!$B$5:$B$10,0),MATCH('LISTA - Setembro2024'!$AC44,Auxiliar!$D$4:$I$4,0))</f>
        <v>0</v>
      </c>
      <c r="AF44" s="87">
        <f>INDEX(Auxiliar!$D$5:$I$10,MATCH('LISTA - Setembro2024'!AF$3,Auxiliar!$B$5:$B$10,0),MATCH('LISTA - Setembro2024'!$AC44,Auxiliar!$D$4:$I$4,0))</f>
        <v>0</v>
      </c>
      <c r="AG44" s="87" t="str">
        <f t="shared" si="4"/>
        <v>n.a.</v>
      </c>
      <c r="AH44" s="87">
        <f>INDEX(Auxiliar!$D$5:$I$10,MATCH('LISTA - Setembro2024'!AH$3,Auxiliar!$B$5:$B$10,0),MATCH('LISTA - Setembro2024'!$AG44,Auxiliar!$D$4:$I$4,0))</f>
        <v>0</v>
      </c>
      <c r="AI44" s="87">
        <f>INDEX(Auxiliar!$D$5:$I$10,MATCH('LISTA - Setembro2024'!AI$3,Auxiliar!$B$5:$B$10,0),MATCH('LISTA - Setembro2024'!$AC44,Auxiliar!$D$4:$I$4,0))</f>
        <v>0</v>
      </c>
      <c r="AJ44" s="87">
        <f>INDEX(Auxiliar!$D$5:$I$10,MATCH('LISTA - Setembro2024'!AJ$3,Auxiliar!$B$5:$B$10,0),MATCH('LISTA - Setembro2024'!$AC44,Auxiliar!$D$4:$I$4,0))</f>
        <v>0</v>
      </c>
      <c r="AK44" s="160">
        <f t="shared" si="5"/>
        <v>0</v>
      </c>
      <c r="AL44" s="87"/>
    </row>
    <row r="45" spans="1:38" ht="13.8" x14ac:dyDescent="0.25">
      <c r="A45" s="158" t="s">
        <v>136</v>
      </c>
      <c r="B45" s="81" t="str">
        <f t="shared" si="6"/>
        <v>ENTITY_OWND_BY_SPNSR</v>
      </c>
      <c r="C45" s="82" t="s">
        <v>10</v>
      </c>
      <c r="D45" s="83" t="s">
        <v>137</v>
      </c>
      <c r="E45" s="84" t="s">
        <v>138</v>
      </c>
      <c r="F45" s="85" t="s">
        <v>13</v>
      </c>
      <c r="G45" s="85" t="s">
        <v>11</v>
      </c>
      <c r="H45" s="85" t="s">
        <v>11</v>
      </c>
      <c r="I45" s="85" t="s">
        <v>11</v>
      </c>
      <c r="J45" s="85" t="s">
        <v>11</v>
      </c>
      <c r="K45" s="85" t="s">
        <v>13</v>
      </c>
      <c r="L45" s="86" t="str">
        <f>IFERROR(VLOOKUP($B45,'LISTA - Atual'!$B$1:$I$444,5,0),"Novo")</f>
        <v>Y</v>
      </c>
      <c r="M45" s="86" t="str">
        <f t="shared" si="11"/>
        <v>Igual</v>
      </c>
      <c r="N45" s="86" t="str">
        <f>IFERROR(VLOOKUP($B45,'LISTA - Atual'!$B$1:$I$444,6,0),"Novo")</f>
        <v>N</v>
      </c>
      <c r="O45" s="86" t="str">
        <f t="shared" si="12"/>
        <v>Igual</v>
      </c>
      <c r="P45" s="86" t="str">
        <f>IFERROR(VLOOKUP($B45,'LISTA - Atual'!$B$1:$I$444,7,0),"Novo")</f>
        <v>N</v>
      </c>
      <c r="Q45" s="86" t="str">
        <f t="shared" si="13"/>
        <v>Igual</v>
      </c>
      <c r="R45" s="86" t="s">
        <v>1563</v>
      </c>
      <c r="S45" s="86" t="str">
        <f>IFERROR(VLOOKUP($B45,'LISTA - Atual'!$B$1:$I$444,8,0),"Novo")</f>
        <v>N</v>
      </c>
      <c r="T45" s="86" t="str">
        <f t="shared" si="14"/>
        <v>Igual</v>
      </c>
      <c r="U45" s="86" t="s">
        <v>1563</v>
      </c>
      <c r="V45" s="90" t="s">
        <v>13</v>
      </c>
      <c r="W45" s="87" t="str">
        <f>IFERROR(VLOOKUP(B45,#REF!,11,0),"n/a")</f>
        <v>n/a</v>
      </c>
      <c r="X45" s="91" t="str">
        <f>IFERROR(VLOOKUP(B45,#REF!,8,0),"n/a")</f>
        <v>n/a</v>
      </c>
      <c r="Y45" s="87" t="str">
        <f t="shared" si="10"/>
        <v>ESTR</v>
      </c>
      <c r="Z45" s="131" t="s">
        <v>1605</v>
      </c>
      <c r="AA45" s="227" t="e">
        <f>VLOOKUP(Table1[[#This Row],[CONCAT]],'Campos Resumo Prop2.0'!A:H,8,0)</f>
        <v>#N/A</v>
      </c>
      <c r="AB45" s="87" t="s">
        <v>1654</v>
      </c>
      <c r="AC45" s="135" t="s">
        <v>1625</v>
      </c>
      <c r="AD45" s="135">
        <v>10</v>
      </c>
      <c r="AE45" s="135">
        <v>8</v>
      </c>
      <c r="AF45" s="87">
        <f>INDEX(Auxiliar!$D$5:$I$10,MATCH('LISTA - Setembro2024'!AF$3,Auxiliar!$B$5:$B$10,0),MATCH('LISTA - Setembro2024'!$AC45,Auxiliar!$D$4:$I$4,0))</f>
        <v>0</v>
      </c>
      <c r="AG45" s="87" t="str">
        <f t="shared" si="4"/>
        <v>n.a.</v>
      </c>
      <c r="AH45" s="87">
        <f>INDEX(Auxiliar!$D$5:$I$10,MATCH('LISTA - Setembro2024'!AH$3,Auxiliar!$B$5:$B$10,0),MATCH('LISTA - Setembro2024'!$AG45,Auxiliar!$D$4:$I$4,0))</f>
        <v>0</v>
      </c>
      <c r="AI45" s="87">
        <f>INDEX(Auxiliar!$D$5:$I$10,MATCH('LISTA - Setembro2024'!AI$3,Auxiliar!$B$5:$B$10,0),MATCH('LISTA - Setembro2024'!$AC45,Auxiliar!$D$4:$I$4,0))</f>
        <v>0</v>
      </c>
      <c r="AJ45" s="87">
        <f>INDEX(Auxiliar!$D$5:$I$10,MATCH('LISTA - Setembro2024'!AJ$3,Auxiliar!$B$5:$B$10,0),MATCH('LISTA - Setembro2024'!$AC45,Auxiliar!$D$4:$I$4,0))</f>
        <v>0</v>
      </c>
      <c r="AK45" s="160">
        <f t="shared" si="5"/>
        <v>0</v>
      </c>
      <c r="AL45" s="87" t="s">
        <v>1697</v>
      </c>
    </row>
    <row r="46" spans="1:38" ht="13.8" x14ac:dyDescent="0.25">
      <c r="A46" s="158" t="s">
        <v>139</v>
      </c>
      <c r="B46" s="81" t="str">
        <f t="shared" si="6"/>
        <v>ENTITY_PRFRMNG_STTS_LE</v>
      </c>
      <c r="C46" s="82" t="s">
        <v>10</v>
      </c>
      <c r="D46" s="83" t="s">
        <v>140</v>
      </c>
      <c r="E46" s="84" t="s">
        <v>141</v>
      </c>
      <c r="F46" s="85" t="s">
        <v>13</v>
      </c>
      <c r="G46" s="85" t="s">
        <v>11</v>
      </c>
      <c r="H46" s="85" t="s">
        <v>11</v>
      </c>
      <c r="I46" s="85" t="s">
        <v>11</v>
      </c>
      <c r="J46" s="85" t="s">
        <v>11</v>
      </c>
      <c r="K46" s="85" t="s">
        <v>13</v>
      </c>
      <c r="L46" s="86" t="str">
        <f>IFERROR(VLOOKUP($B46,'LISTA - Atual'!$B$1:$I$444,5,0),"Novo")</f>
        <v>Y</v>
      </c>
      <c r="M46" s="86" t="str">
        <f t="shared" si="11"/>
        <v>Igual</v>
      </c>
      <c r="N46" s="86" t="str">
        <f>IFERROR(VLOOKUP($B46,'LISTA - Atual'!$B$1:$I$444,6,0),"Novo")</f>
        <v>N</v>
      </c>
      <c r="O46" s="86" t="str">
        <f t="shared" si="12"/>
        <v>Igual</v>
      </c>
      <c r="P46" s="86" t="str">
        <f>IFERROR(VLOOKUP($B46,'LISTA - Atual'!$B$1:$I$444,7,0),"Novo")</f>
        <v>N</v>
      </c>
      <c r="Q46" s="86" t="str">
        <f t="shared" si="13"/>
        <v>Igual</v>
      </c>
      <c r="R46" s="86" t="s">
        <v>1563</v>
      </c>
      <c r="S46" s="86" t="str">
        <f>IFERROR(VLOOKUP($B46,'LISTA - Atual'!$B$1:$I$444,8,0),"Novo")</f>
        <v>N</v>
      </c>
      <c r="T46" s="86" t="str">
        <f t="shared" si="14"/>
        <v>Igual</v>
      </c>
      <c r="U46" s="86" t="s">
        <v>1563</v>
      </c>
      <c r="V46" s="86" t="s">
        <v>11</v>
      </c>
      <c r="W46" s="87" t="str">
        <f>IFERROR(VLOOKUP(B46,#REF!,11,0),"n/a")</f>
        <v>n/a</v>
      </c>
      <c r="X46" s="87" t="str">
        <f>IFERROR(VLOOKUP(B46,#REF!,8,0),"n/a")</f>
        <v>n/a</v>
      </c>
      <c r="Y46" s="87" t="str">
        <f t="shared" si="10"/>
        <v>ESTR</v>
      </c>
      <c r="Z46" s="131" t="s">
        <v>1605</v>
      </c>
      <c r="AA46" s="227" t="e">
        <f>VLOOKUP(Table1[[#This Row],[CONCAT]],'Campos Resumo Prop2.0'!A:H,8,0)</f>
        <v>#N/A</v>
      </c>
      <c r="AB46" s="87" t="s">
        <v>1650</v>
      </c>
      <c r="AC46" s="135" t="s">
        <v>1625</v>
      </c>
      <c r="AD46" s="91">
        <f>INDEX(Auxiliar!$D$5:$I$10,MATCH('LISTA - Setembro2024'!AD$3,Auxiliar!$B$5:$B$10,0),MATCH('LISTA - Setembro2024'!$AC46,Auxiliar!$D$4:$I$4,0))</f>
        <v>0</v>
      </c>
      <c r="AE46" s="91">
        <f>INDEX(Auxiliar!$D$5:$I$10,MATCH('LISTA - Setembro2024'!AE$3,Auxiliar!$B$5:$B$10,0),MATCH('LISTA - Setembro2024'!$AC46,Auxiliar!$D$4:$I$4,0))</f>
        <v>0</v>
      </c>
      <c r="AF46" s="87">
        <f>INDEX(Auxiliar!$D$5:$I$10,MATCH('LISTA - Setembro2024'!AF$3,Auxiliar!$B$5:$B$10,0),MATCH('LISTA - Setembro2024'!$AC46,Auxiliar!$D$4:$I$4,0))</f>
        <v>0</v>
      </c>
      <c r="AG46" s="87" t="str">
        <f t="shared" si="4"/>
        <v>n.a.</v>
      </c>
      <c r="AH46" s="87">
        <f>INDEX(Auxiliar!$D$5:$I$10,MATCH('LISTA - Setembro2024'!AH$3,Auxiliar!$B$5:$B$10,0),MATCH('LISTA - Setembro2024'!$AG46,Auxiliar!$D$4:$I$4,0))</f>
        <v>0</v>
      </c>
      <c r="AI46" s="87">
        <f>INDEX(Auxiliar!$D$5:$I$10,MATCH('LISTA - Setembro2024'!AI$3,Auxiliar!$B$5:$B$10,0),MATCH('LISTA - Setembro2024'!$AC46,Auxiliar!$D$4:$I$4,0))</f>
        <v>0</v>
      </c>
      <c r="AJ46" s="87">
        <f>INDEX(Auxiliar!$D$5:$I$10,MATCH('LISTA - Setembro2024'!AJ$3,Auxiliar!$B$5:$B$10,0),MATCH('LISTA - Setembro2024'!$AC46,Auxiliar!$D$4:$I$4,0))</f>
        <v>0</v>
      </c>
      <c r="AK46" s="160">
        <f t="shared" si="5"/>
        <v>0</v>
      </c>
      <c r="AL46" s="87"/>
    </row>
    <row r="47" spans="1:38" ht="13.8" x14ac:dyDescent="0.25">
      <c r="A47" s="158" t="s">
        <v>142</v>
      </c>
      <c r="B47" s="81" t="str">
        <f t="shared" si="6"/>
        <v>ENTITY_RTNG_MTHD</v>
      </c>
      <c r="C47" s="82" t="s">
        <v>10</v>
      </c>
      <c r="D47" s="92" t="s">
        <v>143</v>
      </c>
      <c r="E47" s="84" t="s">
        <v>144</v>
      </c>
      <c r="F47" s="85" t="s">
        <v>13</v>
      </c>
      <c r="G47" s="85" t="s">
        <v>11</v>
      </c>
      <c r="H47" s="85" t="s">
        <v>11</v>
      </c>
      <c r="I47" s="85" t="s">
        <v>11</v>
      </c>
      <c r="J47" s="85" t="s">
        <v>11</v>
      </c>
      <c r="K47" s="85" t="s">
        <v>13</v>
      </c>
      <c r="L47" s="86" t="str">
        <f>IFERROR(VLOOKUP($B47,'LISTA - Atual'!$B$1:$I$444,5,0),"Novo")</f>
        <v>Y</v>
      </c>
      <c r="M47" s="86" t="str">
        <f t="shared" si="11"/>
        <v>Igual</v>
      </c>
      <c r="N47" s="86" t="str">
        <f>IFERROR(VLOOKUP($B47,'LISTA - Atual'!$B$1:$I$444,6,0),"Novo")</f>
        <v>N</v>
      </c>
      <c r="O47" s="86" t="str">
        <f t="shared" si="12"/>
        <v>Igual</v>
      </c>
      <c r="P47" s="86" t="str">
        <f>IFERROR(VLOOKUP($B47,'LISTA - Atual'!$B$1:$I$444,7,0),"Novo")</f>
        <v>N</v>
      </c>
      <c r="Q47" s="86" t="str">
        <f t="shared" si="13"/>
        <v>Igual</v>
      </c>
      <c r="R47" s="86" t="s">
        <v>1563</v>
      </c>
      <c r="S47" s="86" t="str">
        <f>IFERROR(VLOOKUP($B47,'LISTA - Atual'!$B$1:$I$444,8,0),"Novo")</f>
        <v>N</v>
      </c>
      <c r="T47" s="86" t="str">
        <f t="shared" si="14"/>
        <v>Igual</v>
      </c>
      <c r="U47" s="86" t="s">
        <v>1563</v>
      </c>
      <c r="V47" s="86" t="s">
        <v>11</v>
      </c>
      <c r="W47" s="87" t="str">
        <f>IFERROR(VLOOKUP(B47,#REF!,11,0),"n/a")</f>
        <v>n/a</v>
      </c>
      <c r="X47" s="87" t="str">
        <f>IFERROR(VLOOKUP(B47,#REF!,8,0),"n/a")</f>
        <v>n/a</v>
      </c>
      <c r="Y47" s="87" t="str">
        <f t="shared" si="10"/>
        <v>ESTR</v>
      </c>
      <c r="Z47" s="131" t="s">
        <v>1605</v>
      </c>
      <c r="AA47" s="227" t="e">
        <f>VLOOKUP(Table1[[#This Row],[CONCAT]],'Campos Resumo Prop2.0'!A:H,8,0)</f>
        <v>#N/A</v>
      </c>
      <c r="AB47" s="87" t="s">
        <v>1650</v>
      </c>
      <c r="AC47" s="135" t="s">
        <v>1625</v>
      </c>
      <c r="AD47" s="135">
        <v>1</v>
      </c>
      <c r="AE47" s="91">
        <f>INDEX(Auxiliar!$D$5:$I$10,MATCH('LISTA - Setembro2024'!AE$3,Auxiliar!$B$5:$B$10,0),MATCH('LISTA - Setembro2024'!$AC47,Auxiliar!$D$4:$I$4,0))</f>
        <v>0</v>
      </c>
      <c r="AF47" s="87">
        <f>INDEX(Auxiliar!$D$5:$I$10,MATCH('LISTA - Setembro2024'!AF$3,Auxiliar!$B$5:$B$10,0),MATCH('LISTA - Setembro2024'!$AC47,Auxiliar!$D$4:$I$4,0))</f>
        <v>0</v>
      </c>
      <c r="AG47" s="87" t="str">
        <f t="shared" si="4"/>
        <v>n.a.</v>
      </c>
      <c r="AH47" s="87">
        <f>INDEX(Auxiliar!$D$5:$I$10,MATCH('LISTA - Setembro2024'!AH$3,Auxiliar!$B$5:$B$10,0),MATCH('LISTA - Setembro2024'!$AG47,Auxiliar!$D$4:$I$4,0))</f>
        <v>0</v>
      </c>
      <c r="AI47" s="87">
        <f>INDEX(Auxiliar!$D$5:$I$10,MATCH('LISTA - Setembro2024'!AI$3,Auxiliar!$B$5:$B$10,0),MATCH('LISTA - Setembro2024'!$AC47,Auxiliar!$D$4:$I$4,0))</f>
        <v>0</v>
      </c>
      <c r="AJ47" s="87">
        <f>INDEX(Auxiliar!$D$5:$I$10,MATCH('LISTA - Setembro2024'!AJ$3,Auxiliar!$B$5:$B$10,0),MATCH('LISTA - Setembro2024'!$AC47,Auxiliar!$D$4:$I$4,0))</f>
        <v>0</v>
      </c>
      <c r="AK47" s="160">
        <f t="shared" si="5"/>
        <v>0</v>
      </c>
      <c r="AL47" s="87" t="s">
        <v>1685</v>
      </c>
    </row>
    <row r="48" spans="1:38" ht="13.8" x14ac:dyDescent="0.25">
      <c r="A48" s="158" t="s">
        <v>145</v>
      </c>
      <c r="B48" s="81" t="str">
        <f t="shared" si="6"/>
        <v>ENTITY_RTNG_SCL</v>
      </c>
      <c r="C48" s="82" t="s">
        <v>10</v>
      </c>
      <c r="D48" s="83" t="s">
        <v>146</v>
      </c>
      <c r="E48" s="84" t="s">
        <v>147</v>
      </c>
      <c r="F48" s="85" t="s">
        <v>13</v>
      </c>
      <c r="G48" s="85" t="s">
        <v>11</v>
      </c>
      <c r="H48" s="85" t="s">
        <v>11</v>
      </c>
      <c r="I48" s="85" t="s">
        <v>11</v>
      </c>
      <c r="J48" s="85" t="s">
        <v>11</v>
      </c>
      <c r="K48" s="85" t="s">
        <v>13</v>
      </c>
      <c r="L48" s="86" t="str">
        <f>IFERROR(VLOOKUP($B48,'LISTA - Atual'!$B$1:$I$444,5,0),"Novo")</f>
        <v>Y</v>
      </c>
      <c r="M48" s="86" t="str">
        <f t="shared" si="11"/>
        <v>Igual</v>
      </c>
      <c r="N48" s="86" t="str">
        <f>IFERROR(VLOOKUP($B48,'LISTA - Atual'!$B$1:$I$444,6,0),"Novo")</f>
        <v>N</v>
      </c>
      <c r="O48" s="86" t="str">
        <f t="shared" si="12"/>
        <v>Igual</v>
      </c>
      <c r="P48" s="86" t="str">
        <f>IFERROR(VLOOKUP($B48,'LISTA - Atual'!$B$1:$I$444,7,0),"Novo")</f>
        <v>N</v>
      </c>
      <c r="Q48" s="86" t="str">
        <f t="shared" si="13"/>
        <v>Igual</v>
      </c>
      <c r="R48" s="86" t="s">
        <v>1563</v>
      </c>
      <c r="S48" s="86" t="str">
        <f>IFERROR(VLOOKUP($B48,'LISTA - Atual'!$B$1:$I$444,8,0),"Novo")</f>
        <v>N</v>
      </c>
      <c r="T48" s="86" t="str">
        <f t="shared" si="14"/>
        <v>Igual</v>
      </c>
      <c r="U48" s="86" t="s">
        <v>1563</v>
      </c>
      <c r="V48" s="86" t="s">
        <v>11</v>
      </c>
      <c r="W48" s="87" t="str">
        <f>IFERROR(VLOOKUP(B48,#REF!,11,0),"n/a")</f>
        <v>n/a</v>
      </c>
      <c r="X48" s="87" t="str">
        <f>IFERROR(VLOOKUP(B48,#REF!,8,0),"n/a")</f>
        <v>n/a</v>
      </c>
      <c r="Y48" s="87" t="str">
        <f t="shared" si="10"/>
        <v>ESTR</v>
      </c>
      <c r="Z48" s="131" t="s">
        <v>1605</v>
      </c>
      <c r="AA48" s="227" t="e">
        <f>VLOOKUP(Table1[[#This Row],[CONCAT]],'Campos Resumo Prop2.0'!A:H,8,0)</f>
        <v>#N/A</v>
      </c>
      <c r="AB48" s="87" t="s">
        <v>1650</v>
      </c>
      <c r="AC48" s="135" t="s">
        <v>1625</v>
      </c>
      <c r="AD48" s="91">
        <f>INDEX(Auxiliar!$D$5:$I$10,MATCH('LISTA - Setembro2024'!AD$3,Auxiliar!$B$5:$B$10,0),MATCH('LISTA - Setembro2024'!$AC48,Auxiliar!$D$4:$I$4,0))</f>
        <v>0</v>
      </c>
      <c r="AE48" s="91">
        <f>INDEX(Auxiliar!$D$5:$I$10,MATCH('LISTA - Setembro2024'!AE$3,Auxiliar!$B$5:$B$10,0),MATCH('LISTA - Setembro2024'!$AC48,Auxiliar!$D$4:$I$4,0))</f>
        <v>0</v>
      </c>
      <c r="AF48" s="87">
        <f>INDEX(Auxiliar!$D$5:$I$10,MATCH('LISTA - Setembro2024'!AF$3,Auxiliar!$B$5:$B$10,0),MATCH('LISTA - Setembro2024'!$AC48,Auxiliar!$D$4:$I$4,0))</f>
        <v>0</v>
      </c>
      <c r="AG48" s="87" t="str">
        <f t="shared" si="4"/>
        <v>n.a.</v>
      </c>
      <c r="AH48" s="87">
        <f>INDEX(Auxiliar!$D$5:$I$10,MATCH('LISTA - Setembro2024'!AH$3,Auxiliar!$B$5:$B$10,0),MATCH('LISTA - Setembro2024'!$AG48,Auxiliar!$D$4:$I$4,0))</f>
        <v>0</v>
      </c>
      <c r="AI48" s="87">
        <f>INDEX(Auxiliar!$D$5:$I$10,MATCH('LISTA - Setembro2024'!AI$3,Auxiliar!$B$5:$B$10,0),MATCH('LISTA - Setembro2024'!$AC48,Auxiliar!$D$4:$I$4,0))</f>
        <v>0</v>
      </c>
      <c r="AJ48" s="87">
        <f>INDEX(Auxiliar!$D$5:$I$10,MATCH('LISTA - Setembro2024'!AJ$3,Auxiliar!$B$5:$B$10,0),MATCH('LISTA - Setembro2024'!$AC48,Auxiliar!$D$4:$I$4,0))</f>
        <v>0</v>
      </c>
      <c r="AK48" s="160">
        <f t="shared" si="5"/>
        <v>0</v>
      </c>
      <c r="AL48" s="87"/>
    </row>
    <row r="49" spans="1:38" ht="13.8" x14ac:dyDescent="0.25">
      <c r="A49" s="158" t="s">
        <v>148</v>
      </c>
      <c r="B49" s="81" t="str">
        <f t="shared" si="6"/>
        <v>ENTITY_WTCH_LST</v>
      </c>
      <c r="C49" s="82" t="s">
        <v>10</v>
      </c>
      <c r="D49" s="83" t="s">
        <v>149</v>
      </c>
      <c r="E49" s="84" t="s">
        <v>150</v>
      </c>
      <c r="F49" s="85" t="s">
        <v>13</v>
      </c>
      <c r="G49" s="85" t="s">
        <v>11</v>
      </c>
      <c r="H49" s="85" t="s">
        <v>11</v>
      </c>
      <c r="I49" s="85" t="s">
        <v>11</v>
      </c>
      <c r="J49" s="85" t="s">
        <v>11</v>
      </c>
      <c r="K49" s="85" t="s">
        <v>13</v>
      </c>
      <c r="L49" s="86" t="str">
        <f>IFERROR(VLOOKUP($B49,'LISTA - Atual'!$B$1:$I$444,5,0),"Novo")</f>
        <v>Y</v>
      </c>
      <c r="M49" s="86" t="str">
        <f t="shared" si="11"/>
        <v>Igual</v>
      </c>
      <c r="N49" s="86" t="str">
        <f>IFERROR(VLOOKUP($B49,'LISTA - Atual'!$B$1:$I$444,6,0),"Novo")</f>
        <v>N</v>
      </c>
      <c r="O49" s="86" t="str">
        <f t="shared" si="12"/>
        <v>Igual</v>
      </c>
      <c r="P49" s="86" t="str">
        <f>IFERROR(VLOOKUP($B49,'LISTA - Atual'!$B$1:$I$444,7,0),"Novo")</f>
        <v>N</v>
      </c>
      <c r="Q49" s="86" t="str">
        <f t="shared" si="13"/>
        <v>Igual</v>
      </c>
      <c r="R49" s="86" t="s">
        <v>1563</v>
      </c>
      <c r="S49" s="86" t="str">
        <f>IFERROR(VLOOKUP($B49,'LISTA - Atual'!$B$1:$I$444,8,0),"Novo")</f>
        <v>N</v>
      </c>
      <c r="T49" s="86" t="str">
        <f t="shared" si="14"/>
        <v>Igual</v>
      </c>
      <c r="U49" s="86" t="s">
        <v>1563</v>
      </c>
      <c r="V49" s="86" t="s">
        <v>11</v>
      </c>
      <c r="W49" s="87" t="str">
        <f>IFERROR(VLOOKUP(B49,#REF!,11,0),"n/a")</f>
        <v>n/a</v>
      </c>
      <c r="X49" s="87" t="str">
        <f>IFERROR(VLOOKUP(B49,#REF!,8,0),"n/a")</f>
        <v>n/a</v>
      </c>
      <c r="Y49" s="87" t="str">
        <f t="shared" si="10"/>
        <v>ESTR</v>
      </c>
      <c r="Z49" s="131" t="s">
        <v>1605</v>
      </c>
      <c r="AA49" s="227" t="e">
        <f>VLOOKUP(Table1[[#This Row],[CONCAT]],'Campos Resumo Prop2.0'!A:H,8,0)</f>
        <v>#N/A</v>
      </c>
      <c r="AB49" s="87" t="s">
        <v>1654</v>
      </c>
      <c r="AC49" s="135" t="s">
        <v>1625</v>
      </c>
      <c r="AD49" s="91">
        <f>INDEX(Auxiliar!$D$5:$I$10,MATCH('LISTA - Setembro2024'!AD$3,Auxiliar!$B$5:$B$10,0),MATCH('LISTA - Setembro2024'!$AC49,Auxiliar!$D$4:$I$4,0))</f>
        <v>0</v>
      </c>
      <c r="AE49" s="91">
        <f>INDEX(Auxiliar!$D$5:$I$10,MATCH('LISTA - Setembro2024'!AE$3,Auxiliar!$B$5:$B$10,0),MATCH('LISTA - Setembro2024'!$AC49,Auxiliar!$D$4:$I$4,0))</f>
        <v>0</v>
      </c>
      <c r="AF49" s="87">
        <f>INDEX(Auxiliar!$D$5:$I$10,MATCH('LISTA - Setembro2024'!AF$3,Auxiliar!$B$5:$B$10,0),MATCH('LISTA - Setembro2024'!$AC49,Auxiliar!$D$4:$I$4,0))</f>
        <v>0</v>
      </c>
      <c r="AG49" s="87" t="str">
        <f t="shared" si="4"/>
        <v>n.a.</v>
      </c>
      <c r="AH49" s="87">
        <f>INDEX(Auxiliar!$D$5:$I$10,MATCH('LISTA - Setembro2024'!AH$3,Auxiliar!$B$5:$B$10,0),MATCH('LISTA - Setembro2024'!$AG49,Auxiliar!$D$4:$I$4,0))</f>
        <v>0</v>
      </c>
      <c r="AI49" s="87">
        <f>INDEX(Auxiliar!$D$5:$I$10,MATCH('LISTA - Setembro2024'!AI$3,Auxiliar!$B$5:$B$10,0),MATCH('LISTA - Setembro2024'!$AC49,Auxiliar!$D$4:$I$4,0))</f>
        <v>0</v>
      </c>
      <c r="AJ49" s="87">
        <f>INDEX(Auxiliar!$D$5:$I$10,MATCH('LISTA - Setembro2024'!AJ$3,Auxiliar!$B$5:$B$10,0),MATCH('LISTA - Setembro2024'!$AC49,Auxiliar!$D$4:$I$4,0))</f>
        <v>0</v>
      </c>
      <c r="AK49" s="160">
        <f t="shared" si="5"/>
        <v>0</v>
      </c>
      <c r="AL49" s="87"/>
    </row>
    <row r="50" spans="1:38" ht="13.8" x14ac:dyDescent="0.25">
      <c r="A50" s="158" t="s">
        <v>151</v>
      </c>
      <c r="B50" s="81" t="str">
        <f t="shared" si="6"/>
        <v>ENTITY_SNGL_PRPS_VHCL</v>
      </c>
      <c r="C50" s="82" t="s">
        <v>10</v>
      </c>
      <c r="D50" s="83" t="s">
        <v>152</v>
      </c>
      <c r="E50" s="84" t="s">
        <v>153</v>
      </c>
      <c r="F50" s="85" t="s">
        <v>13</v>
      </c>
      <c r="G50" s="85" t="s">
        <v>11</v>
      </c>
      <c r="H50" s="85" t="s">
        <v>11</v>
      </c>
      <c r="I50" s="85" t="s">
        <v>11</v>
      </c>
      <c r="J50" s="85" t="s">
        <v>11</v>
      </c>
      <c r="K50" s="85" t="s">
        <v>11</v>
      </c>
      <c r="L50" s="86" t="str">
        <f>IFERROR(VLOOKUP($B50,'LISTA - Atual'!$B$1:$I$444,5,0),"Novo")</f>
        <v>Y</v>
      </c>
      <c r="M50" s="86" t="str">
        <f t="shared" si="11"/>
        <v>Igual</v>
      </c>
      <c r="N50" s="86" t="str">
        <f>IFERROR(VLOOKUP($B50,'LISTA - Atual'!$B$1:$I$444,6,0),"Novo")</f>
        <v>N</v>
      </c>
      <c r="O50" s="86" t="str">
        <f t="shared" si="12"/>
        <v>Igual</v>
      </c>
      <c r="P50" s="86" t="str">
        <f>IFERROR(VLOOKUP($B50,'LISTA - Atual'!$B$1:$I$444,7,0),"Novo")</f>
        <v>N</v>
      </c>
      <c r="Q50" s="86" t="str">
        <f t="shared" si="13"/>
        <v>Igual</v>
      </c>
      <c r="R50" s="86" t="s">
        <v>1563</v>
      </c>
      <c r="S50" s="86" t="str">
        <f>IFERROR(VLOOKUP($B50,'LISTA - Atual'!$B$1:$I$444,8,0),"Novo")</f>
        <v>N</v>
      </c>
      <c r="T50" s="86" t="str">
        <f t="shared" si="14"/>
        <v>Igual</v>
      </c>
      <c r="U50" s="86" t="s">
        <v>1563</v>
      </c>
      <c r="V50" s="86" t="s">
        <v>11</v>
      </c>
      <c r="W50" s="87" t="str">
        <f>IFERROR(VLOOKUP(B50,#REF!,11,0),"n/a")</f>
        <v>n/a</v>
      </c>
      <c r="X50" s="87" t="str">
        <f>IFERROR(VLOOKUP(B50,#REF!,8,0),"n/a")</f>
        <v>n/a</v>
      </c>
      <c r="Y50" s="87" t="str">
        <f t="shared" si="10"/>
        <v>ESTR</v>
      </c>
      <c r="Z50" s="131" t="s">
        <v>1605</v>
      </c>
      <c r="AA50" s="227" t="e">
        <f>VLOOKUP(Table1[[#This Row],[CONCAT]],'Campos Resumo Prop2.0'!A:H,8,0)</f>
        <v>#N/A</v>
      </c>
      <c r="AB50" s="87" t="s">
        <v>1650</v>
      </c>
      <c r="AC50" s="135" t="s">
        <v>1625</v>
      </c>
      <c r="AD50" s="91">
        <f>INDEX(Auxiliar!$D$5:$I$10,MATCH('LISTA - Setembro2024'!AD$3,Auxiliar!$B$5:$B$10,0),MATCH('LISTA - Setembro2024'!$AC50,Auxiliar!$D$4:$I$4,0))</f>
        <v>0</v>
      </c>
      <c r="AE50" s="91">
        <f>INDEX(Auxiliar!$D$5:$I$10,MATCH('LISTA - Setembro2024'!AE$3,Auxiliar!$B$5:$B$10,0),MATCH('LISTA - Setembro2024'!$AC50,Auxiliar!$D$4:$I$4,0))</f>
        <v>0</v>
      </c>
      <c r="AF50" s="87">
        <f>INDEX(Auxiliar!$D$5:$I$10,MATCH('LISTA - Setembro2024'!AF$3,Auxiliar!$B$5:$B$10,0),MATCH('LISTA - Setembro2024'!$AC50,Auxiliar!$D$4:$I$4,0))</f>
        <v>0</v>
      </c>
      <c r="AG50" s="87" t="str">
        <f t="shared" si="4"/>
        <v>n.a.</v>
      </c>
      <c r="AH50" s="87">
        <f>INDEX(Auxiliar!$D$5:$I$10,MATCH('LISTA - Setembro2024'!AH$3,Auxiliar!$B$5:$B$10,0),MATCH('LISTA - Setembro2024'!$AG50,Auxiliar!$D$4:$I$4,0))</f>
        <v>0</v>
      </c>
      <c r="AI50" s="87">
        <f>INDEX(Auxiliar!$D$5:$I$10,MATCH('LISTA - Setembro2024'!AI$3,Auxiliar!$B$5:$B$10,0),MATCH('LISTA - Setembro2024'!$AC50,Auxiliar!$D$4:$I$4,0))</f>
        <v>0</v>
      </c>
      <c r="AJ50" s="87">
        <f>INDEX(Auxiliar!$D$5:$I$10,MATCH('LISTA - Setembro2024'!AJ$3,Auxiliar!$B$5:$B$10,0),MATCH('LISTA - Setembro2024'!$AC50,Auxiliar!$D$4:$I$4,0))</f>
        <v>0</v>
      </c>
      <c r="AK50" s="160">
        <f t="shared" si="5"/>
        <v>0</v>
      </c>
      <c r="AL50" s="87"/>
    </row>
    <row r="51" spans="1:38" ht="13.8" x14ac:dyDescent="0.25">
      <c r="A51" s="158" t="s">
        <v>154</v>
      </c>
      <c r="B51" s="81" t="str">
        <f t="shared" si="6"/>
        <v>ENTITY_GRP_EBITDA</v>
      </c>
      <c r="C51" s="82" t="s">
        <v>10</v>
      </c>
      <c r="D51" s="83" t="s">
        <v>155</v>
      </c>
      <c r="E51" s="84" t="s">
        <v>156</v>
      </c>
      <c r="F51" s="85" t="s">
        <v>13</v>
      </c>
      <c r="G51" s="85" t="s">
        <v>11</v>
      </c>
      <c r="H51" s="85" t="s">
        <v>11</v>
      </c>
      <c r="I51" s="85" t="s">
        <v>11</v>
      </c>
      <c r="J51" s="85" t="s">
        <v>11</v>
      </c>
      <c r="K51" s="85" t="s">
        <v>13</v>
      </c>
      <c r="L51" s="86" t="str">
        <f>IFERROR(VLOOKUP($B51,'LISTA - Atual'!$B$1:$I$444,5,0),"Novo")</f>
        <v>Y</v>
      </c>
      <c r="M51" s="86" t="str">
        <f t="shared" si="11"/>
        <v>Igual</v>
      </c>
      <c r="N51" s="86" t="str">
        <f>IFERROR(VLOOKUP($B51,'LISTA - Atual'!$B$1:$I$444,6,0),"Novo")</f>
        <v>N</v>
      </c>
      <c r="O51" s="86" t="str">
        <f t="shared" si="12"/>
        <v>Igual</v>
      </c>
      <c r="P51" s="86" t="str">
        <f>IFERROR(VLOOKUP($B51,'LISTA - Atual'!$B$1:$I$444,7,0),"Novo")</f>
        <v>N</v>
      </c>
      <c r="Q51" s="86" t="str">
        <f t="shared" si="13"/>
        <v>Igual</v>
      </c>
      <c r="R51" s="86" t="s">
        <v>1563</v>
      </c>
      <c r="S51" s="86" t="str">
        <f>IFERROR(VLOOKUP($B51,'LISTA - Atual'!$B$1:$I$444,8,0),"Novo")</f>
        <v>N</v>
      </c>
      <c r="T51" s="86" t="str">
        <f t="shared" si="14"/>
        <v>Igual</v>
      </c>
      <c r="U51" s="86" t="s">
        <v>1563</v>
      </c>
      <c r="V51" s="86" t="s">
        <v>11</v>
      </c>
      <c r="W51" s="87" t="str">
        <f>IFERROR(VLOOKUP(B51,#REF!,11,0),"n/a")</f>
        <v>n/a</v>
      </c>
      <c r="X51" s="87" t="str">
        <f>IFERROR(VLOOKUP(B51,#REF!,8,0),"n/a")</f>
        <v>n/a</v>
      </c>
      <c r="Y51" s="87" t="str">
        <f t="shared" si="10"/>
        <v>ESTR</v>
      </c>
      <c r="Z51" s="131" t="s">
        <v>1605</v>
      </c>
      <c r="AA51" s="227" t="e">
        <f>VLOOKUP(Table1[[#This Row],[CONCAT]],'Campos Resumo Prop2.0'!A:H,8,0)</f>
        <v>#N/A</v>
      </c>
      <c r="AB51" s="87" t="s">
        <v>1655</v>
      </c>
      <c r="AC51" s="135" t="s">
        <v>1625</v>
      </c>
      <c r="AD51" s="91">
        <f>INDEX(Auxiliar!$D$5:$I$10,MATCH('LISTA - Setembro2024'!AD$3,Auxiliar!$B$5:$B$10,0),MATCH('LISTA - Setembro2024'!$AC51,Auxiliar!$D$4:$I$4,0))</f>
        <v>0</v>
      </c>
      <c r="AE51" s="91">
        <f>INDEX(Auxiliar!$D$5:$I$10,MATCH('LISTA - Setembro2024'!AE$3,Auxiliar!$B$5:$B$10,0),MATCH('LISTA - Setembro2024'!$AC51,Auxiliar!$D$4:$I$4,0))</f>
        <v>0</v>
      </c>
      <c r="AF51" s="87">
        <f>INDEX(Auxiliar!$D$5:$I$10,MATCH('LISTA - Setembro2024'!AF$3,Auxiliar!$B$5:$B$10,0),MATCH('LISTA - Setembro2024'!$AC51,Auxiliar!$D$4:$I$4,0))</f>
        <v>0</v>
      </c>
      <c r="AG51" s="87" t="str">
        <f t="shared" si="4"/>
        <v>n.a.</v>
      </c>
      <c r="AH51" s="87">
        <f>INDEX(Auxiliar!$D$5:$I$10,MATCH('LISTA - Setembro2024'!AH$3,Auxiliar!$B$5:$B$10,0),MATCH('LISTA - Setembro2024'!$AG51,Auxiliar!$D$4:$I$4,0))</f>
        <v>0</v>
      </c>
      <c r="AI51" s="87">
        <f>INDEX(Auxiliar!$D$5:$I$10,MATCH('LISTA - Setembro2024'!AI$3,Auxiliar!$B$5:$B$10,0),MATCH('LISTA - Setembro2024'!$AC51,Auxiliar!$D$4:$I$4,0))</f>
        <v>0</v>
      </c>
      <c r="AJ51" s="87">
        <f>INDEX(Auxiliar!$D$5:$I$10,MATCH('LISTA - Setembro2024'!AJ$3,Auxiliar!$B$5:$B$10,0),MATCH('LISTA - Setembro2024'!$AC51,Auxiliar!$D$4:$I$4,0))</f>
        <v>0</v>
      </c>
      <c r="AK51" s="160">
        <f t="shared" si="5"/>
        <v>0</v>
      </c>
      <c r="AL51" s="87"/>
    </row>
    <row r="52" spans="1:38" ht="13.8" x14ac:dyDescent="0.25">
      <c r="A52" s="158" t="s">
        <v>157</v>
      </c>
      <c r="B52" s="81" t="str">
        <f t="shared" si="6"/>
        <v>ENTITY_GRP_EQTY</v>
      </c>
      <c r="C52" s="82" t="s">
        <v>10</v>
      </c>
      <c r="D52" s="83" t="s">
        <v>158</v>
      </c>
      <c r="E52" s="84" t="s">
        <v>159</v>
      </c>
      <c r="F52" s="85" t="s">
        <v>13</v>
      </c>
      <c r="G52" s="85" t="s">
        <v>11</v>
      </c>
      <c r="H52" s="85" t="s">
        <v>13</v>
      </c>
      <c r="I52" s="85" t="s">
        <v>11</v>
      </c>
      <c r="J52" s="85" t="s">
        <v>11</v>
      </c>
      <c r="K52" s="85" t="s">
        <v>13</v>
      </c>
      <c r="L52" s="86" t="str">
        <f>IFERROR(VLOOKUP($B52,'LISTA - Atual'!$B$1:$I$444,5,0),"Novo")</f>
        <v>Y</v>
      </c>
      <c r="M52" s="86" t="str">
        <f t="shared" si="11"/>
        <v>Igual</v>
      </c>
      <c r="N52" s="86" t="str">
        <f>IFERROR(VLOOKUP($B52,'LISTA - Atual'!$B$1:$I$444,6,0),"Novo")</f>
        <v>N</v>
      </c>
      <c r="O52" s="86" t="str">
        <f t="shared" si="12"/>
        <v>Igual</v>
      </c>
      <c r="P52" s="86" t="str">
        <f>IFERROR(VLOOKUP($B52,'LISTA - Atual'!$B$1:$I$444,7,0),"Novo")</f>
        <v>Y</v>
      </c>
      <c r="Q52" s="86" t="str">
        <f t="shared" si="13"/>
        <v>Igual</v>
      </c>
      <c r="R52" s="86" t="s">
        <v>1563</v>
      </c>
      <c r="S52" s="86" t="str">
        <f>IFERROR(VLOOKUP($B52,'LISTA - Atual'!$B$1:$I$444,8,0),"Novo")</f>
        <v>N</v>
      </c>
      <c r="T52" s="86" t="str">
        <f t="shared" si="14"/>
        <v>Igual</v>
      </c>
      <c r="U52" s="86" t="s">
        <v>1563</v>
      </c>
      <c r="V52" s="86" t="s">
        <v>11</v>
      </c>
      <c r="W52" s="87" t="str">
        <f>IFERROR(VLOOKUP(B52,#REF!,11,0),"n/a")</f>
        <v>n/a</v>
      </c>
      <c r="X52" s="87" t="str">
        <f>IFERROR(VLOOKUP(B52,#REF!,8,0),"n/a")</f>
        <v>n/a</v>
      </c>
      <c r="Y52" s="87" t="str">
        <f>$F$2&amp;$Y$1&amp;$H$2</f>
        <v>ESTR &amp; PILAR3</v>
      </c>
      <c r="Z52" s="131" t="s">
        <v>1605</v>
      </c>
      <c r="AA52" s="227" t="e">
        <f>VLOOKUP(Table1[[#This Row],[CONCAT]],'Campos Resumo Prop2.0'!A:H,8,0)</f>
        <v>#N/A</v>
      </c>
      <c r="AB52" s="87" t="s">
        <v>1655</v>
      </c>
      <c r="AC52" s="135" t="s">
        <v>1625</v>
      </c>
      <c r="AD52" s="91">
        <f>INDEX(Auxiliar!$D$5:$I$10,MATCH('LISTA - Setembro2024'!AD$3,Auxiliar!$B$5:$B$10,0),MATCH('LISTA - Setembro2024'!$AC52,Auxiliar!$D$4:$I$4,0))</f>
        <v>0</v>
      </c>
      <c r="AE52" s="91">
        <f>INDEX(Auxiliar!$D$5:$I$10,MATCH('LISTA - Setembro2024'!AE$3,Auxiliar!$B$5:$B$10,0),MATCH('LISTA - Setembro2024'!$AC52,Auxiliar!$D$4:$I$4,0))</f>
        <v>0</v>
      </c>
      <c r="AF52" s="87">
        <f>INDEX(Auxiliar!$D$5:$I$10,MATCH('LISTA - Setembro2024'!AF$3,Auxiliar!$B$5:$B$10,0),MATCH('LISTA - Setembro2024'!$AC52,Auxiliar!$D$4:$I$4,0))</f>
        <v>0</v>
      </c>
      <c r="AG52" s="87" t="str">
        <f t="shared" si="4"/>
        <v>n.a.</v>
      </c>
      <c r="AH52" s="87">
        <f>INDEX(Auxiliar!$D$5:$I$10,MATCH('LISTA - Setembro2024'!AH$3,Auxiliar!$B$5:$B$10,0),MATCH('LISTA - Setembro2024'!$AG52,Auxiliar!$D$4:$I$4,0))</f>
        <v>0</v>
      </c>
      <c r="AI52" s="87">
        <f>INDEX(Auxiliar!$D$5:$I$10,MATCH('LISTA - Setembro2024'!AI$3,Auxiliar!$B$5:$B$10,0),MATCH('LISTA - Setembro2024'!$AC52,Auxiliar!$D$4:$I$4,0))</f>
        <v>0</v>
      </c>
      <c r="AJ52" s="87">
        <f>INDEX(Auxiliar!$D$5:$I$10,MATCH('LISTA - Setembro2024'!AJ$3,Auxiliar!$B$5:$B$10,0),MATCH('LISTA - Setembro2024'!$AC52,Auxiliar!$D$4:$I$4,0))</f>
        <v>0</v>
      </c>
      <c r="AK52" s="160">
        <f t="shared" si="5"/>
        <v>0</v>
      </c>
      <c r="AL52" s="87"/>
    </row>
    <row r="53" spans="1:38" ht="13.8" x14ac:dyDescent="0.25">
      <c r="A53" s="158" t="s">
        <v>160</v>
      </c>
      <c r="B53" s="81" t="str">
        <f t="shared" si="6"/>
        <v>ENTITY_GRP_NT_DBT</v>
      </c>
      <c r="C53" s="82" t="s">
        <v>10</v>
      </c>
      <c r="D53" s="83" t="s">
        <v>161</v>
      </c>
      <c r="E53" s="84" t="s">
        <v>162</v>
      </c>
      <c r="F53" s="85" t="s">
        <v>13</v>
      </c>
      <c r="G53" s="85" t="s">
        <v>11</v>
      </c>
      <c r="H53" s="85" t="s">
        <v>11</v>
      </c>
      <c r="I53" s="85" t="s">
        <v>11</v>
      </c>
      <c r="J53" s="85" t="s">
        <v>11</v>
      </c>
      <c r="K53" s="85" t="s">
        <v>13</v>
      </c>
      <c r="L53" s="86" t="str">
        <f>IFERROR(VLOOKUP($B53,'LISTA - Atual'!$B$1:$I$444,5,0),"Novo")</f>
        <v>Y</v>
      </c>
      <c r="M53" s="86" t="str">
        <f t="shared" si="11"/>
        <v>Igual</v>
      </c>
      <c r="N53" s="86" t="str">
        <f>IFERROR(VLOOKUP($B53,'LISTA - Atual'!$B$1:$I$444,6,0),"Novo")</f>
        <v>N</v>
      </c>
      <c r="O53" s="86" t="str">
        <f t="shared" si="12"/>
        <v>Igual</v>
      </c>
      <c r="P53" s="86" t="str">
        <f>IFERROR(VLOOKUP($B53,'LISTA - Atual'!$B$1:$I$444,7,0),"Novo")</f>
        <v>N</v>
      </c>
      <c r="Q53" s="86" t="str">
        <f t="shared" si="13"/>
        <v>Igual</v>
      </c>
      <c r="R53" s="86" t="s">
        <v>1563</v>
      </c>
      <c r="S53" s="86" t="str">
        <f>IFERROR(VLOOKUP($B53,'LISTA - Atual'!$B$1:$I$444,8,0),"Novo")</f>
        <v>N</v>
      </c>
      <c r="T53" s="86" t="str">
        <f t="shared" si="14"/>
        <v>Igual</v>
      </c>
      <c r="U53" s="86" t="s">
        <v>1563</v>
      </c>
      <c r="V53" s="86" t="s">
        <v>11</v>
      </c>
      <c r="W53" s="87" t="str">
        <f>IFERROR(VLOOKUP(B53,#REF!,11,0),"n/a")</f>
        <v>n/a</v>
      </c>
      <c r="X53" s="87" t="str">
        <f>IFERROR(VLOOKUP(B53,#REF!,8,0),"n/a")</f>
        <v>n/a</v>
      </c>
      <c r="Y53" s="87" t="str">
        <f>$F$2</f>
        <v>ESTR</v>
      </c>
      <c r="Z53" s="131" t="s">
        <v>1605</v>
      </c>
      <c r="AA53" s="227" t="e">
        <f>VLOOKUP(Table1[[#This Row],[CONCAT]],'Campos Resumo Prop2.0'!A:H,8,0)</f>
        <v>#N/A</v>
      </c>
      <c r="AB53" s="87" t="s">
        <v>1655</v>
      </c>
      <c r="AC53" s="135" t="s">
        <v>1625</v>
      </c>
      <c r="AD53" s="91">
        <f>INDEX(Auxiliar!$D$5:$I$10,MATCH('LISTA - Setembro2024'!AD$3,Auxiliar!$B$5:$B$10,0),MATCH('LISTA - Setembro2024'!$AC53,Auxiliar!$D$4:$I$4,0))</f>
        <v>0</v>
      </c>
      <c r="AE53" s="91">
        <f>INDEX(Auxiliar!$D$5:$I$10,MATCH('LISTA - Setembro2024'!AE$3,Auxiliar!$B$5:$B$10,0),MATCH('LISTA - Setembro2024'!$AC53,Auxiliar!$D$4:$I$4,0))</f>
        <v>0</v>
      </c>
      <c r="AF53" s="87">
        <f>INDEX(Auxiliar!$D$5:$I$10,MATCH('LISTA - Setembro2024'!AF$3,Auxiliar!$B$5:$B$10,0),MATCH('LISTA - Setembro2024'!$AC53,Auxiliar!$D$4:$I$4,0))</f>
        <v>0</v>
      </c>
      <c r="AG53" s="87" t="str">
        <f t="shared" si="4"/>
        <v>n.a.</v>
      </c>
      <c r="AH53" s="87">
        <f>INDEX(Auxiliar!$D$5:$I$10,MATCH('LISTA - Setembro2024'!AH$3,Auxiliar!$B$5:$B$10,0),MATCH('LISTA - Setembro2024'!$AG53,Auxiliar!$D$4:$I$4,0))</f>
        <v>0</v>
      </c>
      <c r="AI53" s="87">
        <f>INDEX(Auxiliar!$D$5:$I$10,MATCH('LISTA - Setembro2024'!AI$3,Auxiliar!$B$5:$B$10,0),MATCH('LISTA - Setembro2024'!$AC53,Auxiliar!$D$4:$I$4,0))</f>
        <v>0</v>
      </c>
      <c r="AJ53" s="87">
        <f>INDEX(Auxiliar!$D$5:$I$10,MATCH('LISTA - Setembro2024'!AJ$3,Auxiliar!$B$5:$B$10,0),MATCH('LISTA - Setembro2024'!$AC53,Auxiliar!$D$4:$I$4,0))</f>
        <v>0</v>
      </c>
      <c r="AK53" s="160">
        <f t="shared" si="5"/>
        <v>0</v>
      </c>
      <c r="AL53" s="87"/>
    </row>
    <row r="54" spans="1:38" ht="13.8" x14ac:dyDescent="0.25">
      <c r="A54" s="158" t="s">
        <v>163</v>
      </c>
      <c r="B54" s="81" t="str">
        <f t="shared" si="6"/>
        <v>ENTITY_ANNL_TRNVR_LE</v>
      </c>
      <c r="C54" s="82" t="s">
        <v>10</v>
      </c>
      <c r="D54" s="83" t="s">
        <v>164</v>
      </c>
      <c r="E54" s="84" t="s">
        <v>165</v>
      </c>
      <c r="F54" s="85" t="s">
        <v>13</v>
      </c>
      <c r="G54" s="85" t="s">
        <v>11</v>
      </c>
      <c r="H54" s="85" t="s">
        <v>13</v>
      </c>
      <c r="I54" s="85" t="s">
        <v>11</v>
      </c>
      <c r="J54" s="85" t="s">
        <v>11</v>
      </c>
      <c r="K54" s="85" t="s">
        <v>13</v>
      </c>
      <c r="L54" s="86" t="str">
        <f>IFERROR(VLOOKUP($B54,'LISTA - Atual'!$B$1:$I$444,5,0),"Novo")</f>
        <v>Y</v>
      </c>
      <c r="M54" s="86" t="str">
        <f t="shared" si="11"/>
        <v>Igual</v>
      </c>
      <c r="N54" s="86" t="str">
        <f>IFERROR(VLOOKUP($B54,'LISTA - Atual'!$B$1:$I$444,6,0),"Novo")</f>
        <v>N</v>
      </c>
      <c r="O54" s="86" t="str">
        <f t="shared" si="12"/>
        <v>Igual</v>
      </c>
      <c r="P54" s="86" t="str">
        <f>IFERROR(VLOOKUP($B54,'LISTA - Atual'!$B$1:$I$444,7,0),"Novo")</f>
        <v>Y</v>
      </c>
      <c r="Q54" s="86" t="str">
        <f t="shared" si="13"/>
        <v>Igual</v>
      </c>
      <c r="R54" s="86" t="s">
        <v>1563</v>
      </c>
      <c r="S54" s="86" t="str">
        <f>IFERROR(VLOOKUP($B54,'LISTA - Atual'!$B$1:$I$444,8,0),"Novo")</f>
        <v>N</v>
      </c>
      <c r="T54" s="86" t="str">
        <f t="shared" si="14"/>
        <v>Igual</v>
      </c>
      <c r="U54" s="86" t="s">
        <v>1563</v>
      </c>
      <c r="V54" s="86" t="s">
        <v>11</v>
      </c>
      <c r="W54" s="87" t="str">
        <f>IFERROR(VLOOKUP(B54,#REF!,11,0),"n/a")</f>
        <v>n/a</v>
      </c>
      <c r="X54" s="88" t="str">
        <f>IFERROR(VLOOKUP(B54,#REF!,8,0),"n/a")</f>
        <v>n/a</v>
      </c>
      <c r="Y54" s="87" t="str">
        <f>$F$2&amp;$Y$1&amp;$H$2</f>
        <v>ESTR &amp; PILAR3</v>
      </c>
      <c r="Z54" s="131" t="s">
        <v>1605</v>
      </c>
      <c r="AA54" s="227" t="e">
        <f>VLOOKUP(Table1[[#This Row],[CONCAT]],'Campos Resumo Prop2.0'!A:H,8,0)</f>
        <v>#N/A</v>
      </c>
      <c r="AB54" s="87" t="s">
        <v>1655</v>
      </c>
      <c r="AC54" s="135" t="s">
        <v>1625</v>
      </c>
      <c r="AD54" s="91">
        <f>INDEX(Auxiliar!$D$5:$I$10,MATCH('LISTA - Setembro2024'!AD$3,Auxiliar!$B$5:$B$10,0),MATCH('LISTA - Setembro2024'!$AC54,Auxiliar!$D$4:$I$4,0))</f>
        <v>0</v>
      </c>
      <c r="AE54" s="91">
        <f>INDEX(Auxiliar!$D$5:$I$10,MATCH('LISTA - Setembro2024'!AE$3,Auxiliar!$B$5:$B$10,0),MATCH('LISTA - Setembro2024'!$AC54,Auxiliar!$D$4:$I$4,0))</f>
        <v>0</v>
      </c>
      <c r="AF54" s="87">
        <f>INDEX(Auxiliar!$D$5:$I$10,MATCH('LISTA - Setembro2024'!AF$3,Auxiliar!$B$5:$B$10,0),MATCH('LISTA - Setembro2024'!$AC54,Auxiliar!$D$4:$I$4,0))</f>
        <v>0</v>
      </c>
      <c r="AG54" s="87" t="str">
        <f t="shared" si="4"/>
        <v>n.a.</v>
      </c>
      <c r="AH54" s="87">
        <f>INDEX(Auxiliar!$D$5:$I$10,MATCH('LISTA - Setembro2024'!AH$3,Auxiliar!$B$5:$B$10,0),MATCH('LISTA - Setembro2024'!$AG54,Auxiliar!$D$4:$I$4,0))</f>
        <v>0</v>
      </c>
      <c r="AI54" s="87">
        <f>INDEX(Auxiliar!$D$5:$I$10,MATCH('LISTA - Setembro2024'!AI$3,Auxiliar!$B$5:$B$10,0),MATCH('LISTA - Setembro2024'!$AC54,Auxiliar!$D$4:$I$4,0))</f>
        <v>0</v>
      </c>
      <c r="AJ54" s="87">
        <f>INDEX(Auxiliar!$D$5:$I$10,MATCH('LISTA - Setembro2024'!AJ$3,Auxiliar!$B$5:$B$10,0),MATCH('LISTA - Setembro2024'!$AC54,Auxiliar!$D$4:$I$4,0))</f>
        <v>0</v>
      </c>
      <c r="AK54" s="160">
        <f t="shared" si="5"/>
        <v>0</v>
      </c>
      <c r="AL54" s="87" t="s">
        <v>1669</v>
      </c>
    </row>
    <row r="55" spans="1:38" ht="13.8" x14ac:dyDescent="0.25">
      <c r="A55" s="158" t="s">
        <v>166</v>
      </c>
      <c r="B55" s="81" t="str">
        <f t="shared" si="6"/>
        <v>ENTITY_ANNL_TRNVR_PRVS</v>
      </c>
      <c r="C55" s="82" t="s">
        <v>10</v>
      </c>
      <c r="D55" s="83" t="s">
        <v>167</v>
      </c>
      <c r="E55" s="84" t="s">
        <v>168</v>
      </c>
      <c r="F55" s="85" t="s">
        <v>13</v>
      </c>
      <c r="G55" s="85" t="s">
        <v>11</v>
      </c>
      <c r="H55" s="85" t="s">
        <v>11</v>
      </c>
      <c r="I55" s="85" t="s">
        <v>11</v>
      </c>
      <c r="J55" s="85" t="s">
        <v>11</v>
      </c>
      <c r="K55" s="85" t="s">
        <v>13</v>
      </c>
      <c r="L55" s="86" t="str">
        <f>IFERROR(VLOOKUP($B55,'LISTA - Atual'!$B$1:$I$444,5,0),"Novo")</f>
        <v>Y</v>
      </c>
      <c r="M55" s="86" t="str">
        <f t="shared" si="11"/>
        <v>Igual</v>
      </c>
      <c r="N55" s="86" t="str">
        <f>IFERROR(VLOOKUP($B55,'LISTA - Atual'!$B$1:$I$444,6,0),"Novo")</f>
        <v>N</v>
      </c>
      <c r="O55" s="86" t="str">
        <f t="shared" si="12"/>
        <v>Igual</v>
      </c>
      <c r="P55" s="86" t="str">
        <f>IFERROR(VLOOKUP($B55,'LISTA - Atual'!$B$1:$I$444,7,0),"Novo")</f>
        <v>N</v>
      </c>
      <c r="Q55" s="86" t="str">
        <f t="shared" si="13"/>
        <v>Igual</v>
      </c>
      <c r="R55" s="86" t="s">
        <v>1563</v>
      </c>
      <c r="S55" s="86" t="str">
        <f>IFERROR(VLOOKUP($B55,'LISTA - Atual'!$B$1:$I$444,8,0),"Novo")</f>
        <v>N</v>
      </c>
      <c r="T55" s="86" t="str">
        <f t="shared" si="14"/>
        <v>Igual</v>
      </c>
      <c r="U55" s="86" t="s">
        <v>1563</v>
      </c>
      <c r="V55" s="86" t="s">
        <v>11</v>
      </c>
      <c r="W55" s="87" t="str">
        <f>IFERROR(VLOOKUP(B55,#REF!,11,0),"n/a")</f>
        <v>n/a</v>
      </c>
      <c r="X55" s="88" t="str">
        <f>IFERROR(VLOOKUP(B55,#REF!,8,0),"n/a")</f>
        <v>n/a</v>
      </c>
      <c r="Y55" s="87" t="str">
        <f t="shared" ref="Y55:Y62" si="15">$F$2</f>
        <v>ESTR</v>
      </c>
      <c r="Z55" s="131" t="s">
        <v>1605</v>
      </c>
      <c r="AA55" s="227" t="e">
        <f>VLOOKUP(Table1[[#This Row],[CONCAT]],'Campos Resumo Prop2.0'!A:H,8,0)</f>
        <v>#N/A</v>
      </c>
      <c r="AB55" s="87" t="s">
        <v>1655</v>
      </c>
      <c r="AC55" s="135" t="s">
        <v>1625</v>
      </c>
      <c r="AD55" s="91">
        <f>INDEX(Auxiliar!$D$5:$I$10,MATCH('LISTA - Setembro2024'!AD$3,Auxiliar!$B$5:$B$10,0),MATCH('LISTA - Setembro2024'!$AC55,Auxiliar!$D$4:$I$4,0))</f>
        <v>0</v>
      </c>
      <c r="AE55" s="91">
        <f>INDEX(Auxiliar!$D$5:$I$10,MATCH('LISTA - Setembro2024'!AE$3,Auxiliar!$B$5:$B$10,0),MATCH('LISTA - Setembro2024'!$AC55,Auxiliar!$D$4:$I$4,0))</f>
        <v>0</v>
      </c>
      <c r="AF55" s="87">
        <f>INDEX(Auxiliar!$D$5:$I$10,MATCH('LISTA - Setembro2024'!AF$3,Auxiliar!$B$5:$B$10,0),MATCH('LISTA - Setembro2024'!$AC55,Auxiliar!$D$4:$I$4,0))</f>
        <v>0</v>
      </c>
      <c r="AG55" s="87" t="str">
        <f t="shared" si="4"/>
        <v>n.a.</v>
      </c>
      <c r="AH55" s="87">
        <f>INDEX(Auxiliar!$D$5:$I$10,MATCH('LISTA - Setembro2024'!AH$3,Auxiliar!$B$5:$B$10,0),MATCH('LISTA - Setembro2024'!$AG55,Auxiliar!$D$4:$I$4,0))</f>
        <v>0</v>
      </c>
      <c r="AI55" s="87">
        <f>INDEX(Auxiliar!$D$5:$I$10,MATCH('LISTA - Setembro2024'!AI$3,Auxiliar!$B$5:$B$10,0),MATCH('LISTA - Setembro2024'!$AC55,Auxiliar!$D$4:$I$4,0))</f>
        <v>0</v>
      </c>
      <c r="AJ55" s="87">
        <f>INDEX(Auxiliar!$D$5:$I$10,MATCH('LISTA - Setembro2024'!AJ$3,Auxiliar!$B$5:$B$10,0),MATCH('LISTA - Setembro2024'!$AC55,Auxiliar!$D$4:$I$4,0))</f>
        <v>0</v>
      </c>
      <c r="AK55" s="160">
        <f t="shared" si="5"/>
        <v>0</v>
      </c>
      <c r="AL55" s="87" t="s">
        <v>1669</v>
      </c>
    </row>
    <row r="56" spans="1:38" ht="13.8" x14ac:dyDescent="0.25">
      <c r="A56" s="158" t="s">
        <v>169</v>
      </c>
      <c r="B56" s="81" t="str">
        <f t="shared" si="6"/>
        <v>ENTITY_CAPEX</v>
      </c>
      <c r="C56" s="82" t="s">
        <v>10</v>
      </c>
      <c r="D56" s="83" t="s">
        <v>170</v>
      </c>
      <c r="E56" s="84" t="s">
        <v>171</v>
      </c>
      <c r="F56" s="85" t="s">
        <v>13</v>
      </c>
      <c r="G56" s="85" t="s">
        <v>11</v>
      </c>
      <c r="H56" s="85" t="s">
        <v>11</v>
      </c>
      <c r="I56" s="85" t="s">
        <v>11</v>
      </c>
      <c r="J56" s="85" t="s">
        <v>11</v>
      </c>
      <c r="K56" s="85" t="s">
        <v>11</v>
      </c>
      <c r="L56" s="86" t="str">
        <f>IFERROR(VLOOKUP($B56,'LISTA - Atual'!$B$1:$I$444,5,0),"Novo")</f>
        <v>Y</v>
      </c>
      <c r="M56" s="86" t="str">
        <f t="shared" si="11"/>
        <v>Igual</v>
      </c>
      <c r="N56" s="86" t="str">
        <f>IFERROR(VLOOKUP($B56,'LISTA - Atual'!$B$1:$I$444,6,0),"Novo")</f>
        <v>N</v>
      </c>
      <c r="O56" s="86" t="str">
        <f t="shared" si="12"/>
        <v>Igual</v>
      </c>
      <c r="P56" s="86" t="str">
        <f>IFERROR(VLOOKUP($B56,'LISTA - Atual'!$B$1:$I$444,7,0),"Novo")</f>
        <v>N</v>
      </c>
      <c r="Q56" s="86" t="str">
        <f t="shared" si="13"/>
        <v>Igual</v>
      </c>
      <c r="R56" s="86" t="s">
        <v>1563</v>
      </c>
      <c r="S56" s="86" t="str">
        <f>IFERROR(VLOOKUP($B56,'LISTA - Atual'!$B$1:$I$444,8,0),"Novo")</f>
        <v>N</v>
      </c>
      <c r="T56" s="86" t="str">
        <f t="shared" si="14"/>
        <v>Igual</v>
      </c>
      <c r="U56" s="86" t="s">
        <v>1563</v>
      </c>
      <c r="V56" s="86" t="s">
        <v>11</v>
      </c>
      <c r="W56" s="87" t="str">
        <f>IFERROR(VLOOKUP(B56,#REF!,11,0),"n/a")</f>
        <v>n/a</v>
      </c>
      <c r="X56" s="87" t="str">
        <f>IFERROR(VLOOKUP(B56,#REF!,8,0),"n/a")</f>
        <v>n/a</v>
      </c>
      <c r="Y56" s="87" t="str">
        <f t="shared" si="15"/>
        <v>ESTR</v>
      </c>
      <c r="Z56" s="131" t="s">
        <v>1605</v>
      </c>
      <c r="AA56" s="227" t="e">
        <f>VLOOKUP(Table1[[#This Row],[CONCAT]],'Campos Resumo Prop2.0'!A:H,8,0)</f>
        <v>#N/A</v>
      </c>
      <c r="AB56" s="87" t="s">
        <v>1655</v>
      </c>
      <c r="AC56" s="135" t="s">
        <v>1625</v>
      </c>
      <c r="AD56" s="91">
        <f>INDEX(Auxiliar!$D$5:$I$10,MATCH('LISTA - Setembro2024'!AD$3,Auxiliar!$B$5:$B$10,0),MATCH('LISTA - Setembro2024'!$AC56,Auxiliar!$D$4:$I$4,0))</f>
        <v>0</v>
      </c>
      <c r="AE56" s="91">
        <f>INDEX(Auxiliar!$D$5:$I$10,MATCH('LISTA - Setembro2024'!AE$3,Auxiliar!$B$5:$B$10,0),MATCH('LISTA - Setembro2024'!$AC56,Auxiliar!$D$4:$I$4,0))</f>
        <v>0</v>
      </c>
      <c r="AF56" s="87">
        <f>INDEX(Auxiliar!$D$5:$I$10,MATCH('LISTA - Setembro2024'!AF$3,Auxiliar!$B$5:$B$10,0),MATCH('LISTA - Setembro2024'!$AC56,Auxiliar!$D$4:$I$4,0))</f>
        <v>0</v>
      </c>
      <c r="AG56" s="87" t="str">
        <f t="shared" si="4"/>
        <v>n.a.</v>
      </c>
      <c r="AH56" s="87">
        <f>INDEX(Auxiliar!$D$5:$I$10,MATCH('LISTA - Setembro2024'!AH$3,Auxiliar!$B$5:$B$10,0),MATCH('LISTA - Setembro2024'!$AG56,Auxiliar!$D$4:$I$4,0))</f>
        <v>0</v>
      </c>
      <c r="AI56" s="87">
        <f>INDEX(Auxiliar!$D$5:$I$10,MATCH('LISTA - Setembro2024'!AI$3,Auxiliar!$B$5:$B$10,0),MATCH('LISTA - Setembro2024'!$AC56,Auxiliar!$D$4:$I$4,0))</f>
        <v>0</v>
      </c>
      <c r="AJ56" s="87">
        <f>INDEX(Auxiliar!$D$5:$I$10,MATCH('LISTA - Setembro2024'!AJ$3,Auxiliar!$B$5:$B$10,0),MATCH('LISTA - Setembro2024'!$AC56,Auxiliar!$D$4:$I$4,0))</f>
        <v>0</v>
      </c>
      <c r="AK56" s="160">
        <f t="shared" si="5"/>
        <v>0</v>
      </c>
      <c r="AL56" s="87"/>
    </row>
    <row r="57" spans="1:38" ht="13.8" x14ac:dyDescent="0.25">
      <c r="A57" s="158" t="s">
        <v>172</v>
      </c>
      <c r="B57" s="81" t="str">
        <f t="shared" si="6"/>
        <v>ENTITY_CAPEX_PRVS</v>
      </c>
      <c r="C57" s="82" t="s">
        <v>10</v>
      </c>
      <c r="D57" s="83" t="s">
        <v>173</v>
      </c>
      <c r="E57" s="84" t="s">
        <v>174</v>
      </c>
      <c r="F57" s="85" t="s">
        <v>13</v>
      </c>
      <c r="G57" s="85" t="s">
        <v>11</v>
      </c>
      <c r="H57" s="85" t="s">
        <v>11</v>
      </c>
      <c r="I57" s="85" t="s">
        <v>11</v>
      </c>
      <c r="J57" s="85" t="s">
        <v>11</v>
      </c>
      <c r="K57" s="85" t="s">
        <v>11</v>
      </c>
      <c r="L57" s="86" t="str">
        <f>IFERROR(VLOOKUP($B57,'LISTA - Atual'!$B$1:$I$444,5,0),"Novo")</f>
        <v>Y</v>
      </c>
      <c r="M57" s="86" t="str">
        <f t="shared" si="11"/>
        <v>Igual</v>
      </c>
      <c r="N57" s="86" t="str">
        <f>IFERROR(VLOOKUP($B57,'LISTA - Atual'!$B$1:$I$444,6,0),"Novo")</f>
        <v>N</v>
      </c>
      <c r="O57" s="86" t="str">
        <f t="shared" si="12"/>
        <v>Igual</v>
      </c>
      <c r="P57" s="86" t="str">
        <f>IFERROR(VLOOKUP($B57,'LISTA - Atual'!$B$1:$I$444,7,0),"Novo")</f>
        <v>N</v>
      </c>
      <c r="Q57" s="86" t="str">
        <f t="shared" si="13"/>
        <v>Igual</v>
      </c>
      <c r="R57" s="86" t="s">
        <v>1563</v>
      </c>
      <c r="S57" s="86" t="str">
        <f>IFERROR(VLOOKUP($B57,'LISTA - Atual'!$B$1:$I$444,8,0),"Novo")</f>
        <v>N</v>
      </c>
      <c r="T57" s="86" t="str">
        <f t="shared" si="14"/>
        <v>Igual</v>
      </c>
      <c r="U57" s="86" t="s">
        <v>1563</v>
      </c>
      <c r="V57" s="86" t="s">
        <v>11</v>
      </c>
      <c r="W57" s="87" t="str">
        <f>IFERROR(VLOOKUP(B57,#REF!,11,0),"n/a")</f>
        <v>n/a</v>
      </c>
      <c r="X57" s="87" t="str">
        <f>IFERROR(VLOOKUP(B57,#REF!,8,0),"n/a")</f>
        <v>n/a</v>
      </c>
      <c r="Y57" s="87" t="str">
        <f t="shared" si="15"/>
        <v>ESTR</v>
      </c>
      <c r="Z57" s="131" t="s">
        <v>1605</v>
      </c>
      <c r="AA57" s="227" t="e">
        <f>VLOOKUP(Table1[[#This Row],[CONCAT]],'Campos Resumo Prop2.0'!A:H,8,0)</f>
        <v>#N/A</v>
      </c>
      <c r="AB57" s="87" t="s">
        <v>1655</v>
      </c>
      <c r="AC57" s="135" t="s">
        <v>1625</v>
      </c>
      <c r="AD57" s="91">
        <f>INDEX(Auxiliar!$D$5:$I$10,MATCH('LISTA - Setembro2024'!AD$3,Auxiliar!$B$5:$B$10,0),MATCH('LISTA - Setembro2024'!$AC57,Auxiliar!$D$4:$I$4,0))</f>
        <v>0</v>
      </c>
      <c r="AE57" s="91">
        <f>INDEX(Auxiliar!$D$5:$I$10,MATCH('LISTA - Setembro2024'!AE$3,Auxiliar!$B$5:$B$10,0),MATCH('LISTA - Setembro2024'!$AC57,Auxiliar!$D$4:$I$4,0))</f>
        <v>0</v>
      </c>
      <c r="AF57" s="87">
        <f>INDEX(Auxiliar!$D$5:$I$10,MATCH('LISTA - Setembro2024'!AF$3,Auxiliar!$B$5:$B$10,0),MATCH('LISTA - Setembro2024'!$AC57,Auxiliar!$D$4:$I$4,0))</f>
        <v>0</v>
      </c>
      <c r="AG57" s="87" t="str">
        <f t="shared" si="4"/>
        <v>n.a.</v>
      </c>
      <c r="AH57" s="87">
        <f>INDEX(Auxiliar!$D$5:$I$10,MATCH('LISTA - Setembro2024'!AH$3,Auxiliar!$B$5:$B$10,0),MATCH('LISTA - Setembro2024'!$AG57,Auxiliar!$D$4:$I$4,0))</f>
        <v>0</v>
      </c>
      <c r="AI57" s="87">
        <f>INDEX(Auxiliar!$D$5:$I$10,MATCH('LISTA - Setembro2024'!AI$3,Auxiliar!$B$5:$B$10,0),MATCH('LISTA - Setembro2024'!$AC57,Auxiliar!$D$4:$I$4,0))</f>
        <v>0</v>
      </c>
      <c r="AJ57" s="87">
        <f>INDEX(Auxiliar!$D$5:$I$10,MATCH('LISTA - Setembro2024'!AJ$3,Auxiliar!$B$5:$B$10,0),MATCH('LISTA - Setembro2024'!$AC57,Auxiliar!$D$4:$I$4,0))</f>
        <v>0</v>
      </c>
      <c r="AK57" s="160">
        <f t="shared" si="5"/>
        <v>0</v>
      </c>
      <c r="AL57" s="87"/>
    </row>
    <row r="58" spans="1:38" ht="13.8" x14ac:dyDescent="0.25">
      <c r="A58" s="158" t="s">
        <v>175</v>
      </c>
      <c r="B58" s="81" t="str">
        <f t="shared" si="6"/>
        <v>ENTITY_CLLCTN_MD</v>
      </c>
      <c r="C58" s="82" t="s">
        <v>10</v>
      </c>
      <c r="D58" s="83" t="s">
        <v>176</v>
      </c>
      <c r="E58" s="84" t="s">
        <v>177</v>
      </c>
      <c r="F58" s="85" t="s">
        <v>13</v>
      </c>
      <c r="G58" s="85" t="s">
        <v>11</v>
      </c>
      <c r="H58" s="85" t="s">
        <v>11</v>
      </c>
      <c r="I58" s="85" t="s">
        <v>11</v>
      </c>
      <c r="J58" s="85" t="s">
        <v>11</v>
      </c>
      <c r="K58" s="85" t="s">
        <v>11</v>
      </c>
      <c r="L58" s="86" t="str">
        <f>IFERROR(VLOOKUP($B58,'LISTA - Atual'!$B$1:$I$444,5,0),"Novo")</f>
        <v>Y</v>
      </c>
      <c r="M58" s="86" t="str">
        <f t="shared" si="11"/>
        <v>Igual</v>
      </c>
      <c r="N58" s="86" t="str">
        <f>IFERROR(VLOOKUP($B58,'LISTA - Atual'!$B$1:$I$444,6,0),"Novo")</f>
        <v>N</v>
      </c>
      <c r="O58" s="86" t="str">
        <f t="shared" si="12"/>
        <v>Igual</v>
      </c>
      <c r="P58" s="86" t="str">
        <f>IFERROR(VLOOKUP($B58,'LISTA - Atual'!$B$1:$I$444,7,0),"Novo")</f>
        <v>N</v>
      </c>
      <c r="Q58" s="86" t="str">
        <f t="shared" si="13"/>
        <v>Igual</v>
      </c>
      <c r="R58" s="86" t="s">
        <v>1563</v>
      </c>
      <c r="S58" s="86" t="str">
        <f>IFERROR(VLOOKUP($B58,'LISTA - Atual'!$B$1:$I$444,8,0),"Novo")</f>
        <v>N</v>
      </c>
      <c r="T58" s="86" t="str">
        <f t="shared" si="14"/>
        <v>Igual</v>
      </c>
      <c r="U58" s="86" t="s">
        <v>1563</v>
      </c>
      <c r="V58" s="86" t="s">
        <v>11</v>
      </c>
      <c r="W58" s="87" t="str">
        <f>IFERROR(VLOOKUP(B58,#REF!,11,0),"n/a")</f>
        <v>n/a</v>
      </c>
      <c r="X58" s="87" t="str">
        <f>IFERROR(VLOOKUP(B58,#REF!,8,0),"n/a")</f>
        <v>n/a</v>
      </c>
      <c r="Y58" s="87" t="str">
        <f t="shared" si="15"/>
        <v>ESTR</v>
      </c>
      <c r="Z58" s="131" t="s">
        <v>1605</v>
      </c>
      <c r="AA58" s="227" t="e">
        <f>VLOOKUP(Table1[[#This Row],[CONCAT]],'Campos Resumo Prop2.0'!A:H,8,0)</f>
        <v>#N/A</v>
      </c>
      <c r="AB58" s="87" t="s">
        <v>1650</v>
      </c>
      <c r="AC58" s="135" t="s">
        <v>1625</v>
      </c>
      <c r="AD58" s="91">
        <f>INDEX(Auxiliar!$D$5:$I$10,MATCH('LISTA - Setembro2024'!AD$3,Auxiliar!$B$5:$B$10,0),MATCH('LISTA - Setembro2024'!$AC58,Auxiliar!$D$4:$I$4,0))</f>
        <v>0</v>
      </c>
      <c r="AE58" s="91">
        <f>INDEX(Auxiliar!$D$5:$I$10,MATCH('LISTA - Setembro2024'!AE$3,Auxiliar!$B$5:$B$10,0),MATCH('LISTA - Setembro2024'!$AC58,Auxiliar!$D$4:$I$4,0))</f>
        <v>0</v>
      </c>
      <c r="AF58" s="87">
        <f>INDEX(Auxiliar!$D$5:$I$10,MATCH('LISTA - Setembro2024'!AF$3,Auxiliar!$B$5:$B$10,0),MATCH('LISTA - Setembro2024'!$AC58,Auxiliar!$D$4:$I$4,0))</f>
        <v>0</v>
      </c>
      <c r="AG58" s="87" t="str">
        <f t="shared" si="4"/>
        <v>n.a.</v>
      </c>
      <c r="AH58" s="87">
        <f>INDEX(Auxiliar!$D$5:$I$10,MATCH('LISTA - Setembro2024'!AH$3,Auxiliar!$B$5:$B$10,0),MATCH('LISTA - Setembro2024'!$AG58,Auxiliar!$D$4:$I$4,0))</f>
        <v>0</v>
      </c>
      <c r="AI58" s="87">
        <f>INDEX(Auxiliar!$D$5:$I$10,MATCH('LISTA - Setembro2024'!AI$3,Auxiliar!$B$5:$B$10,0),MATCH('LISTA - Setembro2024'!$AC58,Auxiliar!$D$4:$I$4,0))</f>
        <v>0</v>
      </c>
      <c r="AJ58" s="87">
        <f>INDEX(Auxiliar!$D$5:$I$10,MATCH('LISTA - Setembro2024'!AJ$3,Auxiliar!$B$5:$B$10,0),MATCH('LISTA - Setembro2024'!$AC58,Auxiliar!$D$4:$I$4,0))</f>
        <v>0</v>
      </c>
      <c r="AK58" s="160">
        <f t="shared" si="5"/>
        <v>0</v>
      </c>
      <c r="AL58" s="87"/>
    </row>
    <row r="59" spans="1:38" ht="13.8" x14ac:dyDescent="0.25">
      <c r="A59" s="158" t="s">
        <v>178</v>
      </c>
      <c r="B59" s="81" t="str">
        <f t="shared" si="6"/>
        <v>ENTITY_CSH</v>
      </c>
      <c r="C59" s="82" t="s">
        <v>10</v>
      </c>
      <c r="D59" s="83" t="s">
        <v>179</v>
      </c>
      <c r="E59" s="84" t="s">
        <v>180</v>
      </c>
      <c r="F59" s="85" t="s">
        <v>13</v>
      </c>
      <c r="G59" s="85" t="s">
        <v>11</v>
      </c>
      <c r="H59" s="85" t="s">
        <v>11</v>
      </c>
      <c r="I59" s="85" t="s">
        <v>11</v>
      </c>
      <c r="J59" s="85" t="s">
        <v>11</v>
      </c>
      <c r="K59" s="85" t="s">
        <v>11</v>
      </c>
      <c r="L59" s="86" t="str">
        <f>IFERROR(VLOOKUP($B59,'LISTA - Atual'!$B$1:$I$444,5,0),"Novo")</f>
        <v>Y</v>
      </c>
      <c r="M59" s="86" t="str">
        <f t="shared" si="11"/>
        <v>Igual</v>
      </c>
      <c r="N59" s="86" t="str">
        <f>IFERROR(VLOOKUP($B59,'LISTA - Atual'!$B$1:$I$444,6,0),"Novo")</f>
        <v>N</v>
      </c>
      <c r="O59" s="86" t="str">
        <f t="shared" si="12"/>
        <v>Igual</v>
      </c>
      <c r="P59" s="86" t="str">
        <f>IFERROR(VLOOKUP($B59,'LISTA - Atual'!$B$1:$I$444,7,0),"Novo")</f>
        <v>N</v>
      </c>
      <c r="Q59" s="86" t="str">
        <f t="shared" si="13"/>
        <v>Igual</v>
      </c>
      <c r="R59" s="86" t="s">
        <v>1563</v>
      </c>
      <c r="S59" s="86" t="str">
        <f>IFERROR(VLOOKUP($B59,'LISTA - Atual'!$B$1:$I$444,8,0),"Novo")</f>
        <v>N</v>
      </c>
      <c r="T59" s="86" t="str">
        <f t="shared" si="14"/>
        <v>Igual</v>
      </c>
      <c r="U59" s="86" t="s">
        <v>1563</v>
      </c>
      <c r="V59" s="86" t="s">
        <v>11</v>
      </c>
      <c r="W59" s="87" t="str">
        <f>IFERROR(VLOOKUP(B59,#REF!,11,0),"n/a")</f>
        <v>n/a</v>
      </c>
      <c r="X59" s="87" t="str">
        <f>IFERROR(VLOOKUP(B59,#REF!,8,0),"n/a")</f>
        <v>n/a</v>
      </c>
      <c r="Y59" s="87" t="str">
        <f t="shared" si="15"/>
        <v>ESTR</v>
      </c>
      <c r="Z59" s="131" t="s">
        <v>1605</v>
      </c>
      <c r="AA59" s="227" t="e">
        <f>VLOOKUP(Table1[[#This Row],[CONCAT]],'Campos Resumo Prop2.0'!A:H,8,0)</f>
        <v>#N/A</v>
      </c>
      <c r="AB59" s="87" t="s">
        <v>1655</v>
      </c>
      <c r="AC59" s="135" t="s">
        <v>1625</v>
      </c>
      <c r="AD59" s="91">
        <f>INDEX(Auxiliar!$D$5:$I$10,MATCH('LISTA - Setembro2024'!AD$3,Auxiliar!$B$5:$B$10,0),MATCH('LISTA - Setembro2024'!$AC59,Auxiliar!$D$4:$I$4,0))</f>
        <v>0</v>
      </c>
      <c r="AE59" s="91">
        <f>INDEX(Auxiliar!$D$5:$I$10,MATCH('LISTA - Setembro2024'!AE$3,Auxiliar!$B$5:$B$10,0),MATCH('LISTA - Setembro2024'!$AC59,Auxiliar!$D$4:$I$4,0))</f>
        <v>0</v>
      </c>
      <c r="AF59" s="87">
        <f>INDEX(Auxiliar!$D$5:$I$10,MATCH('LISTA - Setembro2024'!AF$3,Auxiliar!$B$5:$B$10,0),MATCH('LISTA - Setembro2024'!$AC59,Auxiliar!$D$4:$I$4,0))</f>
        <v>0</v>
      </c>
      <c r="AG59" s="87" t="str">
        <f t="shared" si="4"/>
        <v>n.a.</v>
      </c>
      <c r="AH59" s="87">
        <f>INDEX(Auxiliar!$D$5:$I$10,MATCH('LISTA - Setembro2024'!AH$3,Auxiliar!$B$5:$B$10,0),MATCH('LISTA - Setembro2024'!$AG59,Auxiliar!$D$4:$I$4,0))</f>
        <v>0</v>
      </c>
      <c r="AI59" s="87">
        <f>INDEX(Auxiliar!$D$5:$I$10,MATCH('LISTA - Setembro2024'!AI$3,Auxiliar!$B$5:$B$10,0),MATCH('LISTA - Setembro2024'!$AC59,Auxiliar!$D$4:$I$4,0))</f>
        <v>0</v>
      </c>
      <c r="AJ59" s="87">
        <f>INDEX(Auxiliar!$D$5:$I$10,MATCH('LISTA - Setembro2024'!AJ$3,Auxiliar!$B$5:$B$10,0),MATCH('LISTA - Setembro2024'!$AC59,Auxiliar!$D$4:$I$4,0))</f>
        <v>0</v>
      </c>
      <c r="AK59" s="160">
        <f t="shared" si="5"/>
        <v>0</v>
      </c>
      <c r="AL59" s="87"/>
    </row>
    <row r="60" spans="1:38" ht="13.8" x14ac:dyDescent="0.25">
      <c r="A60" s="158" t="s">
        <v>181</v>
      </c>
      <c r="B60" s="81" t="str">
        <f t="shared" si="6"/>
        <v>ENTITY_CSH_PRVS</v>
      </c>
      <c r="C60" s="82" t="s">
        <v>10</v>
      </c>
      <c r="D60" s="83" t="s">
        <v>182</v>
      </c>
      <c r="E60" s="84" t="s">
        <v>183</v>
      </c>
      <c r="F60" s="85" t="s">
        <v>13</v>
      </c>
      <c r="G60" s="85" t="s">
        <v>11</v>
      </c>
      <c r="H60" s="85" t="s">
        <v>11</v>
      </c>
      <c r="I60" s="85" t="s">
        <v>11</v>
      </c>
      <c r="J60" s="85" t="s">
        <v>11</v>
      </c>
      <c r="K60" s="85" t="s">
        <v>11</v>
      </c>
      <c r="L60" s="86" t="str">
        <f>IFERROR(VLOOKUP($B60,'LISTA - Atual'!$B$1:$I$444,5,0),"Novo")</f>
        <v>Y</v>
      </c>
      <c r="M60" s="86" t="str">
        <f t="shared" si="11"/>
        <v>Igual</v>
      </c>
      <c r="N60" s="86" t="str">
        <f>IFERROR(VLOOKUP($B60,'LISTA - Atual'!$B$1:$I$444,6,0),"Novo")</f>
        <v>N</v>
      </c>
      <c r="O60" s="86" t="str">
        <f t="shared" si="12"/>
        <v>Igual</v>
      </c>
      <c r="P60" s="86" t="str">
        <f>IFERROR(VLOOKUP($B60,'LISTA - Atual'!$B$1:$I$444,7,0),"Novo")</f>
        <v>N</v>
      </c>
      <c r="Q60" s="86" t="str">
        <f t="shared" si="13"/>
        <v>Igual</v>
      </c>
      <c r="R60" s="86" t="s">
        <v>1563</v>
      </c>
      <c r="S60" s="86" t="str">
        <f>IFERROR(VLOOKUP($B60,'LISTA - Atual'!$B$1:$I$444,8,0),"Novo")</f>
        <v>N</v>
      </c>
      <c r="T60" s="86" t="str">
        <f t="shared" si="14"/>
        <v>Igual</v>
      </c>
      <c r="U60" s="86" t="s">
        <v>1563</v>
      </c>
      <c r="V60" s="86" t="s">
        <v>11</v>
      </c>
      <c r="W60" s="87" t="str">
        <f>IFERROR(VLOOKUP(B60,#REF!,11,0),"n/a")</f>
        <v>n/a</v>
      </c>
      <c r="X60" s="87" t="str">
        <f>IFERROR(VLOOKUP(B60,#REF!,8,0),"n/a")</f>
        <v>n/a</v>
      </c>
      <c r="Y60" s="87" t="str">
        <f t="shared" si="15"/>
        <v>ESTR</v>
      </c>
      <c r="Z60" s="131" t="s">
        <v>1605</v>
      </c>
      <c r="AA60" s="227" t="e">
        <f>VLOOKUP(Table1[[#This Row],[CONCAT]],'Campos Resumo Prop2.0'!A:H,8,0)</f>
        <v>#N/A</v>
      </c>
      <c r="AB60" s="87" t="s">
        <v>1655</v>
      </c>
      <c r="AC60" s="135" t="s">
        <v>1625</v>
      </c>
      <c r="AD60" s="91">
        <f>INDEX(Auxiliar!$D$5:$I$10,MATCH('LISTA - Setembro2024'!AD$3,Auxiliar!$B$5:$B$10,0),MATCH('LISTA - Setembro2024'!$AC60,Auxiliar!$D$4:$I$4,0))</f>
        <v>0</v>
      </c>
      <c r="AE60" s="91">
        <f>INDEX(Auxiliar!$D$5:$I$10,MATCH('LISTA - Setembro2024'!AE$3,Auxiliar!$B$5:$B$10,0),MATCH('LISTA - Setembro2024'!$AC60,Auxiliar!$D$4:$I$4,0))</f>
        <v>0</v>
      </c>
      <c r="AF60" s="87">
        <f>INDEX(Auxiliar!$D$5:$I$10,MATCH('LISTA - Setembro2024'!AF$3,Auxiliar!$B$5:$B$10,0),MATCH('LISTA - Setembro2024'!$AC60,Auxiliar!$D$4:$I$4,0))</f>
        <v>0</v>
      </c>
      <c r="AG60" s="87" t="str">
        <f t="shared" si="4"/>
        <v>n.a.</v>
      </c>
      <c r="AH60" s="87">
        <f>INDEX(Auxiliar!$D$5:$I$10,MATCH('LISTA - Setembro2024'!AH$3,Auxiliar!$B$5:$B$10,0),MATCH('LISTA - Setembro2024'!$AG60,Auxiliar!$D$4:$I$4,0))</f>
        <v>0</v>
      </c>
      <c r="AI60" s="87">
        <f>INDEX(Auxiliar!$D$5:$I$10,MATCH('LISTA - Setembro2024'!AI$3,Auxiliar!$B$5:$B$10,0),MATCH('LISTA - Setembro2024'!$AC60,Auxiliar!$D$4:$I$4,0))</f>
        <v>0</v>
      </c>
      <c r="AJ60" s="87">
        <f>INDEX(Auxiliar!$D$5:$I$10,MATCH('LISTA - Setembro2024'!AJ$3,Auxiliar!$B$5:$B$10,0),MATCH('LISTA - Setembro2024'!$AC60,Auxiliar!$D$4:$I$4,0))</f>
        <v>0</v>
      </c>
      <c r="AK60" s="160">
        <f t="shared" si="5"/>
        <v>0</v>
      </c>
      <c r="AL60" s="87"/>
    </row>
    <row r="61" spans="1:38" ht="13.8" x14ac:dyDescent="0.25">
      <c r="A61" s="158" t="s">
        <v>184</v>
      </c>
      <c r="B61" s="81" t="str">
        <f t="shared" si="6"/>
        <v>ENTITY_EBITDA</v>
      </c>
      <c r="C61" s="82" t="s">
        <v>10</v>
      </c>
      <c r="D61" s="83" t="s">
        <v>185</v>
      </c>
      <c r="E61" s="84" t="s">
        <v>186</v>
      </c>
      <c r="F61" s="85" t="s">
        <v>13</v>
      </c>
      <c r="G61" s="85" t="s">
        <v>11</v>
      </c>
      <c r="H61" s="85" t="s">
        <v>11</v>
      </c>
      <c r="I61" s="85" t="s">
        <v>11</v>
      </c>
      <c r="J61" s="85" t="s">
        <v>11</v>
      </c>
      <c r="K61" s="85" t="s">
        <v>13</v>
      </c>
      <c r="L61" s="86" t="str">
        <f>IFERROR(VLOOKUP($B61,'LISTA - Atual'!$B$1:$I$444,5,0),"Novo")</f>
        <v>Y</v>
      </c>
      <c r="M61" s="86" t="str">
        <f t="shared" si="11"/>
        <v>Igual</v>
      </c>
      <c r="N61" s="86" t="str">
        <f>IFERROR(VLOOKUP($B61,'LISTA - Atual'!$B$1:$I$444,6,0),"Novo")</f>
        <v>N</v>
      </c>
      <c r="O61" s="86" t="str">
        <f t="shared" si="12"/>
        <v>Igual</v>
      </c>
      <c r="P61" s="86" t="str">
        <f>IFERROR(VLOOKUP($B61,'LISTA - Atual'!$B$1:$I$444,7,0),"Novo")</f>
        <v>N</v>
      </c>
      <c r="Q61" s="86" t="str">
        <f t="shared" si="13"/>
        <v>Igual</v>
      </c>
      <c r="R61" s="86" t="s">
        <v>1563</v>
      </c>
      <c r="S61" s="86" t="str">
        <f>IFERROR(VLOOKUP($B61,'LISTA - Atual'!$B$1:$I$444,8,0),"Novo")</f>
        <v>N</v>
      </c>
      <c r="T61" s="86" t="str">
        <f t="shared" si="14"/>
        <v>Igual</v>
      </c>
      <c r="U61" s="86" t="s">
        <v>1563</v>
      </c>
      <c r="V61" s="86" t="s">
        <v>11</v>
      </c>
      <c r="W61" s="87" t="str">
        <f>IFERROR(VLOOKUP(B61,#REF!,11,0),"n/a")</f>
        <v>n/a</v>
      </c>
      <c r="X61" s="88" t="str">
        <f>IFERROR(VLOOKUP(B61,#REF!,8,0),"n/a")</f>
        <v>n/a</v>
      </c>
      <c r="Y61" s="87" t="str">
        <f t="shared" si="15"/>
        <v>ESTR</v>
      </c>
      <c r="Z61" s="131" t="s">
        <v>1605</v>
      </c>
      <c r="AA61" s="227" t="e">
        <f>VLOOKUP(Table1[[#This Row],[CONCAT]],'Campos Resumo Prop2.0'!A:H,8,0)</f>
        <v>#N/A</v>
      </c>
      <c r="AB61" s="87" t="s">
        <v>1655</v>
      </c>
      <c r="AC61" s="135" t="s">
        <v>1625</v>
      </c>
      <c r="AD61" s="91">
        <f>INDEX(Auxiliar!$D$5:$I$10,MATCH('LISTA - Setembro2024'!AD$3,Auxiliar!$B$5:$B$10,0),MATCH('LISTA - Setembro2024'!$AC61,Auxiliar!$D$4:$I$4,0))</f>
        <v>0</v>
      </c>
      <c r="AE61" s="91">
        <f>INDEX(Auxiliar!$D$5:$I$10,MATCH('LISTA - Setembro2024'!AE$3,Auxiliar!$B$5:$B$10,0),MATCH('LISTA - Setembro2024'!$AC61,Auxiliar!$D$4:$I$4,0))</f>
        <v>0</v>
      </c>
      <c r="AF61" s="87">
        <f>INDEX(Auxiliar!$D$5:$I$10,MATCH('LISTA - Setembro2024'!AF$3,Auxiliar!$B$5:$B$10,0),MATCH('LISTA - Setembro2024'!$AC61,Auxiliar!$D$4:$I$4,0))</f>
        <v>0</v>
      </c>
      <c r="AG61" s="87" t="str">
        <f t="shared" si="4"/>
        <v>n.a.</v>
      </c>
      <c r="AH61" s="87">
        <f>INDEX(Auxiliar!$D$5:$I$10,MATCH('LISTA - Setembro2024'!AH$3,Auxiliar!$B$5:$B$10,0),MATCH('LISTA - Setembro2024'!$AG61,Auxiliar!$D$4:$I$4,0))</f>
        <v>0</v>
      </c>
      <c r="AI61" s="87">
        <f>INDEX(Auxiliar!$D$5:$I$10,MATCH('LISTA - Setembro2024'!AI$3,Auxiliar!$B$5:$B$10,0),MATCH('LISTA - Setembro2024'!$AC61,Auxiliar!$D$4:$I$4,0))</f>
        <v>0</v>
      </c>
      <c r="AJ61" s="87">
        <f>INDEX(Auxiliar!$D$5:$I$10,MATCH('LISTA - Setembro2024'!AJ$3,Auxiliar!$B$5:$B$10,0),MATCH('LISTA - Setembro2024'!$AC61,Auxiliar!$D$4:$I$4,0))</f>
        <v>0</v>
      </c>
      <c r="AK61" s="160">
        <f t="shared" si="5"/>
        <v>0</v>
      </c>
      <c r="AL61" s="87" t="s">
        <v>1669</v>
      </c>
    </row>
    <row r="62" spans="1:38" ht="13.8" x14ac:dyDescent="0.25">
      <c r="A62" s="158" t="s">
        <v>187</v>
      </c>
      <c r="B62" s="81" t="str">
        <f t="shared" si="6"/>
        <v>ENTITY_EBITDA_PRVS</v>
      </c>
      <c r="C62" s="82" t="s">
        <v>10</v>
      </c>
      <c r="D62" s="83" t="s">
        <v>188</v>
      </c>
      <c r="E62" s="84" t="s">
        <v>189</v>
      </c>
      <c r="F62" s="85" t="s">
        <v>13</v>
      </c>
      <c r="G62" s="85" t="s">
        <v>11</v>
      </c>
      <c r="H62" s="85" t="s">
        <v>11</v>
      </c>
      <c r="I62" s="85" t="s">
        <v>11</v>
      </c>
      <c r="J62" s="85" t="s">
        <v>11</v>
      </c>
      <c r="K62" s="85" t="s">
        <v>13</v>
      </c>
      <c r="L62" s="86" t="str">
        <f>IFERROR(VLOOKUP($B62,'LISTA - Atual'!$B$1:$I$444,5,0),"Novo")</f>
        <v>Y</v>
      </c>
      <c r="M62" s="86" t="str">
        <f t="shared" si="11"/>
        <v>Igual</v>
      </c>
      <c r="N62" s="86" t="str">
        <f>IFERROR(VLOOKUP($B62,'LISTA - Atual'!$B$1:$I$444,6,0),"Novo")</f>
        <v>N</v>
      </c>
      <c r="O62" s="86" t="str">
        <f t="shared" si="12"/>
        <v>Igual</v>
      </c>
      <c r="P62" s="86" t="str">
        <f>IFERROR(VLOOKUP($B62,'LISTA - Atual'!$B$1:$I$444,7,0),"Novo")</f>
        <v>N</v>
      </c>
      <c r="Q62" s="86" t="str">
        <f t="shared" si="13"/>
        <v>Igual</v>
      </c>
      <c r="R62" s="86" t="s">
        <v>1563</v>
      </c>
      <c r="S62" s="86" t="str">
        <f>IFERROR(VLOOKUP($B62,'LISTA - Atual'!$B$1:$I$444,8,0),"Novo")</f>
        <v>N</v>
      </c>
      <c r="T62" s="86" t="str">
        <f t="shared" si="14"/>
        <v>Igual</v>
      </c>
      <c r="U62" s="86" t="s">
        <v>1563</v>
      </c>
      <c r="V62" s="86" t="s">
        <v>11</v>
      </c>
      <c r="W62" s="87" t="str">
        <f>IFERROR(VLOOKUP(B62,#REF!,11,0),"n/a")</f>
        <v>n/a</v>
      </c>
      <c r="X62" s="88" t="str">
        <f>IFERROR(VLOOKUP(B62,#REF!,8,0),"n/a")</f>
        <v>n/a</v>
      </c>
      <c r="Y62" s="87" t="str">
        <f t="shared" si="15"/>
        <v>ESTR</v>
      </c>
      <c r="Z62" s="131" t="s">
        <v>1605</v>
      </c>
      <c r="AA62" s="227" t="e">
        <f>VLOOKUP(Table1[[#This Row],[CONCAT]],'Campos Resumo Prop2.0'!A:H,8,0)</f>
        <v>#N/A</v>
      </c>
      <c r="AB62" s="87" t="s">
        <v>1655</v>
      </c>
      <c r="AC62" s="135" t="s">
        <v>1625</v>
      </c>
      <c r="AD62" s="91">
        <f>INDEX(Auxiliar!$D$5:$I$10,MATCH('LISTA - Setembro2024'!AD$3,Auxiliar!$B$5:$B$10,0),MATCH('LISTA - Setembro2024'!$AC62,Auxiliar!$D$4:$I$4,0))</f>
        <v>0</v>
      </c>
      <c r="AE62" s="91">
        <f>INDEX(Auxiliar!$D$5:$I$10,MATCH('LISTA - Setembro2024'!AE$3,Auxiliar!$B$5:$B$10,0),MATCH('LISTA - Setembro2024'!$AC62,Auxiliar!$D$4:$I$4,0))</f>
        <v>0</v>
      </c>
      <c r="AF62" s="87">
        <f>INDEX(Auxiliar!$D$5:$I$10,MATCH('LISTA - Setembro2024'!AF$3,Auxiliar!$B$5:$B$10,0),MATCH('LISTA - Setembro2024'!$AC62,Auxiliar!$D$4:$I$4,0))</f>
        <v>0</v>
      </c>
      <c r="AG62" s="87" t="str">
        <f t="shared" si="4"/>
        <v>n.a.</v>
      </c>
      <c r="AH62" s="87">
        <f>INDEX(Auxiliar!$D$5:$I$10,MATCH('LISTA - Setembro2024'!AH$3,Auxiliar!$B$5:$B$10,0),MATCH('LISTA - Setembro2024'!$AG62,Auxiliar!$D$4:$I$4,0))</f>
        <v>0</v>
      </c>
      <c r="AI62" s="87">
        <f>INDEX(Auxiliar!$D$5:$I$10,MATCH('LISTA - Setembro2024'!AI$3,Auxiliar!$B$5:$B$10,0),MATCH('LISTA - Setembro2024'!$AC62,Auxiliar!$D$4:$I$4,0))</f>
        <v>0</v>
      </c>
      <c r="AJ62" s="87">
        <f>INDEX(Auxiliar!$D$5:$I$10,MATCH('LISTA - Setembro2024'!AJ$3,Auxiliar!$B$5:$B$10,0),MATCH('LISTA - Setembro2024'!$AC62,Auxiliar!$D$4:$I$4,0))</f>
        <v>0</v>
      </c>
      <c r="AK62" s="160">
        <f t="shared" si="5"/>
        <v>0</v>
      </c>
      <c r="AL62" s="87" t="s">
        <v>1669</v>
      </c>
    </row>
    <row r="63" spans="1:38" ht="13.8" x14ac:dyDescent="0.25">
      <c r="A63" s="158" t="s">
        <v>190</v>
      </c>
      <c r="B63" s="81" t="str">
        <f t="shared" si="6"/>
        <v>ENTITY_EQTY</v>
      </c>
      <c r="C63" s="82" t="s">
        <v>10</v>
      </c>
      <c r="D63" s="83" t="s">
        <v>191</v>
      </c>
      <c r="E63" s="84" t="s">
        <v>192</v>
      </c>
      <c r="F63" s="85" t="s">
        <v>13</v>
      </c>
      <c r="G63" s="85" t="s">
        <v>11</v>
      </c>
      <c r="H63" s="85" t="s">
        <v>13</v>
      </c>
      <c r="I63" s="85" t="s">
        <v>11</v>
      </c>
      <c r="J63" s="85" t="s">
        <v>11</v>
      </c>
      <c r="K63" s="85" t="s">
        <v>13</v>
      </c>
      <c r="L63" s="86" t="str">
        <f>IFERROR(VLOOKUP($B63,'LISTA - Atual'!$B$1:$I$444,5,0),"Novo")</f>
        <v>Y</v>
      </c>
      <c r="M63" s="86" t="str">
        <f t="shared" si="11"/>
        <v>Igual</v>
      </c>
      <c r="N63" s="86" t="str">
        <f>IFERROR(VLOOKUP($B63,'LISTA - Atual'!$B$1:$I$444,6,0),"Novo")</f>
        <v>N</v>
      </c>
      <c r="O63" s="86" t="str">
        <f t="shared" si="12"/>
        <v>Igual</v>
      </c>
      <c r="P63" s="86" t="str">
        <f>IFERROR(VLOOKUP($B63,'LISTA - Atual'!$B$1:$I$444,7,0),"Novo")</f>
        <v>Y</v>
      </c>
      <c r="Q63" s="86" t="str">
        <f t="shared" si="13"/>
        <v>Igual</v>
      </c>
      <c r="R63" s="86" t="s">
        <v>1563</v>
      </c>
      <c r="S63" s="86" t="str">
        <f>IFERROR(VLOOKUP($B63,'LISTA - Atual'!$B$1:$I$444,8,0),"Novo")</f>
        <v>N</v>
      </c>
      <c r="T63" s="86" t="str">
        <f t="shared" si="14"/>
        <v>Igual</v>
      </c>
      <c r="U63" s="86" t="s">
        <v>1563</v>
      </c>
      <c r="V63" s="86" t="s">
        <v>11</v>
      </c>
      <c r="W63" s="87" t="str">
        <f>IFERROR(VLOOKUP(B63,#REF!,11,0),"n/a")</f>
        <v>n/a</v>
      </c>
      <c r="X63" s="88" t="str">
        <f>IFERROR(VLOOKUP(B63,#REF!,8,0),"n/a")</f>
        <v>n/a</v>
      </c>
      <c r="Y63" s="87" t="str">
        <f>$F$2&amp;$Y$1&amp;$H$2</f>
        <v>ESTR &amp; PILAR3</v>
      </c>
      <c r="Z63" s="131" t="s">
        <v>1605</v>
      </c>
      <c r="AA63" s="227" t="e">
        <f>VLOOKUP(Table1[[#This Row],[CONCAT]],'Campos Resumo Prop2.0'!A:H,8,0)</f>
        <v>#N/A</v>
      </c>
      <c r="AB63" s="87" t="s">
        <v>1655</v>
      </c>
      <c r="AC63" s="135" t="s">
        <v>1625</v>
      </c>
      <c r="AD63" s="91">
        <f>INDEX(Auxiliar!$D$5:$I$10,MATCH('LISTA - Setembro2024'!AD$3,Auxiliar!$B$5:$B$10,0),MATCH('LISTA - Setembro2024'!$AC63,Auxiliar!$D$4:$I$4,0))</f>
        <v>0</v>
      </c>
      <c r="AE63" s="91">
        <f>INDEX(Auxiliar!$D$5:$I$10,MATCH('LISTA - Setembro2024'!AE$3,Auxiliar!$B$5:$B$10,0),MATCH('LISTA - Setembro2024'!$AC63,Auxiliar!$D$4:$I$4,0))</f>
        <v>0</v>
      </c>
      <c r="AF63" s="87">
        <f>INDEX(Auxiliar!$D$5:$I$10,MATCH('LISTA - Setembro2024'!AF$3,Auxiliar!$B$5:$B$10,0),MATCH('LISTA - Setembro2024'!$AC63,Auxiliar!$D$4:$I$4,0))</f>
        <v>0</v>
      </c>
      <c r="AG63" s="87" t="str">
        <f t="shared" si="4"/>
        <v>n.a.</v>
      </c>
      <c r="AH63" s="87">
        <f>INDEX(Auxiliar!$D$5:$I$10,MATCH('LISTA - Setembro2024'!AH$3,Auxiliar!$B$5:$B$10,0),MATCH('LISTA - Setembro2024'!$AG63,Auxiliar!$D$4:$I$4,0))</f>
        <v>0</v>
      </c>
      <c r="AI63" s="87">
        <f>INDEX(Auxiliar!$D$5:$I$10,MATCH('LISTA - Setembro2024'!AI$3,Auxiliar!$B$5:$B$10,0),MATCH('LISTA - Setembro2024'!$AC63,Auxiliar!$D$4:$I$4,0))</f>
        <v>0</v>
      </c>
      <c r="AJ63" s="87">
        <f>INDEX(Auxiliar!$D$5:$I$10,MATCH('LISTA - Setembro2024'!AJ$3,Auxiliar!$B$5:$B$10,0),MATCH('LISTA - Setembro2024'!$AC63,Auxiliar!$D$4:$I$4,0))</f>
        <v>0</v>
      </c>
      <c r="AK63" s="160">
        <f t="shared" si="5"/>
        <v>0</v>
      </c>
      <c r="AL63" s="87" t="s">
        <v>1669</v>
      </c>
    </row>
    <row r="64" spans="1:38" ht="13.8" x14ac:dyDescent="0.25">
      <c r="A64" s="158" t="s">
        <v>193</v>
      </c>
      <c r="B64" s="81" t="str">
        <f t="shared" si="6"/>
        <v>ENTITY_EQTY_PRVS</v>
      </c>
      <c r="C64" s="82" t="s">
        <v>10</v>
      </c>
      <c r="D64" s="83" t="s">
        <v>194</v>
      </c>
      <c r="E64" s="84" t="s">
        <v>195</v>
      </c>
      <c r="F64" s="85" t="s">
        <v>13</v>
      </c>
      <c r="G64" s="85" t="s">
        <v>11</v>
      </c>
      <c r="H64" s="85" t="s">
        <v>11</v>
      </c>
      <c r="I64" s="85" t="s">
        <v>11</v>
      </c>
      <c r="J64" s="85" t="s">
        <v>11</v>
      </c>
      <c r="K64" s="85" t="s">
        <v>13</v>
      </c>
      <c r="L64" s="86" t="str">
        <f>IFERROR(VLOOKUP($B64,'LISTA - Atual'!$B$1:$I$444,5,0),"Novo")</f>
        <v>Y</v>
      </c>
      <c r="M64" s="86" t="str">
        <f t="shared" si="11"/>
        <v>Igual</v>
      </c>
      <c r="N64" s="86" t="str">
        <f>IFERROR(VLOOKUP($B64,'LISTA - Atual'!$B$1:$I$444,6,0),"Novo")</f>
        <v>N</v>
      </c>
      <c r="O64" s="86" t="str">
        <f t="shared" si="12"/>
        <v>Igual</v>
      </c>
      <c r="P64" s="86" t="str">
        <f>IFERROR(VLOOKUP($B64,'LISTA - Atual'!$B$1:$I$444,7,0),"Novo")</f>
        <v>N</v>
      </c>
      <c r="Q64" s="86" t="str">
        <f t="shared" si="13"/>
        <v>Igual</v>
      </c>
      <c r="R64" s="86" t="s">
        <v>1563</v>
      </c>
      <c r="S64" s="86" t="str">
        <f>IFERROR(VLOOKUP($B64,'LISTA - Atual'!$B$1:$I$444,8,0),"Novo")</f>
        <v>N</v>
      </c>
      <c r="T64" s="86" t="str">
        <f t="shared" si="14"/>
        <v>Igual</v>
      </c>
      <c r="U64" s="86" t="s">
        <v>1563</v>
      </c>
      <c r="V64" s="86" t="s">
        <v>11</v>
      </c>
      <c r="W64" s="87" t="str">
        <f>IFERROR(VLOOKUP(B64,#REF!,11,0),"n/a")</f>
        <v>n/a</v>
      </c>
      <c r="X64" s="88" t="str">
        <f>IFERROR(VLOOKUP(B64,#REF!,8,0),"n/a")</f>
        <v>n/a</v>
      </c>
      <c r="Y64" s="87" t="str">
        <f>$F$2</f>
        <v>ESTR</v>
      </c>
      <c r="Z64" s="131" t="s">
        <v>1605</v>
      </c>
      <c r="AA64" s="227" t="e">
        <f>VLOOKUP(Table1[[#This Row],[CONCAT]],'Campos Resumo Prop2.0'!A:H,8,0)</f>
        <v>#N/A</v>
      </c>
      <c r="AB64" s="87" t="s">
        <v>1655</v>
      </c>
      <c r="AC64" s="135" t="s">
        <v>1625</v>
      </c>
      <c r="AD64" s="91">
        <f>INDEX(Auxiliar!$D$5:$I$10,MATCH('LISTA - Setembro2024'!AD$3,Auxiliar!$B$5:$B$10,0),MATCH('LISTA - Setembro2024'!$AC64,Auxiliar!$D$4:$I$4,0))</f>
        <v>0</v>
      </c>
      <c r="AE64" s="91">
        <f>INDEX(Auxiliar!$D$5:$I$10,MATCH('LISTA - Setembro2024'!AE$3,Auxiliar!$B$5:$B$10,0),MATCH('LISTA - Setembro2024'!$AC64,Auxiliar!$D$4:$I$4,0))</f>
        <v>0</v>
      </c>
      <c r="AF64" s="87">
        <f>INDEX(Auxiliar!$D$5:$I$10,MATCH('LISTA - Setembro2024'!AF$3,Auxiliar!$B$5:$B$10,0),MATCH('LISTA - Setembro2024'!$AC64,Auxiliar!$D$4:$I$4,0))</f>
        <v>0</v>
      </c>
      <c r="AG64" s="87" t="str">
        <f t="shared" si="4"/>
        <v>n.a.</v>
      </c>
      <c r="AH64" s="87">
        <f>INDEX(Auxiliar!$D$5:$I$10,MATCH('LISTA - Setembro2024'!AH$3,Auxiliar!$B$5:$B$10,0),MATCH('LISTA - Setembro2024'!$AG64,Auxiliar!$D$4:$I$4,0))</f>
        <v>0</v>
      </c>
      <c r="AI64" s="87">
        <f>INDEX(Auxiliar!$D$5:$I$10,MATCH('LISTA - Setembro2024'!AI$3,Auxiliar!$B$5:$B$10,0),MATCH('LISTA - Setembro2024'!$AC64,Auxiliar!$D$4:$I$4,0))</f>
        <v>0</v>
      </c>
      <c r="AJ64" s="87">
        <f>INDEX(Auxiliar!$D$5:$I$10,MATCH('LISTA - Setembro2024'!AJ$3,Auxiliar!$B$5:$B$10,0),MATCH('LISTA - Setembro2024'!$AC64,Auxiliar!$D$4:$I$4,0))</f>
        <v>0</v>
      </c>
      <c r="AK64" s="160">
        <f t="shared" si="5"/>
        <v>0</v>
      </c>
      <c r="AL64" s="87" t="s">
        <v>1669</v>
      </c>
    </row>
    <row r="65" spans="1:38" ht="13.8" x14ac:dyDescent="0.25">
      <c r="A65" s="158" t="s">
        <v>196</v>
      </c>
      <c r="B65" s="81" t="str">
        <f t="shared" si="6"/>
        <v>ENTITY_GRP_TTL_DBT</v>
      </c>
      <c r="C65" s="82" t="s">
        <v>10</v>
      </c>
      <c r="D65" s="83" t="s">
        <v>197</v>
      </c>
      <c r="E65" s="84" t="s">
        <v>198</v>
      </c>
      <c r="F65" s="85" t="s">
        <v>13</v>
      </c>
      <c r="G65" s="85" t="s">
        <v>11</v>
      </c>
      <c r="H65" s="85" t="s">
        <v>13</v>
      </c>
      <c r="I65" s="85" t="s">
        <v>11</v>
      </c>
      <c r="J65" s="85" t="s">
        <v>11</v>
      </c>
      <c r="K65" s="85" t="s">
        <v>11</v>
      </c>
      <c r="L65" s="86" t="str">
        <f>IFERROR(VLOOKUP($B65,'LISTA - Atual'!$B$1:$I$444,5,0),"Novo")</f>
        <v>Y</v>
      </c>
      <c r="M65" s="86" t="str">
        <f t="shared" si="11"/>
        <v>Igual</v>
      </c>
      <c r="N65" s="86" t="str">
        <f>IFERROR(VLOOKUP($B65,'LISTA - Atual'!$B$1:$I$444,6,0),"Novo")</f>
        <v>N</v>
      </c>
      <c r="O65" s="86" t="str">
        <f t="shared" si="12"/>
        <v>Igual</v>
      </c>
      <c r="P65" s="86" t="str">
        <f>IFERROR(VLOOKUP($B65,'LISTA - Atual'!$B$1:$I$444,7,0),"Novo")</f>
        <v>Y</v>
      </c>
      <c r="Q65" s="86" t="str">
        <f t="shared" si="13"/>
        <v>Igual</v>
      </c>
      <c r="R65" s="86" t="s">
        <v>1563</v>
      </c>
      <c r="S65" s="86" t="str">
        <f>IFERROR(VLOOKUP($B65,'LISTA - Atual'!$B$1:$I$444,8,0),"Novo")</f>
        <v>N</v>
      </c>
      <c r="T65" s="86" t="str">
        <f t="shared" si="14"/>
        <v>Igual</v>
      </c>
      <c r="U65" s="86" t="s">
        <v>1563</v>
      </c>
      <c r="V65" s="86" t="s">
        <v>11</v>
      </c>
      <c r="W65" s="87" t="str">
        <f>IFERROR(VLOOKUP(B65,#REF!,11,0),"n/a")</f>
        <v>n/a</v>
      </c>
      <c r="X65" s="87" t="str">
        <f>IFERROR(VLOOKUP(B65,#REF!,8,0),"n/a")</f>
        <v>n/a</v>
      </c>
      <c r="Y65" s="87" t="str">
        <f>$F$2&amp;$Y$1&amp;$H$2</f>
        <v>ESTR &amp; PILAR3</v>
      </c>
      <c r="Z65" s="131" t="s">
        <v>1605</v>
      </c>
      <c r="AA65" s="227" t="e">
        <f>VLOOKUP(Table1[[#This Row],[CONCAT]],'Campos Resumo Prop2.0'!A:H,8,0)</f>
        <v>#N/A</v>
      </c>
      <c r="AB65" s="87" t="s">
        <v>1655</v>
      </c>
      <c r="AC65" s="135" t="s">
        <v>1625</v>
      </c>
      <c r="AD65" s="91">
        <f>INDEX(Auxiliar!$D$5:$I$10,MATCH('LISTA - Setembro2024'!AD$3,Auxiliar!$B$5:$B$10,0),MATCH('LISTA - Setembro2024'!$AC65,Auxiliar!$D$4:$I$4,0))</f>
        <v>0</v>
      </c>
      <c r="AE65" s="91">
        <f>INDEX(Auxiliar!$D$5:$I$10,MATCH('LISTA - Setembro2024'!AE$3,Auxiliar!$B$5:$B$10,0),MATCH('LISTA - Setembro2024'!$AC65,Auxiliar!$D$4:$I$4,0))</f>
        <v>0</v>
      </c>
      <c r="AF65" s="87">
        <f>INDEX(Auxiliar!$D$5:$I$10,MATCH('LISTA - Setembro2024'!AF$3,Auxiliar!$B$5:$B$10,0),MATCH('LISTA - Setembro2024'!$AC65,Auxiliar!$D$4:$I$4,0))</f>
        <v>0</v>
      </c>
      <c r="AG65" s="87" t="str">
        <f t="shared" si="4"/>
        <v>n.a.</v>
      </c>
      <c r="AH65" s="87">
        <f>INDEX(Auxiliar!$D$5:$I$10,MATCH('LISTA - Setembro2024'!AH$3,Auxiliar!$B$5:$B$10,0),MATCH('LISTA - Setembro2024'!$AG65,Auxiliar!$D$4:$I$4,0))</f>
        <v>0</v>
      </c>
      <c r="AI65" s="87">
        <f>INDEX(Auxiliar!$D$5:$I$10,MATCH('LISTA - Setembro2024'!AI$3,Auxiliar!$B$5:$B$10,0),MATCH('LISTA - Setembro2024'!$AC65,Auxiliar!$D$4:$I$4,0))</f>
        <v>0</v>
      </c>
      <c r="AJ65" s="87">
        <f>INDEX(Auxiliar!$D$5:$I$10,MATCH('LISTA - Setembro2024'!AJ$3,Auxiliar!$B$5:$B$10,0),MATCH('LISTA - Setembro2024'!$AC65,Auxiliar!$D$4:$I$4,0))</f>
        <v>0</v>
      </c>
      <c r="AK65" s="160">
        <f t="shared" si="5"/>
        <v>0</v>
      </c>
      <c r="AL65" s="87"/>
    </row>
    <row r="66" spans="1:38" ht="13.8" x14ac:dyDescent="0.25">
      <c r="A66" s="158" t="s">
        <v>199</v>
      </c>
      <c r="B66" s="81" t="str">
        <f t="shared" si="6"/>
        <v>ENTITY_GDWILL</v>
      </c>
      <c r="C66" s="82" t="s">
        <v>10</v>
      </c>
      <c r="D66" s="83" t="s">
        <v>200</v>
      </c>
      <c r="E66" s="84" t="s">
        <v>201</v>
      </c>
      <c r="F66" s="85" t="s">
        <v>13</v>
      </c>
      <c r="G66" s="85" t="s">
        <v>11</v>
      </c>
      <c r="H66" s="85" t="s">
        <v>11</v>
      </c>
      <c r="I66" s="85" t="s">
        <v>11</v>
      </c>
      <c r="J66" s="85" t="s">
        <v>11</v>
      </c>
      <c r="K66" s="85" t="s">
        <v>11</v>
      </c>
      <c r="L66" s="86" t="str">
        <f>IFERROR(VLOOKUP($B66,'LISTA - Atual'!$B$1:$I$444,5,0),"Novo")</f>
        <v>Y</v>
      </c>
      <c r="M66" s="86" t="str">
        <f t="shared" si="11"/>
        <v>Igual</v>
      </c>
      <c r="N66" s="86" t="str">
        <f>IFERROR(VLOOKUP($B66,'LISTA - Atual'!$B$1:$I$444,6,0),"Novo")</f>
        <v>N</v>
      </c>
      <c r="O66" s="86" t="str">
        <f t="shared" si="12"/>
        <v>Igual</v>
      </c>
      <c r="P66" s="86" t="str">
        <f>IFERROR(VLOOKUP($B66,'LISTA - Atual'!$B$1:$I$444,7,0),"Novo")</f>
        <v>N</v>
      </c>
      <c r="Q66" s="86" t="str">
        <f t="shared" si="13"/>
        <v>Igual</v>
      </c>
      <c r="R66" s="86" t="s">
        <v>1563</v>
      </c>
      <c r="S66" s="86" t="str">
        <f>IFERROR(VLOOKUP($B66,'LISTA - Atual'!$B$1:$I$444,8,0),"Novo")</f>
        <v>N</v>
      </c>
      <c r="T66" s="86" t="str">
        <f t="shared" si="14"/>
        <v>Igual</v>
      </c>
      <c r="U66" s="86" t="s">
        <v>1563</v>
      </c>
      <c r="V66" s="86" t="s">
        <v>11</v>
      </c>
      <c r="W66" s="87" t="str">
        <f>IFERROR(VLOOKUP(B66,#REF!,11,0),"n/a")</f>
        <v>n/a</v>
      </c>
      <c r="X66" s="87" t="str">
        <f>IFERROR(VLOOKUP(B66,#REF!,8,0),"n/a")</f>
        <v>n/a</v>
      </c>
      <c r="Y66" s="87" t="str">
        <f t="shared" ref="Y66:Y75" si="16">$F$2</f>
        <v>ESTR</v>
      </c>
      <c r="Z66" s="131" t="s">
        <v>1605</v>
      </c>
      <c r="AA66" s="227" t="e">
        <f>VLOOKUP(Table1[[#This Row],[CONCAT]],'Campos Resumo Prop2.0'!A:H,8,0)</f>
        <v>#N/A</v>
      </c>
      <c r="AB66" s="87" t="s">
        <v>1655</v>
      </c>
      <c r="AC66" s="135" t="s">
        <v>1625</v>
      </c>
      <c r="AD66" s="91">
        <f>INDEX(Auxiliar!$D$5:$I$10,MATCH('LISTA - Setembro2024'!AD$3,Auxiliar!$B$5:$B$10,0),MATCH('LISTA - Setembro2024'!$AC66,Auxiliar!$D$4:$I$4,0))</f>
        <v>0</v>
      </c>
      <c r="AE66" s="91">
        <f>INDEX(Auxiliar!$D$5:$I$10,MATCH('LISTA - Setembro2024'!AE$3,Auxiliar!$B$5:$B$10,0),MATCH('LISTA - Setembro2024'!$AC66,Auxiliar!$D$4:$I$4,0))</f>
        <v>0</v>
      </c>
      <c r="AF66" s="87">
        <f>INDEX(Auxiliar!$D$5:$I$10,MATCH('LISTA - Setembro2024'!AF$3,Auxiliar!$B$5:$B$10,0),MATCH('LISTA - Setembro2024'!$AC66,Auxiliar!$D$4:$I$4,0))</f>
        <v>0</v>
      </c>
      <c r="AG66" s="87" t="str">
        <f t="shared" si="4"/>
        <v>n.a.</v>
      </c>
      <c r="AH66" s="87">
        <f>INDEX(Auxiliar!$D$5:$I$10,MATCH('LISTA - Setembro2024'!AH$3,Auxiliar!$B$5:$B$10,0),MATCH('LISTA - Setembro2024'!$AG66,Auxiliar!$D$4:$I$4,0))</f>
        <v>0</v>
      </c>
      <c r="AI66" s="87">
        <f>INDEX(Auxiliar!$D$5:$I$10,MATCH('LISTA - Setembro2024'!AI$3,Auxiliar!$B$5:$B$10,0),MATCH('LISTA - Setembro2024'!$AC66,Auxiliar!$D$4:$I$4,0))</f>
        <v>0</v>
      </c>
      <c r="AJ66" s="87">
        <f>INDEX(Auxiliar!$D$5:$I$10,MATCH('LISTA - Setembro2024'!AJ$3,Auxiliar!$B$5:$B$10,0),MATCH('LISTA - Setembro2024'!$AC66,Auxiliar!$D$4:$I$4,0))</f>
        <v>0</v>
      </c>
      <c r="AK66" s="160">
        <f t="shared" si="5"/>
        <v>0</v>
      </c>
      <c r="AL66" s="87"/>
    </row>
    <row r="67" spans="1:38" ht="13.8" x14ac:dyDescent="0.25">
      <c r="A67" s="158" t="s">
        <v>202</v>
      </c>
      <c r="B67" s="81" t="str">
        <f t="shared" si="6"/>
        <v>ENTITY_GDWILL_PRVS</v>
      </c>
      <c r="C67" s="82" t="s">
        <v>10</v>
      </c>
      <c r="D67" s="83" t="s">
        <v>203</v>
      </c>
      <c r="E67" s="84" t="s">
        <v>204</v>
      </c>
      <c r="F67" s="85" t="s">
        <v>13</v>
      </c>
      <c r="G67" s="85" t="s">
        <v>11</v>
      </c>
      <c r="H67" s="85" t="s">
        <v>11</v>
      </c>
      <c r="I67" s="85" t="s">
        <v>11</v>
      </c>
      <c r="J67" s="85" t="s">
        <v>11</v>
      </c>
      <c r="K67" s="85" t="s">
        <v>11</v>
      </c>
      <c r="L67" s="86" t="str">
        <f>IFERROR(VLOOKUP($B67,'LISTA - Atual'!$B$1:$I$444,5,0),"Novo")</f>
        <v>Y</v>
      </c>
      <c r="M67" s="86" t="str">
        <f t="shared" si="11"/>
        <v>Igual</v>
      </c>
      <c r="N67" s="86" t="str">
        <f>IFERROR(VLOOKUP($B67,'LISTA - Atual'!$B$1:$I$444,6,0),"Novo")</f>
        <v>N</v>
      </c>
      <c r="O67" s="86" t="str">
        <f t="shared" si="12"/>
        <v>Igual</v>
      </c>
      <c r="P67" s="86" t="str">
        <f>IFERROR(VLOOKUP($B67,'LISTA - Atual'!$B$1:$I$444,7,0),"Novo")</f>
        <v>N</v>
      </c>
      <c r="Q67" s="86" t="str">
        <f t="shared" si="13"/>
        <v>Igual</v>
      </c>
      <c r="R67" s="86" t="s">
        <v>1563</v>
      </c>
      <c r="S67" s="86" t="str">
        <f>IFERROR(VLOOKUP($B67,'LISTA - Atual'!$B$1:$I$444,8,0),"Novo")</f>
        <v>N</v>
      </c>
      <c r="T67" s="86" t="str">
        <f t="shared" si="14"/>
        <v>Igual</v>
      </c>
      <c r="U67" s="86" t="s">
        <v>1563</v>
      </c>
      <c r="V67" s="86" t="s">
        <v>11</v>
      </c>
      <c r="W67" s="87" t="str">
        <f>IFERROR(VLOOKUP(B67,#REF!,11,0),"n/a")</f>
        <v>n/a</v>
      </c>
      <c r="X67" s="87" t="str">
        <f>IFERROR(VLOOKUP(B67,#REF!,8,0),"n/a")</f>
        <v>n/a</v>
      </c>
      <c r="Y67" s="87" t="str">
        <f t="shared" si="16"/>
        <v>ESTR</v>
      </c>
      <c r="Z67" s="131" t="s">
        <v>1605</v>
      </c>
      <c r="AA67" s="227" t="e">
        <f>VLOOKUP(Table1[[#This Row],[CONCAT]],'Campos Resumo Prop2.0'!A:H,8,0)</f>
        <v>#N/A</v>
      </c>
      <c r="AB67" s="87" t="s">
        <v>1655</v>
      </c>
      <c r="AC67" s="135" t="s">
        <v>1625</v>
      </c>
      <c r="AD67" s="91">
        <f>INDEX(Auxiliar!$D$5:$I$10,MATCH('LISTA - Setembro2024'!AD$3,Auxiliar!$B$5:$B$10,0),MATCH('LISTA - Setembro2024'!$AC67,Auxiliar!$D$4:$I$4,0))</f>
        <v>0</v>
      </c>
      <c r="AE67" s="91">
        <f>INDEX(Auxiliar!$D$5:$I$10,MATCH('LISTA - Setembro2024'!AE$3,Auxiliar!$B$5:$B$10,0),MATCH('LISTA - Setembro2024'!$AC67,Auxiliar!$D$4:$I$4,0))</f>
        <v>0</v>
      </c>
      <c r="AF67" s="87">
        <f>INDEX(Auxiliar!$D$5:$I$10,MATCH('LISTA - Setembro2024'!AF$3,Auxiliar!$B$5:$B$10,0),MATCH('LISTA - Setembro2024'!$AC67,Auxiliar!$D$4:$I$4,0))</f>
        <v>0</v>
      </c>
      <c r="AG67" s="87" t="str">
        <f t="shared" si="4"/>
        <v>n.a.</v>
      </c>
      <c r="AH67" s="87">
        <f>INDEX(Auxiliar!$D$5:$I$10,MATCH('LISTA - Setembro2024'!AH$3,Auxiliar!$B$5:$B$10,0),MATCH('LISTA - Setembro2024'!$AG67,Auxiliar!$D$4:$I$4,0))</f>
        <v>0</v>
      </c>
      <c r="AI67" s="87">
        <f>INDEX(Auxiliar!$D$5:$I$10,MATCH('LISTA - Setembro2024'!AI$3,Auxiliar!$B$5:$B$10,0),MATCH('LISTA - Setembro2024'!$AC67,Auxiliar!$D$4:$I$4,0))</f>
        <v>0</v>
      </c>
      <c r="AJ67" s="87">
        <f>INDEX(Auxiliar!$D$5:$I$10,MATCH('LISTA - Setembro2024'!AJ$3,Auxiliar!$B$5:$B$10,0),MATCH('LISTA - Setembro2024'!$AC67,Auxiliar!$D$4:$I$4,0))</f>
        <v>0</v>
      </c>
      <c r="AK67" s="160">
        <f t="shared" si="5"/>
        <v>0</v>
      </c>
      <c r="AL67" s="87"/>
    </row>
    <row r="68" spans="1:38" ht="13.8" x14ac:dyDescent="0.25">
      <c r="A68" s="158" t="s">
        <v>205</v>
      </c>
      <c r="B68" s="81" t="str">
        <f t="shared" si="6"/>
        <v>ENTITY_LTI</v>
      </c>
      <c r="C68" s="82" t="s">
        <v>10</v>
      </c>
      <c r="D68" s="83" t="s">
        <v>206</v>
      </c>
      <c r="E68" s="84" t="s">
        <v>207</v>
      </c>
      <c r="F68" s="85" t="s">
        <v>13</v>
      </c>
      <c r="G68" s="85" t="s">
        <v>11</v>
      </c>
      <c r="H68" s="85" t="s">
        <v>11</v>
      </c>
      <c r="I68" s="85" t="s">
        <v>11</v>
      </c>
      <c r="J68" s="85" t="s">
        <v>11</v>
      </c>
      <c r="K68" s="85" t="s">
        <v>11</v>
      </c>
      <c r="L68" s="86" t="str">
        <f>IFERROR(VLOOKUP($B68,'LISTA - Atual'!$B$1:$I$444,5,0),"Novo")</f>
        <v>Y</v>
      </c>
      <c r="M68" s="86" t="str">
        <f t="shared" ref="M68:M99" si="17">IF(L68="Novo","Novo Campo",IF(L68=F68,"Igual","Diferente"))</f>
        <v>Igual</v>
      </c>
      <c r="N68" s="86" t="str">
        <f>IFERROR(VLOOKUP($B68,'LISTA - Atual'!$B$1:$I$444,6,0),"Novo")</f>
        <v>N</v>
      </c>
      <c r="O68" s="86" t="str">
        <f t="shared" ref="O68:O99" si="18">IF(N68="Novo","Novo Campo",IF(N68=G68,"Igual","Diferente"))</f>
        <v>Igual</v>
      </c>
      <c r="P68" s="86" t="str">
        <f>IFERROR(VLOOKUP($B68,'LISTA - Atual'!$B$1:$I$444,7,0),"Novo")</f>
        <v>N</v>
      </c>
      <c r="Q68" s="86" t="str">
        <f t="shared" ref="Q68:Q99" si="19">IF(P68="Novo","Novo Campo",IF(P68=H68,"Igual","Diferente"))</f>
        <v>Igual</v>
      </c>
      <c r="R68" s="86" t="s">
        <v>1563</v>
      </c>
      <c r="S68" s="86" t="str">
        <f>IFERROR(VLOOKUP($B68,'LISTA - Atual'!$B$1:$I$444,8,0),"Novo")</f>
        <v>N</v>
      </c>
      <c r="T68" s="86" t="str">
        <f t="shared" ref="T68:T99" si="20">IF(S68="Novo","Novo Campo",IF(S68=J68,"Igual","Diferente"))</f>
        <v>Igual</v>
      </c>
      <c r="U68" s="86" t="s">
        <v>1563</v>
      </c>
      <c r="V68" s="86" t="s">
        <v>11</v>
      </c>
      <c r="W68" s="87" t="str">
        <f>IFERROR(VLOOKUP(B68,#REF!,11,0),"n/a")</f>
        <v>n/a</v>
      </c>
      <c r="X68" s="87" t="str">
        <f>IFERROR(VLOOKUP(B68,#REF!,8,0),"n/a")</f>
        <v>n/a</v>
      </c>
      <c r="Y68" s="87" t="str">
        <f t="shared" si="16"/>
        <v>ESTR</v>
      </c>
      <c r="Z68" s="131" t="s">
        <v>1605</v>
      </c>
      <c r="AA68" s="227" t="e">
        <f>VLOOKUP(Table1[[#This Row],[CONCAT]],'Campos Resumo Prop2.0'!A:H,8,0)</f>
        <v>#N/A</v>
      </c>
      <c r="AB68" s="87" t="s">
        <v>1656</v>
      </c>
      <c r="AC68" s="135" t="s">
        <v>1625</v>
      </c>
      <c r="AD68" s="91">
        <f>INDEX(Auxiliar!$D$5:$I$10,MATCH('LISTA - Setembro2024'!AD$3,Auxiliar!$B$5:$B$10,0),MATCH('LISTA - Setembro2024'!$AC68,Auxiliar!$D$4:$I$4,0))</f>
        <v>0</v>
      </c>
      <c r="AE68" s="91">
        <f>INDEX(Auxiliar!$D$5:$I$10,MATCH('LISTA - Setembro2024'!AE$3,Auxiliar!$B$5:$B$10,0),MATCH('LISTA - Setembro2024'!$AC68,Auxiliar!$D$4:$I$4,0))</f>
        <v>0</v>
      </c>
      <c r="AF68" s="87">
        <f>INDEX(Auxiliar!$D$5:$I$10,MATCH('LISTA - Setembro2024'!AF$3,Auxiliar!$B$5:$B$10,0),MATCH('LISTA - Setembro2024'!$AC68,Auxiliar!$D$4:$I$4,0))</f>
        <v>0</v>
      </c>
      <c r="AG68" s="87" t="str">
        <f t="shared" ref="AG68:AG131" si="21">IF(OR(AB68="Code List",AB68="Y, N"),AC68,"n.a.")</f>
        <v>n.a.</v>
      </c>
      <c r="AH68" s="87">
        <f>INDEX(Auxiliar!$D$5:$I$10,MATCH('LISTA - Setembro2024'!AH$3,Auxiliar!$B$5:$B$10,0),MATCH('LISTA - Setembro2024'!$AG68,Auxiliar!$D$4:$I$4,0))</f>
        <v>0</v>
      </c>
      <c r="AI68" s="87">
        <f>INDEX(Auxiliar!$D$5:$I$10,MATCH('LISTA - Setembro2024'!AI$3,Auxiliar!$B$5:$B$10,0),MATCH('LISTA - Setembro2024'!$AC68,Auxiliar!$D$4:$I$4,0))</f>
        <v>0</v>
      </c>
      <c r="AJ68" s="87">
        <f>INDEX(Auxiliar!$D$5:$I$10,MATCH('LISTA - Setembro2024'!AJ$3,Auxiliar!$B$5:$B$10,0),MATCH('LISTA - Setembro2024'!$AC68,Auxiliar!$D$4:$I$4,0))</f>
        <v>0</v>
      </c>
      <c r="AK68" s="160">
        <f t="shared" ref="AK68:AK131" si="22">SUM(AF68,AH68:AJ68)</f>
        <v>0</v>
      </c>
      <c r="AL68" s="87"/>
    </row>
    <row r="69" spans="1:38" ht="13.8" x14ac:dyDescent="0.25">
      <c r="A69" s="158" t="s">
        <v>208</v>
      </c>
      <c r="B69" s="81" t="str">
        <f t="shared" ref="B69:B132" si="23">C69&amp;"_"&amp;D69</f>
        <v>ENTITY_LVRG</v>
      </c>
      <c r="C69" s="82" t="s">
        <v>10</v>
      </c>
      <c r="D69" s="83" t="s">
        <v>209</v>
      </c>
      <c r="E69" s="84" t="s">
        <v>210</v>
      </c>
      <c r="F69" s="85" t="s">
        <v>13</v>
      </c>
      <c r="G69" s="85" t="s">
        <v>11</v>
      </c>
      <c r="H69" s="85" t="s">
        <v>11</v>
      </c>
      <c r="I69" s="85" t="s">
        <v>11</v>
      </c>
      <c r="J69" s="85" t="s">
        <v>11</v>
      </c>
      <c r="K69" s="85" t="s">
        <v>13</v>
      </c>
      <c r="L69" s="86" t="str">
        <f>IFERROR(VLOOKUP($B69,'LISTA - Atual'!$B$1:$I$444,5,0),"Novo")</f>
        <v>Y</v>
      </c>
      <c r="M69" s="86" t="str">
        <f t="shared" si="17"/>
        <v>Igual</v>
      </c>
      <c r="N69" s="86" t="str">
        <f>IFERROR(VLOOKUP($B69,'LISTA - Atual'!$B$1:$I$444,6,0),"Novo")</f>
        <v>N</v>
      </c>
      <c r="O69" s="86" t="str">
        <f t="shared" si="18"/>
        <v>Igual</v>
      </c>
      <c r="P69" s="86" t="str">
        <f>IFERROR(VLOOKUP($B69,'LISTA - Atual'!$B$1:$I$444,7,0),"Novo")</f>
        <v>N</v>
      </c>
      <c r="Q69" s="86" t="str">
        <f t="shared" si="19"/>
        <v>Igual</v>
      </c>
      <c r="R69" s="86" t="s">
        <v>1563</v>
      </c>
      <c r="S69" s="86" t="str">
        <f>IFERROR(VLOOKUP($B69,'LISTA - Atual'!$B$1:$I$444,8,0),"Novo")</f>
        <v>N</v>
      </c>
      <c r="T69" s="86" t="str">
        <f t="shared" si="20"/>
        <v>Igual</v>
      </c>
      <c r="U69" s="86" t="s">
        <v>1563</v>
      </c>
      <c r="V69" s="86" t="s">
        <v>11</v>
      </c>
      <c r="W69" s="87" t="str">
        <f>IFERROR(VLOOKUP(B69,#REF!,11,0),"n/a")</f>
        <v>n/a</v>
      </c>
      <c r="X69" s="87" t="str">
        <f>IFERROR(VLOOKUP(B69,#REF!,8,0),"n/a")</f>
        <v>n/a</v>
      </c>
      <c r="Y69" s="87" t="str">
        <f t="shared" si="16"/>
        <v>ESTR</v>
      </c>
      <c r="Z69" s="131" t="s">
        <v>1605</v>
      </c>
      <c r="AA69" s="227" t="e">
        <f>VLOOKUP(Table1[[#This Row],[CONCAT]],'Campos Resumo Prop2.0'!A:H,8,0)</f>
        <v>#N/A</v>
      </c>
      <c r="AB69" s="87" t="s">
        <v>1656</v>
      </c>
      <c r="AC69" s="135" t="s">
        <v>1625</v>
      </c>
      <c r="AD69" s="91">
        <f>INDEX(Auxiliar!$D$5:$I$10,MATCH('LISTA - Setembro2024'!AD$3,Auxiliar!$B$5:$B$10,0),MATCH('LISTA - Setembro2024'!$AC69,Auxiliar!$D$4:$I$4,0))</f>
        <v>0</v>
      </c>
      <c r="AE69" s="91">
        <f>INDEX(Auxiliar!$D$5:$I$10,MATCH('LISTA - Setembro2024'!AE$3,Auxiliar!$B$5:$B$10,0),MATCH('LISTA - Setembro2024'!$AC69,Auxiliar!$D$4:$I$4,0))</f>
        <v>0</v>
      </c>
      <c r="AF69" s="87">
        <f>INDEX(Auxiliar!$D$5:$I$10,MATCH('LISTA - Setembro2024'!AF$3,Auxiliar!$B$5:$B$10,0),MATCH('LISTA - Setembro2024'!$AC69,Auxiliar!$D$4:$I$4,0))</f>
        <v>0</v>
      </c>
      <c r="AG69" s="87" t="str">
        <f t="shared" si="21"/>
        <v>n.a.</v>
      </c>
      <c r="AH69" s="87">
        <f>INDEX(Auxiliar!$D$5:$I$10,MATCH('LISTA - Setembro2024'!AH$3,Auxiliar!$B$5:$B$10,0),MATCH('LISTA - Setembro2024'!$AG69,Auxiliar!$D$4:$I$4,0))</f>
        <v>0</v>
      </c>
      <c r="AI69" s="87">
        <f>INDEX(Auxiliar!$D$5:$I$10,MATCH('LISTA - Setembro2024'!AI$3,Auxiliar!$B$5:$B$10,0),MATCH('LISTA - Setembro2024'!$AC69,Auxiliar!$D$4:$I$4,0))</f>
        <v>0</v>
      </c>
      <c r="AJ69" s="87">
        <f>INDEX(Auxiliar!$D$5:$I$10,MATCH('LISTA - Setembro2024'!AJ$3,Auxiliar!$B$5:$B$10,0),MATCH('LISTA - Setembro2024'!$AC69,Auxiliar!$D$4:$I$4,0))</f>
        <v>0</v>
      </c>
      <c r="AK69" s="160">
        <f t="shared" si="22"/>
        <v>0</v>
      </c>
      <c r="AL69" s="87"/>
    </row>
    <row r="70" spans="1:38" ht="13.8" x14ac:dyDescent="0.25">
      <c r="A70" s="158" t="s">
        <v>211</v>
      </c>
      <c r="B70" s="81" t="str">
        <f t="shared" si="23"/>
        <v>ENTITY_LVRG_PRVS</v>
      </c>
      <c r="C70" s="82" t="s">
        <v>10</v>
      </c>
      <c r="D70" s="83" t="s">
        <v>212</v>
      </c>
      <c r="E70" s="84" t="s">
        <v>213</v>
      </c>
      <c r="F70" s="85" t="s">
        <v>13</v>
      </c>
      <c r="G70" s="85" t="s">
        <v>11</v>
      </c>
      <c r="H70" s="85" t="s">
        <v>11</v>
      </c>
      <c r="I70" s="85" t="s">
        <v>11</v>
      </c>
      <c r="J70" s="85" t="s">
        <v>11</v>
      </c>
      <c r="K70" s="85" t="s">
        <v>13</v>
      </c>
      <c r="L70" s="86" t="str">
        <f>IFERROR(VLOOKUP($B70,'LISTA - Atual'!$B$1:$I$444,5,0),"Novo")</f>
        <v>Y</v>
      </c>
      <c r="M70" s="86" t="str">
        <f t="shared" si="17"/>
        <v>Igual</v>
      </c>
      <c r="N70" s="86" t="str">
        <f>IFERROR(VLOOKUP($B70,'LISTA - Atual'!$B$1:$I$444,6,0),"Novo")</f>
        <v>N</v>
      </c>
      <c r="O70" s="86" t="str">
        <f t="shared" si="18"/>
        <v>Igual</v>
      </c>
      <c r="P70" s="86" t="str">
        <f>IFERROR(VLOOKUP($B70,'LISTA - Atual'!$B$1:$I$444,7,0),"Novo")</f>
        <v>N</v>
      </c>
      <c r="Q70" s="86" t="str">
        <f t="shared" si="19"/>
        <v>Igual</v>
      </c>
      <c r="R70" s="86" t="s">
        <v>1563</v>
      </c>
      <c r="S70" s="86" t="str">
        <f>IFERROR(VLOOKUP($B70,'LISTA - Atual'!$B$1:$I$444,8,0),"Novo")</f>
        <v>N</v>
      </c>
      <c r="T70" s="86" t="str">
        <f t="shared" si="20"/>
        <v>Igual</v>
      </c>
      <c r="U70" s="86" t="s">
        <v>1563</v>
      </c>
      <c r="V70" s="86" t="s">
        <v>11</v>
      </c>
      <c r="W70" s="87" t="str">
        <f>IFERROR(VLOOKUP(B70,#REF!,11,0),"n/a")</f>
        <v>n/a</v>
      </c>
      <c r="X70" s="87" t="str">
        <f>IFERROR(VLOOKUP(B70,#REF!,8,0),"n/a")</f>
        <v>n/a</v>
      </c>
      <c r="Y70" s="87" t="str">
        <f t="shared" si="16"/>
        <v>ESTR</v>
      </c>
      <c r="Z70" s="131" t="s">
        <v>1605</v>
      </c>
      <c r="AA70" s="227" t="e">
        <f>VLOOKUP(Table1[[#This Row],[CONCAT]],'Campos Resumo Prop2.0'!A:H,8,0)</f>
        <v>#N/A</v>
      </c>
      <c r="AB70" s="87" t="s">
        <v>1656</v>
      </c>
      <c r="AC70" s="135" t="s">
        <v>1625</v>
      </c>
      <c r="AD70" s="91">
        <f>INDEX(Auxiliar!$D$5:$I$10,MATCH('LISTA - Setembro2024'!AD$3,Auxiliar!$B$5:$B$10,0),MATCH('LISTA - Setembro2024'!$AC70,Auxiliar!$D$4:$I$4,0))</f>
        <v>0</v>
      </c>
      <c r="AE70" s="91">
        <f>INDEX(Auxiliar!$D$5:$I$10,MATCH('LISTA - Setembro2024'!AE$3,Auxiliar!$B$5:$B$10,0),MATCH('LISTA - Setembro2024'!$AC70,Auxiliar!$D$4:$I$4,0))</f>
        <v>0</v>
      </c>
      <c r="AF70" s="87">
        <f>INDEX(Auxiliar!$D$5:$I$10,MATCH('LISTA - Setembro2024'!AF$3,Auxiliar!$B$5:$B$10,0),MATCH('LISTA - Setembro2024'!$AC70,Auxiliar!$D$4:$I$4,0))</f>
        <v>0</v>
      </c>
      <c r="AG70" s="87" t="str">
        <f t="shared" si="21"/>
        <v>n.a.</v>
      </c>
      <c r="AH70" s="87">
        <f>INDEX(Auxiliar!$D$5:$I$10,MATCH('LISTA - Setembro2024'!AH$3,Auxiliar!$B$5:$B$10,0),MATCH('LISTA - Setembro2024'!$AG70,Auxiliar!$D$4:$I$4,0))</f>
        <v>0</v>
      </c>
      <c r="AI70" s="87">
        <f>INDEX(Auxiliar!$D$5:$I$10,MATCH('LISTA - Setembro2024'!AI$3,Auxiliar!$B$5:$B$10,0),MATCH('LISTA - Setembro2024'!$AC70,Auxiliar!$D$4:$I$4,0))</f>
        <v>0</v>
      </c>
      <c r="AJ70" s="87">
        <f>INDEX(Auxiliar!$D$5:$I$10,MATCH('LISTA - Setembro2024'!AJ$3,Auxiliar!$B$5:$B$10,0),MATCH('LISTA - Setembro2024'!$AC70,Auxiliar!$D$4:$I$4,0))</f>
        <v>0</v>
      </c>
      <c r="AK70" s="160">
        <f t="shared" si="22"/>
        <v>0</v>
      </c>
      <c r="AL70" s="87"/>
    </row>
    <row r="71" spans="1:38" ht="13.8" x14ac:dyDescent="0.25">
      <c r="A71" s="158" t="s">
        <v>214</v>
      </c>
      <c r="B71" s="81" t="str">
        <f t="shared" si="23"/>
        <v>ENTITY_MNTHL_INCM</v>
      </c>
      <c r="C71" s="82" t="s">
        <v>10</v>
      </c>
      <c r="D71" s="83" t="s">
        <v>215</v>
      </c>
      <c r="E71" s="84" t="s">
        <v>216</v>
      </c>
      <c r="F71" s="85" t="s">
        <v>13</v>
      </c>
      <c r="G71" s="85" t="s">
        <v>11</v>
      </c>
      <c r="H71" s="85" t="s">
        <v>11</v>
      </c>
      <c r="I71" s="85" t="s">
        <v>11</v>
      </c>
      <c r="J71" s="85" t="s">
        <v>11</v>
      </c>
      <c r="K71" s="85" t="s">
        <v>11</v>
      </c>
      <c r="L71" s="86" t="str">
        <f>IFERROR(VLOOKUP($B71,'LISTA - Atual'!$B$1:$I$444,5,0),"Novo")</f>
        <v>Y</v>
      </c>
      <c r="M71" s="86" t="str">
        <f t="shared" si="17"/>
        <v>Igual</v>
      </c>
      <c r="N71" s="86" t="str">
        <f>IFERROR(VLOOKUP($B71,'LISTA - Atual'!$B$1:$I$444,6,0),"Novo")</f>
        <v>N</v>
      </c>
      <c r="O71" s="86" t="str">
        <f t="shared" si="18"/>
        <v>Igual</v>
      </c>
      <c r="P71" s="86" t="str">
        <f>IFERROR(VLOOKUP($B71,'LISTA - Atual'!$B$1:$I$444,7,0),"Novo")</f>
        <v>N</v>
      </c>
      <c r="Q71" s="86" t="str">
        <f t="shared" si="19"/>
        <v>Igual</v>
      </c>
      <c r="R71" s="86" t="s">
        <v>1563</v>
      </c>
      <c r="S71" s="86" t="str">
        <f>IFERROR(VLOOKUP($B71,'LISTA - Atual'!$B$1:$I$444,8,0),"Novo")</f>
        <v>N</v>
      </c>
      <c r="T71" s="86" t="str">
        <f t="shared" si="20"/>
        <v>Igual</v>
      </c>
      <c r="U71" s="86" t="s">
        <v>1563</v>
      </c>
      <c r="V71" s="86" t="s">
        <v>11</v>
      </c>
      <c r="W71" s="87" t="str">
        <f>IFERROR(VLOOKUP(B71,#REF!,11,0),"n/a")</f>
        <v>n/a</v>
      </c>
      <c r="X71" s="87" t="str">
        <f>IFERROR(VLOOKUP(B71,#REF!,8,0),"n/a")</f>
        <v>n/a</v>
      </c>
      <c r="Y71" s="87" t="str">
        <f t="shared" si="16"/>
        <v>ESTR</v>
      </c>
      <c r="Z71" s="131" t="s">
        <v>1605</v>
      </c>
      <c r="AA71" s="227" t="e">
        <f>VLOOKUP(Table1[[#This Row],[CONCAT]],'Campos Resumo Prop2.0'!A:H,8,0)</f>
        <v>#N/A</v>
      </c>
      <c r="AB71" s="87" t="s">
        <v>1655</v>
      </c>
      <c r="AC71" s="135" t="s">
        <v>1625</v>
      </c>
      <c r="AD71" s="91">
        <f>INDEX(Auxiliar!$D$5:$I$10,MATCH('LISTA - Setembro2024'!AD$3,Auxiliar!$B$5:$B$10,0),MATCH('LISTA - Setembro2024'!$AC71,Auxiliar!$D$4:$I$4,0))</f>
        <v>0</v>
      </c>
      <c r="AE71" s="91">
        <f>INDEX(Auxiliar!$D$5:$I$10,MATCH('LISTA - Setembro2024'!AE$3,Auxiliar!$B$5:$B$10,0),MATCH('LISTA - Setembro2024'!$AC71,Auxiliar!$D$4:$I$4,0))</f>
        <v>0</v>
      </c>
      <c r="AF71" s="87">
        <f>INDEX(Auxiliar!$D$5:$I$10,MATCH('LISTA - Setembro2024'!AF$3,Auxiliar!$B$5:$B$10,0),MATCH('LISTA - Setembro2024'!$AC71,Auxiliar!$D$4:$I$4,0))</f>
        <v>0</v>
      </c>
      <c r="AG71" s="87" t="str">
        <f t="shared" si="21"/>
        <v>n.a.</v>
      </c>
      <c r="AH71" s="87">
        <f>INDEX(Auxiliar!$D$5:$I$10,MATCH('LISTA - Setembro2024'!AH$3,Auxiliar!$B$5:$B$10,0),MATCH('LISTA - Setembro2024'!$AG71,Auxiliar!$D$4:$I$4,0))</f>
        <v>0</v>
      </c>
      <c r="AI71" s="87">
        <f>INDEX(Auxiliar!$D$5:$I$10,MATCH('LISTA - Setembro2024'!AI$3,Auxiliar!$B$5:$B$10,0),MATCH('LISTA - Setembro2024'!$AC71,Auxiliar!$D$4:$I$4,0))</f>
        <v>0</v>
      </c>
      <c r="AJ71" s="87">
        <f>INDEX(Auxiliar!$D$5:$I$10,MATCH('LISTA - Setembro2024'!AJ$3,Auxiliar!$B$5:$B$10,0),MATCH('LISTA - Setembro2024'!$AC71,Auxiliar!$D$4:$I$4,0))</f>
        <v>0</v>
      </c>
      <c r="AK71" s="160">
        <f t="shared" si="22"/>
        <v>0</v>
      </c>
      <c r="AL71" s="87"/>
    </row>
    <row r="72" spans="1:38" ht="13.8" x14ac:dyDescent="0.25">
      <c r="A72" s="158" t="s">
        <v>217</v>
      </c>
      <c r="B72" s="81" t="str">
        <f t="shared" si="23"/>
        <v>ENTITY_MNTHL_INCM_SLR</v>
      </c>
      <c r="C72" s="82" t="s">
        <v>10</v>
      </c>
      <c r="D72" s="83" t="s">
        <v>218</v>
      </c>
      <c r="E72" s="84" t="s">
        <v>219</v>
      </c>
      <c r="F72" s="85" t="s">
        <v>13</v>
      </c>
      <c r="G72" s="85" t="s">
        <v>11</v>
      </c>
      <c r="H72" s="85" t="s">
        <v>11</v>
      </c>
      <c r="I72" s="85" t="s">
        <v>11</v>
      </c>
      <c r="J72" s="85" t="s">
        <v>11</v>
      </c>
      <c r="K72" s="85" t="s">
        <v>11</v>
      </c>
      <c r="L72" s="86" t="str">
        <f>IFERROR(VLOOKUP($B72,'LISTA - Atual'!$B$1:$I$444,5,0),"Novo")</f>
        <v>Y</v>
      </c>
      <c r="M72" s="86" t="str">
        <f t="shared" si="17"/>
        <v>Igual</v>
      </c>
      <c r="N72" s="86" t="str">
        <f>IFERROR(VLOOKUP($B72,'LISTA - Atual'!$B$1:$I$444,6,0),"Novo")</f>
        <v>N</v>
      </c>
      <c r="O72" s="86" t="str">
        <f t="shared" si="18"/>
        <v>Igual</v>
      </c>
      <c r="P72" s="86" t="str">
        <f>IFERROR(VLOOKUP($B72,'LISTA - Atual'!$B$1:$I$444,7,0),"Novo")</f>
        <v>N</v>
      </c>
      <c r="Q72" s="86" t="str">
        <f t="shared" si="19"/>
        <v>Igual</v>
      </c>
      <c r="R72" s="86" t="s">
        <v>1563</v>
      </c>
      <c r="S72" s="86" t="str">
        <f>IFERROR(VLOOKUP($B72,'LISTA - Atual'!$B$1:$I$444,8,0),"Novo")</f>
        <v>N</v>
      </c>
      <c r="T72" s="86" t="str">
        <f t="shared" si="20"/>
        <v>Igual</v>
      </c>
      <c r="U72" s="86" t="s">
        <v>1563</v>
      </c>
      <c r="V72" s="86" t="s">
        <v>11</v>
      </c>
      <c r="W72" s="87" t="str">
        <f>IFERROR(VLOOKUP(B72,#REF!,11,0),"n/a")</f>
        <v>n/a</v>
      </c>
      <c r="X72" s="87" t="str">
        <f>IFERROR(VLOOKUP(B72,#REF!,8,0),"n/a")</f>
        <v>n/a</v>
      </c>
      <c r="Y72" s="87" t="str">
        <f t="shared" si="16"/>
        <v>ESTR</v>
      </c>
      <c r="Z72" s="131" t="s">
        <v>1605</v>
      </c>
      <c r="AA72" s="227" t="e">
        <f>VLOOKUP(Table1[[#This Row],[CONCAT]],'Campos Resumo Prop2.0'!A:H,8,0)</f>
        <v>#N/A</v>
      </c>
      <c r="AB72" s="87" t="s">
        <v>1655</v>
      </c>
      <c r="AC72" s="135" t="s">
        <v>1625</v>
      </c>
      <c r="AD72" s="91">
        <f>INDEX(Auxiliar!$D$5:$I$10,MATCH('LISTA - Setembro2024'!AD$3,Auxiliar!$B$5:$B$10,0),MATCH('LISTA - Setembro2024'!$AC72,Auxiliar!$D$4:$I$4,0))</f>
        <v>0</v>
      </c>
      <c r="AE72" s="91">
        <f>INDEX(Auxiliar!$D$5:$I$10,MATCH('LISTA - Setembro2024'!AE$3,Auxiliar!$B$5:$B$10,0),MATCH('LISTA - Setembro2024'!$AC72,Auxiliar!$D$4:$I$4,0))</f>
        <v>0</v>
      </c>
      <c r="AF72" s="87">
        <f>INDEX(Auxiliar!$D$5:$I$10,MATCH('LISTA - Setembro2024'!AF$3,Auxiliar!$B$5:$B$10,0),MATCH('LISTA - Setembro2024'!$AC72,Auxiliar!$D$4:$I$4,0))</f>
        <v>0</v>
      </c>
      <c r="AG72" s="87" t="str">
        <f t="shared" si="21"/>
        <v>n.a.</v>
      </c>
      <c r="AH72" s="87">
        <f>INDEX(Auxiliar!$D$5:$I$10,MATCH('LISTA - Setembro2024'!AH$3,Auxiliar!$B$5:$B$10,0),MATCH('LISTA - Setembro2024'!$AG72,Auxiliar!$D$4:$I$4,0))</f>
        <v>0</v>
      </c>
      <c r="AI72" s="87">
        <f>INDEX(Auxiliar!$D$5:$I$10,MATCH('LISTA - Setembro2024'!AI$3,Auxiliar!$B$5:$B$10,0),MATCH('LISTA - Setembro2024'!$AC72,Auxiliar!$D$4:$I$4,0))</f>
        <v>0</v>
      </c>
      <c r="AJ72" s="87">
        <f>INDEX(Auxiliar!$D$5:$I$10,MATCH('LISTA - Setembro2024'!AJ$3,Auxiliar!$B$5:$B$10,0),MATCH('LISTA - Setembro2024'!$AC72,Auxiliar!$D$4:$I$4,0))</f>
        <v>0</v>
      </c>
      <c r="AK72" s="160">
        <f t="shared" si="22"/>
        <v>0</v>
      </c>
      <c r="AL72" s="87"/>
    </row>
    <row r="73" spans="1:38" ht="13.8" x14ac:dyDescent="0.25">
      <c r="A73" s="158" t="s">
        <v>220</v>
      </c>
      <c r="B73" s="81" t="str">
        <f t="shared" si="23"/>
        <v>ENTITY_MNTHL_TRNVR</v>
      </c>
      <c r="C73" s="82" t="s">
        <v>10</v>
      </c>
      <c r="D73" s="83" t="s">
        <v>221</v>
      </c>
      <c r="E73" s="84" t="s">
        <v>222</v>
      </c>
      <c r="F73" s="85" t="s">
        <v>13</v>
      </c>
      <c r="G73" s="85" t="s">
        <v>11</v>
      </c>
      <c r="H73" s="85" t="s">
        <v>11</v>
      </c>
      <c r="I73" s="85" t="s">
        <v>11</v>
      </c>
      <c r="J73" s="85" t="s">
        <v>11</v>
      </c>
      <c r="K73" s="85" t="s">
        <v>11</v>
      </c>
      <c r="L73" s="86" t="str">
        <f>IFERROR(VLOOKUP($B73,'LISTA - Atual'!$B$1:$I$444,5,0),"Novo")</f>
        <v>Y</v>
      </c>
      <c r="M73" s="86" t="str">
        <f t="shared" si="17"/>
        <v>Igual</v>
      </c>
      <c r="N73" s="86" t="str">
        <f>IFERROR(VLOOKUP($B73,'LISTA - Atual'!$B$1:$I$444,6,0),"Novo")</f>
        <v>N</v>
      </c>
      <c r="O73" s="86" t="str">
        <f t="shared" si="18"/>
        <v>Igual</v>
      </c>
      <c r="P73" s="86" t="str">
        <f>IFERROR(VLOOKUP($B73,'LISTA - Atual'!$B$1:$I$444,7,0),"Novo")</f>
        <v>N</v>
      </c>
      <c r="Q73" s="86" t="str">
        <f t="shared" si="19"/>
        <v>Igual</v>
      </c>
      <c r="R73" s="86" t="s">
        <v>1563</v>
      </c>
      <c r="S73" s="86" t="str">
        <f>IFERROR(VLOOKUP($B73,'LISTA - Atual'!$B$1:$I$444,8,0),"Novo")</f>
        <v>N</v>
      </c>
      <c r="T73" s="86" t="str">
        <f t="shared" si="20"/>
        <v>Igual</v>
      </c>
      <c r="U73" s="86" t="s">
        <v>1563</v>
      </c>
      <c r="V73" s="86" t="s">
        <v>11</v>
      </c>
      <c r="W73" s="87" t="str">
        <f>IFERROR(VLOOKUP(B73,#REF!,11,0),"n/a")</f>
        <v>n/a</v>
      </c>
      <c r="X73" s="87" t="str">
        <f>IFERROR(VLOOKUP(B73,#REF!,8,0),"n/a")</f>
        <v>n/a</v>
      </c>
      <c r="Y73" s="87" t="str">
        <f t="shared" si="16"/>
        <v>ESTR</v>
      </c>
      <c r="Z73" s="131" t="s">
        <v>1605</v>
      </c>
      <c r="AA73" s="227" t="e">
        <f>VLOOKUP(Table1[[#This Row],[CONCAT]],'Campos Resumo Prop2.0'!A:H,8,0)</f>
        <v>#N/A</v>
      </c>
      <c r="AB73" s="87" t="s">
        <v>1655</v>
      </c>
      <c r="AC73" s="135" t="s">
        <v>1625</v>
      </c>
      <c r="AD73" s="91">
        <f>INDEX(Auxiliar!$D$5:$I$10,MATCH('LISTA - Setembro2024'!AD$3,Auxiliar!$B$5:$B$10,0),MATCH('LISTA - Setembro2024'!$AC73,Auxiliar!$D$4:$I$4,0))</f>
        <v>0</v>
      </c>
      <c r="AE73" s="91">
        <f>INDEX(Auxiliar!$D$5:$I$10,MATCH('LISTA - Setembro2024'!AE$3,Auxiliar!$B$5:$B$10,0),MATCH('LISTA - Setembro2024'!$AC73,Auxiliar!$D$4:$I$4,0))</f>
        <v>0</v>
      </c>
      <c r="AF73" s="87">
        <f>INDEX(Auxiliar!$D$5:$I$10,MATCH('LISTA - Setembro2024'!AF$3,Auxiliar!$B$5:$B$10,0),MATCH('LISTA - Setembro2024'!$AC73,Auxiliar!$D$4:$I$4,0))</f>
        <v>0</v>
      </c>
      <c r="AG73" s="87" t="str">
        <f t="shared" si="21"/>
        <v>n.a.</v>
      </c>
      <c r="AH73" s="87">
        <f>INDEX(Auxiliar!$D$5:$I$10,MATCH('LISTA - Setembro2024'!AH$3,Auxiliar!$B$5:$B$10,0),MATCH('LISTA - Setembro2024'!$AG73,Auxiliar!$D$4:$I$4,0))</f>
        <v>0</v>
      </c>
      <c r="AI73" s="87">
        <f>INDEX(Auxiliar!$D$5:$I$10,MATCH('LISTA - Setembro2024'!AI$3,Auxiliar!$B$5:$B$10,0),MATCH('LISTA - Setembro2024'!$AC73,Auxiliar!$D$4:$I$4,0))</f>
        <v>0</v>
      </c>
      <c r="AJ73" s="87">
        <f>INDEX(Auxiliar!$D$5:$I$10,MATCH('LISTA - Setembro2024'!AJ$3,Auxiliar!$B$5:$B$10,0),MATCH('LISTA - Setembro2024'!$AC73,Auxiliar!$D$4:$I$4,0))</f>
        <v>0</v>
      </c>
      <c r="AK73" s="160">
        <f t="shared" si="22"/>
        <v>0</v>
      </c>
      <c r="AL73" s="87"/>
    </row>
    <row r="74" spans="1:38" ht="13.8" x14ac:dyDescent="0.25">
      <c r="A74" s="158" t="s">
        <v>223</v>
      </c>
      <c r="B74" s="81" t="str">
        <f t="shared" si="23"/>
        <v>ENTITY_NT_INCM</v>
      </c>
      <c r="C74" s="82" t="s">
        <v>10</v>
      </c>
      <c r="D74" s="83" t="s">
        <v>224</v>
      </c>
      <c r="E74" s="84" t="s">
        <v>225</v>
      </c>
      <c r="F74" s="85" t="s">
        <v>13</v>
      </c>
      <c r="G74" s="85" t="s">
        <v>11</v>
      </c>
      <c r="H74" s="85" t="s">
        <v>11</v>
      </c>
      <c r="I74" s="85" t="s">
        <v>11</v>
      </c>
      <c r="J74" s="85" t="s">
        <v>11</v>
      </c>
      <c r="K74" s="85" t="s">
        <v>13</v>
      </c>
      <c r="L74" s="86" t="str">
        <f>IFERROR(VLOOKUP($B74,'LISTA - Atual'!$B$1:$I$444,5,0),"Novo")</f>
        <v>Y</v>
      </c>
      <c r="M74" s="86" t="str">
        <f t="shared" si="17"/>
        <v>Igual</v>
      </c>
      <c r="N74" s="86" t="str">
        <f>IFERROR(VLOOKUP($B74,'LISTA - Atual'!$B$1:$I$444,6,0),"Novo")</f>
        <v>N</v>
      </c>
      <c r="O74" s="86" t="str">
        <f t="shared" si="18"/>
        <v>Igual</v>
      </c>
      <c r="P74" s="86" t="str">
        <f>IFERROR(VLOOKUP($B74,'LISTA - Atual'!$B$1:$I$444,7,0),"Novo")</f>
        <v>N</v>
      </c>
      <c r="Q74" s="86" t="str">
        <f t="shared" si="19"/>
        <v>Igual</v>
      </c>
      <c r="R74" s="86" t="s">
        <v>1563</v>
      </c>
      <c r="S74" s="86" t="str">
        <f>IFERROR(VLOOKUP($B74,'LISTA - Atual'!$B$1:$I$444,8,0),"Novo")</f>
        <v>N</v>
      </c>
      <c r="T74" s="86" t="str">
        <f t="shared" si="20"/>
        <v>Igual</v>
      </c>
      <c r="U74" s="86" t="s">
        <v>1563</v>
      </c>
      <c r="V74" s="86" t="s">
        <v>11</v>
      </c>
      <c r="W74" s="87" t="str">
        <f>IFERROR(VLOOKUP(B74,#REF!,11,0),"n/a")</f>
        <v>n/a</v>
      </c>
      <c r="X74" s="88" t="str">
        <f>IFERROR(VLOOKUP(B74,#REF!,8,0),"n/a")</f>
        <v>n/a</v>
      </c>
      <c r="Y74" s="87" t="str">
        <f t="shared" si="16"/>
        <v>ESTR</v>
      </c>
      <c r="Z74" s="131" t="s">
        <v>1605</v>
      </c>
      <c r="AA74" s="227" t="e">
        <f>VLOOKUP(Table1[[#This Row],[CONCAT]],'Campos Resumo Prop2.0'!A:H,8,0)</f>
        <v>#N/A</v>
      </c>
      <c r="AB74" s="87" t="s">
        <v>1655</v>
      </c>
      <c r="AC74" s="135" t="s">
        <v>1625</v>
      </c>
      <c r="AD74" s="91">
        <f>INDEX(Auxiliar!$D$5:$I$10,MATCH('LISTA - Setembro2024'!AD$3,Auxiliar!$B$5:$B$10,0),MATCH('LISTA - Setembro2024'!$AC74,Auxiliar!$D$4:$I$4,0))</f>
        <v>0</v>
      </c>
      <c r="AE74" s="91">
        <f>INDEX(Auxiliar!$D$5:$I$10,MATCH('LISTA - Setembro2024'!AE$3,Auxiliar!$B$5:$B$10,0),MATCH('LISTA - Setembro2024'!$AC74,Auxiliar!$D$4:$I$4,0))</f>
        <v>0</v>
      </c>
      <c r="AF74" s="87">
        <f>INDEX(Auxiliar!$D$5:$I$10,MATCH('LISTA - Setembro2024'!AF$3,Auxiliar!$B$5:$B$10,0),MATCH('LISTA - Setembro2024'!$AC74,Auxiliar!$D$4:$I$4,0))</f>
        <v>0</v>
      </c>
      <c r="AG74" s="87" t="str">
        <f t="shared" si="21"/>
        <v>n.a.</v>
      </c>
      <c r="AH74" s="87">
        <f>INDEX(Auxiliar!$D$5:$I$10,MATCH('LISTA - Setembro2024'!AH$3,Auxiliar!$B$5:$B$10,0),MATCH('LISTA - Setembro2024'!$AG74,Auxiliar!$D$4:$I$4,0))</f>
        <v>0</v>
      </c>
      <c r="AI74" s="87">
        <f>INDEX(Auxiliar!$D$5:$I$10,MATCH('LISTA - Setembro2024'!AI$3,Auxiliar!$B$5:$B$10,0),MATCH('LISTA - Setembro2024'!$AC74,Auxiliar!$D$4:$I$4,0))</f>
        <v>0</v>
      </c>
      <c r="AJ74" s="87">
        <f>INDEX(Auxiliar!$D$5:$I$10,MATCH('LISTA - Setembro2024'!AJ$3,Auxiliar!$B$5:$B$10,0),MATCH('LISTA - Setembro2024'!$AC74,Auxiliar!$D$4:$I$4,0))</f>
        <v>0</v>
      </c>
      <c r="AK74" s="160">
        <f t="shared" si="22"/>
        <v>0</v>
      </c>
      <c r="AL74" s="87" t="s">
        <v>1669</v>
      </c>
    </row>
    <row r="75" spans="1:38" ht="13.8" x14ac:dyDescent="0.25">
      <c r="A75" s="158" t="s">
        <v>226</v>
      </c>
      <c r="B75" s="81" t="str">
        <f t="shared" si="23"/>
        <v>ENTITY_NT_INCM_PRVS</v>
      </c>
      <c r="C75" s="82" t="s">
        <v>10</v>
      </c>
      <c r="D75" s="83" t="s">
        <v>227</v>
      </c>
      <c r="E75" s="84" t="s">
        <v>228</v>
      </c>
      <c r="F75" s="85" t="s">
        <v>13</v>
      </c>
      <c r="G75" s="85" t="s">
        <v>11</v>
      </c>
      <c r="H75" s="85" t="s">
        <v>11</v>
      </c>
      <c r="I75" s="85" t="s">
        <v>11</v>
      </c>
      <c r="J75" s="85" t="s">
        <v>11</v>
      </c>
      <c r="K75" s="85" t="s">
        <v>13</v>
      </c>
      <c r="L75" s="86" t="str">
        <f>IFERROR(VLOOKUP($B75,'LISTA - Atual'!$B$1:$I$444,5,0),"Novo")</f>
        <v>Y</v>
      </c>
      <c r="M75" s="86" t="str">
        <f t="shared" si="17"/>
        <v>Igual</v>
      </c>
      <c r="N75" s="86" t="str">
        <f>IFERROR(VLOOKUP($B75,'LISTA - Atual'!$B$1:$I$444,6,0),"Novo")</f>
        <v>N</v>
      </c>
      <c r="O75" s="86" t="str">
        <f t="shared" si="18"/>
        <v>Igual</v>
      </c>
      <c r="P75" s="86" t="str">
        <f>IFERROR(VLOOKUP($B75,'LISTA - Atual'!$B$1:$I$444,7,0),"Novo")</f>
        <v>N</v>
      </c>
      <c r="Q75" s="86" t="str">
        <f t="shared" si="19"/>
        <v>Igual</v>
      </c>
      <c r="R75" s="86" t="s">
        <v>1563</v>
      </c>
      <c r="S75" s="86" t="str">
        <f>IFERROR(VLOOKUP($B75,'LISTA - Atual'!$B$1:$I$444,8,0),"Novo")</f>
        <v>N</v>
      </c>
      <c r="T75" s="86" t="str">
        <f t="shared" si="20"/>
        <v>Igual</v>
      </c>
      <c r="U75" s="86" t="s">
        <v>1563</v>
      </c>
      <c r="V75" s="86" t="s">
        <v>11</v>
      </c>
      <c r="W75" s="87" t="str">
        <f>IFERROR(VLOOKUP(B75,#REF!,11,0),"n/a")</f>
        <v>n/a</v>
      </c>
      <c r="X75" s="88" t="str">
        <f>IFERROR(VLOOKUP(B75,#REF!,8,0),"n/a")</f>
        <v>n/a</v>
      </c>
      <c r="Y75" s="87" t="str">
        <f t="shared" si="16"/>
        <v>ESTR</v>
      </c>
      <c r="Z75" s="131" t="s">
        <v>1605</v>
      </c>
      <c r="AA75" s="227" t="e">
        <f>VLOOKUP(Table1[[#This Row],[CONCAT]],'Campos Resumo Prop2.0'!A:H,8,0)</f>
        <v>#N/A</v>
      </c>
      <c r="AB75" s="87" t="s">
        <v>1655</v>
      </c>
      <c r="AC75" s="135" t="s">
        <v>1625</v>
      </c>
      <c r="AD75" s="91">
        <f>INDEX(Auxiliar!$D$5:$I$10,MATCH('LISTA - Setembro2024'!AD$3,Auxiliar!$B$5:$B$10,0),MATCH('LISTA - Setembro2024'!$AC75,Auxiliar!$D$4:$I$4,0))</f>
        <v>0</v>
      </c>
      <c r="AE75" s="91">
        <f>INDEX(Auxiliar!$D$5:$I$10,MATCH('LISTA - Setembro2024'!AE$3,Auxiliar!$B$5:$B$10,0),MATCH('LISTA - Setembro2024'!$AC75,Auxiliar!$D$4:$I$4,0))</f>
        <v>0</v>
      </c>
      <c r="AF75" s="87">
        <f>INDEX(Auxiliar!$D$5:$I$10,MATCH('LISTA - Setembro2024'!AF$3,Auxiliar!$B$5:$B$10,0),MATCH('LISTA - Setembro2024'!$AC75,Auxiliar!$D$4:$I$4,0))</f>
        <v>0</v>
      </c>
      <c r="AG75" s="87" t="str">
        <f t="shared" si="21"/>
        <v>n.a.</v>
      </c>
      <c r="AH75" s="87">
        <f>INDEX(Auxiliar!$D$5:$I$10,MATCH('LISTA - Setembro2024'!AH$3,Auxiliar!$B$5:$B$10,0),MATCH('LISTA - Setembro2024'!$AG75,Auxiliar!$D$4:$I$4,0))</f>
        <v>0</v>
      </c>
      <c r="AI75" s="87">
        <f>INDEX(Auxiliar!$D$5:$I$10,MATCH('LISTA - Setembro2024'!AI$3,Auxiliar!$B$5:$B$10,0),MATCH('LISTA - Setembro2024'!$AC75,Auxiliar!$D$4:$I$4,0))</f>
        <v>0</v>
      </c>
      <c r="AJ75" s="87">
        <f>INDEX(Auxiliar!$D$5:$I$10,MATCH('LISTA - Setembro2024'!AJ$3,Auxiliar!$B$5:$B$10,0),MATCH('LISTA - Setembro2024'!$AC75,Auxiliar!$D$4:$I$4,0))</f>
        <v>0</v>
      </c>
      <c r="AK75" s="160">
        <f t="shared" si="22"/>
        <v>0</v>
      </c>
      <c r="AL75" s="87" t="s">
        <v>1669</v>
      </c>
    </row>
    <row r="76" spans="1:38" ht="13.8" x14ac:dyDescent="0.25">
      <c r="A76" s="158" t="s">
        <v>229</v>
      </c>
      <c r="B76" s="81" t="str">
        <f t="shared" si="23"/>
        <v>ENTITY_TTL_DBT</v>
      </c>
      <c r="C76" s="82" t="s">
        <v>10</v>
      </c>
      <c r="D76" s="83" t="s">
        <v>230</v>
      </c>
      <c r="E76" s="84" t="s">
        <v>231</v>
      </c>
      <c r="F76" s="85" t="s">
        <v>13</v>
      </c>
      <c r="G76" s="85" t="s">
        <v>11</v>
      </c>
      <c r="H76" s="85" t="s">
        <v>13</v>
      </c>
      <c r="I76" s="85" t="s">
        <v>11</v>
      </c>
      <c r="J76" s="85" t="s">
        <v>11</v>
      </c>
      <c r="K76" s="85" t="s">
        <v>13</v>
      </c>
      <c r="L76" s="86" t="str">
        <f>IFERROR(VLOOKUP($B76,'LISTA - Atual'!$B$1:$I$444,5,0),"Novo")</f>
        <v>Y</v>
      </c>
      <c r="M76" s="86" t="str">
        <f t="shared" si="17"/>
        <v>Igual</v>
      </c>
      <c r="N76" s="86" t="str">
        <f>IFERROR(VLOOKUP($B76,'LISTA - Atual'!$B$1:$I$444,6,0),"Novo")</f>
        <v>N</v>
      </c>
      <c r="O76" s="86" t="str">
        <f t="shared" si="18"/>
        <v>Igual</v>
      </c>
      <c r="P76" s="86" t="str">
        <f>IFERROR(VLOOKUP($B76,'LISTA - Atual'!$B$1:$I$444,7,0),"Novo")</f>
        <v>Y</v>
      </c>
      <c r="Q76" s="86" t="str">
        <f t="shared" si="19"/>
        <v>Igual</v>
      </c>
      <c r="R76" s="86" t="s">
        <v>1563</v>
      </c>
      <c r="S76" s="86" t="str">
        <f>IFERROR(VLOOKUP($B76,'LISTA - Atual'!$B$1:$I$444,8,0),"Novo")</f>
        <v>N</v>
      </c>
      <c r="T76" s="86" t="str">
        <f t="shared" si="20"/>
        <v>Igual</v>
      </c>
      <c r="U76" s="86" t="s">
        <v>1563</v>
      </c>
      <c r="V76" s="86" t="s">
        <v>11</v>
      </c>
      <c r="W76" s="87" t="str">
        <f>IFERROR(VLOOKUP(B76,#REF!,11,0),"n/a")</f>
        <v>n/a</v>
      </c>
      <c r="X76" s="88" t="str">
        <f>IFERROR(VLOOKUP(B76,#REF!,8,0),"n/a")</f>
        <v>n/a</v>
      </c>
      <c r="Y76" s="87" t="str">
        <f>$F$2&amp;$Y$1&amp;$H$2</f>
        <v>ESTR &amp; PILAR3</v>
      </c>
      <c r="Z76" s="131" t="s">
        <v>1605</v>
      </c>
      <c r="AA76" s="227" t="e">
        <f>VLOOKUP(Table1[[#This Row],[CONCAT]],'Campos Resumo Prop2.0'!A:H,8,0)</f>
        <v>#N/A</v>
      </c>
      <c r="AB76" s="87" t="s">
        <v>1655</v>
      </c>
      <c r="AC76" s="135" t="s">
        <v>1625</v>
      </c>
      <c r="AD76" s="91">
        <f>INDEX(Auxiliar!$D$5:$I$10,MATCH('LISTA - Setembro2024'!AD$3,Auxiliar!$B$5:$B$10,0),MATCH('LISTA - Setembro2024'!$AC76,Auxiliar!$D$4:$I$4,0))</f>
        <v>0</v>
      </c>
      <c r="AE76" s="91">
        <f>INDEX(Auxiliar!$D$5:$I$10,MATCH('LISTA - Setembro2024'!AE$3,Auxiliar!$B$5:$B$10,0),MATCH('LISTA - Setembro2024'!$AC76,Auxiliar!$D$4:$I$4,0))</f>
        <v>0</v>
      </c>
      <c r="AF76" s="87">
        <f>INDEX(Auxiliar!$D$5:$I$10,MATCH('LISTA - Setembro2024'!AF$3,Auxiliar!$B$5:$B$10,0),MATCH('LISTA - Setembro2024'!$AC76,Auxiliar!$D$4:$I$4,0))</f>
        <v>0</v>
      </c>
      <c r="AG76" s="87" t="str">
        <f t="shared" si="21"/>
        <v>n.a.</v>
      </c>
      <c r="AH76" s="87">
        <f>INDEX(Auxiliar!$D$5:$I$10,MATCH('LISTA - Setembro2024'!AH$3,Auxiliar!$B$5:$B$10,0),MATCH('LISTA - Setembro2024'!$AG76,Auxiliar!$D$4:$I$4,0))</f>
        <v>0</v>
      </c>
      <c r="AI76" s="87">
        <f>INDEX(Auxiliar!$D$5:$I$10,MATCH('LISTA - Setembro2024'!AI$3,Auxiliar!$B$5:$B$10,0),MATCH('LISTA - Setembro2024'!$AC76,Auxiliar!$D$4:$I$4,0))</f>
        <v>0</v>
      </c>
      <c r="AJ76" s="87">
        <f>INDEX(Auxiliar!$D$5:$I$10,MATCH('LISTA - Setembro2024'!AJ$3,Auxiliar!$B$5:$B$10,0),MATCH('LISTA - Setembro2024'!$AC76,Auxiliar!$D$4:$I$4,0))</f>
        <v>0</v>
      </c>
      <c r="AK76" s="160">
        <f t="shared" si="22"/>
        <v>0</v>
      </c>
      <c r="AL76" s="87" t="s">
        <v>1669</v>
      </c>
    </row>
    <row r="77" spans="1:38" ht="13.8" x14ac:dyDescent="0.25">
      <c r="A77" s="158" t="s">
        <v>232</v>
      </c>
      <c r="B77" s="81" t="str">
        <f t="shared" si="23"/>
        <v>ENTITY_TTL_DBT_PRVS</v>
      </c>
      <c r="C77" s="82" t="s">
        <v>10</v>
      </c>
      <c r="D77" s="83" t="s">
        <v>233</v>
      </c>
      <c r="E77" s="84" t="s">
        <v>234</v>
      </c>
      <c r="F77" s="85" t="s">
        <v>13</v>
      </c>
      <c r="G77" s="85" t="s">
        <v>11</v>
      </c>
      <c r="H77" s="85" t="s">
        <v>11</v>
      </c>
      <c r="I77" s="85" t="s">
        <v>11</v>
      </c>
      <c r="J77" s="85" t="s">
        <v>11</v>
      </c>
      <c r="K77" s="85" t="s">
        <v>13</v>
      </c>
      <c r="L77" s="86" t="str">
        <f>IFERROR(VLOOKUP($B77,'LISTA - Atual'!$B$1:$I$444,5,0),"Novo")</f>
        <v>Y</v>
      </c>
      <c r="M77" s="86" t="str">
        <f t="shared" si="17"/>
        <v>Igual</v>
      </c>
      <c r="N77" s="86" t="str">
        <f>IFERROR(VLOOKUP($B77,'LISTA - Atual'!$B$1:$I$444,6,0),"Novo")</f>
        <v>N</v>
      </c>
      <c r="O77" s="86" t="str">
        <f t="shared" si="18"/>
        <v>Igual</v>
      </c>
      <c r="P77" s="86" t="str">
        <f>IFERROR(VLOOKUP($B77,'LISTA - Atual'!$B$1:$I$444,7,0),"Novo")</f>
        <v>N</v>
      </c>
      <c r="Q77" s="86" t="str">
        <f t="shared" si="19"/>
        <v>Igual</v>
      </c>
      <c r="R77" s="86" t="s">
        <v>1563</v>
      </c>
      <c r="S77" s="86" t="str">
        <f>IFERROR(VLOOKUP($B77,'LISTA - Atual'!$B$1:$I$444,8,0),"Novo")</f>
        <v>N</v>
      </c>
      <c r="T77" s="86" t="str">
        <f t="shared" si="20"/>
        <v>Igual</v>
      </c>
      <c r="U77" s="86" t="s">
        <v>1563</v>
      </c>
      <c r="V77" s="86" t="s">
        <v>11</v>
      </c>
      <c r="W77" s="87" t="str">
        <f>IFERROR(VLOOKUP(B77,#REF!,11,0),"n/a")</f>
        <v>n/a</v>
      </c>
      <c r="X77" s="88" t="str">
        <f>IFERROR(VLOOKUP(B77,#REF!,8,0),"n/a")</f>
        <v>n/a</v>
      </c>
      <c r="Y77" s="87" t="str">
        <f t="shared" ref="Y77:Y93" si="24">$F$2</f>
        <v>ESTR</v>
      </c>
      <c r="Z77" s="131" t="s">
        <v>1605</v>
      </c>
      <c r="AA77" s="227" t="e">
        <f>VLOOKUP(Table1[[#This Row],[CONCAT]],'Campos Resumo Prop2.0'!A:H,8,0)</f>
        <v>#N/A</v>
      </c>
      <c r="AB77" s="87" t="s">
        <v>1655</v>
      </c>
      <c r="AC77" s="135" t="s">
        <v>1625</v>
      </c>
      <c r="AD77" s="91">
        <f>INDEX(Auxiliar!$D$5:$I$10,MATCH('LISTA - Setembro2024'!AD$3,Auxiliar!$B$5:$B$10,0),MATCH('LISTA - Setembro2024'!$AC77,Auxiliar!$D$4:$I$4,0))</f>
        <v>0</v>
      </c>
      <c r="AE77" s="91">
        <f>INDEX(Auxiliar!$D$5:$I$10,MATCH('LISTA - Setembro2024'!AE$3,Auxiliar!$B$5:$B$10,0),MATCH('LISTA - Setembro2024'!$AC77,Auxiliar!$D$4:$I$4,0))</f>
        <v>0</v>
      </c>
      <c r="AF77" s="87">
        <f>INDEX(Auxiliar!$D$5:$I$10,MATCH('LISTA - Setembro2024'!AF$3,Auxiliar!$B$5:$B$10,0),MATCH('LISTA - Setembro2024'!$AC77,Auxiliar!$D$4:$I$4,0))</f>
        <v>0</v>
      </c>
      <c r="AG77" s="87" t="str">
        <f t="shared" si="21"/>
        <v>n.a.</v>
      </c>
      <c r="AH77" s="87">
        <f>INDEX(Auxiliar!$D$5:$I$10,MATCH('LISTA - Setembro2024'!AH$3,Auxiliar!$B$5:$B$10,0),MATCH('LISTA - Setembro2024'!$AG77,Auxiliar!$D$4:$I$4,0))</f>
        <v>0</v>
      </c>
      <c r="AI77" s="87">
        <f>INDEX(Auxiliar!$D$5:$I$10,MATCH('LISTA - Setembro2024'!AI$3,Auxiliar!$B$5:$B$10,0),MATCH('LISTA - Setembro2024'!$AC77,Auxiliar!$D$4:$I$4,0))</f>
        <v>0</v>
      </c>
      <c r="AJ77" s="87">
        <f>INDEX(Auxiliar!$D$5:$I$10,MATCH('LISTA - Setembro2024'!AJ$3,Auxiliar!$B$5:$B$10,0),MATCH('LISTA - Setembro2024'!$AC77,Auxiliar!$D$4:$I$4,0))</f>
        <v>0</v>
      </c>
      <c r="AK77" s="160">
        <f t="shared" si="22"/>
        <v>0</v>
      </c>
      <c r="AL77" s="87" t="s">
        <v>1669</v>
      </c>
    </row>
    <row r="78" spans="1:38" ht="13.8" x14ac:dyDescent="0.25">
      <c r="A78" s="158" t="s">
        <v>235</v>
      </c>
      <c r="B78" s="81" t="str">
        <f t="shared" si="23"/>
        <v>ENTITY_TTL_INTRST_PD</v>
      </c>
      <c r="C78" s="82" t="s">
        <v>10</v>
      </c>
      <c r="D78" s="83" t="s">
        <v>236</v>
      </c>
      <c r="E78" s="84" t="s">
        <v>237</v>
      </c>
      <c r="F78" s="85" t="s">
        <v>13</v>
      </c>
      <c r="G78" s="85" t="s">
        <v>11</v>
      </c>
      <c r="H78" s="85" t="s">
        <v>11</v>
      </c>
      <c r="I78" s="85" t="s">
        <v>11</v>
      </c>
      <c r="J78" s="85" t="s">
        <v>11</v>
      </c>
      <c r="K78" s="85" t="s">
        <v>13</v>
      </c>
      <c r="L78" s="86" t="str">
        <f>IFERROR(VLOOKUP($B78,'LISTA - Atual'!$B$1:$I$444,5,0),"Novo")</f>
        <v>Y</v>
      </c>
      <c r="M78" s="86" t="str">
        <f t="shared" si="17"/>
        <v>Igual</v>
      </c>
      <c r="N78" s="86" t="str">
        <f>IFERROR(VLOOKUP($B78,'LISTA - Atual'!$B$1:$I$444,6,0),"Novo")</f>
        <v>N</v>
      </c>
      <c r="O78" s="86" t="str">
        <f t="shared" si="18"/>
        <v>Igual</v>
      </c>
      <c r="P78" s="86" t="str">
        <f>IFERROR(VLOOKUP($B78,'LISTA - Atual'!$B$1:$I$444,7,0),"Novo")</f>
        <v>N</v>
      </c>
      <c r="Q78" s="86" t="str">
        <f t="shared" si="19"/>
        <v>Igual</v>
      </c>
      <c r="R78" s="86" t="s">
        <v>1563</v>
      </c>
      <c r="S78" s="86" t="str">
        <f>IFERROR(VLOOKUP($B78,'LISTA - Atual'!$B$1:$I$444,8,0),"Novo")</f>
        <v>N</v>
      </c>
      <c r="T78" s="86" t="str">
        <f t="shared" si="20"/>
        <v>Igual</v>
      </c>
      <c r="U78" s="86" t="s">
        <v>1563</v>
      </c>
      <c r="V78" s="86" t="s">
        <v>11</v>
      </c>
      <c r="W78" s="87" t="str">
        <f>IFERROR(VLOOKUP(B78,#REF!,11,0),"n/a")</f>
        <v>n/a</v>
      </c>
      <c r="X78" s="88" t="str">
        <f>IFERROR(VLOOKUP(B78,#REF!,8,0),"n/a")</f>
        <v>n/a</v>
      </c>
      <c r="Y78" s="87" t="str">
        <f t="shared" si="24"/>
        <v>ESTR</v>
      </c>
      <c r="Z78" s="131" t="s">
        <v>1605</v>
      </c>
      <c r="AA78" s="227" t="e">
        <f>VLOOKUP(Table1[[#This Row],[CONCAT]],'Campos Resumo Prop2.0'!A:H,8,0)</f>
        <v>#N/A</v>
      </c>
      <c r="AB78" s="87" t="s">
        <v>1655</v>
      </c>
      <c r="AC78" s="135" t="s">
        <v>1625</v>
      </c>
      <c r="AD78" s="91">
        <f>INDEX(Auxiliar!$D$5:$I$10,MATCH('LISTA - Setembro2024'!AD$3,Auxiliar!$B$5:$B$10,0),MATCH('LISTA - Setembro2024'!$AC78,Auxiliar!$D$4:$I$4,0))</f>
        <v>0</v>
      </c>
      <c r="AE78" s="91">
        <f>INDEX(Auxiliar!$D$5:$I$10,MATCH('LISTA - Setembro2024'!AE$3,Auxiliar!$B$5:$B$10,0),MATCH('LISTA - Setembro2024'!$AC78,Auxiliar!$D$4:$I$4,0))</f>
        <v>0</v>
      </c>
      <c r="AF78" s="87">
        <f>INDEX(Auxiliar!$D$5:$I$10,MATCH('LISTA - Setembro2024'!AF$3,Auxiliar!$B$5:$B$10,0),MATCH('LISTA - Setembro2024'!$AC78,Auxiliar!$D$4:$I$4,0))</f>
        <v>0</v>
      </c>
      <c r="AG78" s="87" t="str">
        <f t="shared" si="21"/>
        <v>n.a.</v>
      </c>
      <c r="AH78" s="87">
        <f>INDEX(Auxiliar!$D$5:$I$10,MATCH('LISTA - Setembro2024'!AH$3,Auxiliar!$B$5:$B$10,0),MATCH('LISTA - Setembro2024'!$AG78,Auxiliar!$D$4:$I$4,0))</f>
        <v>0</v>
      </c>
      <c r="AI78" s="87">
        <f>INDEX(Auxiliar!$D$5:$I$10,MATCH('LISTA - Setembro2024'!AI$3,Auxiliar!$B$5:$B$10,0),MATCH('LISTA - Setembro2024'!$AC78,Auxiliar!$D$4:$I$4,0))</f>
        <v>0</v>
      </c>
      <c r="AJ78" s="87">
        <f>INDEX(Auxiliar!$D$5:$I$10,MATCH('LISTA - Setembro2024'!AJ$3,Auxiliar!$B$5:$B$10,0),MATCH('LISTA - Setembro2024'!$AC78,Auxiliar!$D$4:$I$4,0))</f>
        <v>0</v>
      </c>
      <c r="AK78" s="160">
        <f t="shared" si="22"/>
        <v>0</v>
      </c>
      <c r="AL78" s="87" t="s">
        <v>1680</v>
      </c>
    </row>
    <row r="79" spans="1:38" ht="13.8" x14ac:dyDescent="0.25">
      <c r="A79" s="158" t="s">
        <v>238</v>
      </c>
      <c r="B79" s="81" t="str">
        <f t="shared" si="23"/>
        <v>ENTITY_TTL_LVRG_RT</v>
      </c>
      <c r="C79" s="82" t="s">
        <v>10</v>
      </c>
      <c r="D79" s="83" t="s">
        <v>239</v>
      </c>
      <c r="E79" s="84" t="s">
        <v>240</v>
      </c>
      <c r="F79" s="85" t="s">
        <v>13</v>
      </c>
      <c r="G79" s="85" t="s">
        <v>11</v>
      </c>
      <c r="H79" s="85" t="s">
        <v>11</v>
      </c>
      <c r="I79" s="85" t="s">
        <v>11</v>
      </c>
      <c r="J79" s="85" t="s">
        <v>11</v>
      </c>
      <c r="K79" s="85" t="s">
        <v>13</v>
      </c>
      <c r="L79" s="86" t="str">
        <f>IFERROR(VLOOKUP($B79,'LISTA - Atual'!$B$1:$I$444,5,0),"Novo")</f>
        <v>Y</v>
      </c>
      <c r="M79" s="86" t="str">
        <f t="shared" si="17"/>
        <v>Igual</v>
      </c>
      <c r="N79" s="86" t="str">
        <f>IFERROR(VLOOKUP($B79,'LISTA - Atual'!$B$1:$I$444,6,0),"Novo")</f>
        <v>N</v>
      </c>
      <c r="O79" s="86" t="str">
        <f t="shared" si="18"/>
        <v>Igual</v>
      </c>
      <c r="P79" s="86" t="str">
        <f>IFERROR(VLOOKUP($B79,'LISTA - Atual'!$B$1:$I$444,7,0),"Novo")</f>
        <v>N</v>
      </c>
      <c r="Q79" s="86" t="str">
        <f t="shared" si="19"/>
        <v>Igual</v>
      </c>
      <c r="R79" s="86" t="s">
        <v>1563</v>
      </c>
      <c r="S79" s="86" t="str">
        <f>IFERROR(VLOOKUP($B79,'LISTA - Atual'!$B$1:$I$444,8,0),"Novo")</f>
        <v>N</v>
      </c>
      <c r="T79" s="86" t="str">
        <f t="shared" si="20"/>
        <v>Igual</v>
      </c>
      <c r="U79" s="86" t="s">
        <v>1563</v>
      </c>
      <c r="V79" s="86" t="s">
        <v>11</v>
      </c>
      <c r="W79" s="87" t="str">
        <f>IFERROR(VLOOKUP(B79,#REF!,11,0),"n/a")</f>
        <v>n/a</v>
      </c>
      <c r="X79" s="87" t="str">
        <f>IFERROR(VLOOKUP(B79,#REF!,8,0),"n/a")</f>
        <v>n/a</v>
      </c>
      <c r="Y79" s="87" t="str">
        <f t="shared" si="24"/>
        <v>ESTR</v>
      </c>
      <c r="Z79" s="131" t="s">
        <v>1605</v>
      </c>
      <c r="AA79" s="227" t="e">
        <f>VLOOKUP(Table1[[#This Row],[CONCAT]],'Campos Resumo Prop2.0'!A:H,8,0)</f>
        <v>#N/A</v>
      </c>
      <c r="AB79" s="87" t="s">
        <v>1656</v>
      </c>
      <c r="AC79" s="135" t="s">
        <v>1625</v>
      </c>
      <c r="AD79" s="91">
        <f>INDEX(Auxiliar!$D$5:$I$10,MATCH('LISTA - Setembro2024'!AD$3,Auxiliar!$B$5:$B$10,0),MATCH('LISTA - Setembro2024'!$AC79,Auxiliar!$D$4:$I$4,0))</f>
        <v>0</v>
      </c>
      <c r="AE79" s="91">
        <f>INDEX(Auxiliar!$D$5:$I$10,MATCH('LISTA - Setembro2024'!AE$3,Auxiliar!$B$5:$B$10,0),MATCH('LISTA - Setembro2024'!$AC79,Auxiliar!$D$4:$I$4,0))</f>
        <v>0</v>
      </c>
      <c r="AF79" s="87">
        <f>INDEX(Auxiliar!$D$5:$I$10,MATCH('LISTA - Setembro2024'!AF$3,Auxiliar!$B$5:$B$10,0),MATCH('LISTA - Setembro2024'!$AC79,Auxiliar!$D$4:$I$4,0))</f>
        <v>0</v>
      </c>
      <c r="AG79" s="87" t="str">
        <f t="shared" si="21"/>
        <v>n.a.</v>
      </c>
      <c r="AH79" s="87">
        <f>INDEX(Auxiliar!$D$5:$I$10,MATCH('LISTA - Setembro2024'!AH$3,Auxiliar!$B$5:$B$10,0),MATCH('LISTA - Setembro2024'!$AG79,Auxiliar!$D$4:$I$4,0))</f>
        <v>0</v>
      </c>
      <c r="AI79" s="87">
        <f>INDEX(Auxiliar!$D$5:$I$10,MATCH('LISTA - Setembro2024'!AI$3,Auxiliar!$B$5:$B$10,0),MATCH('LISTA - Setembro2024'!$AC79,Auxiliar!$D$4:$I$4,0))</f>
        <v>0</v>
      </c>
      <c r="AJ79" s="87">
        <f>INDEX(Auxiliar!$D$5:$I$10,MATCH('LISTA - Setembro2024'!AJ$3,Auxiliar!$B$5:$B$10,0),MATCH('LISTA - Setembro2024'!$AC79,Auxiliar!$D$4:$I$4,0))</f>
        <v>0</v>
      </c>
      <c r="AK79" s="160">
        <f t="shared" si="22"/>
        <v>0</v>
      </c>
      <c r="AL79" s="87"/>
    </row>
    <row r="80" spans="1:38" ht="13.8" x14ac:dyDescent="0.25">
      <c r="A80" s="158" t="s">
        <v>241</v>
      </c>
      <c r="B80" s="81" t="str">
        <f t="shared" si="23"/>
        <v>ENTITY_TTL_LVRG_RT_PRVS</v>
      </c>
      <c r="C80" s="82" t="s">
        <v>10</v>
      </c>
      <c r="D80" s="83" t="s">
        <v>242</v>
      </c>
      <c r="E80" s="84" t="s">
        <v>243</v>
      </c>
      <c r="F80" s="85" t="s">
        <v>13</v>
      </c>
      <c r="G80" s="85" t="s">
        <v>11</v>
      </c>
      <c r="H80" s="85" t="s">
        <v>11</v>
      </c>
      <c r="I80" s="85" t="s">
        <v>11</v>
      </c>
      <c r="J80" s="85" t="s">
        <v>11</v>
      </c>
      <c r="K80" s="85" t="s">
        <v>13</v>
      </c>
      <c r="L80" s="86" t="str">
        <f>IFERROR(VLOOKUP($B80,'LISTA - Atual'!$B$1:$I$444,5,0),"Novo")</f>
        <v>Y</v>
      </c>
      <c r="M80" s="86" t="str">
        <f t="shared" si="17"/>
        <v>Igual</v>
      </c>
      <c r="N80" s="86" t="str">
        <f>IFERROR(VLOOKUP($B80,'LISTA - Atual'!$B$1:$I$444,6,0),"Novo")</f>
        <v>N</v>
      </c>
      <c r="O80" s="86" t="str">
        <f t="shared" si="18"/>
        <v>Igual</v>
      </c>
      <c r="P80" s="86" t="str">
        <f>IFERROR(VLOOKUP($B80,'LISTA - Atual'!$B$1:$I$444,7,0),"Novo")</f>
        <v>N</v>
      </c>
      <c r="Q80" s="86" t="str">
        <f t="shared" si="19"/>
        <v>Igual</v>
      </c>
      <c r="R80" s="86" t="s">
        <v>1563</v>
      </c>
      <c r="S80" s="86" t="str">
        <f>IFERROR(VLOOKUP($B80,'LISTA - Atual'!$B$1:$I$444,8,0),"Novo")</f>
        <v>N</v>
      </c>
      <c r="T80" s="86" t="str">
        <f t="shared" si="20"/>
        <v>Igual</v>
      </c>
      <c r="U80" s="86" t="s">
        <v>1563</v>
      </c>
      <c r="V80" s="86" t="s">
        <v>11</v>
      </c>
      <c r="W80" s="87" t="str">
        <f>IFERROR(VLOOKUP(B80,#REF!,11,0),"n/a")</f>
        <v>n/a</v>
      </c>
      <c r="X80" s="87" t="str">
        <f>IFERROR(VLOOKUP(B80,#REF!,8,0),"n/a")</f>
        <v>n/a</v>
      </c>
      <c r="Y80" s="87" t="str">
        <f t="shared" si="24"/>
        <v>ESTR</v>
      </c>
      <c r="Z80" s="131" t="s">
        <v>1605</v>
      </c>
      <c r="AA80" s="227" t="e">
        <f>VLOOKUP(Table1[[#This Row],[CONCAT]],'Campos Resumo Prop2.0'!A:H,8,0)</f>
        <v>#N/A</v>
      </c>
      <c r="AB80" s="87" t="s">
        <v>1656</v>
      </c>
      <c r="AC80" s="135" t="s">
        <v>1625</v>
      </c>
      <c r="AD80" s="91">
        <f>INDEX(Auxiliar!$D$5:$I$10,MATCH('LISTA - Setembro2024'!AD$3,Auxiliar!$B$5:$B$10,0),MATCH('LISTA - Setembro2024'!$AC80,Auxiliar!$D$4:$I$4,0))</f>
        <v>0</v>
      </c>
      <c r="AE80" s="91">
        <f>INDEX(Auxiliar!$D$5:$I$10,MATCH('LISTA - Setembro2024'!AE$3,Auxiliar!$B$5:$B$10,0),MATCH('LISTA - Setembro2024'!$AC80,Auxiliar!$D$4:$I$4,0))</f>
        <v>0</v>
      </c>
      <c r="AF80" s="87">
        <f>INDEX(Auxiliar!$D$5:$I$10,MATCH('LISTA - Setembro2024'!AF$3,Auxiliar!$B$5:$B$10,0),MATCH('LISTA - Setembro2024'!$AC80,Auxiliar!$D$4:$I$4,0))</f>
        <v>0</v>
      </c>
      <c r="AG80" s="87" t="str">
        <f t="shared" si="21"/>
        <v>n.a.</v>
      </c>
      <c r="AH80" s="87">
        <f>INDEX(Auxiliar!$D$5:$I$10,MATCH('LISTA - Setembro2024'!AH$3,Auxiliar!$B$5:$B$10,0),MATCH('LISTA - Setembro2024'!$AG80,Auxiliar!$D$4:$I$4,0))</f>
        <v>0</v>
      </c>
      <c r="AI80" s="87">
        <f>INDEX(Auxiliar!$D$5:$I$10,MATCH('LISTA - Setembro2024'!AI$3,Auxiliar!$B$5:$B$10,0),MATCH('LISTA - Setembro2024'!$AC80,Auxiliar!$D$4:$I$4,0))</f>
        <v>0</v>
      </c>
      <c r="AJ80" s="87">
        <f>INDEX(Auxiliar!$D$5:$I$10,MATCH('LISTA - Setembro2024'!AJ$3,Auxiliar!$B$5:$B$10,0),MATCH('LISTA - Setembro2024'!$AC80,Auxiliar!$D$4:$I$4,0))</f>
        <v>0</v>
      </c>
      <c r="AK80" s="160">
        <f t="shared" si="22"/>
        <v>0</v>
      </c>
      <c r="AL80" s="87"/>
    </row>
    <row r="81" spans="1:38" ht="13.8" x14ac:dyDescent="0.25">
      <c r="A81" s="158" t="s">
        <v>244</v>
      </c>
      <c r="B81" s="81" t="str">
        <f t="shared" si="23"/>
        <v>ENTITY_DBT_RPYMNT_CPCTY_SNR_DBT</v>
      </c>
      <c r="C81" s="82" t="s">
        <v>10</v>
      </c>
      <c r="D81" s="83" t="s">
        <v>245</v>
      </c>
      <c r="E81" s="84" t="s">
        <v>246</v>
      </c>
      <c r="F81" s="85" t="s">
        <v>13</v>
      </c>
      <c r="G81" s="85" t="s">
        <v>11</v>
      </c>
      <c r="H81" s="85" t="s">
        <v>11</v>
      </c>
      <c r="I81" s="85" t="s">
        <v>11</v>
      </c>
      <c r="J81" s="85" t="s">
        <v>11</v>
      </c>
      <c r="K81" s="85" t="s">
        <v>13</v>
      </c>
      <c r="L81" s="86" t="str">
        <f>IFERROR(VLOOKUP($B81,'LISTA - Atual'!$B$1:$I$444,5,0),"Novo")</f>
        <v>Y</v>
      </c>
      <c r="M81" s="86" t="str">
        <f t="shared" si="17"/>
        <v>Igual</v>
      </c>
      <c r="N81" s="86" t="str">
        <f>IFERROR(VLOOKUP($B81,'LISTA - Atual'!$B$1:$I$444,6,0),"Novo")</f>
        <v>N</v>
      </c>
      <c r="O81" s="86" t="str">
        <f t="shared" si="18"/>
        <v>Igual</v>
      </c>
      <c r="P81" s="86" t="str">
        <f>IFERROR(VLOOKUP($B81,'LISTA - Atual'!$B$1:$I$444,7,0),"Novo")</f>
        <v>N</v>
      </c>
      <c r="Q81" s="86" t="str">
        <f t="shared" si="19"/>
        <v>Igual</v>
      </c>
      <c r="R81" s="86" t="s">
        <v>1563</v>
      </c>
      <c r="S81" s="86" t="str">
        <f>IFERROR(VLOOKUP($B81,'LISTA - Atual'!$B$1:$I$444,8,0),"Novo")</f>
        <v>N</v>
      </c>
      <c r="T81" s="86" t="str">
        <f t="shared" si="20"/>
        <v>Igual</v>
      </c>
      <c r="U81" s="86" t="s">
        <v>1563</v>
      </c>
      <c r="V81" s="90" t="s">
        <v>13</v>
      </c>
      <c r="W81" s="87" t="str">
        <f>IFERROR(VLOOKUP(B81,#REF!,11,0),"n/a")</f>
        <v>n/a</v>
      </c>
      <c r="X81" s="91" t="str">
        <f>IFERROR(VLOOKUP(B81,#REF!,8,0),"n/a")</f>
        <v>n/a</v>
      </c>
      <c r="Y81" s="87" t="str">
        <f t="shared" si="24"/>
        <v>ESTR</v>
      </c>
      <c r="Z81" s="131" t="s">
        <v>1605</v>
      </c>
      <c r="AA81" s="227" t="e">
        <f>VLOOKUP(Table1[[#This Row],[CONCAT]],'Campos Resumo Prop2.0'!A:H,8,0)</f>
        <v>#N/A</v>
      </c>
      <c r="AB81" s="87" t="s">
        <v>1656</v>
      </c>
      <c r="AC81" s="135" t="s">
        <v>1625</v>
      </c>
      <c r="AD81" s="135">
        <v>10</v>
      </c>
      <c r="AE81" s="135">
        <v>8</v>
      </c>
      <c r="AF81" s="87">
        <f>INDEX(Auxiliar!$D$5:$I$10,MATCH('LISTA - Setembro2024'!AF$3,Auxiliar!$B$5:$B$10,0),MATCH('LISTA - Setembro2024'!$AC81,Auxiliar!$D$4:$I$4,0))</f>
        <v>0</v>
      </c>
      <c r="AG81" s="87" t="str">
        <f t="shared" si="21"/>
        <v>n.a.</v>
      </c>
      <c r="AH81" s="87">
        <f>INDEX(Auxiliar!$D$5:$I$10,MATCH('LISTA - Setembro2024'!AH$3,Auxiliar!$B$5:$B$10,0),MATCH('LISTA - Setembro2024'!$AG81,Auxiliar!$D$4:$I$4,0))</f>
        <v>0</v>
      </c>
      <c r="AI81" s="87">
        <f>INDEX(Auxiliar!$D$5:$I$10,MATCH('LISTA - Setembro2024'!AI$3,Auxiliar!$B$5:$B$10,0),MATCH('LISTA - Setembro2024'!$AC81,Auxiliar!$D$4:$I$4,0))</f>
        <v>0</v>
      </c>
      <c r="AJ81" s="87">
        <f>INDEX(Auxiliar!$D$5:$I$10,MATCH('LISTA - Setembro2024'!AJ$3,Auxiliar!$B$5:$B$10,0),MATCH('LISTA - Setembro2024'!$AC81,Auxiliar!$D$4:$I$4,0))</f>
        <v>0</v>
      </c>
      <c r="AK81" s="160">
        <f t="shared" si="22"/>
        <v>0</v>
      </c>
      <c r="AL81" s="87" t="s">
        <v>1697</v>
      </c>
    </row>
    <row r="82" spans="1:38" ht="13.8" x14ac:dyDescent="0.25">
      <c r="A82" s="158" t="s">
        <v>247</v>
      </c>
      <c r="B82" s="81" t="str">
        <f t="shared" si="23"/>
        <v>ENTITY_DBT_RPYMNT_CPCTY_TTL</v>
      </c>
      <c r="C82" s="82" t="s">
        <v>10</v>
      </c>
      <c r="D82" s="83" t="s">
        <v>248</v>
      </c>
      <c r="E82" s="84" t="s">
        <v>249</v>
      </c>
      <c r="F82" s="85" t="s">
        <v>13</v>
      </c>
      <c r="G82" s="85" t="s">
        <v>11</v>
      </c>
      <c r="H82" s="85" t="s">
        <v>11</v>
      </c>
      <c r="I82" s="85" t="s">
        <v>11</v>
      </c>
      <c r="J82" s="85" t="s">
        <v>11</v>
      </c>
      <c r="K82" s="85" t="s">
        <v>13</v>
      </c>
      <c r="L82" s="86" t="str">
        <f>IFERROR(VLOOKUP($B82,'LISTA - Atual'!$B$1:$I$444,5,0),"Novo")</f>
        <v>Y</v>
      </c>
      <c r="M82" s="86" t="str">
        <f t="shared" si="17"/>
        <v>Igual</v>
      </c>
      <c r="N82" s="86" t="str">
        <f>IFERROR(VLOOKUP($B82,'LISTA - Atual'!$B$1:$I$444,6,0),"Novo")</f>
        <v>N</v>
      </c>
      <c r="O82" s="86" t="str">
        <f t="shared" si="18"/>
        <v>Igual</v>
      </c>
      <c r="P82" s="86" t="str">
        <f>IFERROR(VLOOKUP($B82,'LISTA - Atual'!$B$1:$I$444,7,0),"Novo")</f>
        <v>N</v>
      </c>
      <c r="Q82" s="86" t="str">
        <f t="shared" si="19"/>
        <v>Igual</v>
      </c>
      <c r="R82" s="86" t="s">
        <v>1563</v>
      </c>
      <c r="S82" s="86" t="str">
        <f>IFERROR(VLOOKUP($B82,'LISTA - Atual'!$B$1:$I$444,8,0),"Novo")</f>
        <v>N</v>
      </c>
      <c r="T82" s="86" t="str">
        <f t="shared" si="20"/>
        <v>Igual</v>
      </c>
      <c r="U82" s="86" t="s">
        <v>1563</v>
      </c>
      <c r="V82" s="86" t="s">
        <v>11</v>
      </c>
      <c r="W82" s="87" t="str">
        <f>IFERROR(VLOOKUP(B82,#REF!,11,0),"n/a")</f>
        <v>n/a</v>
      </c>
      <c r="X82" s="87" t="str">
        <f>IFERROR(VLOOKUP(B82,#REF!,8,0),"n/a")</f>
        <v>n/a</v>
      </c>
      <c r="Y82" s="87" t="str">
        <f t="shared" si="24"/>
        <v>ESTR</v>
      </c>
      <c r="Z82" s="131" t="s">
        <v>1605</v>
      </c>
      <c r="AA82" s="227" t="e">
        <f>VLOOKUP(Table1[[#This Row],[CONCAT]],'Campos Resumo Prop2.0'!A:H,8,0)</f>
        <v>#N/A</v>
      </c>
      <c r="AB82" s="87" t="s">
        <v>1656</v>
      </c>
      <c r="AC82" s="135" t="s">
        <v>1625</v>
      </c>
      <c r="AD82" s="91">
        <f>INDEX(Auxiliar!$D$5:$I$10,MATCH('LISTA - Setembro2024'!AD$3,Auxiliar!$B$5:$B$10,0),MATCH('LISTA - Setembro2024'!$AC82,Auxiliar!$D$4:$I$4,0))</f>
        <v>0</v>
      </c>
      <c r="AE82" s="91">
        <f>INDEX(Auxiliar!$D$5:$I$10,MATCH('LISTA - Setembro2024'!AE$3,Auxiliar!$B$5:$B$10,0),MATCH('LISTA - Setembro2024'!$AC82,Auxiliar!$D$4:$I$4,0))</f>
        <v>0</v>
      </c>
      <c r="AF82" s="87">
        <f>INDEX(Auxiliar!$D$5:$I$10,MATCH('LISTA - Setembro2024'!AF$3,Auxiliar!$B$5:$B$10,0),MATCH('LISTA - Setembro2024'!$AC82,Auxiliar!$D$4:$I$4,0))</f>
        <v>0</v>
      </c>
      <c r="AG82" s="87" t="str">
        <f t="shared" si="21"/>
        <v>n.a.</v>
      </c>
      <c r="AH82" s="87">
        <f>INDEX(Auxiliar!$D$5:$I$10,MATCH('LISTA - Setembro2024'!AH$3,Auxiliar!$B$5:$B$10,0),MATCH('LISTA - Setembro2024'!$AG82,Auxiliar!$D$4:$I$4,0))</f>
        <v>0</v>
      </c>
      <c r="AI82" s="87">
        <f>INDEX(Auxiliar!$D$5:$I$10,MATCH('LISTA - Setembro2024'!AI$3,Auxiliar!$B$5:$B$10,0),MATCH('LISTA - Setembro2024'!$AC82,Auxiliar!$D$4:$I$4,0))</f>
        <v>0</v>
      </c>
      <c r="AJ82" s="87">
        <f>INDEX(Auxiliar!$D$5:$I$10,MATCH('LISTA - Setembro2024'!AJ$3,Auxiliar!$B$5:$B$10,0),MATCH('LISTA - Setembro2024'!$AC82,Auxiliar!$D$4:$I$4,0))</f>
        <v>0</v>
      </c>
      <c r="AK82" s="160">
        <f t="shared" si="22"/>
        <v>0</v>
      </c>
      <c r="AL82" s="87"/>
    </row>
    <row r="83" spans="1:38" ht="13.8" x14ac:dyDescent="0.25">
      <c r="A83" s="158" t="s">
        <v>250</v>
      </c>
      <c r="B83" s="81" t="str">
        <f t="shared" si="23"/>
        <v>ENTITY_DBT_SRVC_RT</v>
      </c>
      <c r="C83" s="82" t="s">
        <v>10</v>
      </c>
      <c r="D83" s="83" t="s">
        <v>251</v>
      </c>
      <c r="E83" s="84" t="s">
        <v>252</v>
      </c>
      <c r="F83" s="85" t="s">
        <v>13</v>
      </c>
      <c r="G83" s="85" t="s">
        <v>11</v>
      </c>
      <c r="H83" s="85" t="s">
        <v>11</v>
      </c>
      <c r="I83" s="85" t="s">
        <v>11</v>
      </c>
      <c r="J83" s="85" t="s">
        <v>11</v>
      </c>
      <c r="K83" s="85" t="s">
        <v>11</v>
      </c>
      <c r="L83" s="86" t="str">
        <f>IFERROR(VLOOKUP($B83,'LISTA - Atual'!$B$1:$I$444,5,0),"Novo")</f>
        <v>Y</v>
      </c>
      <c r="M83" s="86" t="str">
        <f t="shared" si="17"/>
        <v>Igual</v>
      </c>
      <c r="N83" s="86" t="str">
        <f>IFERROR(VLOOKUP($B83,'LISTA - Atual'!$B$1:$I$444,6,0),"Novo")</f>
        <v>N</v>
      </c>
      <c r="O83" s="86" t="str">
        <f t="shared" si="18"/>
        <v>Igual</v>
      </c>
      <c r="P83" s="86" t="str">
        <f>IFERROR(VLOOKUP($B83,'LISTA - Atual'!$B$1:$I$444,7,0),"Novo")</f>
        <v>N</v>
      </c>
      <c r="Q83" s="86" t="str">
        <f t="shared" si="19"/>
        <v>Igual</v>
      </c>
      <c r="R83" s="86" t="s">
        <v>1563</v>
      </c>
      <c r="S83" s="86" t="str">
        <f>IFERROR(VLOOKUP($B83,'LISTA - Atual'!$B$1:$I$444,8,0),"Novo")</f>
        <v>N</v>
      </c>
      <c r="T83" s="86" t="str">
        <f t="shared" si="20"/>
        <v>Igual</v>
      </c>
      <c r="U83" s="86" t="s">
        <v>1563</v>
      </c>
      <c r="V83" s="86" t="s">
        <v>11</v>
      </c>
      <c r="W83" s="87" t="str">
        <f>IFERROR(VLOOKUP(B83,#REF!,11,0),"n/a")</f>
        <v>n/a</v>
      </c>
      <c r="X83" s="87" t="str">
        <f>IFERROR(VLOOKUP(B83,#REF!,8,0),"n/a")</f>
        <v>n/a</v>
      </c>
      <c r="Y83" s="87" t="str">
        <f t="shared" si="24"/>
        <v>ESTR</v>
      </c>
      <c r="Z83" s="131" t="s">
        <v>1605</v>
      </c>
      <c r="AA83" s="227" t="e">
        <f>VLOOKUP(Table1[[#This Row],[CONCAT]],'Campos Resumo Prop2.0'!A:H,8,0)</f>
        <v>#N/A</v>
      </c>
      <c r="AB83" s="87" t="s">
        <v>1656</v>
      </c>
      <c r="AC83" s="135" t="s">
        <v>1625</v>
      </c>
      <c r="AD83" s="91">
        <f>INDEX(Auxiliar!$D$5:$I$10,MATCH('LISTA - Setembro2024'!AD$3,Auxiliar!$B$5:$B$10,0),MATCH('LISTA - Setembro2024'!$AC83,Auxiliar!$D$4:$I$4,0))</f>
        <v>0</v>
      </c>
      <c r="AE83" s="91">
        <f>INDEX(Auxiliar!$D$5:$I$10,MATCH('LISTA - Setembro2024'!AE$3,Auxiliar!$B$5:$B$10,0),MATCH('LISTA - Setembro2024'!$AC83,Auxiliar!$D$4:$I$4,0))</f>
        <v>0</v>
      </c>
      <c r="AF83" s="87">
        <f>INDEX(Auxiliar!$D$5:$I$10,MATCH('LISTA - Setembro2024'!AF$3,Auxiliar!$B$5:$B$10,0),MATCH('LISTA - Setembro2024'!$AC83,Auxiliar!$D$4:$I$4,0))</f>
        <v>0</v>
      </c>
      <c r="AG83" s="87" t="str">
        <f t="shared" si="21"/>
        <v>n.a.</v>
      </c>
      <c r="AH83" s="87">
        <f>INDEX(Auxiliar!$D$5:$I$10,MATCH('LISTA - Setembro2024'!AH$3,Auxiliar!$B$5:$B$10,0),MATCH('LISTA - Setembro2024'!$AG83,Auxiliar!$D$4:$I$4,0))</f>
        <v>0</v>
      </c>
      <c r="AI83" s="87">
        <f>INDEX(Auxiliar!$D$5:$I$10,MATCH('LISTA - Setembro2024'!AI$3,Auxiliar!$B$5:$B$10,0),MATCH('LISTA - Setembro2024'!$AC83,Auxiliar!$D$4:$I$4,0))</f>
        <v>0</v>
      </c>
      <c r="AJ83" s="87">
        <f>INDEX(Auxiliar!$D$5:$I$10,MATCH('LISTA - Setembro2024'!AJ$3,Auxiliar!$B$5:$B$10,0),MATCH('LISTA - Setembro2024'!$AC83,Auxiliar!$D$4:$I$4,0))</f>
        <v>0</v>
      </c>
      <c r="AK83" s="160">
        <f t="shared" si="22"/>
        <v>0</v>
      </c>
      <c r="AL83" s="87"/>
    </row>
    <row r="84" spans="1:38" ht="13.8" x14ac:dyDescent="0.25">
      <c r="A84" s="158" t="s">
        <v>253</v>
      </c>
      <c r="B84" s="81" t="str">
        <f t="shared" si="23"/>
        <v>ENTITY_DBT_SRVC_RT_12M</v>
      </c>
      <c r="C84" s="82" t="s">
        <v>10</v>
      </c>
      <c r="D84" s="83" t="s">
        <v>254</v>
      </c>
      <c r="E84" s="84" t="s">
        <v>255</v>
      </c>
      <c r="F84" s="85" t="s">
        <v>13</v>
      </c>
      <c r="G84" s="85" t="s">
        <v>11</v>
      </c>
      <c r="H84" s="85" t="s">
        <v>11</v>
      </c>
      <c r="I84" s="85" t="s">
        <v>11</v>
      </c>
      <c r="J84" s="85" t="s">
        <v>11</v>
      </c>
      <c r="K84" s="85" t="s">
        <v>11</v>
      </c>
      <c r="L84" s="86" t="str">
        <f>IFERROR(VLOOKUP($B84,'LISTA - Atual'!$B$1:$I$444,5,0),"Novo")</f>
        <v>Y</v>
      </c>
      <c r="M84" s="86" t="str">
        <f t="shared" si="17"/>
        <v>Igual</v>
      </c>
      <c r="N84" s="86" t="str">
        <f>IFERROR(VLOOKUP($B84,'LISTA - Atual'!$B$1:$I$444,6,0),"Novo")</f>
        <v>N</v>
      </c>
      <c r="O84" s="86" t="str">
        <f t="shared" si="18"/>
        <v>Igual</v>
      </c>
      <c r="P84" s="86" t="str">
        <f>IFERROR(VLOOKUP($B84,'LISTA - Atual'!$B$1:$I$444,7,0),"Novo")</f>
        <v>N</v>
      </c>
      <c r="Q84" s="86" t="str">
        <f t="shared" si="19"/>
        <v>Igual</v>
      </c>
      <c r="R84" s="86" t="s">
        <v>1563</v>
      </c>
      <c r="S84" s="86" t="str">
        <f>IFERROR(VLOOKUP($B84,'LISTA - Atual'!$B$1:$I$444,8,0),"Novo")</f>
        <v>N</v>
      </c>
      <c r="T84" s="86" t="str">
        <f t="shared" si="20"/>
        <v>Igual</v>
      </c>
      <c r="U84" s="86" t="s">
        <v>1563</v>
      </c>
      <c r="V84" s="86" t="s">
        <v>11</v>
      </c>
      <c r="W84" s="87" t="str">
        <f>IFERROR(VLOOKUP(B84,#REF!,11,0),"n/a")</f>
        <v>n/a</v>
      </c>
      <c r="X84" s="87" t="str">
        <f>IFERROR(VLOOKUP(B84,#REF!,8,0),"n/a")</f>
        <v>n/a</v>
      </c>
      <c r="Y84" s="87" t="str">
        <f t="shared" si="24"/>
        <v>ESTR</v>
      </c>
      <c r="Z84" s="131" t="s">
        <v>1605</v>
      </c>
      <c r="AA84" s="227" t="e">
        <f>VLOOKUP(Table1[[#This Row],[CONCAT]],'Campos Resumo Prop2.0'!A:H,8,0)</f>
        <v>#N/A</v>
      </c>
      <c r="AB84" s="87" t="s">
        <v>1656</v>
      </c>
      <c r="AC84" s="135" t="s">
        <v>1625</v>
      </c>
      <c r="AD84" s="91">
        <f>INDEX(Auxiliar!$D$5:$I$10,MATCH('LISTA - Setembro2024'!AD$3,Auxiliar!$B$5:$B$10,0),MATCH('LISTA - Setembro2024'!$AC84,Auxiliar!$D$4:$I$4,0))</f>
        <v>0</v>
      </c>
      <c r="AE84" s="91">
        <f>INDEX(Auxiliar!$D$5:$I$10,MATCH('LISTA - Setembro2024'!AE$3,Auxiliar!$B$5:$B$10,0),MATCH('LISTA - Setembro2024'!$AC84,Auxiliar!$D$4:$I$4,0))</f>
        <v>0</v>
      </c>
      <c r="AF84" s="87">
        <f>INDEX(Auxiliar!$D$5:$I$10,MATCH('LISTA - Setembro2024'!AF$3,Auxiliar!$B$5:$B$10,0),MATCH('LISTA - Setembro2024'!$AC84,Auxiliar!$D$4:$I$4,0))</f>
        <v>0</v>
      </c>
      <c r="AG84" s="87" t="str">
        <f t="shared" si="21"/>
        <v>n.a.</v>
      </c>
      <c r="AH84" s="87">
        <f>INDEX(Auxiliar!$D$5:$I$10,MATCH('LISTA - Setembro2024'!AH$3,Auxiliar!$B$5:$B$10,0),MATCH('LISTA - Setembro2024'!$AG84,Auxiliar!$D$4:$I$4,0))</f>
        <v>0</v>
      </c>
      <c r="AI84" s="87">
        <f>INDEX(Auxiliar!$D$5:$I$10,MATCH('LISTA - Setembro2024'!AI$3,Auxiliar!$B$5:$B$10,0),MATCH('LISTA - Setembro2024'!$AC84,Auxiliar!$D$4:$I$4,0))</f>
        <v>0</v>
      </c>
      <c r="AJ84" s="87">
        <f>INDEX(Auxiliar!$D$5:$I$10,MATCH('LISTA - Setembro2024'!AJ$3,Auxiliar!$B$5:$B$10,0),MATCH('LISTA - Setembro2024'!$AC84,Auxiliar!$D$4:$I$4,0))</f>
        <v>0</v>
      </c>
      <c r="AK84" s="160">
        <f t="shared" si="22"/>
        <v>0</v>
      </c>
      <c r="AL84" s="87"/>
    </row>
    <row r="85" spans="1:38" ht="13.8" x14ac:dyDescent="0.25">
      <c r="A85" s="158" t="s">
        <v>256</v>
      </c>
      <c r="B85" s="81" t="str">
        <f t="shared" si="23"/>
        <v>ENTITY_PD_CRR_RD</v>
      </c>
      <c r="C85" s="82" t="s">
        <v>10</v>
      </c>
      <c r="D85" s="83" t="s">
        <v>257</v>
      </c>
      <c r="E85" s="84" t="s">
        <v>258</v>
      </c>
      <c r="F85" s="85" t="s">
        <v>13</v>
      </c>
      <c r="G85" s="85" t="s">
        <v>11</v>
      </c>
      <c r="H85" s="85" t="s">
        <v>11</v>
      </c>
      <c r="I85" s="85" t="s">
        <v>11</v>
      </c>
      <c r="J85" s="85" t="s">
        <v>11</v>
      </c>
      <c r="K85" s="85" t="s">
        <v>13</v>
      </c>
      <c r="L85" s="86" t="str">
        <f>IFERROR(VLOOKUP($B85,'LISTA - Atual'!$B$1:$I$444,5,0),"Novo")</f>
        <v>Y</v>
      </c>
      <c r="M85" s="86" t="str">
        <f t="shared" si="17"/>
        <v>Igual</v>
      </c>
      <c r="N85" s="86" t="str">
        <f>IFERROR(VLOOKUP($B85,'LISTA - Atual'!$B$1:$I$444,6,0),"Novo")</f>
        <v>N</v>
      </c>
      <c r="O85" s="86" t="str">
        <f t="shared" si="18"/>
        <v>Igual</v>
      </c>
      <c r="P85" s="86" t="str">
        <f>IFERROR(VLOOKUP($B85,'LISTA - Atual'!$B$1:$I$444,7,0),"Novo")</f>
        <v>N</v>
      </c>
      <c r="Q85" s="86" t="str">
        <f t="shared" si="19"/>
        <v>Igual</v>
      </c>
      <c r="R85" s="86" t="s">
        <v>1563</v>
      </c>
      <c r="S85" s="86" t="str">
        <f>IFERROR(VLOOKUP($B85,'LISTA - Atual'!$B$1:$I$444,8,0),"Novo")</f>
        <v>N</v>
      </c>
      <c r="T85" s="86" t="str">
        <f t="shared" si="20"/>
        <v>Igual</v>
      </c>
      <c r="U85" s="86" t="s">
        <v>1563</v>
      </c>
      <c r="V85" s="86" t="s">
        <v>11</v>
      </c>
      <c r="W85" s="87" t="str">
        <f>IFERROR(VLOOKUP(B85,#REF!,11,0),"n/a")</f>
        <v>n/a</v>
      </c>
      <c r="X85" s="87" t="str">
        <f>IFERROR(VLOOKUP(B85,#REF!,8,0),"n/a")</f>
        <v>n/a</v>
      </c>
      <c r="Y85" s="87" t="str">
        <f t="shared" si="24"/>
        <v>ESTR</v>
      </c>
      <c r="Z85" s="131" t="s">
        <v>1605</v>
      </c>
      <c r="AA85" s="227" t="e">
        <f>VLOOKUP(Table1[[#This Row],[CONCAT]],'Campos Resumo Prop2.0'!A:H,8,0)</f>
        <v>#N/A</v>
      </c>
      <c r="AB85" s="87" t="s">
        <v>1656</v>
      </c>
      <c r="AC85" s="135" t="s">
        <v>1625</v>
      </c>
      <c r="AD85" s="91">
        <f>INDEX(Auxiliar!$D$5:$I$10,MATCH('LISTA - Setembro2024'!AD$3,Auxiliar!$B$5:$B$10,0),MATCH('LISTA - Setembro2024'!$AC85,Auxiliar!$D$4:$I$4,0))</f>
        <v>0</v>
      </c>
      <c r="AE85" s="91">
        <f>INDEX(Auxiliar!$D$5:$I$10,MATCH('LISTA - Setembro2024'!AE$3,Auxiliar!$B$5:$B$10,0),MATCH('LISTA - Setembro2024'!$AC85,Auxiliar!$D$4:$I$4,0))</f>
        <v>0</v>
      </c>
      <c r="AF85" s="87">
        <f>INDEX(Auxiliar!$D$5:$I$10,MATCH('LISTA - Setembro2024'!AF$3,Auxiliar!$B$5:$B$10,0),MATCH('LISTA - Setembro2024'!$AC85,Auxiliar!$D$4:$I$4,0))</f>
        <v>0</v>
      </c>
      <c r="AG85" s="87" t="str">
        <f t="shared" si="21"/>
        <v>n.a.</v>
      </c>
      <c r="AH85" s="87">
        <f>INDEX(Auxiliar!$D$5:$I$10,MATCH('LISTA - Setembro2024'!AH$3,Auxiliar!$B$5:$B$10,0),MATCH('LISTA - Setembro2024'!$AG85,Auxiliar!$D$4:$I$4,0))</f>
        <v>0</v>
      </c>
      <c r="AI85" s="87">
        <f>INDEX(Auxiliar!$D$5:$I$10,MATCH('LISTA - Setembro2024'!AI$3,Auxiliar!$B$5:$B$10,0),MATCH('LISTA - Setembro2024'!$AC85,Auxiliar!$D$4:$I$4,0))</f>
        <v>0</v>
      </c>
      <c r="AJ85" s="87">
        <f>INDEX(Auxiliar!$D$5:$I$10,MATCH('LISTA - Setembro2024'!AJ$3,Auxiliar!$B$5:$B$10,0),MATCH('LISTA - Setembro2024'!$AC85,Auxiliar!$D$4:$I$4,0))</f>
        <v>0</v>
      </c>
      <c r="AK85" s="160">
        <f t="shared" si="22"/>
        <v>0</v>
      </c>
      <c r="AL85" s="87"/>
    </row>
    <row r="86" spans="1:38" ht="13.8" x14ac:dyDescent="0.25">
      <c r="A86" s="158" t="s">
        <v>259</v>
      </c>
      <c r="B86" s="81" t="str">
        <f t="shared" si="23"/>
        <v>ENTITY_PD_IFRS9_12M_RD</v>
      </c>
      <c r="C86" s="82" t="s">
        <v>10</v>
      </c>
      <c r="D86" s="83" t="s">
        <v>260</v>
      </c>
      <c r="E86" s="84" t="s">
        <v>261</v>
      </c>
      <c r="F86" s="85" t="s">
        <v>13</v>
      </c>
      <c r="G86" s="85" t="s">
        <v>11</v>
      </c>
      <c r="H86" s="85" t="s">
        <v>11</v>
      </c>
      <c r="I86" s="85" t="s">
        <v>11</v>
      </c>
      <c r="J86" s="85" t="s">
        <v>11</v>
      </c>
      <c r="K86" s="85" t="s">
        <v>13</v>
      </c>
      <c r="L86" s="86" t="str">
        <f>IFERROR(VLOOKUP($B86,'LISTA - Atual'!$B$1:$I$444,5,0),"Novo")</f>
        <v>Y</v>
      </c>
      <c r="M86" s="86" t="str">
        <f t="shared" si="17"/>
        <v>Igual</v>
      </c>
      <c r="N86" s="86" t="str">
        <f>IFERROR(VLOOKUP($B86,'LISTA - Atual'!$B$1:$I$444,6,0),"Novo")</f>
        <v>N</v>
      </c>
      <c r="O86" s="86" t="str">
        <f t="shared" si="18"/>
        <v>Igual</v>
      </c>
      <c r="P86" s="86" t="str">
        <f>IFERROR(VLOOKUP($B86,'LISTA - Atual'!$B$1:$I$444,7,0),"Novo")</f>
        <v>N</v>
      </c>
      <c r="Q86" s="86" t="str">
        <f t="shared" si="19"/>
        <v>Igual</v>
      </c>
      <c r="R86" s="86" t="s">
        <v>1563</v>
      </c>
      <c r="S86" s="86" t="str">
        <f>IFERROR(VLOOKUP($B86,'LISTA - Atual'!$B$1:$I$444,8,0),"Novo")</f>
        <v>N</v>
      </c>
      <c r="T86" s="86" t="str">
        <f t="shared" si="20"/>
        <v>Igual</v>
      </c>
      <c r="U86" s="86" t="s">
        <v>1563</v>
      </c>
      <c r="V86" s="86" t="s">
        <v>11</v>
      </c>
      <c r="W86" s="87" t="str">
        <f>IFERROR(VLOOKUP(B86,#REF!,11,0),"n/a")</f>
        <v>n/a</v>
      </c>
      <c r="X86" s="87" t="str">
        <f>IFERROR(VLOOKUP(B86,#REF!,8,0),"n/a")</f>
        <v>n/a</v>
      </c>
      <c r="Y86" s="87" t="str">
        <f t="shared" si="24"/>
        <v>ESTR</v>
      </c>
      <c r="Z86" s="131" t="s">
        <v>1605</v>
      </c>
      <c r="AA86" s="227" t="e">
        <f>VLOOKUP(Table1[[#This Row],[CONCAT]],'Campos Resumo Prop2.0'!A:H,8,0)</f>
        <v>#N/A</v>
      </c>
      <c r="AB86" s="87" t="s">
        <v>1656</v>
      </c>
      <c r="AC86" s="135" t="s">
        <v>1625</v>
      </c>
      <c r="AD86" s="91">
        <f>INDEX(Auxiliar!$D$5:$I$10,MATCH('LISTA - Setembro2024'!AD$3,Auxiliar!$B$5:$B$10,0),MATCH('LISTA - Setembro2024'!$AC86,Auxiliar!$D$4:$I$4,0))</f>
        <v>0</v>
      </c>
      <c r="AE86" s="91">
        <f>INDEX(Auxiliar!$D$5:$I$10,MATCH('LISTA - Setembro2024'!AE$3,Auxiliar!$B$5:$B$10,0),MATCH('LISTA - Setembro2024'!$AC86,Auxiliar!$D$4:$I$4,0))</f>
        <v>0</v>
      </c>
      <c r="AF86" s="87">
        <f>INDEX(Auxiliar!$D$5:$I$10,MATCH('LISTA - Setembro2024'!AF$3,Auxiliar!$B$5:$B$10,0),MATCH('LISTA - Setembro2024'!$AC86,Auxiliar!$D$4:$I$4,0))</f>
        <v>0</v>
      </c>
      <c r="AG86" s="87" t="str">
        <f t="shared" si="21"/>
        <v>n.a.</v>
      </c>
      <c r="AH86" s="87">
        <f>INDEX(Auxiliar!$D$5:$I$10,MATCH('LISTA - Setembro2024'!AH$3,Auxiliar!$B$5:$B$10,0),MATCH('LISTA - Setembro2024'!$AG86,Auxiliar!$D$4:$I$4,0))</f>
        <v>0</v>
      </c>
      <c r="AI86" s="87">
        <f>INDEX(Auxiliar!$D$5:$I$10,MATCH('LISTA - Setembro2024'!AI$3,Auxiliar!$B$5:$B$10,0),MATCH('LISTA - Setembro2024'!$AC86,Auxiliar!$D$4:$I$4,0))</f>
        <v>0</v>
      </c>
      <c r="AJ86" s="87">
        <f>INDEX(Auxiliar!$D$5:$I$10,MATCH('LISTA - Setembro2024'!AJ$3,Auxiliar!$B$5:$B$10,0),MATCH('LISTA - Setembro2024'!$AC86,Auxiliar!$D$4:$I$4,0))</f>
        <v>0</v>
      </c>
      <c r="AK86" s="160">
        <f t="shared" si="22"/>
        <v>0</v>
      </c>
      <c r="AL86" s="87" t="s">
        <v>1692</v>
      </c>
    </row>
    <row r="87" spans="1:38" ht="13.8" x14ac:dyDescent="0.25">
      <c r="A87" s="158" t="s">
        <v>262</v>
      </c>
      <c r="B87" s="81" t="str">
        <f t="shared" si="23"/>
        <v>ENTITY_PD_IFRS9_12M_RD_T1</v>
      </c>
      <c r="C87" s="82" t="s">
        <v>10</v>
      </c>
      <c r="D87" s="83" t="s">
        <v>263</v>
      </c>
      <c r="E87" s="84" t="s">
        <v>264</v>
      </c>
      <c r="F87" s="85" t="s">
        <v>13</v>
      </c>
      <c r="G87" s="85" t="s">
        <v>11</v>
      </c>
      <c r="H87" s="85" t="s">
        <v>11</v>
      </c>
      <c r="I87" s="85" t="s">
        <v>11</v>
      </c>
      <c r="J87" s="85" t="s">
        <v>11</v>
      </c>
      <c r="K87" s="85" t="s">
        <v>11</v>
      </c>
      <c r="L87" s="86" t="str">
        <f>IFERROR(VLOOKUP($B87,'LISTA - Atual'!$B$1:$I$444,5,0),"Novo")</f>
        <v>Y</v>
      </c>
      <c r="M87" s="86" t="str">
        <f t="shared" si="17"/>
        <v>Igual</v>
      </c>
      <c r="N87" s="86" t="str">
        <f>IFERROR(VLOOKUP($B87,'LISTA - Atual'!$B$1:$I$444,6,0),"Novo")</f>
        <v>N</v>
      </c>
      <c r="O87" s="86" t="str">
        <f t="shared" si="18"/>
        <v>Igual</v>
      </c>
      <c r="P87" s="86" t="str">
        <f>IFERROR(VLOOKUP($B87,'LISTA - Atual'!$B$1:$I$444,7,0),"Novo")</f>
        <v>N</v>
      </c>
      <c r="Q87" s="86" t="str">
        <f t="shared" si="19"/>
        <v>Igual</v>
      </c>
      <c r="R87" s="86" t="s">
        <v>1563</v>
      </c>
      <c r="S87" s="86" t="str">
        <f>IFERROR(VLOOKUP($B87,'LISTA - Atual'!$B$1:$I$444,8,0),"Novo")</f>
        <v>N</v>
      </c>
      <c r="T87" s="86" t="str">
        <f t="shared" si="20"/>
        <v>Igual</v>
      </c>
      <c r="U87" s="86" t="s">
        <v>1563</v>
      </c>
      <c r="V87" s="86" t="s">
        <v>11</v>
      </c>
      <c r="W87" s="87" t="str">
        <f>IFERROR(VLOOKUP(B87,#REF!,11,0),"n/a")</f>
        <v>n/a</v>
      </c>
      <c r="X87" s="87" t="str">
        <f>IFERROR(VLOOKUP(B87,#REF!,8,0),"n/a")</f>
        <v>n/a</v>
      </c>
      <c r="Y87" s="87" t="str">
        <f t="shared" si="24"/>
        <v>ESTR</v>
      </c>
      <c r="Z87" s="131" t="s">
        <v>1605</v>
      </c>
      <c r="AA87" s="227" t="e">
        <f>VLOOKUP(Table1[[#This Row],[CONCAT]],'Campos Resumo Prop2.0'!A:H,8,0)</f>
        <v>#N/A</v>
      </c>
      <c r="AB87" s="87" t="s">
        <v>1656</v>
      </c>
      <c r="AC87" s="135" t="s">
        <v>1625</v>
      </c>
      <c r="AD87" s="91">
        <f>INDEX(Auxiliar!$D$5:$I$10,MATCH('LISTA - Setembro2024'!AD$3,Auxiliar!$B$5:$B$10,0),MATCH('LISTA - Setembro2024'!$AC87,Auxiliar!$D$4:$I$4,0))</f>
        <v>0</v>
      </c>
      <c r="AE87" s="91">
        <f>INDEX(Auxiliar!$D$5:$I$10,MATCH('LISTA - Setembro2024'!AE$3,Auxiliar!$B$5:$B$10,0),MATCH('LISTA - Setembro2024'!$AC87,Auxiliar!$D$4:$I$4,0))</f>
        <v>0</v>
      </c>
      <c r="AF87" s="87">
        <f>INDEX(Auxiliar!$D$5:$I$10,MATCH('LISTA - Setembro2024'!AF$3,Auxiliar!$B$5:$B$10,0),MATCH('LISTA - Setembro2024'!$AC87,Auxiliar!$D$4:$I$4,0))</f>
        <v>0</v>
      </c>
      <c r="AG87" s="87" t="str">
        <f t="shared" si="21"/>
        <v>n.a.</v>
      </c>
      <c r="AH87" s="87">
        <f>INDEX(Auxiliar!$D$5:$I$10,MATCH('LISTA - Setembro2024'!AH$3,Auxiliar!$B$5:$B$10,0),MATCH('LISTA - Setembro2024'!$AG87,Auxiliar!$D$4:$I$4,0))</f>
        <v>0</v>
      </c>
      <c r="AI87" s="87">
        <f>INDEX(Auxiliar!$D$5:$I$10,MATCH('LISTA - Setembro2024'!AI$3,Auxiliar!$B$5:$B$10,0),MATCH('LISTA - Setembro2024'!$AC87,Auxiliar!$D$4:$I$4,0))</f>
        <v>0</v>
      </c>
      <c r="AJ87" s="87">
        <f>INDEX(Auxiliar!$D$5:$I$10,MATCH('LISTA - Setembro2024'!AJ$3,Auxiliar!$B$5:$B$10,0),MATCH('LISTA - Setembro2024'!$AC87,Auxiliar!$D$4:$I$4,0))</f>
        <v>0</v>
      </c>
      <c r="AK87" s="160">
        <f t="shared" si="22"/>
        <v>0</v>
      </c>
      <c r="AL87" s="87"/>
    </row>
    <row r="88" spans="1:38" ht="13.8" x14ac:dyDescent="0.25">
      <c r="A88" s="158" t="s">
        <v>265</v>
      </c>
      <c r="B88" s="81" t="str">
        <f t="shared" si="23"/>
        <v>ENTITY_TAX_ID</v>
      </c>
      <c r="C88" s="82" t="s">
        <v>10</v>
      </c>
      <c r="D88" s="83" t="s">
        <v>266</v>
      </c>
      <c r="E88" s="84" t="s">
        <v>267</v>
      </c>
      <c r="F88" s="85" t="s">
        <v>13</v>
      </c>
      <c r="G88" s="85" t="s">
        <v>11</v>
      </c>
      <c r="H88" s="85" t="s">
        <v>11</v>
      </c>
      <c r="I88" s="85" t="s">
        <v>11</v>
      </c>
      <c r="J88" s="85" t="s">
        <v>11</v>
      </c>
      <c r="K88" s="85" t="s">
        <v>11</v>
      </c>
      <c r="L88" s="86" t="str">
        <f>IFERROR(VLOOKUP($B88,'LISTA - Atual'!$B$1:$I$444,5,0),"Novo")</f>
        <v>Y</v>
      </c>
      <c r="M88" s="86" t="str">
        <f t="shared" si="17"/>
        <v>Igual</v>
      </c>
      <c r="N88" s="86" t="str">
        <f>IFERROR(VLOOKUP($B88,'LISTA - Atual'!$B$1:$I$444,6,0),"Novo")</f>
        <v>N</v>
      </c>
      <c r="O88" s="86" t="str">
        <f t="shared" si="18"/>
        <v>Igual</v>
      </c>
      <c r="P88" s="86" t="str">
        <f>IFERROR(VLOOKUP($B88,'LISTA - Atual'!$B$1:$I$444,7,0),"Novo")</f>
        <v>N</v>
      </c>
      <c r="Q88" s="86" t="str">
        <f t="shared" si="19"/>
        <v>Igual</v>
      </c>
      <c r="R88" s="86" t="s">
        <v>1563</v>
      </c>
      <c r="S88" s="86" t="str">
        <f>IFERROR(VLOOKUP($B88,'LISTA - Atual'!$B$1:$I$444,8,0),"Novo")</f>
        <v>N</v>
      </c>
      <c r="T88" s="86" t="str">
        <f t="shared" si="20"/>
        <v>Igual</v>
      </c>
      <c r="U88" s="86" t="s">
        <v>1563</v>
      </c>
      <c r="V88" s="86" t="s">
        <v>11</v>
      </c>
      <c r="W88" s="87" t="str">
        <f>IFERROR(VLOOKUP(B88,#REF!,11,0),"n/a")</f>
        <v>n/a</v>
      </c>
      <c r="X88" s="87" t="str">
        <f>IFERROR(VLOOKUP(B88,#REF!,8,0),"n/a")</f>
        <v>n/a</v>
      </c>
      <c r="Y88" s="87" t="str">
        <f t="shared" si="24"/>
        <v>ESTR</v>
      </c>
      <c r="Z88" s="131" t="s">
        <v>1605</v>
      </c>
      <c r="AA88" s="227" t="e">
        <f>VLOOKUP(Table1[[#This Row],[CONCAT]],'Campos Resumo Prop2.0'!A:H,8,0)</f>
        <v>#N/A</v>
      </c>
      <c r="AB88" s="87" t="s">
        <v>1652</v>
      </c>
      <c r="AC88" s="135" t="s">
        <v>1625</v>
      </c>
      <c r="AD88" s="91">
        <f>INDEX(Auxiliar!$D$5:$I$10,MATCH('LISTA - Setembro2024'!AD$3,Auxiliar!$B$5:$B$10,0),MATCH('LISTA - Setembro2024'!$AC88,Auxiliar!$D$4:$I$4,0))</f>
        <v>0</v>
      </c>
      <c r="AE88" s="91">
        <f>INDEX(Auxiliar!$D$5:$I$10,MATCH('LISTA - Setembro2024'!AE$3,Auxiliar!$B$5:$B$10,0),MATCH('LISTA - Setembro2024'!$AC88,Auxiliar!$D$4:$I$4,0))</f>
        <v>0</v>
      </c>
      <c r="AF88" s="87">
        <f>INDEX(Auxiliar!$D$5:$I$10,MATCH('LISTA - Setembro2024'!AF$3,Auxiliar!$B$5:$B$10,0),MATCH('LISTA - Setembro2024'!$AC88,Auxiliar!$D$4:$I$4,0))</f>
        <v>0</v>
      </c>
      <c r="AG88" s="87" t="str">
        <f t="shared" si="21"/>
        <v>n.a.</v>
      </c>
      <c r="AH88" s="87">
        <f>INDEX(Auxiliar!$D$5:$I$10,MATCH('LISTA - Setembro2024'!AH$3,Auxiliar!$B$5:$B$10,0),MATCH('LISTA - Setembro2024'!$AG88,Auxiliar!$D$4:$I$4,0))</f>
        <v>0</v>
      </c>
      <c r="AI88" s="87">
        <f>INDEX(Auxiliar!$D$5:$I$10,MATCH('LISTA - Setembro2024'!AI$3,Auxiliar!$B$5:$B$10,0),MATCH('LISTA - Setembro2024'!$AC88,Auxiliar!$D$4:$I$4,0))</f>
        <v>0</v>
      </c>
      <c r="AJ88" s="87">
        <f>INDEX(Auxiliar!$D$5:$I$10,MATCH('LISTA - Setembro2024'!AJ$3,Auxiliar!$B$5:$B$10,0),MATCH('LISTA - Setembro2024'!$AC88,Auxiliar!$D$4:$I$4,0))</f>
        <v>0</v>
      </c>
      <c r="AK88" s="160">
        <f t="shared" si="22"/>
        <v>0</v>
      </c>
      <c r="AL88" s="87"/>
    </row>
    <row r="89" spans="1:38" ht="13.8" x14ac:dyDescent="0.25">
      <c r="A89" s="158" t="s">
        <v>268</v>
      </c>
      <c r="B89" s="81" t="str">
        <f t="shared" si="23"/>
        <v>ENTITY_ANNL_TRNVR_LE_BDR</v>
      </c>
      <c r="C89" s="82" t="s">
        <v>10</v>
      </c>
      <c r="D89" s="83" t="s">
        <v>269</v>
      </c>
      <c r="E89" s="84" t="s">
        <v>270</v>
      </c>
      <c r="F89" s="85" t="s">
        <v>13</v>
      </c>
      <c r="G89" s="85" t="s">
        <v>11</v>
      </c>
      <c r="H89" s="85" t="s">
        <v>11</v>
      </c>
      <c r="I89" s="85" t="s">
        <v>11</v>
      </c>
      <c r="J89" s="85" t="s">
        <v>11</v>
      </c>
      <c r="K89" s="85" t="s">
        <v>11</v>
      </c>
      <c r="L89" s="86" t="str">
        <f>IFERROR(VLOOKUP($B89,'LISTA - Atual'!$B$1:$I$444,5,0),"Novo")</f>
        <v>Y</v>
      </c>
      <c r="M89" s="86" t="str">
        <f t="shared" si="17"/>
        <v>Igual</v>
      </c>
      <c r="N89" s="86" t="str">
        <f>IFERROR(VLOOKUP($B89,'LISTA - Atual'!$B$1:$I$444,6,0),"Novo")</f>
        <v>N</v>
      </c>
      <c r="O89" s="86" t="str">
        <f t="shared" si="18"/>
        <v>Igual</v>
      </c>
      <c r="P89" s="86" t="str">
        <f>IFERROR(VLOOKUP($B89,'LISTA - Atual'!$B$1:$I$444,7,0),"Novo")</f>
        <v>N</v>
      </c>
      <c r="Q89" s="86" t="str">
        <f t="shared" si="19"/>
        <v>Igual</v>
      </c>
      <c r="R89" s="86" t="s">
        <v>1563</v>
      </c>
      <c r="S89" s="86" t="str">
        <f>IFERROR(VLOOKUP($B89,'LISTA - Atual'!$B$1:$I$444,8,0),"Novo")</f>
        <v>N</v>
      </c>
      <c r="T89" s="86" t="str">
        <f t="shared" si="20"/>
        <v>Igual</v>
      </c>
      <c r="U89" s="86" t="s">
        <v>1563</v>
      </c>
      <c r="V89" s="86" t="s">
        <v>11</v>
      </c>
      <c r="W89" s="87" t="str">
        <f>IFERROR(VLOOKUP(B89,#REF!,11,0),"n/a")</f>
        <v>n/a</v>
      </c>
      <c r="X89" s="87" t="str">
        <f>IFERROR(VLOOKUP(B89,#REF!,8,0),"n/a")</f>
        <v>n/a</v>
      </c>
      <c r="Y89" s="87" t="str">
        <f t="shared" si="24"/>
        <v>ESTR</v>
      </c>
      <c r="Z89" s="131" t="s">
        <v>1605</v>
      </c>
      <c r="AA89" s="227" t="e">
        <f>VLOOKUP(Table1[[#This Row],[CONCAT]],'Campos Resumo Prop2.0'!A:H,8,0)</f>
        <v>#N/A</v>
      </c>
      <c r="AB89" s="87" t="s">
        <v>1655</v>
      </c>
      <c r="AC89" s="135" t="s">
        <v>1625</v>
      </c>
      <c r="AD89" s="91">
        <f>INDEX(Auxiliar!$D$5:$I$10,MATCH('LISTA - Setembro2024'!AD$3,Auxiliar!$B$5:$B$10,0),MATCH('LISTA - Setembro2024'!$AC89,Auxiliar!$D$4:$I$4,0))</f>
        <v>0</v>
      </c>
      <c r="AE89" s="91">
        <f>INDEX(Auxiliar!$D$5:$I$10,MATCH('LISTA - Setembro2024'!AE$3,Auxiliar!$B$5:$B$10,0),MATCH('LISTA - Setembro2024'!$AC89,Auxiliar!$D$4:$I$4,0))</f>
        <v>0</v>
      </c>
      <c r="AF89" s="87">
        <f>INDEX(Auxiliar!$D$5:$I$10,MATCH('LISTA - Setembro2024'!AF$3,Auxiliar!$B$5:$B$10,0),MATCH('LISTA - Setembro2024'!$AC89,Auxiliar!$D$4:$I$4,0))</f>
        <v>0</v>
      </c>
      <c r="AG89" s="87" t="str">
        <f t="shared" si="21"/>
        <v>n.a.</v>
      </c>
      <c r="AH89" s="87">
        <f>INDEX(Auxiliar!$D$5:$I$10,MATCH('LISTA - Setembro2024'!AH$3,Auxiliar!$B$5:$B$10,0),MATCH('LISTA - Setembro2024'!$AG89,Auxiliar!$D$4:$I$4,0))</f>
        <v>0</v>
      </c>
      <c r="AI89" s="87">
        <f>INDEX(Auxiliar!$D$5:$I$10,MATCH('LISTA - Setembro2024'!AI$3,Auxiliar!$B$5:$B$10,0),MATCH('LISTA - Setembro2024'!$AC89,Auxiliar!$D$4:$I$4,0))</f>
        <v>0</v>
      </c>
      <c r="AJ89" s="87">
        <f>INDEX(Auxiliar!$D$5:$I$10,MATCH('LISTA - Setembro2024'!AJ$3,Auxiliar!$B$5:$B$10,0),MATCH('LISTA - Setembro2024'!$AC89,Auxiliar!$D$4:$I$4,0))</f>
        <v>0</v>
      </c>
      <c r="AK89" s="160">
        <f t="shared" si="22"/>
        <v>0</v>
      </c>
      <c r="AL89" s="87"/>
    </row>
    <row r="90" spans="1:38" ht="13.8" x14ac:dyDescent="0.25">
      <c r="A90" s="158" t="s">
        <v>271</v>
      </c>
      <c r="B90" s="81" t="str">
        <f t="shared" si="23"/>
        <v>ENTITY_ANNL_TRNVR_PRVS_BDR</v>
      </c>
      <c r="C90" s="82" t="s">
        <v>10</v>
      </c>
      <c r="D90" s="83" t="s">
        <v>272</v>
      </c>
      <c r="E90" s="84" t="s">
        <v>273</v>
      </c>
      <c r="F90" s="85" t="s">
        <v>13</v>
      </c>
      <c r="G90" s="85" t="s">
        <v>11</v>
      </c>
      <c r="H90" s="85" t="s">
        <v>11</v>
      </c>
      <c r="I90" s="85" t="s">
        <v>11</v>
      </c>
      <c r="J90" s="85" t="s">
        <v>11</v>
      </c>
      <c r="K90" s="85" t="s">
        <v>11</v>
      </c>
      <c r="L90" s="86" t="str">
        <f>IFERROR(VLOOKUP($B90,'LISTA - Atual'!$B$1:$I$444,5,0),"Novo")</f>
        <v>Y</v>
      </c>
      <c r="M90" s="86" t="str">
        <f t="shared" si="17"/>
        <v>Igual</v>
      </c>
      <c r="N90" s="86" t="str">
        <f>IFERROR(VLOOKUP($B90,'LISTA - Atual'!$B$1:$I$444,6,0),"Novo")</f>
        <v>N</v>
      </c>
      <c r="O90" s="86" t="str">
        <f t="shared" si="18"/>
        <v>Igual</v>
      </c>
      <c r="P90" s="86" t="str">
        <f>IFERROR(VLOOKUP($B90,'LISTA - Atual'!$B$1:$I$444,7,0),"Novo")</f>
        <v>N</v>
      </c>
      <c r="Q90" s="86" t="str">
        <f t="shared" si="19"/>
        <v>Igual</v>
      </c>
      <c r="R90" s="86" t="s">
        <v>1563</v>
      </c>
      <c r="S90" s="86" t="str">
        <f>IFERROR(VLOOKUP($B90,'LISTA - Atual'!$B$1:$I$444,8,0),"Novo")</f>
        <v>N</v>
      </c>
      <c r="T90" s="86" t="str">
        <f t="shared" si="20"/>
        <v>Igual</v>
      </c>
      <c r="U90" s="86" t="s">
        <v>1563</v>
      </c>
      <c r="V90" s="86" t="s">
        <v>11</v>
      </c>
      <c r="W90" s="87" t="str">
        <f>IFERROR(VLOOKUP(B90,#REF!,11,0),"n/a")</f>
        <v>n/a</v>
      </c>
      <c r="X90" s="87" t="str">
        <f>IFERROR(VLOOKUP(B90,#REF!,8,0),"n/a")</f>
        <v>n/a</v>
      </c>
      <c r="Y90" s="87" t="str">
        <f t="shared" si="24"/>
        <v>ESTR</v>
      </c>
      <c r="Z90" s="131" t="s">
        <v>1605</v>
      </c>
      <c r="AA90" s="227" t="e">
        <f>VLOOKUP(Table1[[#This Row],[CONCAT]],'Campos Resumo Prop2.0'!A:H,8,0)</f>
        <v>#N/A</v>
      </c>
      <c r="AB90" s="87" t="s">
        <v>1655</v>
      </c>
      <c r="AC90" s="135" t="s">
        <v>1625</v>
      </c>
      <c r="AD90" s="91">
        <f>INDEX(Auxiliar!$D$5:$I$10,MATCH('LISTA - Setembro2024'!AD$3,Auxiliar!$B$5:$B$10,0),MATCH('LISTA - Setembro2024'!$AC90,Auxiliar!$D$4:$I$4,0))</f>
        <v>0</v>
      </c>
      <c r="AE90" s="91">
        <f>INDEX(Auxiliar!$D$5:$I$10,MATCH('LISTA - Setembro2024'!AE$3,Auxiliar!$B$5:$B$10,0),MATCH('LISTA - Setembro2024'!$AC90,Auxiliar!$D$4:$I$4,0))</f>
        <v>0</v>
      </c>
      <c r="AF90" s="87">
        <f>INDEX(Auxiliar!$D$5:$I$10,MATCH('LISTA - Setembro2024'!AF$3,Auxiliar!$B$5:$B$10,0),MATCH('LISTA - Setembro2024'!$AC90,Auxiliar!$D$4:$I$4,0))</f>
        <v>0</v>
      </c>
      <c r="AG90" s="87" t="str">
        <f t="shared" si="21"/>
        <v>n.a.</v>
      </c>
      <c r="AH90" s="87">
        <f>INDEX(Auxiliar!$D$5:$I$10,MATCH('LISTA - Setembro2024'!AH$3,Auxiliar!$B$5:$B$10,0),MATCH('LISTA - Setembro2024'!$AG90,Auxiliar!$D$4:$I$4,0))</f>
        <v>0</v>
      </c>
      <c r="AI90" s="87">
        <f>INDEX(Auxiliar!$D$5:$I$10,MATCH('LISTA - Setembro2024'!AI$3,Auxiliar!$B$5:$B$10,0),MATCH('LISTA - Setembro2024'!$AC90,Auxiliar!$D$4:$I$4,0))</f>
        <v>0</v>
      </c>
      <c r="AJ90" s="87">
        <f>INDEX(Auxiliar!$D$5:$I$10,MATCH('LISTA - Setembro2024'!AJ$3,Auxiliar!$B$5:$B$10,0),MATCH('LISTA - Setembro2024'!$AC90,Auxiliar!$D$4:$I$4,0))</f>
        <v>0</v>
      </c>
      <c r="AK90" s="160">
        <f t="shared" si="22"/>
        <v>0</v>
      </c>
      <c r="AL90" s="87"/>
    </row>
    <row r="91" spans="1:38" ht="13.8" x14ac:dyDescent="0.25">
      <c r="A91" s="158" t="s">
        <v>274</v>
      </c>
      <c r="B91" s="81" t="str">
        <f t="shared" si="23"/>
        <v>ENTITY_OSI_ID</v>
      </c>
      <c r="C91" s="82" t="s">
        <v>10</v>
      </c>
      <c r="D91" s="83" t="s">
        <v>275</v>
      </c>
      <c r="E91" s="84" t="s">
        <v>276</v>
      </c>
      <c r="F91" s="85" t="s">
        <v>13</v>
      </c>
      <c r="G91" s="85" t="s">
        <v>11</v>
      </c>
      <c r="H91" s="85" t="s">
        <v>11</v>
      </c>
      <c r="I91" s="85" t="s">
        <v>11</v>
      </c>
      <c r="J91" s="85" t="s">
        <v>11</v>
      </c>
      <c r="K91" s="85" t="s">
        <v>13</v>
      </c>
      <c r="L91" s="86" t="str">
        <f>IFERROR(VLOOKUP($B91,'LISTA - Atual'!$B$1:$I$444,5,0),"Novo")</f>
        <v>Y</v>
      </c>
      <c r="M91" s="86" t="str">
        <f t="shared" si="17"/>
        <v>Igual</v>
      </c>
      <c r="N91" s="86" t="str">
        <f>IFERROR(VLOOKUP($B91,'LISTA - Atual'!$B$1:$I$444,6,0),"Novo")</f>
        <v>N</v>
      </c>
      <c r="O91" s="86" t="str">
        <f t="shared" si="18"/>
        <v>Igual</v>
      </c>
      <c r="P91" s="86" t="str">
        <f>IFERROR(VLOOKUP($B91,'LISTA - Atual'!$B$1:$I$444,7,0),"Novo")</f>
        <v>N</v>
      </c>
      <c r="Q91" s="86" t="str">
        <f t="shared" si="19"/>
        <v>Igual</v>
      </c>
      <c r="R91" s="86" t="s">
        <v>1563</v>
      </c>
      <c r="S91" s="86" t="str">
        <f>IFERROR(VLOOKUP($B91,'LISTA - Atual'!$B$1:$I$444,8,0),"Novo")</f>
        <v>N</v>
      </c>
      <c r="T91" s="86" t="str">
        <f t="shared" si="20"/>
        <v>Igual</v>
      </c>
      <c r="U91" s="86" t="s">
        <v>1563</v>
      </c>
      <c r="V91" s="86" t="s">
        <v>11</v>
      </c>
      <c r="W91" s="87" t="str">
        <f>IFERROR(VLOOKUP(B91,#REF!,11,0),"n/a")</f>
        <v>n/a</v>
      </c>
      <c r="X91" s="87" t="str">
        <f>IFERROR(VLOOKUP(B91,#REF!,8,0),"n/a")</f>
        <v>n/a</v>
      </c>
      <c r="Y91" s="87" t="str">
        <f t="shared" si="24"/>
        <v>ESTR</v>
      </c>
      <c r="Z91" s="131" t="s">
        <v>1605</v>
      </c>
      <c r="AA91" s="227" t="e">
        <f>VLOOKUP(Table1[[#This Row],[CONCAT]],'Campos Resumo Prop2.0'!A:H,8,0)</f>
        <v>#N/A</v>
      </c>
      <c r="AB91" s="87" t="s">
        <v>1652</v>
      </c>
      <c r="AC91" s="135" t="s">
        <v>1625</v>
      </c>
      <c r="AD91" s="91">
        <f>INDEX(Auxiliar!$D$5:$I$10,MATCH('LISTA - Setembro2024'!AD$3,Auxiliar!$B$5:$B$10,0),MATCH('LISTA - Setembro2024'!$AC91,Auxiliar!$D$4:$I$4,0))</f>
        <v>0</v>
      </c>
      <c r="AE91" s="91">
        <f>INDEX(Auxiliar!$D$5:$I$10,MATCH('LISTA - Setembro2024'!AE$3,Auxiliar!$B$5:$B$10,0),MATCH('LISTA - Setembro2024'!$AC91,Auxiliar!$D$4:$I$4,0))</f>
        <v>0</v>
      </c>
      <c r="AF91" s="87">
        <f>INDEX(Auxiliar!$D$5:$I$10,MATCH('LISTA - Setembro2024'!AF$3,Auxiliar!$B$5:$B$10,0),MATCH('LISTA - Setembro2024'!$AC91,Auxiliar!$D$4:$I$4,0))</f>
        <v>0</v>
      </c>
      <c r="AG91" s="87" t="str">
        <f t="shared" si="21"/>
        <v>n.a.</v>
      </c>
      <c r="AH91" s="87">
        <f>INDEX(Auxiliar!$D$5:$I$10,MATCH('LISTA - Setembro2024'!AH$3,Auxiliar!$B$5:$B$10,0),MATCH('LISTA - Setembro2024'!$AG91,Auxiliar!$D$4:$I$4,0))</f>
        <v>0</v>
      </c>
      <c r="AI91" s="87">
        <f>INDEX(Auxiliar!$D$5:$I$10,MATCH('LISTA - Setembro2024'!AI$3,Auxiliar!$B$5:$B$10,0),MATCH('LISTA - Setembro2024'!$AC91,Auxiliar!$D$4:$I$4,0))</f>
        <v>0</v>
      </c>
      <c r="AJ91" s="87">
        <f>INDEX(Auxiliar!$D$5:$I$10,MATCH('LISTA - Setembro2024'!AJ$3,Auxiliar!$B$5:$B$10,0),MATCH('LISTA - Setembro2024'!$AC91,Auxiliar!$D$4:$I$4,0))</f>
        <v>0</v>
      </c>
      <c r="AK91" s="160">
        <f t="shared" si="22"/>
        <v>0</v>
      </c>
      <c r="AL91" s="87"/>
    </row>
    <row r="92" spans="1:38" ht="13.8" x14ac:dyDescent="0.25">
      <c r="A92" s="158" t="s">
        <v>277</v>
      </c>
      <c r="B92" s="81" t="str">
        <f t="shared" si="23"/>
        <v>ENTITY_PD_CRR_RD_T1</v>
      </c>
      <c r="C92" s="82" t="s">
        <v>10</v>
      </c>
      <c r="D92" s="83" t="s">
        <v>278</v>
      </c>
      <c r="E92" s="84" t="s">
        <v>279</v>
      </c>
      <c r="F92" s="85" t="s">
        <v>13</v>
      </c>
      <c r="G92" s="85" t="s">
        <v>11</v>
      </c>
      <c r="H92" s="85" t="s">
        <v>11</v>
      </c>
      <c r="I92" s="85" t="s">
        <v>11</v>
      </c>
      <c r="J92" s="85" t="s">
        <v>11</v>
      </c>
      <c r="K92" s="85" t="s">
        <v>11</v>
      </c>
      <c r="L92" s="86" t="str">
        <f>IFERROR(VLOOKUP($B92,'LISTA - Atual'!$B$1:$I$444,5,0),"Novo")</f>
        <v>Y</v>
      </c>
      <c r="M92" s="86" t="str">
        <f t="shared" si="17"/>
        <v>Igual</v>
      </c>
      <c r="N92" s="86" t="str">
        <f>IFERROR(VLOOKUP($B92,'LISTA - Atual'!$B$1:$I$444,6,0),"Novo")</f>
        <v>N</v>
      </c>
      <c r="O92" s="86" t="str">
        <f t="shared" si="18"/>
        <v>Igual</v>
      </c>
      <c r="P92" s="86" t="str">
        <f>IFERROR(VLOOKUP($B92,'LISTA - Atual'!$B$1:$I$444,7,0),"Novo")</f>
        <v>N</v>
      </c>
      <c r="Q92" s="86" t="str">
        <f t="shared" si="19"/>
        <v>Igual</v>
      </c>
      <c r="R92" s="86" t="s">
        <v>1563</v>
      </c>
      <c r="S92" s="86" t="str">
        <f>IFERROR(VLOOKUP($B92,'LISTA - Atual'!$B$1:$I$444,8,0),"Novo")</f>
        <v>N</v>
      </c>
      <c r="T92" s="86" t="str">
        <f t="shared" si="20"/>
        <v>Igual</v>
      </c>
      <c r="U92" s="86" t="s">
        <v>1563</v>
      </c>
      <c r="V92" s="86" t="s">
        <v>11</v>
      </c>
      <c r="W92" s="87" t="str">
        <f>IFERROR(VLOOKUP(B92,#REF!,11,0),"n/a")</f>
        <v>n/a</v>
      </c>
      <c r="X92" s="87" t="str">
        <f>IFERROR(VLOOKUP(B92,#REF!,8,0),"n/a")</f>
        <v>n/a</v>
      </c>
      <c r="Y92" s="87" t="str">
        <f t="shared" si="24"/>
        <v>ESTR</v>
      </c>
      <c r="Z92" s="131" t="s">
        <v>1605</v>
      </c>
      <c r="AA92" s="227" t="e">
        <f>VLOOKUP(Table1[[#This Row],[CONCAT]],'Campos Resumo Prop2.0'!A:H,8,0)</f>
        <v>#N/A</v>
      </c>
      <c r="AB92" s="87" t="s">
        <v>1656</v>
      </c>
      <c r="AC92" s="135" t="s">
        <v>1625</v>
      </c>
      <c r="AD92" s="91">
        <f>INDEX(Auxiliar!$D$5:$I$10,MATCH('LISTA - Setembro2024'!AD$3,Auxiliar!$B$5:$B$10,0),MATCH('LISTA - Setembro2024'!$AC92,Auxiliar!$D$4:$I$4,0))</f>
        <v>0</v>
      </c>
      <c r="AE92" s="91">
        <f>INDEX(Auxiliar!$D$5:$I$10,MATCH('LISTA - Setembro2024'!AE$3,Auxiliar!$B$5:$B$10,0),MATCH('LISTA - Setembro2024'!$AC92,Auxiliar!$D$4:$I$4,0))</f>
        <v>0</v>
      </c>
      <c r="AF92" s="87">
        <f>INDEX(Auxiliar!$D$5:$I$10,MATCH('LISTA - Setembro2024'!AF$3,Auxiliar!$B$5:$B$10,0),MATCH('LISTA - Setembro2024'!$AC92,Auxiliar!$D$4:$I$4,0))</f>
        <v>0</v>
      </c>
      <c r="AG92" s="87" t="str">
        <f t="shared" si="21"/>
        <v>n.a.</v>
      </c>
      <c r="AH92" s="87">
        <f>INDEX(Auxiliar!$D$5:$I$10,MATCH('LISTA - Setembro2024'!AH$3,Auxiliar!$B$5:$B$10,0),MATCH('LISTA - Setembro2024'!$AG92,Auxiliar!$D$4:$I$4,0))</f>
        <v>0</v>
      </c>
      <c r="AI92" s="87">
        <f>INDEX(Auxiliar!$D$5:$I$10,MATCH('LISTA - Setembro2024'!AI$3,Auxiliar!$B$5:$B$10,0),MATCH('LISTA - Setembro2024'!$AC92,Auxiliar!$D$4:$I$4,0))</f>
        <v>0</v>
      </c>
      <c r="AJ92" s="87">
        <f>INDEX(Auxiliar!$D$5:$I$10,MATCH('LISTA - Setembro2024'!AJ$3,Auxiliar!$B$5:$B$10,0),MATCH('LISTA - Setembro2024'!$AC92,Auxiliar!$D$4:$I$4,0))</f>
        <v>0</v>
      </c>
      <c r="AK92" s="160">
        <f t="shared" si="22"/>
        <v>0</v>
      </c>
      <c r="AL92" s="87"/>
    </row>
    <row r="93" spans="1:38" ht="13.8" x14ac:dyDescent="0.25">
      <c r="A93" s="158" t="s">
        <v>280</v>
      </c>
      <c r="B93" s="81" t="str">
        <f t="shared" si="23"/>
        <v>ENTITY_EC_GRP_ID</v>
      </c>
      <c r="C93" s="82" t="s">
        <v>10</v>
      </c>
      <c r="D93" s="83" t="s">
        <v>281</v>
      </c>
      <c r="E93" s="84" t="s">
        <v>282</v>
      </c>
      <c r="F93" s="85" t="s">
        <v>13</v>
      </c>
      <c r="G93" s="85" t="s">
        <v>11</v>
      </c>
      <c r="H93" s="85" t="s">
        <v>11</v>
      </c>
      <c r="I93" s="85" t="s">
        <v>11</v>
      </c>
      <c r="J93" s="85" t="s">
        <v>11</v>
      </c>
      <c r="K93" s="85" t="s">
        <v>13</v>
      </c>
      <c r="L93" s="86" t="str">
        <f>IFERROR(VLOOKUP($B93,'LISTA - Atual'!$B$1:$I$444,5,0),"Novo")</f>
        <v>Y</v>
      </c>
      <c r="M93" s="86" t="str">
        <f t="shared" si="17"/>
        <v>Igual</v>
      </c>
      <c r="N93" s="86" t="str">
        <f>IFERROR(VLOOKUP($B93,'LISTA - Atual'!$B$1:$I$444,6,0),"Novo")</f>
        <v>N</v>
      </c>
      <c r="O93" s="86" t="str">
        <f t="shared" si="18"/>
        <v>Igual</v>
      </c>
      <c r="P93" s="86" t="str">
        <f>IFERROR(VLOOKUP($B93,'LISTA - Atual'!$B$1:$I$444,7,0),"Novo")</f>
        <v>N</v>
      </c>
      <c r="Q93" s="86" t="str">
        <f t="shared" si="19"/>
        <v>Igual</v>
      </c>
      <c r="R93" s="86" t="s">
        <v>1563</v>
      </c>
      <c r="S93" s="86" t="str">
        <f>IFERROR(VLOOKUP($B93,'LISTA - Atual'!$B$1:$I$444,8,0),"Novo")</f>
        <v>N</v>
      </c>
      <c r="T93" s="86" t="str">
        <f t="shared" si="20"/>
        <v>Igual</v>
      </c>
      <c r="U93" s="86" t="s">
        <v>1563</v>
      </c>
      <c r="V93" s="86" t="s">
        <v>11</v>
      </c>
      <c r="W93" s="87" t="str">
        <f>IFERROR(VLOOKUP(B93,#REF!,11,0),"n/a")</f>
        <v>n/a</v>
      </c>
      <c r="X93" s="88" t="str">
        <f>IFERROR(VLOOKUP(B93,#REF!,8,0),"n/a")</f>
        <v>n/a</v>
      </c>
      <c r="Y93" s="87" t="str">
        <f t="shared" si="24"/>
        <v>ESTR</v>
      </c>
      <c r="Z93" s="131" t="s">
        <v>1605</v>
      </c>
      <c r="AA93" s="227" t="e">
        <f>VLOOKUP(Table1[[#This Row],[CONCAT]],'Campos Resumo Prop2.0'!A:H,8,0)</f>
        <v>#N/A</v>
      </c>
      <c r="AB93" s="87" t="s">
        <v>1652</v>
      </c>
      <c r="AC93" s="135" t="s">
        <v>1625</v>
      </c>
      <c r="AD93" s="91">
        <f>INDEX(Auxiliar!$D$5:$I$10,MATCH('LISTA - Setembro2024'!AD$3,Auxiliar!$B$5:$B$10,0),MATCH('LISTA - Setembro2024'!$AC93,Auxiliar!$D$4:$I$4,0))</f>
        <v>0</v>
      </c>
      <c r="AE93" s="91">
        <f>INDEX(Auxiliar!$D$5:$I$10,MATCH('LISTA - Setembro2024'!AE$3,Auxiliar!$B$5:$B$10,0),MATCH('LISTA - Setembro2024'!$AC93,Auxiliar!$D$4:$I$4,0))</f>
        <v>0</v>
      </c>
      <c r="AF93" s="87">
        <f>INDEX(Auxiliar!$D$5:$I$10,MATCH('LISTA - Setembro2024'!AF$3,Auxiliar!$B$5:$B$10,0),MATCH('LISTA - Setembro2024'!$AC93,Auxiliar!$D$4:$I$4,0))</f>
        <v>0</v>
      </c>
      <c r="AG93" s="87" t="str">
        <f t="shared" si="21"/>
        <v>n.a.</v>
      </c>
      <c r="AH93" s="87">
        <f>INDEX(Auxiliar!$D$5:$I$10,MATCH('LISTA - Setembro2024'!AH$3,Auxiliar!$B$5:$B$10,0),MATCH('LISTA - Setembro2024'!$AG93,Auxiliar!$D$4:$I$4,0))</f>
        <v>0</v>
      </c>
      <c r="AI93" s="87">
        <f>INDEX(Auxiliar!$D$5:$I$10,MATCH('LISTA - Setembro2024'!AI$3,Auxiliar!$B$5:$B$10,0),MATCH('LISTA - Setembro2024'!$AC93,Auxiliar!$D$4:$I$4,0))</f>
        <v>0</v>
      </c>
      <c r="AJ93" s="87">
        <f>INDEX(Auxiliar!$D$5:$I$10,MATCH('LISTA - Setembro2024'!AJ$3,Auxiliar!$B$5:$B$10,0),MATCH('LISTA - Setembro2024'!$AC93,Auxiliar!$D$4:$I$4,0))</f>
        <v>0</v>
      </c>
      <c r="AK93" s="160">
        <f t="shared" si="22"/>
        <v>0</v>
      </c>
      <c r="AL93" s="87" t="s">
        <v>1683</v>
      </c>
    </row>
    <row r="94" spans="1:38" ht="13.8" x14ac:dyDescent="0.25">
      <c r="A94" s="158" t="s">
        <v>283</v>
      </c>
      <c r="B94" s="81" t="str">
        <f t="shared" si="23"/>
        <v>ENTITY_EC_GRP_NM</v>
      </c>
      <c r="C94" s="82" t="s">
        <v>10</v>
      </c>
      <c r="D94" s="83" t="s">
        <v>284</v>
      </c>
      <c r="E94" s="84" t="s">
        <v>285</v>
      </c>
      <c r="F94" s="85" t="s">
        <v>13</v>
      </c>
      <c r="G94" s="85" t="s">
        <v>11</v>
      </c>
      <c r="H94" s="89" t="s">
        <v>13</v>
      </c>
      <c r="I94" s="85" t="s">
        <v>11</v>
      </c>
      <c r="J94" s="85" t="s">
        <v>11</v>
      </c>
      <c r="K94" s="85" t="s">
        <v>13</v>
      </c>
      <c r="L94" s="86" t="str">
        <f>IFERROR(VLOOKUP($B94,'LISTA - Atual'!$B$1:$I$444,5,0),"Novo")</f>
        <v>Y</v>
      </c>
      <c r="M94" s="86" t="str">
        <f t="shared" si="17"/>
        <v>Igual</v>
      </c>
      <c r="N94" s="86" t="str">
        <f>IFERROR(VLOOKUP($B94,'LISTA - Atual'!$B$1:$I$444,6,0),"Novo")</f>
        <v>N</v>
      </c>
      <c r="O94" s="86" t="str">
        <f t="shared" si="18"/>
        <v>Igual</v>
      </c>
      <c r="P94" s="86" t="str">
        <f>IFERROR(VLOOKUP($B94,'LISTA - Atual'!$B$1:$I$444,7,0),"Novo")</f>
        <v>N</v>
      </c>
      <c r="Q94" s="86" t="str">
        <f t="shared" si="19"/>
        <v>Diferente</v>
      </c>
      <c r="R94" s="86" t="s">
        <v>1563</v>
      </c>
      <c r="S94" s="86" t="str">
        <f>IFERROR(VLOOKUP($B94,'LISTA - Atual'!$B$1:$I$444,8,0),"Novo")</f>
        <v>N</v>
      </c>
      <c r="T94" s="86" t="str">
        <f t="shared" si="20"/>
        <v>Igual</v>
      </c>
      <c r="U94" s="86" t="s">
        <v>1563</v>
      </c>
      <c r="V94" s="86" t="s">
        <v>11</v>
      </c>
      <c r="W94" s="87" t="str">
        <f>IFERROR(VLOOKUP(B94,#REF!,11,0),"n/a")</f>
        <v>n/a</v>
      </c>
      <c r="X94" s="88" t="str">
        <f>IFERROR(VLOOKUP(B94,#REF!,8,0),"n/a")</f>
        <v>n/a</v>
      </c>
      <c r="Y94" s="87" t="str">
        <f>$F$2&amp;$Y$1&amp;$H$2</f>
        <v>ESTR &amp; PILAR3</v>
      </c>
      <c r="Z94" s="215" t="s">
        <v>1570</v>
      </c>
      <c r="AA94" s="227" t="str">
        <f>VLOOKUP(Table1[[#This Row],[CONCAT]],'Campos Resumo Prop2.0'!A:H,8,0)</f>
        <v>Não será contemplado no âmbito da proposta - Campos do LT ESTR</v>
      </c>
      <c r="AB94" s="87" t="s">
        <v>1652</v>
      </c>
      <c r="AC94" s="135" t="s">
        <v>1674</v>
      </c>
      <c r="AD94" s="91">
        <f>INDEX(Auxiliar!$D$5:$I$10,MATCH('LISTA - Setembro2024'!AD$3,Auxiliar!$B$5:$B$10,0),MATCH('LISTA - Setembro2024'!$AC94,Auxiliar!$D$4:$I$4,0))</f>
        <v>1</v>
      </c>
      <c r="AE94" s="88">
        <v>0</v>
      </c>
      <c r="AF94" s="87">
        <f>INDEX(Auxiliar!$D$5:$I$10,MATCH('LISTA - Setembro2024'!AF$3,Auxiliar!$B$5:$B$10,0),MATCH('LISTA - Setembro2024'!$AC94,Auxiliar!$D$4:$I$4,0))</f>
        <v>1</v>
      </c>
      <c r="AG94" s="87" t="str">
        <f t="shared" si="21"/>
        <v>n.a.</v>
      </c>
      <c r="AH94" s="87">
        <f>INDEX(Auxiliar!$D$5:$I$10,MATCH('LISTA - Setembro2024'!AH$3,Auxiliar!$B$5:$B$10,0),MATCH('LISTA - Setembro2024'!$AG94,Auxiliar!$D$4:$I$4,0))</f>
        <v>0</v>
      </c>
      <c r="AI94" s="87">
        <f>INDEX(Auxiliar!$D$5:$I$10,MATCH('LISTA - Setembro2024'!AI$3,Auxiliar!$B$5:$B$10,0),MATCH('LISTA - Setembro2024'!$AC94,Auxiliar!$D$4:$I$4,0))</f>
        <v>0.5</v>
      </c>
      <c r="AJ94" s="87">
        <f>INDEX(Auxiliar!$D$5:$I$10,MATCH('LISTA - Setembro2024'!AJ$3,Auxiliar!$B$5:$B$10,0),MATCH('LISTA - Setembro2024'!$AC94,Auxiliar!$D$4:$I$4,0))</f>
        <v>1</v>
      </c>
      <c r="AK94" s="242">
        <v>0</v>
      </c>
      <c r="AL94" s="87" t="s">
        <v>1683</v>
      </c>
    </row>
    <row r="95" spans="1:38" ht="13.8" x14ac:dyDescent="0.25">
      <c r="A95" s="158" t="s">
        <v>286</v>
      </c>
      <c r="B95" s="81" t="str">
        <f t="shared" si="23"/>
        <v>ENTITY_PST_CD</v>
      </c>
      <c r="C95" s="82" t="s">
        <v>10</v>
      </c>
      <c r="D95" s="83" t="s">
        <v>287</v>
      </c>
      <c r="E95" s="84" t="s">
        <v>288</v>
      </c>
      <c r="F95" s="85" t="s">
        <v>11</v>
      </c>
      <c r="G95" s="85" t="s">
        <v>11</v>
      </c>
      <c r="H95" s="85" t="s">
        <v>13</v>
      </c>
      <c r="I95" s="85" t="s">
        <v>11</v>
      </c>
      <c r="J95" s="85" t="s">
        <v>13</v>
      </c>
      <c r="K95" s="85" t="s">
        <v>11</v>
      </c>
      <c r="L95" s="86" t="str">
        <f>IFERROR(VLOOKUP($B95,'LISTA - Atual'!$B$1:$I$444,5,0),"Novo")</f>
        <v>N</v>
      </c>
      <c r="M95" s="86" t="str">
        <f t="shared" si="17"/>
        <v>Igual</v>
      </c>
      <c r="N95" s="86" t="str">
        <f>IFERROR(VLOOKUP($B95,'LISTA - Atual'!$B$1:$I$444,6,0),"Novo")</f>
        <v>N</v>
      </c>
      <c r="O95" s="86" t="str">
        <f t="shared" si="18"/>
        <v>Igual</v>
      </c>
      <c r="P95" s="86" t="str">
        <f>IFERROR(VLOOKUP($B95,'LISTA - Atual'!$B$1:$I$444,7,0),"Novo")</f>
        <v>Y</v>
      </c>
      <c r="Q95" s="86" t="str">
        <f t="shared" si="19"/>
        <v>Igual</v>
      </c>
      <c r="R95" s="86" t="s">
        <v>1563</v>
      </c>
      <c r="S95" s="86" t="str">
        <f>IFERROR(VLOOKUP($B95,'LISTA - Atual'!$B$1:$I$444,8,0),"Novo")</f>
        <v>Y</v>
      </c>
      <c r="T95" s="86" t="str">
        <f t="shared" si="20"/>
        <v>Igual</v>
      </c>
      <c r="U95" s="86" t="s">
        <v>1563</v>
      </c>
      <c r="V95" s="86" t="s">
        <v>11</v>
      </c>
      <c r="W95" s="87" t="str">
        <f>IFERROR(VLOOKUP(B95,#REF!,11,0),"n/a")</f>
        <v>n/a</v>
      </c>
      <c r="X95" s="87" t="str">
        <f>IFERROR(VLOOKUP(B95,#REF!,8,0),"n/a")</f>
        <v>n/a</v>
      </c>
      <c r="Y95" s="87" t="str">
        <f>$H$2</f>
        <v>PILAR3</v>
      </c>
      <c r="Z95" s="131" t="s">
        <v>1605</v>
      </c>
      <c r="AA95" s="227" t="e">
        <f>VLOOKUP(Table1[[#This Row],[CONCAT]],'Campos Resumo Prop2.0'!A:H,8,0)</f>
        <v>#N/A</v>
      </c>
      <c r="AB95" s="87" t="s">
        <v>1652</v>
      </c>
      <c r="AC95" s="137" t="s">
        <v>1625</v>
      </c>
      <c r="AD95" s="91">
        <f>INDEX(Auxiliar!$D$5:$I$10,MATCH('LISTA - Setembro2024'!AD$3,Auxiliar!$B$5:$B$10,0),MATCH('LISTA - Setembro2024'!$AC95,Auxiliar!$D$4:$I$4,0))</f>
        <v>0</v>
      </c>
      <c r="AE95" s="91">
        <f>INDEX(Auxiliar!$D$5:$I$10,MATCH('LISTA - Setembro2024'!AE$3,Auxiliar!$B$5:$B$10,0),MATCH('LISTA - Setembro2024'!$AC95,Auxiliar!$D$4:$I$4,0))</f>
        <v>0</v>
      </c>
      <c r="AF95" s="87">
        <f>INDEX(Auxiliar!$D$5:$I$10,MATCH('LISTA - Setembro2024'!AF$3,Auxiliar!$B$5:$B$10,0),MATCH('LISTA - Setembro2024'!$AC95,Auxiliar!$D$4:$I$4,0))</f>
        <v>0</v>
      </c>
      <c r="AG95" s="87" t="str">
        <f t="shared" si="21"/>
        <v>n.a.</v>
      </c>
      <c r="AH95" s="87">
        <f>INDEX(Auxiliar!$D$5:$I$10,MATCH('LISTA - Setembro2024'!AH$3,Auxiliar!$B$5:$B$10,0),MATCH('LISTA - Setembro2024'!$AG95,Auxiliar!$D$4:$I$4,0))</f>
        <v>0</v>
      </c>
      <c r="AI95" s="87">
        <f>INDEX(Auxiliar!$D$5:$I$10,MATCH('LISTA - Setembro2024'!AI$3,Auxiliar!$B$5:$B$10,0),MATCH('LISTA - Setembro2024'!$AC95,Auxiliar!$D$4:$I$4,0))</f>
        <v>0</v>
      </c>
      <c r="AJ95" s="87">
        <f>INDEX(Auxiliar!$D$5:$I$10,MATCH('LISTA - Setembro2024'!AJ$3,Auxiliar!$B$5:$B$10,0),MATCH('LISTA - Setembro2024'!$AC95,Auxiliar!$D$4:$I$4,0))</f>
        <v>0</v>
      </c>
      <c r="AK95" s="160">
        <f t="shared" si="22"/>
        <v>0</v>
      </c>
      <c r="AL95" s="87"/>
    </row>
    <row r="96" spans="1:38" ht="13.8" x14ac:dyDescent="0.25">
      <c r="A96" s="158" t="s">
        <v>289</v>
      </c>
      <c r="B96" s="81" t="str">
        <f t="shared" si="23"/>
        <v>ENTITY_ESG_SBSCTR</v>
      </c>
      <c r="C96" s="82" t="s">
        <v>10</v>
      </c>
      <c r="D96" s="83" t="s">
        <v>290</v>
      </c>
      <c r="E96" s="84" t="s">
        <v>291</v>
      </c>
      <c r="F96" s="85" t="s">
        <v>11</v>
      </c>
      <c r="G96" s="85" t="s">
        <v>11</v>
      </c>
      <c r="H96" s="85" t="s">
        <v>13</v>
      </c>
      <c r="I96" s="85" t="s">
        <v>11</v>
      </c>
      <c r="J96" s="85" t="s">
        <v>11</v>
      </c>
      <c r="K96" s="85" t="s">
        <v>11</v>
      </c>
      <c r="L96" s="86" t="str">
        <f>IFERROR(VLOOKUP($B96,'LISTA - Atual'!$B$1:$I$444,5,0),"Novo")</f>
        <v>N</v>
      </c>
      <c r="M96" s="86" t="str">
        <f t="shared" si="17"/>
        <v>Igual</v>
      </c>
      <c r="N96" s="86" t="str">
        <f>IFERROR(VLOOKUP($B96,'LISTA - Atual'!$B$1:$I$444,6,0),"Novo")</f>
        <v>N</v>
      </c>
      <c r="O96" s="86" t="str">
        <f t="shared" si="18"/>
        <v>Igual</v>
      </c>
      <c r="P96" s="86" t="str">
        <f>IFERROR(VLOOKUP($B96,'LISTA - Atual'!$B$1:$I$444,7,0),"Novo")</f>
        <v>Y</v>
      </c>
      <c r="Q96" s="86" t="str">
        <f t="shared" si="19"/>
        <v>Igual</v>
      </c>
      <c r="R96" s="86" t="s">
        <v>1563</v>
      </c>
      <c r="S96" s="86" t="str">
        <f>IFERROR(VLOOKUP($B96,'LISTA - Atual'!$B$1:$I$444,8,0),"Novo")</f>
        <v>N</v>
      </c>
      <c r="T96" s="86" t="str">
        <f t="shared" si="20"/>
        <v>Igual</v>
      </c>
      <c r="U96" s="86" t="s">
        <v>1563</v>
      </c>
      <c r="V96" s="86" t="s">
        <v>11</v>
      </c>
      <c r="W96" s="87" t="str">
        <f>IFERROR(VLOOKUP(B96,#REF!,11,0),"n/a")</f>
        <v>n/a</v>
      </c>
      <c r="X96" s="87" t="str">
        <f>IFERROR(VLOOKUP(B96,#REF!,8,0),"n/a")</f>
        <v>n/a</v>
      </c>
      <c r="Y96" s="87" t="str">
        <f t="shared" ref="Y96:Y126" si="25">$H$2</f>
        <v>PILAR3</v>
      </c>
      <c r="Z96" s="131" t="s">
        <v>1605</v>
      </c>
      <c r="AA96" s="227" t="e">
        <f>VLOOKUP(Table1[[#This Row],[CONCAT]],'Campos Resumo Prop2.0'!A:H,8,0)</f>
        <v>#N/A</v>
      </c>
      <c r="AB96" s="87" t="s">
        <v>1650</v>
      </c>
      <c r="AC96" s="137" t="s">
        <v>1625</v>
      </c>
      <c r="AD96" s="91">
        <f>INDEX(Auxiliar!$D$5:$I$10,MATCH('LISTA - Setembro2024'!AD$3,Auxiliar!$B$5:$B$10,0),MATCH('LISTA - Setembro2024'!$AC96,Auxiliar!$D$4:$I$4,0))</f>
        <v>0</v>
      </c>
      <c r="AE96" s="91">
        <f>INDEX(Auxiliar!$D$5:$I$10,MATCH('LISTA - Setembro2024'!AE$3,Auxiliar!$B$5:$B$10,0),MATCH('LISTA - Setembro2024'!$AC96,Auxiliar!$D$4:$I$4,0))</f>
        <v>0</v>
      </c>
      <c r="AF96" s="87">
        <f>INDEX(Auxiliar!$D$5:$I$10,MATCH('LISTA - Setembro2024'!AF$3,Auxiliar!$B$5:$B$10,0),MATCH('LISTA - Setembro2024'!$AC96,Auxiliar!$D$4:$I$4,0))</f>
        <v>0</v>
      </c>
      <c r="AG96" s="87" t="str">
        <f t="shared" si="21"/>
        <v>n.a.</v>
      </c>
      <c r="AH96" s="87">
        <f>INDEX(Auxiliar!$D$5:$I$10,MATCH('LISTA - Setembro2024'!AH$3,Auxiliar!$B$5:$B$10,0),MATCH('LISTA - Setembro2024'!$AG96,Auxiliar!$D$4:$I$4,0))</f>
        <v>0</v>
      </c>
      <c r="AI96" s="87">
        <f>INDEX(Auxiliar!$D$5:$I$10,MATCH('LISTA - Setembro2024'!AI$3,Auxiliar!$B$5:$B$10,0),MATCH('LISTA - Setembro2024'!$AC96,Auxiliar!$D$4:$I$4,0))</f>
        <v>0</v>
      </c>
      <c r="AJ96" s="87">
        <f>INDEX(Auxiliar!$D$5:$I$10,MATCH('LISTA - Setembro2024'!AJ$3,Auxiliar!$B$5:$B$10,0),MATCH('LISTA - Setembro2024'!$AC96,Auxiliar!$D$4:$I$4,0))</f>
        <v>0</v>
      </c>
      <c r="AK96" s="160">
        <f t="shared" si="22"/>
        <v>0</v>
      </c>
      <c r="AL96" s="87"/>
    </row>
    <row r="97" spans="1:38" ht="13.8" x14ac:dyDescent="0.25">
      <c r="A97" s="158" t="s">
        <v>292</v>
      </c>
      <c r="B97" s="81" t="str">
        <f t="shared" si="23"/>
        <v>ENTITY_NACE_ESG</v>
      </c>
      <c r="C97" s="82" t="s">
        <v>10</v>
      </c>
      <c r="D97" s="83" t="s">
        <v>293</v>
      </c>
      <c r="E97" s="84" t="s">
        <v>294</v>
      </c>
      <c r="F97" s="85" t="s">
        <v>11</v>
      </c>
      <c r="G97" s="85" t="s">
        <v>11</v>
      </c>
      <c r="H97" s="85" t="s">
        <v>13</v>
      </c>
      <c r="I97" s="85" t="s">
        <v>11</v>
      </c>
      <c r="J97" s="85" t="s">
        <v>13</v>
      </c>
      <c r="K97" s="85" t="s">
        <v>11</v>
      </c>
      <c r="L97" s="86" t="str">
        <f>IFERROR(VLOOKUP($B97,'LISTA - Atual'!$B$1:$I$444,5,0),"Novo")</f>
        <v>N</v>
      </c>
      <c r="M97" s="86" t="str">
        <f t="shared" si="17"/>
        <v>Igual</v>
      </c>
      <c r="N97" s="86" t="str">
        <f>IFERROR(VLOOKUP($B97,'LISTA - Atual'!$B$1:$I$444,6,0),"Novo")</f>
        <v>N</v>
      </c>
      <c r="O97" s="86" t="str">
        <f t="shared" si="18"/>
        <v>Igual</v>
      </c>
      <c r="P97" s="86" t="str">
        <f>IFERROR(VLOOKUP($B97,'LISTA - Atual'!$B$1:$I$444,7,0),"Novo")</f>
        <v>Y</v>
      </c>
      <c r="Q97" s="86" t="str">
        <f t="shared" si="19"/>
        <v>Igual</v>
      </c>
      <c r="R97" s="86" t="s">
        <v>1563</v>
      </c>
      <c r="S97" s="86" t="str">
        <f>IFERROR(VLOOKUP($B97,'LISTA - Atual'!$B$1:$I$444,8,0),"Novo")</f>
        <v>Y</v>
      </c>
      <c r="T97" s="86" t="str">
        <f t="shared" si="20"/>
        <v>Igual</v>
      </c>
      <c r="U97" s="86" t="s">
        <v>1563</v>
      </c>
      <c r="V97" s="86" t="s">
        <v>11</v>
      </c>
      <c r="W97" s="87" t="str">
        <f>IFERROR(VLOOKUP(B97,#REF!,11,0),"n/a")</f>
        <v>n/a</v>
      </c>
      <c r="X97" s="87" t="str">
        <f>IFERROR(VLOOKUP(B97,#REF!,8,0),"n/a")</f>
        <v>n/a</v>
      </c>
      <c r="Y97" s="87" t="str">
        <f t="shared" si="25"/>
        <v>PILAR3</v>
      </c>
      <c r="Z97" s="131" t="s">
        <v>1605</v>
      </c>
      <c r="AA97" s="227" t="e">
        <f>VLOOKUP(Table1[[#This Row],[CONCAT]],'Campos Resumo Prop2.0'!A:H,8,0)</f>
        <v>#N/A</v>
      </c>
      <c r="AB97" s="87" t="s">
        <v>1650</v>
      </c>
      <c r="AC97" s="137" t="s">
        <v>1625</v>
      </c>
      <c r="AD97" s="91">
        <f>INDEX(Auxiliar!$D$5:$I$10,MATCH('LISTA - Setembro2024'!AD$3,Auxiliar!$B$5:$B$10,0),MATCH('LISTA - Setembro2024'!$AC97,Auxiliar!$D$4:$I$4,0))</f>
        <v>0</v>
      </c>
      <c r="AE97" s="91">
        <f>INDEX(Auxiliar!$D$5:$I$10,MATCH('LISTA - Setembro2024'!AE$3,Auxiliar!$B$5:$B$10,0),MATCH('LISTA - Setembro2024'!$AC97,Auxiliar!$D$4:$I$4,0))</f>
        <v>0</v>
      </c>
      <c r="AF97" s="87">
        <f>INDEX(Auxiliar!$D$5:$I$10,MATCH('LISTA - Setembro2024'!AF$3,Auxiliar!$B$5:$B$10,0),MATCH('LISTA - Setembro2024'!$AC97,Auxiliar!$D$4:$I$4,0))</f>
        <v>0</v>
      </c>
      <c r="AG97" s="87" t="str">
        <f t="shared" si="21"/>
        <v>n.a.</v>
      </c>
      <c r="AH97" s="87">
        <f>INDEX(Auxiliar!$D$5:$I$10,MATCH('LISTA - Setembro2024'!AH$3,Auxiliar!$B$5:$B$10,0),MATCH('LISTA - Setembro2024'!$AG97,Auxiliar!$D$4:$I$4,0))</f>
        <v>0</v>
      </c>
      <c r="AI97" s="87">
        <f>INDEX(Auxiliar!$D$5:$I$10,MATCH('LISTA - Setembro2024'!AI$3,Auxiliar!$B$5:$B$10,0),MATCH('LISTA - Setembro2024'!$AC97,Auxiliar!$D$4:$I$4,0))</f>
        <v>0</v>
      </c>
      <c r="AJ97" s="87">
        <f>INDEX(Auxiliar!$D$5:$I$10,MATCH('LISTA - Setembro2024'!AJ$3,Auxiliar!$B$5:$B$10,0),MATCH('LISTA - Setembro2024'!$AC97,Auxiliar!$D$4:$I$4,0))</f>
        <v>0</v>
      </c>
      <c r="AK97" s="160">
        <f t="shared" si="22"/>
        <v>0</v>
      </c>
      <c r="AL97" s="87"/>
    </row>
    <row r="98" spans="1:38" ht="13.8" x14ac:dyDescent="0.25">
      <c r="A98" s="158" t="s">
        <v>295</v>
      </c>
      <c r="B98" s="81" t="str">
        <f t="shared" si="23"/>
        <v>ENTITY_TTL_LBLTY</v>
      </c>
      <c r="C98" s="82" t="s">
        <v>10</v>
      </c>
      <c r="D98" s="83" t="s">
        <v>296</v>
      </c>
      <c r="E98" s="84" t="s">
        <v>297</v>
      </c>
      <c r="F98" s="85" t="s">
        <v>11</v>
      </c>
      <c r="G98" s="85" t="s">
        <v>11</v>
      </c>
      <c r="H98" s="85" t="s">
        <v>13</v>
      </c>
      <c r="I98" s="85" t="s">
        <v>11</v>
      </c>
      <c r="J98" s="85" t="s">
        <v>11</v>
      </c>
      <c r="K98" s="85" t="s">
        <v>11</v>
      </c>
      <c r="L98" s="86" t="str">
        <f>IFERROR(VLOOKUP($B98,'LISTA - Atual'!$B$1:$I$444,5,0),"Novo")</f>
        <v>N</v>
      </c>
      <c r="M98" s="86" t="str">
        <f t="shared" si="17"/>
        <v>Igual</v>
      </c>
      <c r="N98" s="86" t="str">
        <f>IFERROR(VLOOKUP($B98,'LISTA - Atual'!$B$1:$I$444,6,0),"Novo")</f>
        <v>N</v>
      </c>
      <c r="O98" s="86" t="str">
        <f t="shared" si="18"/>
        <v>Igual</v>
      </c>
      <c r="P98" s="86" t="str">
        <f>IFERROR(VLOOKUP($B98,'LISTA - Atual'!$B$1:$I$444,7,0),"Novo")</f>
        <v>Y</v>
      </c>
      <c r="Q98" s="86" t="str">
        <f t="shared" si="19"/>
        <v>Igual</v>
      </c>
      <c r="R98" s="86" t="s">
        <v>1563</v>
      </c>
      <c r="S98" s="86" t="str">
        <f>IFERROR(VLOOKUP($B98,'LISTA - Atual'!$B$1:$I$444,8,0),"Novo")</f>
        <v>N</v>
      </c>
      <c r="T98" s="86" t="str">
        <f t="shared" si="20"/>
        <v>Igual</v>
      </c>
      <c r="U98" s="86" t="s">
        <v>1563</v>
      </c>
      <c r="V98" s="86" t="s">
        <v>11</v>
      </c>
      <c r="W98" s="87" t="str">
        <f>IFERROR(VLOOKUP(B98,#REF!,11,0),"n/a")</f>
        <v>n/a</v>
      </c>
      <c r="X98" s="87" t="str">
        <f>IFERROR(VLOOKUP(B98,#REF!,8,0),"n/a")</f>
        <v>n/a</v>
      </c>
      <c r="Y98" s="87" t="str">
        <f t="shared" si="25"/>
        <v>PILAR3</v>
      </c>
      <c r="Z98" s="131" t="s">
        <v>1605</v>
      </c>
      <c r="AA98" s="227" t="e">
        <f>VLOOKUP(Table1[[#This Row],[CONCAT]],'Campos Resumo Prop2.0'!A:H,8,0)</f>
        <v>#N/A</v>
      </c>
      <c r="AB98" s="87" t="s">
        <v>1655</v>
      </c>
      <c r="AC98" s="137" t="s">
        <v>1625</v>
      </c>
      <c r="AD98" s="91">
        <f>INDEX(Auxiliar!$D$5:$I$10,MATCH('LISTA - Setembro2024'!AD$3,Auxiliar!$B$5:$B$10,0),MATCH('LISTA - Setembro2024'!$AC98,Auxiliar!$D$4:$I$4,0))</f>
        <v>0</v>
      </c>
      <c r="AE98" s="91">
        <f>INDEX(Auxiliar!$D$5:$I$10,MATCH('LISTA - Setembro2024'!AE$3,Auxiliar!$B$5:$B$10,0),MATCH('LISTA - Setembro2024'!$AC98,Auxiliar!$D$4:$I$4,0))</f>
        <v>0</v>
      </c>
      <c r="AF98" s="87">
        <f>INDEX(Auxiliar!$D$5:$I$10,MATCH('LISTA - Setembro2024'!AF$3,Auxiliar!$B$5:$B$10,0),MATCH('LISTA - Setembro2024'!$AC98,Auxiliar!$D$4:$I$4,0))</f>
        <v>0</v>
      </c>
      <c r="AG98" s="87" t="str">
        <f t="shared" si="21"/>
        <v>n.a.</v>
      </c>
      <c r="AH98" s="87">
        <f>INDEX(Auxiliar!$D$5:$I$10,MATCH('LISTA - Setembro2024'!AH$3,Auxiliar!$B$5:$B$10,0),MATCH('LISTA - Setembro2024'!$AG98,Auxiliar!$D$4:$I$4,0))</f>
        <v>0</v>
      </c>
      <c r="AI98" s="87">
        <f>INDEX(Auxiliar!$D$5:$I$10,MATCH('LISTA - Setembro2024'!AI$3,Auxiliar!$B$5:$B$10,0),MATCH('LISTA - Setembro2024'!$AC98,Auxiliar!$D$4:$I$4,0))</f>
        <v>0</v>
      </c>
      <c r="AJ98" s="87">
        <f>INDEX(Auxiliar!$D$5:$I$10,MATCH('LISTA - Setembro2024'!AJ$3,Auxiliar!$B$5:$B$10,0),MATCH('LISTA - Setembro2024'!$AC98,Auxiliar!$D$4:$I$4,0))</f>
        <v>0</v>
      </c>
      <c r="AK98" s="160">
        <f t="shared" si="22"/>
        <v>0</v>
      </c>
      <c r="AL98" s="87"/>
    </row>
    <row r="99" spans="1:38" ht="13.8" x14ac:dyDescent="0.25">
      <c r="A99" s="158" t="s">
        <v>298</v>
      </c>
      <c r="B99" s="81" t="str">
        <f t="shared" si="23"/>
        <v>ENTITY_TXNMY_ELGBL_CAPEX_CCM</v>
      </c>
      <c r="C99" s="82" t="s">
        <v>10</v>
      </c>
      <c r="D99" s="83" t="s">
        <v>299</v>
      </c>
      <c r="E99" s="84" t="s">
        <v>300</v>
      </c>
      <c r="F99" s="85" t="s">
        <v>11</v>
      </c>
      <c r="G99" s="85" t="s">
        <v>11</v>
      </c>
      <c r="H99" s="85" t="s">
        <v>13</v>
      </c>
      <c r="I99" s="85" t="s">
        <v>11</v>
      </c>
      <c r="J99" s="85" t="s">
        <v>11</v>
      </c>
      <c r="K99" s="85" t="s">
        <v>11</v>
      </c>
      <c r="L99" s="86" t="str">
        <f>IFERROR(VLOOKUP($B99,'LISTA - Atual'!$B$1:$I$444,5,0),"Novo")</f>
        <v>N</v>
      </c>
      <c r="M99" s="86" t="str">
        <f t="shared" si="17"/>
        <v>Igual</v>
      </c>
      <c r="N99" s="86" t="str">
        <f>IFERROR(VLOOKUP($B99,'LISTA - Atual'!$B$1:$I$444,6,0),"Novo")</f>
        <v>N</v>
      </c>
      <c r="O99" s="86" t="str">
        <f t="shared" si="18"/>
        <v>Igual</v>
      </c>
      <c r="P99" s="86" t="str">
        <f>IFERROR(VLOOKUP($B99,'LISTA - Atual'!$B$1:$I$444,7,0),"Novo")</f>
        <v>Y</v>
      </c>
      <c r="Q99" s="86" t="str">
        <f t="shared" si="19"/>
        <v>Igual</v>
      </c>
      <c r="R99" s="86" t="s">
        <v>1563</v>
      </c>
      <c r="S99" s="86" t="str">
        <f>IFERROR(VLOOKUP($B99,'LISTA - Atual'!$B$1:$I$444,8,0),"Novo")</f>
        <v>N</v>
      </c>
      <c r="T99" s="86" t="str">
        <f t="shared" si="20"/>
        <v>Igual</v>
      </c>
      <c r="U99" s="86" t="s">
        <v>1563</v>
      </c>
      <c r="V99" s="86" t="s">
        <v>11</v>
      </c>
      <c r="W99" s="87" t="str">
        <f>IFERROR(VLOOKUP(B99,#REF!,11,0),"n/a")</f>
        <v>n/a</v>
      </c>
      <c r="X99" s="87" t="str">
        <f>IFERROR(VLOOKUP(B99,#REF!,8,0),"n/a")</f>
        <v>n/a</v>
      </c>
      <c r="Y99" s="87" t="str">
        <f t="shared" si="25"/>
        <v>PILAR3</v>
      </c>
      <c r="Z99" s="131" t="s">
        <v>1605</v>
      </c>
      <c r="AA99" s="227" t="e">
        <f>VLOOKUP(Table1[[#This Row],[CONCAT]],'Campos Resumo Prop2.0'!A:H,8,0)</f>
        <v>#N/A</v>
      </c>
      <c r="AB99" s="87" t="s">
        <v>1656</v>
      </c>
      <c r="AC99" s="137" t="s">
        <v>1625</v>
      </c>
      <c r="AD99" s="91">
        <f>INDEX(Auxiliar!$D$5:$I$10,MATCH('LISTA - Setembro2024'!AD$3,Auxiliar!$B$5:$B$10,0),MATCH('LISTA - Setembro2024'!$AC99,Auxiliar!$D$4:$I$4,0))</f>
        <v>0</v>
      </c>
      <c r="AE99" s="91">
        <f>INDEX(Auxiliar!$D$5:$I$10,MATCH('LISTA - Setembro2024'!AE$3,Auxiliar!$B$5:$B$10,0),MATCH('LISTA - Setembro2024'!$AC99,Auxiliar!$D$4:$I$4,0))</f>
        <v>0</v>
      </c>
      <c r="AF99" s="87">
        <f>INDEX(Auxiliar!$D$5:$I$10,MATCH('LISTA - Setembro2024'!AF$3,Auxiliar!$B$5:$B$10,0),MATCH('LISTA - Setembro2024'!$AC99,Auxiliar!$D$4:$I$4,0))</f>
        <v>0</v>
      </c>
      <c r="AG99" s="87" t="str">
        <f t="shared" si="21"/>
        <v>n.a.</v>
      </c>
      <c r="AH99" s="87">
        <f>INDEX(Auxiliar!$D$5:$I$10,MATCH('LISTA - Setembro2024'!AH$3,Auxiliar!$B$5:$B$10,0),MATCH('LISTA - Setembro2024'!$AG99,Auxiliar!$D$4:$I$4,0))</f>
        <v>0</v>
      </c>
      <c r="AI99" s="87">
        <f>INDEX(Auxiliar!$D$5:$I$10,MATCH('LISTA - Setembro2024'!AI$3,Auxiliar!$B$5:$B$10,0),MATCH('LISTA - Setembro2024'!$AC99,Auxiliar!$D$4:$I$4,0))</f>
        <v>0</v>
      </c>
      <c r="AJ99" s="87">
        <f>INDEX(Auxiliar!$D$5:$I$10,MATCH('LISTA - Setembro2024'!AJ$3,Auxiliar!$B$5:$B$10,0),MATCH('LISTA - Setembro2024'!$AC99,Auxiliar!$D$4:$I$4,0))</f>
        <v>0</v>
      </c>
      <c r="AK99" s="160">
        <f t="shared" si="22"/>
        <v>0</v>
      </c>
      <c r="AL99" s="87"/>
    </row>
    <row r="100" spans="1:38" ht="13.8" x14ac:dyDescent="0.25">
      <c r="A100" s="158" t="s">
        <v>301</v>
      </c>
      <c r="B100" s="81" t="str">
        <f t="shared" si="23"/>
        <v>ENTITY_TXNMY_ELGBL_TRNVR_CCM</v>
      </c>
      <c r="C100" s="82" t="s">
        <v>10</v>
      </c>
      <c r="D100" s="83" t="s">
        <v>302</v>
      </c>
      <c r="E100" s="84" t="s">
        <v>303</v>
      </c>
      <c r="F100" s="85" t="s">
        <v>11</v>
      </c>
      <c r="G100" s="85" t="s">
        <v>11</v>
      </c>
      <c r="H100" s="85" t="s">
        <v>13</v>
      </c>
      <c r="I100" s="85" t="s">
        <v>11</v>
      </c>
      <c r="J100" s="85" t="s">
        <v>11</v>
      </c>
      <c r="K100" s="85" t="s">
        <v>11</v>
      </c>
      <c r="L100" s="86" t="str">
        <f>IFERROR(VLOOKUP($B100,'LISTA - Atual'!$B$1:$I$444,5,0),"Novo")</f>
        <v>N</v>
      </c>
      <c r="M100" s="86" t="str">
        <f t="shared" ref="M100:M112" si="26">IF(L100="Novo","Novo Campo",IF(L100=F100,"Igual","Diferente"))</f>
        <v>Igual</v>
      </c>
      <c r="N100" s="86" t="str">
        <f>IFERROR(VLOOKUP($B100,'LISTA - Atual'!$B$1:$I$444,6,0),"Novo")</f>
        <v>N</v>
      </c>
      <c r="O100" s="86" t="str">
        <f t="shared" ref="O100:O112" si="27">IF(N100="Novo","Novo Campo",IF(N100=G100,"Igual","Diferente"))</f>
        <v>Igual</v>
      </c>
      <c r="P100" s="86" t="str">
        <f>IFERROR(VLOOKUP($B100,'LISTA - Atual'!$B$1:$I$444,7,0),"Novo")</f>
        <v>Y</v>
      </c>
      <c r="Q100" s="86" t="str">
        <f t="shared" ref="Q100:Q112" si="28">IF(P100="Novo","Novo Campo",IF(P100=H100,"Igual","Diferente"))</f>
        <v>Igual</v>
      </c>
      <c r="R100" s="86" t="s">
        <v>1563</v>
      </c>
      <c r="S100" s="86" t="str">
        <f>IFERROR(VLOOKUP($B100,'LISTA - Atual'!$B$1:$I$444,8,0),"Novo")</f>
        <v>N</v>
      </c>
      <c r="T100" s="86" t="str">
        <f t="shared" ref="T100:T112" si="29">IF(S100="Novo","Novo Campo",IF(S100=J100,"Igual","Diferente"))</f>
        <v>Igual</v>
      </c>
      <c r="U100" s="86" t="s">
        <v>1563</v>
      </c>
      <c r="V100" s="86" t="s">
        <v>11</v>
      </c>
      <c r="W100" s="87" t="str">
        <f>IFERROR(VLOOKUP(B100,#REF!,11,0),"n/a")</f>
        <v>n/a</v>
      </c>
      <c r="X100" s="87" t="str">
        <f>IFERROR(VLOOKUP(B100,#REF!,8,0),"n/a")</f>
        <v>n/a</v>
      </c>
      <c r="Y100" s="87" t="str">
        <f t="shared" si="25"/>
        <v>PILAR3</v>
      </c>
      <c r="Z100" s="131" t="s">
        <v>1605</v>
      </c>
      <c r="AA100" s="227" t="e">
        <f>VLOOKUP(Table1[[#This Row],[CONCAT]],'Campos Resumo Prop2.0'!A:H,8,0)</f>
        <v>#N/A</v>
      </c>
      <c r="AB100" s="87" t="s">
        <v>1656</v>
      </c>
      <c r="AC100" s="137" t="s">
        <v>1625</v>
      </c>
      <c r="AD100" s="91">
        <f>INDEX(Auxiliar!$D$5:$I$10,MATCH('LISTA - Setembro2024'!AD$3,Auxiliar!$B$5:$B$10,0),MATCH('LISTA - Setembro2024'!$AC100,Auxiliar!$D$4:$I$4,0))</f>
        <v>0</v>
      </c>
      <c r="AE100" s="91">
        <f>INDEX(Auxiliar!$D$5:$I$10,MATCH('LISTA - Setembro2024'!AE$3,Auxiliar!$B$5:$B$10,0),MATCH('LISTA - Setembro2024'!$AC100,Auxiliar!$D$4:$I$4,0))</f>
        <v>0</v>
      </c>
      <c r="AF100" s="87">
        <f>INDEX(Auxiliar!$D$5:$I$10,MATCH('LISTA - Setembro2024'!AF$3,Auxiliar!$B$5:$B$10,0),MATCH('LISTA - Setembro2024'!$AC100,Auxiliar!$D$4:$I$4,0))</f>
        <v>0</v>
      </c>
      <c r="AG100" s="87" t="str">
        <f t="shared" si="21"/>
        <v>n.a.</v>
      </c>
      <c r="AH100" s="87">
        <f>INDEX(Auxiliar!$D$5:$I$10,MATCH('LISTA - Setembro2024'!AH$3,Auxiliar!$B$5:$B$10,0),MATCH('LISTA - Setembro2024'!$AG100,Auxiliar!$D$4:$I$4,0))</f>
        <v>0</v>
      </c>
      <c r="AI100" s="87">
        <f>INDEX(Auxiliar!$D$5:$I$10,MATCH('LISTA - Setembro2024'!AI$3,Auxiliar!$B$5:$B$10,0),MATCH('LISTA - Setembro2024'!$AC100,Auxiliar!$D$4:$I$4,0))</f>
        <v>0</v>
      </c>
      <c r="AJ100" s="87">
        <f>INDEX(Auxiliar!$D$5:$I$10,MATCH('LISTA - Setembro2024'!AJ$3,Auxiliar!$B$5:$B$10,0),MATCH('LISTA - Setembro2024'!$AC100,Auxiliar!$D$4:$I$4,0))</f>
        <v>0</v>
      </c>
      <c r="AK100" s="160">
        <f t="shared" si="22"/>
        <v>0</v>
      </c>
      <c r="AL100" s="87"/>
    </row>
    <row r="101" spans="1:38" ht="13.8" x14ac:dyDescent="0.25">
      <c r="A101" s="158" t="s">
        <v>304</v>
      </c>
      <c r="B101" s="81" t="str">
        <f t="shared" si="23"/>
        <v>ENTITY_TXNMY_ELGBL_CAPEX_CCA</v>
      </c>
      <c r="C101" s="82" t="s">
        <v>10</v>
      </c>
      <c r="D101" s="83" t="s">
        <v>305</v>
      </c>
      <c r="E101" s="84" t="s">
        <v>306</v>
      </c>
      <c r="F101" s="85" t="s">
        <v>11</v>
      </c>
      <c r="G101" s="85" t="s">
        <v>11</v>
      </c>
      <c r="H101" s="85" t="s">
        <v>13</v>
      </c>
      <c r="I101" s="85" t="s">
        <v>11</v>
      </c>
      <c r="J101" s="85" t="s">
        <v>11</v>
      </c>
      <c r="K101" s="85" t="s">
        <v>11</v>
      </c>
      <c r="L101" s="86" t="str">
        <f>IFERROR(VLOOKUP($B101,'LISTA - Atual'!$B$1:$I$444,5,0),"Novo")</f>
        <v>N</v>
      </c>
      <c r="M101" s="86" t="str">
        <f t="shared" si="26"/>
        <v>Igual</v>
      </c>
      <c r="N101" s="86" t="str">
        <f>IFERROR(VLOOKUP($B101,'LISTA - Atual'!$B$1:$I$444,6,0),"Novo")</f>
        <v>N</v>
      </c>
      <c r="O101" s="86" t="str">
        <f t="shared" si="27"/>
        <v>Igual</v>
      </c>
      <c r="P101" s="86" t="str">
        <f>IFERROR(VLOOKUP($B101,'LISTA - Atual'!$B$1:$I$444,7,0),"Novo")</f>
        <v>Y</v>
      </c>
      <c r="Q101" s="86" t="str">
        <f t="shared" si="28"/>
        <v>Igual</v>
      </c>
      <c r="R101" s="86" t="s">
        <v>1563</v>
      </c>
      <c r="S101" s="86" t="str">
        <f>IFERROR(VLOOKUP($B101,'LISTA - Atual'!$B$1:$I$444,8,0),"Novo")</f>
        <v>N</v>
      </c>
      <c r="T101" s="86" t="str">
        <f t="shared" si="29"/>
        <v>Igual</v>
      </c>
      <c r="U101" s="86" t="s">
        <v>1563</v>
      </c>
      <c r="V101" s="86" t="s">
        <v>11</v>
      </c>
      <c r="W101" s="87" t="str">
        <f>IFERROR(VLOOKUP(B101,#REF!,11,0),"n/a")</f>
        <v>n/a</v>
      </c>
      <c r="X101" s="87" t="str">
        <f>IFERROR(VLOOKUP(B101,#REF!,8,0),"n/a")</f>
        <v>n/a</v>
      </c>
      <c r="Y101" s="87" t="str">
        <f t="shared" si="25"/>
        <v>PILAR3</v>
      </c>
      <c r="Z101" s="131" t="s">
        <v>1605</v>
      </c>
      <c r="AA101" s="227" t="e">
        <f>VLOOKUP(Table1[[#This Row],[CONCAT]],'Campos Resumo Prop2.0'!A:H,8,0)</f>
        <v>#N/A</v>
      </c>
      <c r="AB101" s="87" t="s">
        <v>1656</v>
      </c>
      <c r="AC101" s="137" t="s">
        <v>1625</v>
      </c>
      <c r="AD101" s="91">
        <f>INDEX(Auxiliar!$D$5:$I$10,MATCH('LISTA - Setembro2024'!AD$3,Auxiliar!$B$5:$B$10,0),MATCH('LISTA - Setembro2024'!$AC101,Auxiliar!$D$4:$I$4,0))</f>
        <v>0</v>
      </c>
      <c r="AE101" s="91">
        <f>INDEX(Auxiliar!$D$5:$I$10,MATCH('LISTA - Setembro2024'!AE$3,Auxiliar!$B$5:$B$10,0),MATCH('LISTA - Setembro2024'!$AC101,Auxiliar!$D$4:$I$4,0))</f>
        <v>0</v>
      </c>
      <c r="AF101" s="87">
        <f>INDEX(Auxiliar!$D$5:$I$10,MATCH('LISTA - Setembro2024'!AF$3,Auxiliar!$B$5:$B$10,0),MATCH('LISTA - Setembro2024'!$AC101,Auxiliar!$D$4:$I$4,0))</f>
        <v>0</v>
      </c>
      <c r="AG101" s="87" t="str">
        <f t="shared" si="21"/>
        <v>n.a.</v>
      </c>
      <c r="AH101" s="87">
        <f>INDEX(Auxiliar!$D$5:$I$10,MATCH('LISTA - Setembro2024'!AH$3,Auxiliar!$B$5:$B$10,0),MATCH('LISTA - Setembro2024'!$AG101,Auxiliar!$D$4:$I$4,0))</f>
        <v>0</v>
      </c>
      <c r="AI101" s="87">
        <f>INDEX(Auxiliar!$D$5:$I$10,MATCH('LISTA - Setembro2024'!AI$3,Auxiliar!$B$5:$B$10,0),MATCH('LISTA - Setembro2024'!$AC101,Auxiliar!$D$4:$I$4,0))</f>
        <v>0</v>
      </c>
      <c r="AJ101" s="87">
        <f>INDEX(Auxiliar!$D$5:$I$10,MATCH('LISTA - Setembro2024'!AJ$3,Auxiliar!$B$5:$B$10,0),MATCH('LISTA - Setembro2024'!$AC101,Auxiliar!$D$4:$I$4,0))</f>
        <v>0</v>
      </c>
      <c r="AK101" s="160">
        <f t="shared" si="22"/>
        <v>0</v>
      </c>
      <c r="AL101" s="87"/>
    </row>
    <row r="102" spans="1:38" ht="13.8" x14ac:dyDescent="0.25">
      <c r="A102" s="158" t="s">
        <v>307</v>
      </c>
      <c r="B102" s="81" t="str">
        <f t="shared" si="23"/>
        <v>ENTITY_TXNMY_ELGBL_TRNVR_CCA</v>
      </c>
      <c r="C102" s="82" t="s">
        <v>10</v>
      </c>
      <c r="D102" s="83" t="s">
        <v>308</v>
      </c>
      <c r="E102" s="84" t="s">
        <v>309</v>
      </c>
      <c r="F102" s="85" t="s">
        <v>11</v>
      </c>
      <c r="G102" s="85" t="s">
        <v>11</v>
      </c>
      <c r="H102" s="85" t="s">
        <v>13</v>
      </c>
      <c r="I102" s="85" t="s">
        <v>11</v>
      </c>
      <c r="J102" s="85" t="s">
        <v>11</v>
      </c>
      <c r="K102" s="85" t="s">
        <v>11</v>
      </c>
      <c r="L102" s="86" t="str">
        <f>IFERROR(VLOOKUP($B102,'LISTA - Atual'!$B$1:$I$444,5,0),"Novo")</f>
        <v>N</v>
      </c>
      <c r="M102" s="86" t="str">
        <f t="shared" si="26"/>
        <v>Igual</v>
      </c>
      <c r="N102" s="86" t="str">
        <f>IFERROR(VLOOKUP($B102,'LISTA - Atual'!$B$1:$I$444,6,0),"Novo")</f>
        <v>N</v>
      </c>
      <c r="O102" s="86" t="str">
        <f t="shared" si="27"/>
        <v>Igual</v>
      </c>
      <c r="P102" s="86" t="str">
        <f>IFERROR(VLOOKUP($B102,'LISTA - Atual'!$B$1:$I$444,7,0),"Novo")</f>
        <v>Y</v>
      </c>
      <c r="Q102" s="86" t="str">
        <f t="shared" si="28"/>
        <v>Igual</v>
      </c>
      <c r="R102" s="86" t="s">
        <v>1563</v>
      </c>
      <c r="S102" s="86" t="str">
        <f>IFERROR(VLOOKUP($B102,'LISTA - Atual'!$B$1:$I$444,8,0),"Novo")</f>
        <v>N</v>
      </c>
      <c r="T102" s="86" t="str">
        <f t="shared" si="29"/>
        <v>Igual</v>
      </c>
      <c r="U102" s="86" t="s">
        <v>1563</v>
      </c>
      <c r="V102" s="86" t="s">
        <v>11</v>
      </c>
      <c r="W102" s="87" t="str">
        <f>IFERROR(VLOOKUP(B102,#REF!,11,0),"n/a")</f>
        <v>n/a</v>
      </c>
      <c r="X102" s="87" t="str">
        <f>IFERROR(VLOOKUP(B102,#REF!,8,0),"n/a")</f>
        <v>n/a</v>
      </c>
      <c r="Y102" s="87" t="str">
        <f t="shared" si="25"/>
        <v>PILAR3</v>
      </c>
      <c r="Z102" s="131" t="s">
        <v>1605</v>
      </c>
      <c r="AA102" s="227" t="e">
        <f>VLOOKUP(Table1[[#This Row],[CONCAT]],'Campos Resumo Prop2.0'!A:H,8,0)</f>
        <v>#N/A</v>
      </c>
      <c r="AB102" s="87" t="s">
        <v>1656</v>
      </c>
      <c r="AC102" s="137" t="s">
        <v>1625</v>
      </c>
      <c r="AD102" s="91">
        <f>INDEX(Auxiliar!$D$5:$I$10,MATCH('LISTA - Setembro2024'!AD$3,Auxiliar!$B$5:$B$10,0),MATCH('LISTA - Setembro2024'!$AC102,Auxiliar!$D$4:$I$4,0))</f>
        <v>0</v>
      </c>
      <c r="AE102" s="91">
        <f>INDEX(Auxiliar!$D$5:$I$10,MATCH('LISTA - Setembro2024'!AE$3,Auxiliar!$B$5:$B$10,0),MATCH('LISTA - Setembro2024'!$AC102,Auxiliar!$D$4:$I$4,0))</f>
        <v>0</v>
      </c>
      <c r="AF102" s="87">
        <f>INDEX(Auxiliar!$D$5:$I$10,MATCH('LISTA - Setembro2024'!AF$3,Auxiliar!$B$5:$B$10,0),MATCH('LISTA - Setembro2024'!$AC102,Auxiliar!$D$4:$I$4,0))</f>
        <v>0</v>
      </c>
      <c r="AG102" s="87" t="str">
        <f t="shared" si="21"/>
        <v>n.a.</v>
      </c>
      <c r="AH102" s="87">
        <f>INDEX(Auxiliar!$D$5:$I$10,MATCH('LISTA - Setembro2024'!AH$3,Auxiliar!$B$5:$B$10,0),MATCH('LISTA - Setembro2024'!$AG102,Auxiliar!$D$4:$I$4,0))</f>
        <v>0</v>
      </c>
      <c r="AI102" s="87">
        <f>INDEX(Auxiliar!$D$5:$I$10,MATCH('LISTA - Setembro2024'!AI$3,Auxiliar!$B$5:$B$10,0),MATCH('LISTA - Setembro2024'!$AC102,Auxiliar!$D$4:$I$4,0))</f>
        <v>0</v>
      </c>
      <c r="AJ102" s="87">
        <f>INDEX(Auxiliar!$D$5:$I$10,MATCH('LISTA - Setembro2024'!AJ$3,Auxiliar!$B$5:$B$10,0),MATCH('LISTA - Setembro2024'!$AC102,Auxiliar!$D$4:$I$4,0))</f>
        <v>0</v>
      </c>
      <c r="AK102" s="160">
        <f t="shared" si="22"/>
        <v>0</v>
      </c>
      <c r="AL102" s="87"/>
    </row>
    <row r="103" spans="1:38" ht="13.8" x14ac:dyDescent="0.25">
      <c r="A103" s="158" t="s">
        <v>310</v>
      </c>
      <c r="B103" s="81" t="str">
        <f t="shared" si="23"/>
        <v>ENTITY_ENBLNG_CAPEX_CCM</v>
      </c>
      <c r="C103" s="82" t="s">
        <v>10</v>
      </c>
      <c r="D103" s="83" t="s">
        <v>311</v>
      </c>
      <c r="E103" s="84" t="s">
        <v>312</v>
      </c>
      <c r="F103" s="85" t="s">
        <v>11</v>
      </c>
      <c r="G103" s="85" t="s">
        <v>11</v>
      </c>
      <c r="H103" s="85" t="s">
        <v>13</v>
      </c>
      <c r="I103" s="85" t="s">
        <v>11</v>
      </c>
      <c r="J103" s="85" t="s">
        <v>11</v>
      </c>
      <c r="K103" s="85" t="s">
        <v>11</v>
      </c>
      <c r="L103" s="86" t="str">
        <f>IFERROR(VLOOKUP($B103,'LISTA - Atual'!$B$1:$I$444,5,0),"Novo")</f>
        <v>N</v>
      </c>
      <c r="M103" s="86" t="str">
        <f t="shared" si="26"/>
        <v>Igual</v>
      </c>
      <c r="N103" s="86" t="str">
        <f>IFERROR(VLOOKUP($B103,'LISTA - Atual'!$B$1:$I$444,6,0),"Novo")</f>
        <v>N</v>
      </c>
      <c r="O103" s="86" t="str">
        <f t="shared" si="27"/>
        <v>Igual</v>
      </c>
      <c r="P103" s="86" t="str">
        <f>IFERROR(VLOOKUP($B103,'LISTA - Atual'!$B$1:$I$444,7,0),"Novo")</f>
        <v>Y</v>
      </c>
      <c r="Q103" s="86" t="str">
        <f t="shared" si="28"/>
        <v>Igual</v>
      </c>
      <c r="R103" s="86" t="s">
        <v>1563</v>
      </c>
      <c r="S103" s="86" t="str">
        <f>IFERROR(VLOOKUP($B103,'LISTA - Atual'!$B$1:$I$444,8,0),"Novo")</f>
        <v>N</v>
      </c>
      <c r="T103" s="86" t="str">
        <f t="shared" si="29"/>
        <v>Igual</v>
      </c>
      <c r="U103" s="86" t="s">
        <v>1563</v>
      </c>
      <c r="V103" s="86" t="s">
        <v>11</v>
      </c>
      <c r="W103" s="87" t="str">
        <f>IFERROR(VLOOKUP(B103,#REF!,11,0),"n/a")</f>
        <v>n/a</v>
      </c>
      <c r="X103" s="87" t="str">
        <f>IFERROR(VLOOKUP(B103,#REF!,8,0),"n/a")</f>
        <v>n/a</v>
      </c>
      <c r="Y103" s="87" t="str">
        <f t="shared" si="25"/>
        <v>PILAR3</v>
      </c>
      <c r="Z103" s="131" t="s">
        <v>1605</v>
      </c>
      <c r="AA103" s="227" t="e">
        <f>VLOOKUP(Table1[[#This Row],[CONCAT]],'Campos Resumo Prop2.0'!A:H,8,0)</f>
        <v>#N/A</v>
      </c>
      <c r="AB103" s="87" t="s">
        <v>1656</v>
      </c>
      <c r="AC103" s="137" t="s">
        <v>1625</v>
      </c>
      <c r="AD103" s="91">
        <f>INDEX(Auxiliar!$D$5:$I$10,MATCH('LISTA - Setembro2024'!AD$3,Auxiliar!$B$5:$B$10,0),MATCH('LISTA - Setembro2024'!$AC103,Auxiliar!$D$4:$I$4,0))</f>
        <v>0</v>
      </c>
      <c r="AE103" s="91">
        <f>INDEX(Auxiliar!$D$5:$I$10,MATCH('LISTA - Setembro2024'!AE$3,Auxiliar!$B$5:$B$10,0),MATCH('LISTA - Setembro2024'!$AC103,Auxiliar!$D$4:$I$4,0))</f>
        <v>0</v>
      </c>
      <c r="AF103" s="87">
        <f>INDEX(Auxiliar!$D$5:$I$10,MATCH('LISTA - Setembro2024'!AF$3,Auxiliar!$B$5:$B$10,0),MATCH('LISTA - Setembro2024'!$AC103,Auxiliar!$D$4:$I$4,0))</f>
        <v>0</v>
      </c>
      <c r="AG103" s="87" t="str">
        <f t="shared" si="21"/>
        <v>n.a.</v>
      </c>
      <c r="AH103" s="87">
        <f>INDEX(Auxiliar!$D$5:$I$10,MATCH('LISTA - Setembro2024'!AH$3,Auxiliar!$B$5:$B$10,0),MATCH('LISTA - Setembro2024'!$AG103,Auxiliar!$D$4:$I$4,0))</f>
        <v>0</v>
      </c>
      <c r="AI103" s="87">
        <f>INDEX(Auxiliar!$D$5:$I$10,MATCH('LISTA - Setembro2024'!AI$3,Auxiliar!$B$5:$B$10,0),MATCH('LISTA - Setembro2024'!$AC103,Auxiliar!$D$4:$I$4,0))</f>
        <v>0</v>
      </c>
      <c r="AJ103" s="87">
        <f>INDEX(Auxiliar!$D$5:$I$10,MATCH('LISTA - Setembro2024'!AJ$3,Auxiliar!$B$5:$B$10,0),MATCH('LISTA - Setembro2024'!$AC103,Auxiliar!$D$4:$I$4,0))</f>
        <v>0</v>
      </c>
      <c r="AK103" s="160">
        <f t="shared" si="22"/>
        <v>0</v>
      </c>
      <c r="AL103" s="87"/>
    </row>
    <row r="104" spans="1:38" ht="13.8" x14ac:dyDescent="0.25">
      <c r="A104" s="158" t="s">
        <v>313</v>
      </c>
      <c r="B104" s="81" t="str">
        <f t="shared" si="23"/>
        <v>ENTITY_ENBLNG_CAPEX_CCA</v>
      </c>
      <c r="C104" s="82" t="s">
        <v>10</v>
      </c>
      <c r="D104" s="83" t="s">
        <v>314</v>
      </c>
      <c r="E104" s="84" t="s">
        <v>315</v>
      </c>
      <c r="F104" s="85" t="s">
        <v>11</v>
      </c>
      <c r="G104" s="85" t="s">
        <v>11</v>
      </c>
      <c r="H104" s="85" t="s">
        <v>13</v>
      </c>
      <c r="I104" s="85" t="s">
        <v>11</v>
      </c>
      <c r="J104" s="85" t="s">
        <v>11</v>
      </c>
      <c r="K104" s="85" t="s">
        <v>11</v>
      </c>
      <c r="L104" s="86" t="str">
        <f>IFERROR(VLOOKUP($B104,'LISTA - Atual'!$B$1:$I$444,5,0),"Novo")</f>
        <v>N</v>
      </c>
      <c r="M104" s="86" t="str">
        <f t="shared" si="26"/>
        <v>Igual</v>
      </c>
      <c r="N104" s="86" t="str">
        <f>IFERROR(VLOOKUP($B104,'LISTA - Atual'!$B$1:$I$444,6,0),"Novo")</f>
        <v>N</v>
      </c>
      <c r="O104" s="86" t="str">
        <f t="shared" si="27"/>
        <v>Igual</v>
      </c>
      <c r="P104" s="86" t="str">
        <f>IFERROR(VLOOKUP($B104,'LISTA - Atual'!$B$1:$I$444,7,0),"Novo")</f>
        <v>Y</v>
      </c>
      <c r="Q104" s="86" t="str">
        <f t="shared" si="28"/>
        <v>Igual</v>
      </c>
      <c r="R104" s="86" t="s">
        <v>1563</v>
      </c>
      <c r="S104" s="86" t="str">
        <f>IFERROR(VLOOKUP($B104,'LISTA - Atual'!$B$1:$I$444,8,0),"Novo")</f>
        <v>N</v>
      </c>
      <c r="T104" s="86" t="str">
        <f t="shared" si="29"/>
        <v>Igual</v>
      </c>
      <c r="U104" s="86" t="s">
        <v>1563</v>
      </c>
      <c r="V104" s="86" t="s">
        <v>11</v>
      </c>
      <c r="W104" s="87" t="str">
        <f>IFERROR(VLOOKUP(B104,#REF!,11,0),"n/a")</f>
        <v>n/a</v>
      </c>
      <c r="X104" s="87" t="str">
        <f>IFERROR(VLOOKUP(B104,#REF!,8,0),"n/a")</f>
        <v>n/a</v>
      </c>
      <c r="Y104" s="87" t="str">
        <f t="shared" si="25"/>
        <v>PILAR3</v>
      </c>
      <c r="Z104" s="131" t="s">
        <v>1605</v>
      </c>
      <c r="AA104" s="227" t="e">
        <f>VLOOKUP(Table1[[#This Row],[CONCAT]],'Campos Resumo Prop2.0'!A:H,8,0)</f>
        <v>#N/A</v>
      </c>
      <c r="AB104" s="87" t="s">
        <v>1656</v>
      </c>
      <c r="AC104" s="137" t="s">
        <v>1625</v>
      </c>
      <c r="AD104" s="91">
        <f>INDEX(Auxiliar!$D$5:$I$10,MATCH('LISTA - Setembro2024'!AD$3,Auxiliar!$B$5:$B$10,0),MATCH('LISTA - Setembro2024'!$AC104,Auxiliar!$D$4:$I$4,0))</f>
        <v>0</v>
      </c>
      <c r="AE104" s="91">
        <f>INDEX(Auxiliar!$D$5:$I$10,MATCH('LISTA - Setembro2024'!AE$3,Auxiliar!$B$5:$B$10,0),MATCH('LISTA - Setembro2024'!$AC104,Auxiliar!$D$4:$I$4,0))</f>
        <v>0</v>
      </c>
      <c r="AF104" s="87">
        <f>INDEX(Auxiliar!$D$5:$I$10,MATCH('LISTA - Setembro2024'!AF$3,Auxiliar!$B$5:$B$10,0),MATCH('LISTA - Setembro2024'!$AC104,Auxiliar!$D$4:$I$4,0))</f>
        <v>0</v>
      </c>
      <c r="AG104" s="87" t="str">
        <f t="shared" si="21"/>
        <v>n.a.</v>
      </c>
      <c r="AH104" s="87">
        <f>INDEX(Auxiliar!$D$5:$I$10,MATCH('LISTA - Setembro2024'!AH$3,Auxiliar!$B$5:$B$10,0),MATCH('LISTA - Setembro2024'!$AG104,Auxiliar!$D$4:$I$4,0))</f>
        <v>0</v>
      </c>
      <c r="AI104" s="87">
        <f>INDEX(Auxiliar!$D$5:$I$10,MATCH('LISTA - Setembro2024'!AI$3,Auxiliar!$B$5:$B$10,0),MATCH('LISTA - Setembro2024'!$AC104,Auxiliar!$D$4:$I$4,0))</f>
        <v>0</v>
      </c>
      <c r="AJ104" s="87">
        <f>INDEX(Auxiliar!$D$5:$I$10,MATCH('LISTA - Setembro2024'!AJ$3,Auxiliar!$B$5:$B$10,0),MATCH('LISTA - Setembro2024'!$AC104,Auxiliar!$D$4:$I$4,0))</f>
        <v>0</v>
      </c>
      <c r="AK104" s="160">
        <f t="shared" si="22"/>
        <v>0</v>
      </c>
      <c r="AL104" s="87"/>
    </row>
    <row r="105" spans="1:38" ht="13.8" x14ac:dyDescent="0.25">
      <c r="A105" s="158" t="s">
        <v>316</v>
      </c>
      <c r="B105" s="81" t="str">
        <f t="shared" si="23"/>
        <v>ENTITY_TRNSTNL_CAPEX</v>
      </c>
      <c r="C105" s="82" t="s">
        <v>10</v>
      </c>
      <c r="D105" s="83" t="s">
        <v>317</v>
      </c>
      <c r="E105" s="84" t="s">
        <v>318</v>
      </c>
      <c r="F105" s="85" t="s">
        <v>11</v>
      </c>
      <c r="G105" s="85" t="s">
        <v>11</v>
      </c>
      <c r="H105" s="85" t="s">
        <v>13</v>
      </c>
      <c r="I105" s="85" t="s">
        <v>11</v>
      </c>
      <c r="J105" s="85" t="s">
        <v>11</v>
      </c>
      <c r="K105" s="85" t="s">
        <v>11</v>
      </c>
      <c r="L105" s="86" t="str">
        <f>IFERROR(VLOOKUP($B105,'LISTA - Atual'!$B$1:$I$444,5,0),"Novo")</f>
        <v>N</v>
      </c>
      <c r="M105" s="86" t="str">
        <f t="shared" si="26"/>
        <v>Igual</v>
      </c>
      <c r="N105" s="86" t="str">
        <f>IFERROR(VLOOKUP($B105,'LISTA - Atual'!$B$1:$I$444,6,0),"Novo")</f>
        <v>N</v>
      </c>
      <c r="O105" s="86" t="str">
        <f t="shared" si="27"/>
        <v>Igual</v>
      </c>
      <c r="P105" s="86" t="str">
        <f>IFERROR(VLOOKUP($B105,'LISTA - Atual'!$B$1:$I$444,7,0),"Novo")</f>
        <v>Y</v>
      </c>
      <c r="Q105" s="86" t="str">
        <f t="shared" si="28"/>
        <v>Igual</v>
      </c>
      <c r="R105" s="86" t="s">
        <v>1563</v>
      </c>
      <c r="S105" s="86" t="str">
        <f>IFERROR(VLOOKUP($B105,'LISTA - Atual'!$B$1:$I$444,8,0),"Novo")</f>
        <v>N</v>
      </c>
      <c r="T105" s="86" t="str">
        <f t="shared" si="29"/>
        <v>Igual</v>
      </c>
      <c r="U105" s="86" t="s">
        <v>1563</v>
      </c>
      <c r="V105" s="86" t="s">
        <v>11</v>
      </c>
      <c r="W105" s="87" t="str">
        <f>IFERROR(VLOOKUP(B105,#REF!,11,0),"n/a")</f>
        <v>n/a</v>
      </c>
      <c r="X105" s="87" t="str">
        <f>IFERROR(VLOOKUP(B105,#REF!,8,0),"n/a")</f>
        <v>n/a</v>
      </c>
      <c r="Y105" s="87" t="str">
        <f t="shared" si="25"/>
        <v>PILAR3</v>
      </c>
      <c r="Z105" s="131" t="s">
        <v>1605</v>
      </c>
      <c r="AA105" s="227" t="e">
        <f>VLOOKUP(Table1[[#This Row],[CONCAT]],'Campos Resumo Prop2.0'!A:H,8,0)</f>
        <v>#N/A</v>
      </c>
      <c r="AB105" s="87" t="s">
        <v>1656</v>
      </c>
      <c r="AC105" s="137" t="s">
        <v>1625</v>
      </c>
      <c r="AD105" s="91">
        <f>INDEX(Auxiliar!$D$5:$I$10,MATCH('LISTA - Setembro2024'!AD$3,Auxiliar!$B$5:$B$10,0),MATCH('LISTA - Setembro2024'!$AC105,Auxiliar!$D$4:$I$4,0))</f>
        <v>0</v>
      </c>
      <c r="AE105" s="91">
        <f>INDEX(Auxiliar!$D$5:$I$10,MATCH('LISTA - Setembro2024'!AE$3,Auxiliar!$B$5:$B$10,0),MATCH('LISTA - Setembro2024'!$AC105,Auxiliar!$D$4:$I$4,0))</f>
        <v>0</v>
      </c>
      <c r="AF105" s="87">
        <f>INDEX(Auxiliar!$D$5:$I$10,MATCH('LISTA - Setembro2024'!AF$3,Auxiliar!$B$5:$B$10,0),MATCH('LISTA - Setembro2024'!$AC105,Auxiliar!$D$4:$I$4,0))</f>
        <v>0</v>
      </c>
      <c r="AG105" s="87" t="str">
        <f t="shared" si="21"/>
        <v>n.a.</v>
      </c>
      <c r="AH105" s="87">
        <f>INDEX(Auxiliar!$D$5:$I$10,MATCH('LISTA - Setembro2024'!AH$3,Auxiliar!$B$5:$B$10,0),MATCH('LISTA - Setembro2024'!$AG105,Auxiliar!$D$4:$I$4,0))</f>
        <v>0</v>
      </c>
      <c r="AI105" s="87">
        <f>INDEX(Auxiliar!$D$5:$I$10,MATCH('LISTA - Setembro2024'!AI$3,Auxiliar!$B$5:$B$10,0),MATCH('LISTA - Setembro2024'!$AC105,Auxiliar!$D$4:$I$4,0))</f>
        <v>0</v>
      </c>
      <c r="AJ105" s="87">
        <f>INDEX(Auxiliar!$D$5:$I$10,MATCH('LISTA - Setembro2024'!AJ$3,Auxiliar!$B$5:$B$10,0),MATCH('LISTA - Setembro2024'!$AC105,Auxiliar!$D$4:$I$4,0))</f>
        <v>0</v>
      </c>
      <c r="AK105" s="160">
        <f t="shared" si="22"/>
        <v>0</v>
      </c>
      <c r="AL105" s="87"/>
    </row>
    <row r="106" spans="1:38" ht="13.8" x14ac:dyDescent="0.25">
      <c r="A106" s="158" t="s">
        <v>319</v>
      </c>
      <c r="B106" s="81" t="str">
        <f t="shared" si="23"/>
        <v>ENTITY_PURE_CAPEX_CCM</v>
      </c>
      <c r="C106" s="82" t="s">
        <v>10</v>
      </c>
      <c r="D106" s="83" t="s">
        <v>320</v>
      </c>
      <c r="E106" s="84" t="s">
        <v>321</v>
      </c>
      <c r="F106" s="85" t="s">
        <v>11</v>
      </c>
      <c r="G106" s="85" t="s">
        <v>11</v>
      </c>
      <c r="H106" s="85" t="s">
        <v>13</v>
      </c>
      <c r="I106" s="85" t="s">
        <v>11</v>
      </c>
      <c r="J106" s="85" t="s">
        <v>11</v>
      </c>
      <c r="K106" s="85" t="s">
        <v>11</v>
      </c>
      <c r="L106" s="86" t="str">
        <f>IFERROR(VLOOKUP($B106,'LISTA - Atual'!$B$1:$I$444,5,0),"Novo")</f>
        <v>N</v>
      </c>
      <c r="M106" s="86" t="str">
        <f t="shared" si="26"/>
        <v>Igual</v>
      </c>
      <c r="N106" s="86" t="str">
        <f>IFERROR(VLOOKUP($B106,'LISTA - Atual'!$B$1:$I$444,6,0),"Novo")</f>
        <v>N</v>
      </c>
      <c r="O106" s="86" t="str">
        <f t="shared" si="27"/>
        <v>Igual</v>
      </c>
      <c r="P106" s="86" t="str">
        <f>IFERROR(VLOOKUP($B106,'LISTA - Atual'!$B$1:$I$444,7,0),"Novo")</f>
        <v>Y</v>
      </c>
      <c r="Q106" s="86" t="str">
        <f t="shared" si="28"/>
        <v>Igual</v>
      </c>
      <c r="R106" s="86" t="s">
        <v>1563</v>
      </c>
      <c r="S106" s="86" t="str">
        <f>IFERROR(VLOOKUP($B106,'LISTA - Atual'!$B$1:$I$444,8,0),"Novo")</f>
        <v>N</v>
      </c>
      <c r="T106" s="86" t="str">
        <f t="shared" si="29"/>
        <v>Igual</v>
      </c>
      <c r="U106" s="86" t="s">
        <v>1563</v>
      </c>
      <c r="V106" s="86" t="s">
        <v>11</v>
      </c>
      <c r="W106" s="87" t="str">
        <f>IFERROR(VLOOKUP(B106,#REF!,11,0),"n/a")</f>
        <v>n/a</v>
      </c>
      <c r="X106" s="87" t="str">
        <f>IFERROR(VLOOKUP(B106,#REF!,8,0),"n/a")</f>
        <v>n/a</v>
      </c>
      <c r="Y106" s="87" t="str">
        <f t="shared" si="25"/>
        <v>PILAR3</v>
      </c>
      <c r="Z106" s="131" t="s">
        <v>1605</v>
      </c>
      <c r="AA106" s="227" t="e">
        <f>VLOOKUP(Table1[[#This Row],[CONCAT]],'Campos Resumo Prop2.0'!A:H,8,0)</f>
        <v>#N/A</v>
      </c>
      <c r="AB106" s="87" t="s">
        <v>1656</v>
      </c>
      <c r="AC106" s="137" t="s">
        <v>1625</v>
      </c>
      <c r="AD106" s="91">
        <f>INDEX(Auxiliar!$D$5:$I$10,MATCH('LISTA - Setembro2024'!AD$3,Auxiliar!$B$5:$B$10,0),MATCH('LISTA - Setembro2024'!$AC106,Auxiliar!$D$4:$I$4,0))</f>
        <v>0</v>
      </c>
      <c r="AE106" s="91">
        <f>INDEX(Auxiliar!$D$5:$I$10,MATCH('LISTA - Setembro2024'!AE$3,Auxiliar!$B$5:$B$10,0),MATCH('LISTA - Setembro2024'!$AC106,Auxiliar!$D$4:$I$4,0))</f>
        <v>0</v>
      </c>
      <c r="AF106" s="87">
        <f>INDEX(Auxiliar!$D$5:$I$10,MATCH('LISTA - Setembro2024'!AF$3,Auxiliar!$B$5:$B$10,0),MATCH('LISTA - Setembro2024'!$AC106,Auxiliar!$D$4:$I$4,0))</f>
        <v>0</v>
      </c>
      <c r="AG106" s="87" t="str">
        <f t="shared" si="21"/>
        <v>n.a.</v>
      </c>
      <c r="AH106" s="87">
        <f>INDEX(Auxiliar!$D$5:$I$10,MATCH('LISTA - Setembro2024'!AH$3,Auxiliar!$B$5:$B$10,0),MATCH('LISTA - Setembro2024'!$AG106,Auxiliar!$D$4:$I$4,0))</f>
        <v>0</v>
      </c>
      <c r="AI106" s="87">
        <f>INDEX(Auxiliar!$D$5:$I$10,MATCH('LISTA - Setembro2024'!AI$3,Auxiliar!$B$5:$B$10,0),MATCH('LISTA - Setembro2024'!$AC106,Auxiliar!$D$4:$I$4,0))</f>
        <v>0</v>
      </c>
      <c r="AJ106" s="87">
        <f>INDEX(Auxiliar!$D$5:$I$10,MATCH('LISTA - Setembro2024'!AJ$3,Auxiliar!$B$5:$B$10,0),MATCH('LISTA - Setembro2024'!$AC106,Auxiliar!$D$4:$I$4,0))</f>
        <v>0</v>
      </c>
      <c r="AK106" s="160">
        <f t="shared" si="22"/>
        <v>0</v>
      </c>
      <c r="AL106" s="87"/>
    </row>
    <row r="107" spans="1:38" ht="13.8" x14ac:dyDescent="0.25">
      <c r="A107" s="158" t="s">
        <v>322</v>
      </c>
      <c r="B107" s="81" t="str">
        <f t="shared" si="23"/>
        <v>ENTITY_PURE_CAPEX_CCA</v>
      </c>
      <c r="C107" s="82" t="s">
        <v>10</v>
      </c>
      <c r="D107" s="83" t="s">
        <v>323</v>
      </c>
      <c r="E107" s="84" t="s">
        <v>324</v>
      </c>
      <c r="F107" s="85" t="s">
        <v>11</v>
      </c>
      <c r="G107" s="85" t="s">
        <v>11</v>
      </c>
      <c r="H107" s="85" t="s">
        <v>13</v>
      </c>
      <c r="I107" s="85" t="s">
        <v>11</v>
      </c>
      <c r="J107" s="85" t="s">
        <v>11</v>
      </c>
      <c r="K107" s="85" t="s">
        <v>11</v>
      </c>
      <c r="L107" s="86" t="str">
        <f>IFERROR(VLOOKUP($B107,'LISTA - Atual'!$B$1:$I$444,5,0),"Novo")</f>
        <v>N</v>
      </c>
      <c r="M107" s="86" t="str">
        <f t="shared" si="26"/>
        <v>Igual</v>
      </c>
      <c r="N107" s="86" t="str">
        <f>IFERROR(VLOOKUP($B107,'LISTA - Atual'!$B$1:$I$444,6,0),"Novo")</f>
        <v>N</v>
      </c>
      <c r="O107" s="86" t="str">
        <f t="shared" si="27"/>
        <v>Igual</v>
      </c>
      <c r="P107" s="86" t="str">
        <f>IFERROR(VLOOKUP($B107,'LISTA - Atual'!$B$1:$I$444,7,0),"Novo")</f>
        <v>Y</v>
      </c>
      <c r="Q107" s="86" t="str">
        <f t="shared" si="28"/>
        <v>Igual</v>
      </c>
      <c r="R107" s="86" t="s">
        <v>1563</v>
      </c>
      <c r="S107" s="86" t="str">
        <f>IFERROR(VLOOKUP($B107,'LISTA - Atual'!$B$1:$I$444,8,0),"Novo")</f>
        <v>N</v>
      </c>
      <c r="T107" s="86" t="str">
        <f t="shared" si="29"/>
        <v>Igual</v>
      </c>
      <c r="U107" s="86" t="s">
        <v>1563</v>
      </c>
      <c r="V107" s="86" t="s">
        <v>11</v>
      </c>
      <c r="W107" s="87" t="str">
        <f>IFERROR(VLOOKUP(B107,#REF!,11,0),"n/a")</f>
        <v>n/a</v>
      </c>
      <c r="X107" s="87" t="str">
        <f>IFERROR(VLOOKUP(B107,#REF!,8,0),"n/a")</f>
        <v>n/a</v>
      </c>
      <c r="Y107" s="87" t="str">
        <f t="shared" si="25"/>
        <v>PILAR3</v>
      </c>
      <c r="Z107" s="131" t="s">
        <v>1605</v>
      </c>
      <c r="AA107" s="227" t="e">
        <f>VLOOKUP(Table1[[#This Row],[CONCAT]],'Campos Resumo Prop2.0'!A:H,8,0)</f>
        <v>#N/A</v>
      </c>
      <c r="AB107" s="87" t="s">
        <v>1656</v>
      </c>
      <c r="AC107" s="137" t="s">
        <v>1625</v>
      </c>
      <c r="AD107" s="91">
        <f>INDEX(Auxiliar!$D$5:$I$10,MATCH('LISTA - Setembro2024'!AD$3,Auxiliar!$B$5:$B$10,0),MATCH('LISTA - Setembro2024'!$AC107,Auxiliar!$D$4:$I$4,0))</f>
        <v>0</v>
      </c>
      <c r="AE107" s="91">
        <f>INDEX(Auxiliar!$D$5:$I$10,MATCH('LISTA - Setembro2024'!AE$3,Auxiliar!$B$5:$B$10,0),MATCH('LISTA - Setembro2024'!$AC107,Auxiliar!$D$4:$I$4,0))</f>
        <v>0</v>
      </c>
      <c r="AF107" s="87">
        <f>INDEX(Auxiliar!$D$5:$I$10,MATCH('LISTA - Setembro2024'!AF$3,Auxiliar!$B$5:$B$10,0),MATCH('LISTA - Setembro2024'!$AC107,Auxiliar!$D$4:$I$4,0))</f>
        <v>0</v>
      </c>
      <c r="AG107" s="87" t="str">
        <f t="shared" si="21"/>
        <v>n.a.</v>
      </c>
      <c r="AH107" s="87">
        <f>INDEX(Auxiliar!$D$5:$I$10,MATCH('LISTA - Setembro2024'!AH$3,Auxiliar!$B$5:$B$10,0),MATCH('LISTA - Setembro2024'!$AG107,Auxiliar!$D$4:$I$4,0))</f>
        <v>0</v>
      </c>
      <c r="AI107" s="87">
        <f>INDEX(Auxiliar!$D$5:$I$10,MATCH('LISTA - Setembro2024'!AI$3,Auxiliar!$B$5:$B$10,0),MATCH('LISTA - Setembro2024'!$AC107,Auxiliar!$D$4:$I$4,0))</f>
        <v>0</v>
      </c>
      <c r="AJ107" s="87">
        <f>INDEX(Auxiliar!$D$5:$I$10,MATCH('LISTA - Setembro2024'!AJ$3,Auxiliar!$B$5:$B$10,0),MATCH('LISTA - Setembro2024'!$AC107,Auxiliar!$D$4:$I$4,0))</f>
        <v>0</v>
      </c>
      <c r="AK107" s="160">
        <f t="shared" si="22"/>
        <v>0</v>
      </c>
      <c r="AL107" s="87"/>
    </row>
    <row r="108" spans="1:38" ht="13.8" x14ac:dyDescent="0.25">
      <c r="A108" s="158" t="s">
        <v>325</v>
      </c>
      <c r="B108" s="81" t="str">
        <f t="shared" si="23"/>
        <v>ENTITY_ENBLNG_TRNVR_CCM</v>
      </c>
      <c r="C108" s="82" t="s">
        <v>10</v>
      </c>
      <c r="D108" s="83" t="s">
        <v>326</v>
      </c>
      <c r="E108" s="84" t="s">
        <v>327</v>
      </c>
      <c r="F108" s="85" t="s">
        <v>11</v>
      </c>
      <c r="G108" s="85" t="s">
        <v>11</v>
      </c>
      <c r="H108" s="85" t="s">
        <v>13</v>
      </c>
      <c r="I108" s="85" t="s">
        <v>11</v>
      </c>
      <c r="J108" s="85" t="s">
        <v>11</v>
      </c>
      <c r="K108" s="85" t="s">
        <v>11</v>
      </c>
      <c r="L108" s="86" t="str">
        <f>IFERROR(VLOOKUP($B108,'LISTA - Atual'!$B$1:$I$444,5,0),"Novo")</f>
        <v>N</v>
      </c>
      <c r="M108" s="86" t="str">
        <f t="shared" si="26"/>
        <v>Igual</v>
      </c>
      <c r="N108" s="86" t="str">
        <f>IFERROR(VLOOKUP($B108,'LISTA - Atual'!$B$1:$I$444,6,0),"Novo")</f>
        <v>N</v>
      </c>
      <c r="O108" s="86" t="str">
        <f t="shared" si="27"/>
        <v>Igual</v>
      </c>
      <c r="P108" s="86" t="str">
        <f>IFERROR(VLOOKUP($B108,'LISTA - Atual'!$B$1:$I$444,7,0),"Novo")</f>
        <v>Y</v>
      </c>
      <c r="Q108" s="86" t="str">
        <f t="shared" si="28"/>
        <v>Igual</v>
      </c>
      <c r="R108" s="86" t="s">
        <v>1563</v>
      </c>
      <c r="S108" s="86" t="str">
        <f>IFERROR(VLOOKUP($B108,'LISTA - Atual'!$B$1:$I$444,8,0),"Novo")</f>
        <v>N</v>
      </c>
      <c r="T108" s="86" t="str">
        <f t="shared" si="29"/>
        <v>Igual</v>
      </c>
      <c r="U108" s="86" t="s">
        <v>1563</v>
      </c>
      <c r="V108" s="86" t="s">
        <v>11</v>
      </c>
      <c r="W108" s="87" t="str">
        <f>IFERROR(VLOOKUP(B108,#REF!,11,0),"n/a")</f>
        <v>n/a</v>
      </c>
      <c r="X108" s="87" t="str">
        <f>IFERROR(VLOOKUP(B108,#REF!,8,0),"n/a")</f>
        <v>n/a</v>
      </c>
      <c r="Y108" s="87" t="str">
        <f t="shared" si="25"/>
        <v>PILAR3</v>
      </c>
      <c r="Z108" s="131" t="s">
        <v>1605</v>
      </c>
      <c r="AA108" s="227" t="e">
        <f>VLOOKUP(Table1[[#This Row],[CONCAT]],'Campos Resumo Prop2.0'!A:H,8,0)</f>
        <v>#N/A</v>
      </c>
      <c r="AB108" s="87" t="s">
        <v>1656</v>
      </c>
      <c r="AC108" s="137" t="s">
        <v>1625</v>
      </c>
      <c r="AD108" s="91">
        <f>INDEX(Auxiliar!$D$5:$I$10,MATCH('LISTA - Setembro2024'!AD$3,Auxiliar!$B$5:$B$10,0),MATCH('LISTA - Setembro2024'!$AC108,Auxiliar!$D$4:$I$4,0))</f>
        <v>0</v>
      </c>
      <c r="AE108" s="91">
        <f>INDEX(Auxiliar!$D$5:$I$10,MATCH('LISTA - Setembro2024'!AE$3,Auxiliar!$B$5:$B$10,0),MATCH('LISTA - Setembro2024'!$AC108,Auxiliar!$D$4:$I$4,0))</f>
        <v>0</v>
      </c>
      <c r="AF108" s="87">
        <f>INDEX(Auxiliar!$D$5:$I$10,MATCH('LISTA - Setembro2024'!AF$3,Auxiliar!$B$5:$B$10,0),MATCH('LISTA - Setembro2024'!$AC108,Auxiliar!$D$4:$I$4,0))</f>
        <v>0</v>
      </c>
      <c r="AG108" s="87" t="str">
        <f t="shared" si="21"/>
        <v>n.a.</v>
      </c>
      <c r="AH108" s="87">
        <f>INDEX(Auxiliar!$D$5:$I$10,MATCH('LISTA - Setembro2024'!AH$3,Auxiliar!$B$5:$B$10,0),MATCH('LISTA - Setembro2024'!$AG108,Auxiliar!$D$4:$I$4,0))</f>
        <v>0</v>
      </c>
      <c r="AI108" s="87">
        <f>INDEX(Auxiliar!$D$5:$I$10,MATCH('LISTA - Setembro2024'!AI$3,Auxiliar!$B$5:$B$10,0),MATCH('LISTA - Setembro2024'!$AC108,Auxiliar!$D$4:$I$4,0))</f>
        <v>0</v>
      </c>
      <c r="AJ108" s="87">
        <f>INDEX(Auxiliar!$D$5:$I$10,MATCH('LISTA - Setembro2024'!AJ$3,Auxiliar!$B$5:$B$10,0),MATCH('LISTA - Setembro2024'!$AC108,Auxiliar!$D$4:$I$4,0))</f>
        <v>0</v>
      </c>
      <c r="AK108" s="160">
        <f t="shared" si="22"/>
        <v>0</v>
      </c>
      <c r="AL108" s="87"/>
    </row>
    <row r="109" spans="1:38" ht="13.8" x14ac:dyDescent="0.25">
      <c r="A109" s="158" t="s">
        <v>328</v>
      </c>
      <c r="B109" s="81" t="str">
        <f t="shared" si="23"/>
        <v>ENTITY_ENBLNG_TRNVR_CCA</v>
      </c>
      <c r="C109" s="82" t="s">
        <v>10</v>
      </c>
      <c r="D109" s="83" t="s">
        <v>329</v>
      </c>
      <c r="E109" s="84" t="s">
        <v>330</v>
      </c>
      <c r="F109" s="85" t="s">
        <v>11</v>
      </c>
      <c r="G109" s="85" t="s">
        <v>11</v>
      </c>
      <c r="H109" s="85" t="s">
        <v>13</v>
      </c>
      <c r="I109" s="85" t="s">
        <v>11</v>
      </c>
      <c r="J109" s="85" t="s">
        <v>11</v>
      </c>
      <c r="K109" s="85" t="s">
        <v>11</v>
      </c>
      <c r="L109" s="86" t="str">
        <f>IFERROR(VLOOKUP($B109,'LISTA - Atual'!$B$1:$I$444,5,0),"Novo")</f>
        <v>N</v>
      </c>
      <c r="M109" s="86" t="str">
        <f t="shared" si="26"/>
        <v>Igual</v>
      </c>
      <c r="N109" s="86" t="str">
        <f>IFERROR(VLOOKUP($B109,'LISTA - Atual'!$B$1:$I$444,6,0),"Novo")</f>
        <v>N</v>
      </c>
      <c r="O109" s="86" t="str">
        <f t="shared" si="27"/>
        <v>Igual</v>
      </c>
      <c r="P109" s="86" t="str">
        <f>IFERROR(VLOOKUP($B109,'LISTA - Atual'!$B$1:$I$444,7,0),"Novo")</f>
        <v>Y</v>
      </c>
      <c r="Q109" s="86" t="str">
        <f t="shared" si="28"/>
        <v>Igual</v>
      </c>
      <c r="R109" s="86" t="s">
        <v>1563</v>
      </c>
      <c r="S109" s="86" t="str">
        <f>IFERROR(VLOOKUP($B109,'LISTA - Atual'!$B$1:$I$444,8,0),"Novo")</f>
        <v>N</v>
      </c>
      <c r="T109" s="86" t="str">
        <f t="shared" si="29"/>
        <v>Igual</v>
      </c>
      <c r="U109" s="86" t="s">
        <v>1563</v>
      </c>
      <c r="V109" s="86" t="s">
        <v>11</v>
      </c>
      <c r="W109" s="87" t="str">
        <f>IFERROR(VLOOKUP(B109,#REF!,11,0),"n/a")</f>
        <v>n/a</v>
      </c>
      <c r="X109" s="87" t="str">
        <f>IFERROR(VLOOKUP(B109,#REF!,8,0),"n/a")</f>
        <v>n/a</v>
      </c>
      <c r="Y109" s="87" t="str">
        <f t="shared" si="25"/>
        <v>PILAR3</v>
      </c>
      <c r="Z109" s="131" t="s">
        <v>1605</v>
      </c>
      <c r="AA109" s="227" t="e">
        <f>VLOOKUP(Table1[[#This Row],[CONCAT]],'Campos Resumo Prop2.0'!A:H,8,0)</f>
        <v>#N/A</v>
      </c>
      <c r="AB109" s="87" t="s">
        <v>1656</v>
      </c>
      <c r="AC109" s="137" t="s">
        <v>1625</v>
      </c>
      <c r="AD109" s="91">
        <f>INDEX(Auxiliar!$D$5:$I$10,MATCH('LISTA - Setembro2024'!AD$3,Auxiliar!$B$5:$B$10,0),MATCH('LISTA - Setembro2024'!$AC109,Auxiliar!$D$4:$I$4,0))</f>
        <v>0</v>
      </c>
      <c r="AE109" s="91">
        <f>INDEX(Auxiliar!$D$5:$I$10,MATCH('LISTA - Setembro2024'!AE$3,Auxiliar!$B$5:$B$10,0),MATCH('LISTA - Setembro2024'!$AC109,Auxiliar!$D$4:$I$4,0))</f>
        <v>0</v>
      </c>
      <c r="AF109" s="87">
        <f>INDEX(Auxiliar!$D$5:$I$10,MATCH('LISTA - Setembro2024'!AF$3,Auxiliar!$B$5:$B$10,0),MATCH('LISTA - Setembro2024'!$AC109,Auxiliar!$D$4:$I$4,0))</f>
        <v>0</v>
      </c>
      <c r="AG109" s="87" t="str">
        <f t="shared" si="21"/>
        <v>n.a.</v>
      </c>
      <c r="AH109" s="87">
        <f>INDEX(Auxiliar!$D$5:$I$10,MATCH('LISTA - Setembro2024'!AH$3,Auxiliar!$B$5:$B$10,0),MATCH('LISTA - Setembro2024'!$AG109,Auxiliar!$D$4:$I$4,0))</f>
        <v>0</v>
      </c>
      <c r="AI109" s="87">
        <f>INDEX(Auxiliar!$D$5:$I$10,MATCH('LISTA - Setembro2024'!AI$3,Auxiliar!$B$5:$B$10,0),MATCH('LISTA - Setembro2024'!$AC109,Auxiliar!$D$4:$I$4,0))</f>
        <v>0</v>
      </c>
      <c r="AJ109" s="87">
        <f>INDEX(Auxiliar!$D$5:$I$10,MATCH('LISTA - Setembro2024'!AJ$3,Auxiliar!$B$5:$B$10,0),MATCH('LISTA - Setembro2024'!$AC109,Auxiliar!$D$4:$I$4,0))</f>
        <v>0</v>
      </c>
      <c r="AK109" s="160">
        <f t="shared" si="22"/>
        <v>0</v>
      </c>
      <c r="AL109" s="87"/>
    </row>
    <row r="110" spans="1:38" ht="13.8" x14ac:dyDescent="0.25">
      <c r="A110" s="158" t="s">
        <v>331</v>
      </c>
      <c r="B110" s="81" t="str">
        <f t="shared" si="23"/>
        <v>ENTITY_TRNSTNL_TRNVR</v>
      </c>
      <c r="C110" s="82" t="s">
        <v>10</v>
      </c>
      <c r="D110" s="83" t="s">
        <v>332</v>
      </c>
      <c r="E110" s="84" t="s">
        <v>333</v>
      </c>
      <c r="F110" s="85" t="s">
        <v>11</v>
      </c>
      <c r="G110" s="85" t="s">
        <v>11</v>
      </c>
      <c r="H110" s="85" t="s">
        <v>13</v>
      </c>
      <c r="I110" s="85" t="s">
        <v>11</v>
      </c>
      <c r="J110" s="85" t="s">
        <v>11</v>
      </c>
      <c r="K110" s="85" t="s">
        <v>11</v>
      </c>
      <c r="L110" s="86" t="str">
        <f>IFERROR(VLOOKUP($B110,'LISTA - Atual'!$B$1:$I$444,5,0),"Novo")</f>
        <v>N</v>
      </c>
      <c r="M110" s="86" t="str">
        <f t="shared" si="26"/>
        <v>Igual</v>
      </c>
      <c r="N110" s="86" t="str">
        <f>IFERROR(VLOOKUP($B110,'LISTA - Atual'!$B$1:$I$444,6,0),"Novo")</f>
        <v>N</v>
      </c>
      <c r="O110" s="86" t="str">
        <f t="shared" si="27"/>
        <v>Igual</v>
      </c>
      <c r="P110" s="86" t="str">
        <f>IFERROR(VLOOKUP($B110,'LISTA - Atual'!$B$1:$I$444,7,0),"Novo")</f>
        <v>Y</v>
      </c>
      <c r="Q110" s="86" t="str">
        <f t="shared" si="28"/>
        <v>Igual</v>
      </c>
      <c r="R110" s="86" t="s">
        <v>1563</v>
      </c>
      <c r="S110" s="86" t="str">
        <f>IFERROR(VLOOKUP($B110,'LISTA - Atual'!$B$1:$I$444,8,0),"Novo")</f>
        <v>N</v>
      </c>
      <c r="T110" s="86" t="str">
        <f t="shared" si="29"/>
        <v>Igual</v>
      </c>
      <c r="U110" s="86" t="s">
        <v>1563</v>
      </c>
      <c r="V110" s="86" t="s">
        <v>11</v>
      </c>
      <c r="W110" s="87" t="str">
        <f>IFERROR(VLOOKUP(B110,#REF!,11,0),"n/a")</f>
        <v>n/a</v>
      </c>
      <c r="X110" s="87" t="str">
        <f>IFERROR(VLOOKUP(B110,#REF!,8,0),"n/a")</f>
        <v>n/a</v>
      </c>
      <c r="Y110" s="87" t="str">
        <f t="shared" si="25"/>
        <v>PILAR3</v>
      </c>
      <c r="Z110" s="131" t="s">
        <v>1605</v>
      </c>
      <c r="AA110" s="227" t="e">
        <f>VLOOKUP(Table1[[#This Row],[CONCAT]],'Campos Resumo Prop2.0'!A:H,8,0)</f>
        <v>#N/A</v>
      </c>
      <c r="AB110" s="87" t="s">
        <v>1656</v>
      </c>
      <c r="AC110" s="137" t="s">
        <v>1625</v>
      </c>
      <c r="AD110" s="91">
        <f>INDEX(Auxiliar!$D$5:$I$10,MATCH('LISTA - Setembro2024'!AD$3,Auxiliar!$B$5:$B$10,0),MATCH('LISTA - Setembro2024'!$AC110,Auxiliar!$D$4:$I$4,0))</f>
        <v>0</v>
      </c>
      <c r="AE110" s="91">
        <f>INDEX(Auxiliar!$D$5:$I$10,MATCH('LISTA - Setembro2024'!AE$3,Auxiliar!$B$5:$B$10,0),MATCH('LISTA - Setembro2024'!$AC110,Auxiliar!$D$4:$I$4,0))</f>
        <v>0</v>
      </c>
      <c r="AF110" s="87">
        <f>INDEX(Auxiliar!$D$5:$I$10,MATCH('LISTA - Setembro2024'!AF$3,Auxiliar!$B$5:$B$10,0),MATCH('LISTA - Setembro2024'!$AC110,Auxiliar!$D$4:$I$4,0))</f>
        <v>0</v>
      </c>
      <c r="AG110" s="87" t="str">
        <f t="shared" si="21"/>
        <v>n.a.</v>
      </c>
      <c r="AH110" s="87">
        <f>INDEX(Auxiliar!$D$5:$I$10,MATCH('LISTA - Setembro2024'!AH$3,Auxiliar!$B$5:$B$10,0),MATCH('LISTA - Setembro2024'!$AG110,Auxiliar!$D$4:$I$4,0))</f>
        <v>0</v>
      </c>
      <c r="AI110" s="87">
        <f>INDEX(Auxiliar!$D$5:$I$10,MATCH('LISTA - Setembro2024'!AI$3,Auxiliar!$B$5:$B$10,0),MATCH('LISTA - Setembro2024'!$AC110,Auxiliar!$D$4:$I$4,0))</f>
        <v>0</v>
      </c>
      <c r="AJ110" s="87">
        <f>INDEX(Auxiliar!$D$5:$I$10,MATCH('LISTA - Setembro2024'!AJ$3,Auxiliar!$B$5:$B$10,0),MATCH('LISTA - Setembro2024'!$AC110,Auxiliar!$D$4:$I$4,0))</f>
        <v>0</v>
      </c>
      <c r="AK110" s="160">
        <f t="shared" si="22"/>
        <v>0</v>
      </c>
      <c r="AL110" s="87"/>
    </row>
    <row r="111" spans="1:38" ht="13.8" x14ac:dyDescent="0.25">
      <c r="A111" s="158" t="s">
        <v>334</v>
      </c>
      <c r="B111" s="81" t="str">
        <f t="shared" si="23"/>
        <v>ENTITY_PURE_TRNVR_CCM</v>
      </c>
      <c r="C111" s="82" t="s">
        <v>10</v>
      </c>
      <c r="D111" s="83" t="s">
        <v>335</v>
      </c>
      <c r="E111" s="84" t="s">
        <v>336</v>
      </c>
      <c r="F111" s="85" t="s">
        <v>11</v>
      </c>
      <c r="G111" s="85" t="s">
        <v>11</v>
      </c>
      <c r="H111" s="85" t="s">
        <v>13</v>
      </c>
      <c r="I111" s="85" t="s">
        <v>11</v>
      </c>
      <c r="J111" s="85" t="s">
        <v>11</v>
      </c>
      <c r="K111" s="85" t="s">
        <v>11</v>
      </c>
      <c r="L111" s="86" t="str">
        <f>IFERROR(VLOOKUP($B111,'LISTA - Atual'!$B$1:$I$444,5,0),"Novo")</f>
        <v>N</v>
      </c>
      <c r="M111" s="86" t="str">
        <f t="shared" si="26"/>
        <v>Igual</v>
      </c>
      <c r="N111" s="86" t="str">
        <f>IFERROR(VLOOKUP($B111,'LISTA - Atual'!$B$1:$I$444,6,0),"Novo")</f>
        <v>N</v>
      </c>
      <c r="O111" s="86" t="str">
        <f t="shared" si="27"/>
        <v>Igual</v>
      </c>
      <c r="P111" s="86" t="str">
        <f>IFERROR(VLOOKUP($B111,'LISTA - Atual'!$B$1:$I$444,7,0),"Novo")</f>
        <v>Y</v>
      </c>
      <c r="Q111" s="86" t="str">
        <f t="shared" si="28"/>
        <v>Igual</v>
      </c>
      <c r="R111" s="86" t="s">
        <v>1563</v>
      </c>
      <c r="S111" s="86" t="str">
        <f>IFERROR(VLOOKUP($B111,'LISTA - Atual'!$B$1:$I$444,8,0),"Novo")</f>
        <v>N</v>
      </c>
      <c r="T111" s="86" t="str">
        <f t="shared" si="29"/>
        <v>Igual</v>
      </c>
      <c r="U111" s="86" t="s">
        <v>1563</v>
      </c>
      <c r="V111" s="86" t="s">
        <v>11</v>
      </c>
      <c r="W111" s="87" t="str">
        <f>IFERROR(VLOOKUP(B111,#REF!,11,0),"n/a")</f>
        <v>n/a</v>
      </c>
      <c r="X111" s="87" t="str">
        <f>IFERROR(VLOOKUP(B111,#REF!,8,0),"n/a")</f>
        <v>n/a</v>
      </c>
      <c r="Y111" s="87" t="str">
        <f t="shared" si="25"/>
        <v>PILAR3</v>
      </c>
      <c r="Z111" s="131" t="s">
        <v>1605</v>
      </c>
      <c r="AA111" s="227" t="e">
        <f>VLOOKUP(Table1[[#This Row],[CONCAT]],'Campos Resumo Prop2.0'!A:H,8,0)</f>
        <v>#N/A</v>
      </c>
      <c r="AB111" s="87" t="s">
        <v>1656</v>
      </c>
      <c r="AC111" s="137" t="s">
        <v>1625</v>
      </c>
      <c r="AD111" s="91">
        <f>INDEX(Auxiliar!$D$5:$I$10,MATCH('LISTA - Setembro2024'!AD$3,Auxiliar!$B$5:$B$10,0),MATCH('LISTA - Setembro2024'!$AC111,Auxiliar!$D$4:$I$4,0))</f>
        <v>0</v>
      </c>
      <c r="AE111" s="91">
        <f>INDEX(Auxiliar!$D$5:$I$10,MATCH('LISTA - Setembro2024'!AE$3,Auxiliar!$B$5:$B$10,0),MATCH('LISTA - Setembro2024'!$AC111,Auxiliar!$D$4:$I$4,0))</f>
        <v>0</v>
      </c>
      <c r="AF111" s="87">
        <f>INDEX(Auxiliar!$D$5:$I$10,MATCH('LISTA - Setembro2024'!AF$3,Auxiliar!$B$5:$B$10,0),MATCH('LISTA - Setembro2024'!$AC111,Auxiliar!$D$4:$I$4,0))</f>
        <v>0</v>
      </c>
      <c r="AG111" s="87" t="str">
        <f t="shared" si="21"/>
        <v>n.a.</v>
      </c>
      <c r="AH111" s="87">
        <f>INDEX(Auxiliar!$D$5:$I$10,MATCH('LISTA - Setembro2024'!AH$3,Auxiliar!$B$5:$B$10,0),MATCH('LISTA - Setembro2024'!$AG111,Auxiliar!$D$4:$I$4,0))</f>
        <v>0</v>
      </c>
      <c r="AI111" s="87">
        <f>INDEX(Auxiliar!$D$5:$I$10,MATCH('LISTA - Setembro2024'!AI$3,Auxiliar!$B$5:$B$10,0),MATCH('LISTA - Setembro2024'!$AC111,Auxiliar!$D$4:$I$4,0))</f>
        <v>0</v>
      </c>
      <c r="AJ111" s="87">
        <f>INDEX(Auxiliar!$D$5:$I$10,MATCH('LISTA - Setembro2024'!AJ$3,Auxiliar!$B$5:$B$10,0),MATCH('LISTA - Setembro2024'!$AC111,Auxiliar!$D$4:$I$4,0))</f>
        <v>0</v>
      </c>
      <c r="AK111" s="160">
        <f t="shared" si="22"/>
        <v>0</v>
      </c>
      <c r="AL111" s="87"/>
    </row>
    <row r="112" spans="1:38" ht="13.8" x14ac:dyDescent="0.25">
      <c r="A112" s="158" t="s">
        <v>337</v>
      </c>
      <c r="B112" s="81" t="str">
        <f t="shared" si="23"/>
        <v>ENTITY_PURE_TRNVR_CCA</v>
      </c>
      <c r="C112" s="82" t="s">
        <v>10</v>
      </c>
      <c r="D112" s="83" t="s">
        <v>338</v>
      </c>
      <c r="E112" s="84" t="s">
        <v>339</v>
      </c>
      <c r="F112" s="85" t="s">
        <v>11</v>
      </c>
      <c r="G112" s="85" t="s">
        <v>11</v>
      </c>
      <c r="H112" s="85" t="s">
        <v>13</v>
      </c>
      <c r="I112" s="85" t="s">
        <v>11</v>
      </c>
      <c r="J112" s="85" t="s">
        <v>11</v>
      </c>
      <c r="K112" s="85" t="s">
        <v>11</v>
      </c>
      <c r="L112" s="86" t="str">
        <f>IFERROR(VLOOKUP($B112,'LISTA - Atual'!$B$1:$I$444,5,0),"Novo")</f>
        <v>N</v>
      </c>
      <c r="M112" s="86" t="str">
        <f t="shared" si="26"/>
        <v>Igual</v>
      </c>
      <c r="N112" s="86" t="str">
        <f>IFERROR(VLOOKUP($B112,'LISTA - Atual'!$B$1:$I$444,6,0),"Novo")</f>
        <v>N</v>
      </c>
      <c r="O112" s="86" t="str">
        <f t="shared" si="27"/>
        <v>Igual</v>
      </c>
      <c r="P112" s="86" t="str">
        <f>IFERROR(VLOOKUP($B112,'LISTA - Atual'!$B$1:$I$444,7,0),"Novo")</f>
        <v>Y</v>
      </c>
      <c r="Q112" s="86" t="str">
        <f t="shared" si="28"/>
        <v>Igual</v>
      </c>
      <c r="R112" s="86" t="s">
        <v>1563</v>
      </c>
      <c r="S112" s="86" t="str">
        <f>IFERROR(VLOOKUP($B112,'LISTA - Atual'!$B$1:$I$444,8,0),"Novo")</f>
        <v>N</v>
      </c>
      <c r="T112" s="86" t="str">
        <f t="shared" si="29"/>
        <v>Igual</v>
      </c>
      <c r="U112" s="86" t="s">
        <v>1563</v>
      </c>
      <c r="V112" s="86" t="s">
        <v>11</v>
      </c>
      <c r="W112" s="87" t="str">
        <f>IFERROR(VLOOKUP(B112,#REF!,11,0),"n/a")</f>
        <v>n/a</v>
      </c>
      <c r="X112" s="87" t="str">
        <f>IFERROR(VLOOKUP(B112,#REF!,8,0),"n/a")</f>
        <v>n/a</v>
      </c>
      <c r="Y112" s="87" t="str">
        <f t="shared" si="25"/>
        <v>PILAR3</v>
      </c>
      <c r="Z112" s="131" t="s">
        <v>1605</v>
      </c>
      <c r="AA112" s="227" t="e">
        <f>VLOOKUP(Table1[[#This Row],[CONCAT]],'Campos Resumo Prop2.0'!A:H,8,0)</f>
        <v>#N/A</v>
      </c>
      <c r="AB112" s="87" t="s">
        <v>1656</v>
      </c>
      <c r="AC112" s="137" t="s">
        <v>1625</v>
      </c>
      <c r="AD112" s="91">
        <f>INDEX(Auxiliar!$D$5:$I$10,MATCH('LISTA - Setembro2024'!AD$3,Auxiliar!$B$5:$B$10,0),MATCH('LISTA - Setembro2024'!$AC112,Auxiliar!$D$4:$I$4,0))</f>
        <v>0</v>
      </c>
      <c r="AE112" s="91">
        <f>INDEX(Auxiliar!$D$5:$I$10,MATCH('LISTA - Setembro2024'!AE$3,Auxiliar!$B$5:$B$10,0),MATCH('LISTA - Setembro2024'!$AC112,Auxiliar!$D$4:$I$4,0))</f>
        <v>0</v>
      </c>
      <c r="AF112" s="87">
        <f>INDEX(Auxiliar!$D$5:$I$10,MATCH('LISTA - Setembro2024'!AF$3,Auxiliar!$B$5:$B$10,0),MATCH('LISTA - Setembro2024'!$AC112,Auxiliar!$D$4:$I$4,0))</f>
        <v>0</v>
      </c>
      <c r="AG112" s="87" t="str">
        <f t="shared" si="21"/>
        <v>n.a.</v>
      </c>
      <c r="AH112" s="87">
        <f>INDEX(Auxiliar!$D$5:$I$10,MATCH('LISTA - Setembro2024'!AH$3,Auxiliar!$B$5:$B$10,0),MATCH('LISTA - Setembro2024'!$AG112,Auxiliar!$D$4:$I$4,0))</f>
        <v>0</v>
      </c>
      <c r="AI112" s="87">
        <f>INDEX(Auxiliar!$D$5:$I$10,MATCH('LISTA - Setembro2024'!AI$3,Auxiliar!$B$5:$B$10,0),MATCH('LISTA - Setembro2024'!$AC112,Auxiliar!$D$4:$I$4,0))</f>
        <v>0</v>
      </c>
      <c r="AJ112" s="87">
        <f>INDEX(Auxiliar!$D$5:$I$10,MATCH('LISTA - Setembro2024'!AJ$3,Auxiliar!$B$5:$B$10,0),MATCH('LISTA - Setembro2024'!$AC112,Auxiliar!$D$4:$I$4,0))</f>
        <v>0</v>
      </c>
      <c r="AK112" s="160">
        <f t="shared" si="22"/>
        <v>0</v>
      </c>
      <c r="AL112" s="87"/>
    </row>
    <row r="113" spans="1:38" ht="13.8" x14ac:dyDescent="0.25">
      <c r="A113" s="158" t="s">
        <v>340</v>
      </c>
      <c r="B113" s="81" t="str">
        <f t="shared" si="23"/>
        <v>ENTITY_FLG_CSRD_APPLCBLTY</v>
      </c>
      <c r="C113" s="82" t="s">
        <v>10</v>
      </c>
      <c r="D113" s="83" t="s">
        <v>1397</v>
      </c>
      <c r="E113" s="84" t="s">
        <v>1398</v>
      </c>
      <c r="F113" s="85" t="s">
        <v>11</v>
      </c>
      <c r="G113" s="85" t="s">
        <v>11</v>
      </c>
      <c r="H113" s="85" t="s">
        <v>13</v>
      </c>
      <c r="I113" s="85" t="s">
        <v>11</v>
      </c>
      <c r="J113" s="85" t="s">
        <v>13</v>
      </c>
      <c r="K113" s="85" t="s">
        <v>11</v>
      </c>
      <c r="L113" s="86" t="str">
        <f>IFERROR(VLOOKUP($B113,'LISTA - Atual'!$B$1:$I$444,5,0),"Novo")</f>
        <v>Novo</v>
      </c>
      <c r="M113" s="86" t="s">
        <v>1566</v>
      </c>
      <c r="N113" s="86" t="str">
        <f>IFERROR(VLOOKUP($B113,'LISTA - Atual'!$B$1:$I$444,6,0),"Novo")</f>
        <v>Novo</v>
      </c>
      <c r="O113" s="86" t="s">
        <v>1566</v>
      </c>
      <c r="P113" s="86" t="str">
        <f>IFERROR(VLOOKUP($B113,'LISTA - Atual'!$B$1:$I$444,7,0),"Novo")</f>
        <v>Novo</v>
      </c>
      <c r="Q113" s="86" t="s">
        <v>1566</v>
      </c>
      <c r="R113" s="86" t="s">
        <v>1563</v>
      </c>
      <c r="S113" s="86" t="str">
        <f>IFERROR(VLOOKUP($B113,'LISTA - Atual'!$B$1:$I$444,8,0),"Novo")</f>
        <v>Novo</v>
      </c>
      <c r="T113" s="86" t="s">
        <v>1566</v>
      </c>
      <c r="U113" s="86" t="s">
        <v>1563</v>
      </c>
      <c r="V113" s="86" t="s">
        <v>11</v>
      </c>
      <c r="W113" s="87" t="str">
        <f>IFERROR(VLOOKUP(B113,#REF!,11,0),"n/a")</f>
        <v>n/a</v>
      </c>
      <c r="X113" s="87" t="str">
        <f>IFERROR(VLOOKUP(B113,#REF!,8,0),"n/a")</f>
        <v>n/a</v>
      </c>
      <c r="Y113" s="87" t="str">
        <f t="shared" si="25"/>
        <v>PILAR3</v>
      </c>
      <c r="Z113" s="131" t="s">
        <v>1566</v>
      </c>
      <c r="AA113" s="227" t="e">
        <f>VLOOKUP(Table1[[#This Row],[CONCAT]],'Campos Resumo Prop2.0'!A:H,8,0)</f>
        <v>#N/A</v>
      </c>
      <c r="AB113" s="87" t="s">
        <v>1654</v>
      </c>
      <c r="AC113" s="137" t="s">
        <v>1625</v>
      </c>
      <c r="AD113" s="91">
        <f>INDEX(Auxiliar!$D$5:$I$10,MATCH('LISTA - Setembro2024'!AD$3,Auxiliar!$B$5:$B$10,0),MATCH('LISTA - Setembro2024'!$AC113,Auxiliar!$D$4:$I$4,0))</f>
        <v>0</v>
      </c>
      <c r="AE113" s="91">
        <f>INDEX(Auxiliar!$D$5:$I$10,MATCH('LISTA - Setembro2024'!AE$3,Auxiliar!$B$5:$B$10,0),MATCH('LISTA - Setembro2024'!$AC113,Auxiliar!$D$4:$I$4,0))</f>
        <v>0</v>
      </c>
      <c r="AF113" s="87">
        <f>INDEX(Auxiliar!$D$5:$I$10,MATCH('LISTA - Setembro2024'!AF$3,Auxiliar!$B$5:$B$10,0),MATCH('LISTA - Setembro2024'!$AC113,Auxiliar!$D$4:$I$4,0))</f>
        <v>0</v>
      </c>
      <c r="AG113" s="87" t="str">
        <f t="shared" si="21"/>
        <v>n.a.</v>
      </c>
      <c r="AH113" s="87">
        <f>INDEX(Auxiliar!$D$5:$I$10,MATCH('LISTA - Setembro2024'!AH$3,Auxiliar!$B$5:$B$10,0),MATCH('LISTA - Setembro2024'!$AG113,Auxiliar!$D$4:$I$4,0))</f>
        <v>0</v>
      </c>
      <c r="AI113" s="87">
        <f>INDEX(Auxiliar!$D$5:$I$10,MATCH('LISTA - Setembro2024'!AI$3,Auxiliar!$B$5:$B$10,0),MATCH('LISTA - Setembro2024'!$AC113,Auxiliar!$D$4:$I$4,0))</f>
        <v>0</v>
      </c>
      <c r="AJ113" s="87">
        <f>INDEX(Auxiliar!$D$5:$I$10,MATCH('LISTA - Setembro2024'!AJ$3,Auxiliar!$B$5:$B$10,0),MATCH('LISTA - Setembro2024'!$AC113,Auxiliar!$D$4:$I$4,0))</f>
        <v>0</v>
      </c>
      <c r="AK113" s="160">
        <f t="shared" si="22"/>
        <v>0</v>
      </c>
      <c r="AL113" s="87"/>
    </row>
    <row r="114" spans="1:38" ht="13.8" x14ac:dyDescent="0.25">
      <c r="A114" s="158" t="s">
        <v>343</v>
      </c>
      <c r="B114" s="81" t="str">
        <f t="shared" si="23"/>
        <v>ENTITY_FLG_GRP_CSRD_APPLCBLTY</v>
      </c>
      <c r="C114" s="82" t="s">
        <v>10</v>
      </c>
      <c r="D114" s="83" t="s">
        <v>1399</v>
      </c>
      <c r="E114" s="84" t="s">
        <v>1400</v>
      </c>
      <c r="F114" s="85" t="s">
        <v>11</v>
      </c>
      <c r="G114" s="85" t="s">
        <v>11</v>
      </c>
      <c r="H114" s="85" t="s">
        <v>13</v>
      </c>
      <c r="I114" s="85" t="s">
        <v>11</v>
      </c>
      <c r="J114" s="85" t="s">
        <v>13</v>
      </c>
      <c r="K114" s="85" t="s">
        <v>11</v>
      </c>
      <c r="L114" s="86" t="str">
        <f>IFERROR(VLOOKUP($B114,'LISTA - Atual'!$B$1:$I$444,5,0),"Novo")</f>
        <v>Novo</v>
      </c>
      <c r="M114" s="86" t="s">
        <v>1566</v>
      </c>
      <c r="N114" s="86" t="str">
        <f>IFERROR(VLOOKUP($B114,'LISTA - Atual'!$B$1:$I$444,6,0),"Novo")</f>
        <v>Novo</v>
      </c>
      <c r="O114" s="86" t="s">
        <v>1566</v>
      </c>
      <c r="P114" s="86" t="str">
        <f>IFERROR(VLOOKUP($B114,'LISTA - Atual'!$B$1:$I$444,7,0),"Novo")</f>
        <v>Novo</v>
      </c>
      <c r="Q114" s="86" t="s">
        <v>1566</v>
      </c>
      <c r="R114" s="86" t="s">
        <v>1563</v>
      </c>
      <c r="S114" s="86" t="str">
        <f>IFERROR(VLOOKUP($B114,'LISTA - Atual'!$B$1:$I$444,8,0),"Novo")</f>
        <v>Novo</v>
      </c>
      <c r="T114" s="86" t="s">
        <v>1566</v>
      </c>
      <c r="U114" s="86" t="s">
        <v>1563</v>
      </c>
      <c r="V114" s="86" t="s">
        <v>11</v>
      </c>
      <c r="W114" s="87" t="str">
        <f>IFERROR(VLOOKUP(B114,#REF!,11,0),"n/a")</f>
        <v>n/a</v>
      </c>
      <c r="X114" s="87" t="str">
        <f>IFERROR(VLOOKUP(B114,#REF!,8,0),"n/a")</f>
        <v>n/a</v>
      </c>
      <c r="Y114" s="87" t="str">
        <f t="shared" si="25"/>
        <v>PILAR3</v>
      </c>
      <c r="Z114" s="131" t="s">
        <v>1566</v>
      </c>
      <c r="AA114" s="227" t="e">
        <f>VLOOKUP(Table1[[#This Row],[CONCAT]],'Campos Resumo Prop2.0'!A:H,8,0)</f>
        <v>#N/A</v>
      </c>
      <c r="AB114" s="87" t="s">
        <v>1654</v>
      </c>
      <c r="AC114" s="137" t="s">
        <v>1625</v>
      </c>
      <c r="AD114" s="91">
        <f>INDEX(Auxiliar!$D$5:$I$10,MATCH('LISTA - Setembro2024'!AD$3,Auxiliar!$B$5:$B$10,0),MATCH('LISTA - Setembro2024'!$AC114,Auxiliar!$D$4:$I$4,0))</f>
        <v>0</v>
      </c>
      <c r="AE114" s="91">
        <f>INDEX(Auxiliar!$D$5:$I$10,MATCH('LISTA - Setembro2024'!AE$3,Auxiliar!$B$5:$B$10,0),MATCH('LISTA - Setembro2024'!$AC114,Auxiliar!$D$4:$I$4,0))</f>
        <v>0</v>
      </c>
      <c r="AF114" s="87">
        <f>INDEX(Auxiliar!$D$5:$I$10,MATCH('LISTA - Setembro2024'!AF$3,Auxiliar!$B$5:$B$10,0),MATCH('LISTA - Setembro2024'!$AC114,Auxiliar!$D$4:$I$4,0))</f>
        <v>0</v>
      </c>
      <c r="AG114" s="87" t="str">
        <f t="shared" si="21"/>
        <v>n.a.</v>
      </c>
      <c r="AH114" s="87">
        <f>INDEX(Auxiliar!$D$5:$I$10,MATCH('LISTA - Setembro2024'!AH$3,Auxiliar!$B$5:$B$10,0),MATCH('LISTA - Setembro2024'!$AG114,Auxiliar!$D$4:$I$4,0))</f>
        <v>0</v>
      </c>
      <c r="AI114" s="87">
        <f>INDEX(Auxiliar!$D$5:$I$10,MATCH('LISTA - Setembro2024'!AI$3,Auxiliar!$B$5:$B$10,0),MATCH('LISTA - Setembro2024'!$AC114,Auxiliar!$D$4:$I$4,0))</f>
        <v>0</v>
      </c>
      <c r="AJ114" s="87">
        <f>INDEX(Auxiliar!$D$5:$I$10,MATCH('LISTA - Setembro2024'!AJ$3,Auxiliar!$B$5:$B$10,0),MATCH('LISTA - Setembro2024'!$AC114,Auxiliar!$D$4:$I$4,0))</f>
        <v>0</v>
      </c>
      <c r="AK114" s="160">
        <f t="shared" si="22"/>
        <v>0</v>
      </c>
      <c r="AL114" s="87"/>
    </row>
    <row r="115" spans="1:38" ht="13.8" x14ac:dyDescent="0.25">
      <c r="A115" s="158" t="s">
        <v>346</v>
      </c>
      <c r="B115" s="81" t="str">
        <f t="shared" si="23"/>
        <v>ENTITY_ISIN</v>
      </c>
      <c r="C115" s="82" t="s">
        <v>10</v>
      </c>
      <c r="D115" s="83" t="s">
        <v>347</v>
      </c>
      <c r="E115" s="84" t="s">
        <v>347</v>
      </c>
      <c r="F115" s="85" t="s">
        <v>11</v>
      </c>
      <c r="G115" s="85" t="s">
        <v>11</v>
      </c>
      <c r="H115" s="85" t="s">
        <v>13</v>
      </c>
      <c r="I115" s="85" t="s">
        <v>11</v>
      </c>
      <c r="J115" s="85" t="s">
        <v>11</v>
      </c>
      <c r="K115" s="85" t="s">
        <v>11</v>
      </c>
      <c r="L115" s="86" t="str">
        <f>IFERROR(VLOOKUP($B115,'LISTA - Atual'!$B$1:$I$444,5,0),"Novo")</f>
        <v>N</v>
      </c>
      <c r="M115" s="86" t="str">
        <f t="shared" ref="M115:M126" si="30">IF(L115="Novo","Novo Campo",IF(L115=F115,"Igual","Diferente"))</f>
        <v>Igual</v>
      </c>
      <c r="N115" s="86" t="str">
        <f>IFERROR(VLOOKUP($B115,'LISTA - Atual'!$B$1:$I$444,6,0),"Novo")</f>
        <v>N</v>
      </c>
      <c r="O115" s="86" t="str">
        <f t="shared" ref="O115:O126" si="31">IF(N115="Novo","Novo Campo",IF(N115=G115,"Igual","Diferente"))</f>
        <v>Igual</v>
      </c>
      <c r="P115" s="86" t="str">
        <f>IFERROR(VLOOKUP($B115,'LISTA - Atual'!$B$1:$I$444,7,0),"Novo")</f>
        <v>Y</v>
      </c>
      <c r="Q115" s="86" t="str">
        <f t="shared" ref="Q115:Q126" si="32">IF(P115="Novo","Novo Campo",IF(P115=H115,"Igual","Diferente"))</f>
        <v>Igual</v>
      </c>
      <c r="R115" s="86" t="s">
        <v>1563</v>
      </c>
      <c r="S115" s="86" t="str">
        <f>IFERROR(VLOOKUP($B115,'LISTA - Atual'!$B$1:$I$444,8,0),"Novo")</f>
        <v>N</v>
      </c>
      <c r="T115" s="86" t="str">
        <f t="shared" ref="T115:T126" si="33">IF(S115="Novo","Novo Campo",IF(S115=J115,"Igual","Diferente"))</f>
        <v>Igual</v>
      </c>
      <c r="U115" s="86" t="s">
        <v>1563</v>
      </c>
      <c r="V115" s="86" t="s">
        <v>11</v>
      </c>
      <c r="W115" s="87" t="str">
        <f>IFERROR(VLOOKUP(B115,#REF!,11,0),"n/a")</f>
        <v>n/a</v>
      </c>
      <c r="X115" s="87" t="str">
        <f>IFERROR(VLOOKUP(B115,#REF!,8,0),"n/a")</f>
        <v>n/a</v>
      </c>
      <c r="Y115" s="87" t="str">
        <f t="shared" si="25"/>
        <v>PILAR3</v>
      </c>
      <c r="Z115" s="131" t="s">
        <v>1605</v>
      </c>
      <c r="AA115" s="227" t="e">
        <f>VLOOKUP(Table1[[#This Row],[CONCAT]],'Campos Resumo Prop2.0'!A:H,8,0)</f>
        <v>#N/A</v>
      </c>
      <c r="AB115" s="87" t="s">
        <v>1657</v>
      </c>
      <c r="AC115" s="137" t="s">
        <v>1625</v>
      </c>
      <c r="AD115" s="91">
        <f>INDEX(Auxiliar!$D$5:$I$10,MATCH('LISTA - Setembro2024'!AD$3,Auxiliar!$B$5:$B$10,0),MATCH('LISTA - Setembro2024'!$AC115,Auxiliar!$D$4:$I$4,0))</f>
        <v>0</v>
      </c>
      <c r="AE115" s="91">
        <f>INDEX(Auxiliar!$D$5:$I$10,MATCH('LISTA - Setembro2024'!AE$3,Auxiliar!$B$5:$B$10,0),MATCH('LISTA - Setembro2024'!$AC115,Auxiliar!$D$4:$I$4,0))</f>
        <v>0</v>
      </c>
      <c r="AF115" s="87">
        <f>INDEX(Auxiliar!$D$5:$I$10,MATCH('LISTA - Setembro2024'!AF$3,Auxiliar!$B$5:$B$10,0),MATCH('LISTA - Setembro2024'!$AC115,Auxiliar!$D$4:$I$4,0))</f>
        <v>0</v>
      </c>
      <c r="AG115" s="87" t="str">
        <f t="shared" si="21"/>
        <v>n.a.</v>
      </c>
      <c r="AH115" s="87">
        <f>INDEX(Auxiliar!$D$5:$I$10,MATCH('LISTA - Setembro2024'!AH$3,Auxiliar!$B$5:$B$10,0),MATCH('LISTA - Setembro2024'!$AG115,Auxiliar!$D$4:$I$4,0))</f>
        <v>0</v>
      </c>
      <c r="AI115" s="87">
        <f>INDEX(Auxiliar!$D$5:$I$10,MATCH('LISTA - Setembro2024'!AI$3,Auxiliar!$B$5:$B$10,0),MATCH('LISTA - Setembro2024'!$AC115,Auxiliar!$D$4:$I$4,0))</f>
        <v>0</v>
      </c>
      <c r="AJ115" s="87">
        <f>INDEX(Auxiliar!$D$5:$I$10,MATCH('LISTA - Setembro2024'!AJ$3,Auxiliar!$B$5:$B$10,0),MATCH('LISTA - Setembro2024'!$AC115,Auxiliar!$D$4:$I$4,0))</f>
        <v>0</v>
      </c>
      <c r="AK115" s="160">
        <f t="shared" si="22"/>
        <v>0</v>
      </c>
      <c r="AL115" s="87"/>
    </row>
    <row r="116" spans="1:38" ht="13.8" x14ac:dyDescent="0.25">
      <c r="A116" s="158" t="s">
        <v>348</v>
      </c>
      <c r="B116" s="81" t="str">
        <f t="shared" si="23"/>
        <v>ENTITY_GRP_ANNL_TRNVR_LE</v>
      </c>
      <c r="C116" s="82" t="s">
        <v>10</v>
      </c>
      <c r="D116" s="83" t="s">
        <v>349</v>
      </c>
      <c r="E116" s="84" t="s">
        <v>350</v>
      </c>
      <c r="F116" s="85" t="s">
        <v>11</v>
      </c>
      <c r="G116" s="85" t="s">
        <v>11</v>
      </c>
      <c r="H116" s="85" t="s">
        <v>13</v>
      </c>
      <c r="I116" s="85" t="s">
        <v>11</v>
      </c>
      <c r="J116" s="85" t="s">
        <v>11</v>
      </c>
      <c r="K116" s="85" t="s">
        <v>11</v>
      </c>
      <c r="L116" s="86" t="str">
        <f>IFERROR(VLOOKUP($B116,'LISTA - Atual'!$B$1:$I$444,5,0),"Novo")</f>
        <v>N</v>
      </c>
      <c r="M116" s="86" t="str">
        <f t="shared" si="30"/>
        <v>Igual</v>
      </c>
      <c r="N116" s="86" t="str">
        <f>IFERROR(VLOOKUP($B116,'LISTA - Atual'!$B$1:$I$444,6,0),"Novo")</f>
        <v>N</v>
      </c>
      <c r="O116" s="86" t="str">
        <f t="shared" si="31"/>
        <v>Igual</v>
      </c>
      <c r="P116" s="86" t="str">
        <f>IFERROR(VLOOKUP($B116,'LISTA - Atual'!$B$1:$I$444,7,0),"Novo")</f>
        <v>Y</v>
      </c>
      <c r="Q116" s="86" t="str">
        <f t="shared" si="32"/>
        <v>Igual</v>
      </c>
      <c r="R116" s="86" t="s">
        <v>1563</v>
      </c>
      <c r="S116" s="86" t="str">
        <f>IFERROR(VLOOKUP($B116,'LISTA - Atual'!$B$1:$I$444,8,0),"Novo")</f>
        <v>N</v>
      </c>
      <c r="T116" s="86" t="str">
        <f t="shared" si="33"/>
        <v>Igual</v>
      </c>
      <c r="U116" s="86" t="s">
        <v>1563</v>
      </c>
      <c r="V116" s="86" t="s">
        <v>11</v>
      </c>
      <c r="W116" s="87" t="str">
        <f>IFERROR(VLOOKUP(B116,#REF!,11,0),"n/a")</f>
        <v>n/a</v>
      </c>
      <c r="X116" s="87" t="str">
        <f>IFERROR(VLOOKUP(B116,#REF!,8,0),"n/a")</f>
        <v>n/a</v>
      </c>
      <c r="Y116" s="87" t="str">
        <f t="shared" si="25"/>
        <v>PILAR3</v>
      </c>
      <c r="Z116" s="131" t="s">
        <v>1605</v>
      </c>
      <c r="AA116" s="227" t="e">
        <f>VLOOKUP(Table1[[#This Row],[CONCAT]],'Campos Resumo Prop2.0'!A:H,8,0)</f>
        <v>#N/A</v>
      </c>
      <c r="AB116" s="87" t="s">
        <v>1655</v>
      </c>
      <c r="AC116" s="137" t="s">
        <v>1625</v>
      </c>
      <c r="AD116" s="91">
        <f>INDEX(Auxiliar!$D$5:$I$10,MATCH('LISTA - Setembro2024'!AD$3,Auxiliar!$B$5:$B$10,0),MATCH('LISTA - Setembro2024'!$AC116,Auxiliar!$D$4:$I$4,0))</f>
        <v>0</v>
      </c>
      <c r="AE116" s="91">
        <f>INDEX(Auxiliar!$D$5:$I$10,MATCH('LISTA - Setembro2024'!AE$3,Auxiliar!$B$5:$B$10,0),MATCH('LISTA - Setembro2024'!$AC116,Auxiliar!$D$4:$I$4,0))</f>
        <v>0</v>
      </c>
      <c r="AF116" s="87">
        <f>INDEX(Auxiliar!$D$5:$I$10,MATCH('LISTA - Setembro2024'!AF$3,Auxiliar!$B$5:$B$10,0),MATCH('LISTA - Setembro2024'!$AC116,Auxiliar!$D$4:$I$4,0))</f>
        <v>0</v>
      </c>
      <c r="AG116" s="87" t="str">
        <f t="shared" si="21"/>
        <v>n.a.</v>
      </c>
      <c r="AH116" s="87">
        <f>INDEX(Auxiliar!$D$5:$I$10,MATCH('LISTA - Setembro2024'!AH$3,Auxiliar!$B$5:$B$10,0),MATCH('LISTA - Setembro2024'!$AG116,Auxiliar!$D$4:$I$4,0))</f>
        <v>0</v>
      </c>
      <c r="AI116" s="87">
        <f>INDEX(Auxiliar!$D$5:$I$10,MATCH('LISTA - Setembro2024'!AI$3,Auxiliar!$B$5:$B$10,0),MATCH('LISTA - Setembro2024'!$AC116,Auxiliar!$D$4:$I$4,0))</f>
        <v>0</v>
      </c>
      <c r="AJ116" s="87">
        <f>INDEX(Auxiliar!$D$5:$I$10,MATCH('LISTA - Setembro2024'!AJ$3,Auxiliar!$B$5:$B$10,0),MATCH('LISTA - Setembro2024'!$AC116,Auxiliar!$D$4:$I$4,0))</f>
        <v>0</v>
      </c>
      <c r="AK116" s="160">
        <f t="shared" si="22"/>
        <v>0</v>
      </c>
      <c r="AL116" s="87"/>
    </row>
    <row r="117" spans="1:38" ht="13.8" x14ac:dyDescent="0.25">
      <c r="A117" s="158" t="s">
        <v>351</v>
      </c>
      <c r="B117" s="81" t="str">
        <f t="shared" si="23"/>
        <v>ENTITY_GRP_TTL_LBLTY</v>
      </c>
      <c r="C117" s="82" t="s">
        <v>10</v>
      </c>
      <c r="D117" s="83" t="s">
        <v>352</v>
      </c>
      <c r="E117" s="84" t="s">
        <v>353</v>
      </c>
      <c r="F117" s="85" t="s">
        <v>11</v>
      </c>
      <c r="G117" s="85" t="s">
        <v>11</v>
      </c>
      <c r="H117" s="85" t="s">
        <v>13</v>
      </c>
      <c r="I117" s="85" t="s">
        <v>11</v>
      </c>
      <c r="J117" s="85" t="s">
        <v>11</v>
      </c>
      <c r="K117" s="85" t="s">
        <v>11</v>
      </c>
      <c r="L117" s="86" t="str">
        <f>IFERROR(VLOOKUP($B117,'LISTA - Atual'!$B$1:$I$444,5,0),"Novo")</f>
        <v>N</v>
      </c>
      <c r="M117" s="86" t="str">
        <f t="shared" si="30"/>
        <v>Igual</v>
      </c>
      <c r="N117" s="86" t="str">
        <f>IFERROR(VLOOKUP($B117,'LISTA - Atual'!$B$1:$I$444,6,0),"Novo")</f>
        <v>N</v>
      </c>
      <c r="O117" s="86" t="str">
        <f t="shared" si="31"/>
        <v>Igual</v>
      </c>
      <c r="P117" s="86" t="str">
        <f>IFERROR(VLOOKUP($B117,'LISTA - Atual'!$B$1:$I$444,7,0),"Novo")</f>
        <v>Y</v>
      </c>
      <c r="Q117" s="86" t="str">
        <f t="shared" si="32"/>
        <v>Igual</v>
      </c>
      <c r="R117" s="86" t="s">
        <v>1563</v>
      </c>
      <c r="S117" s="86" t="str">
        <f>IFERROR(VLOOKUP($B117,'LISTA - Atual'!$B$1:$I$444,8,0),"Novo")</f>
        <v>N</v>
      </c>
      <c r="T117" s="86" t="str">
        <f t="shared" si="33"/>
        <v>Igual</v>
      </c>
      <c r="U117" s="86" t="s">
        <v>1563</v>
      </c>
      <c r="V117" s="86" t="s">
        <v>11</v>
      </c>
      <c r="W117" s="87" t="str">
        <f>IFERROR(VLOOKUP(B117,#REF!,11,0),"n/a")</f>
        <v>n/a</v>
      </c>
      <c r="X117" s="87" t="str">
        <f>IFERROR(VLOOKUP(B117,#REF!,8,0),"n/a")</f>
        <v>n/a</v>
      </c>
      <c r="Y117" s="87" t="str">
        <f t="shared" si="25"/>
        <v>PILAR3</v>
      </c>
      <c r="Z117" s="131" t="s">
        <v>1605</v>
      </c>
      <c r="AA117" s="227" t="e">
        <f>VLOOKUP(Table1[[#This Row],[CONCAT]],'Campos Resumo Prop2.0'!A:H,8,0)</f>
        <v>#N/A</v>
      </c>
      <c r="AB117" s="87" t="s">
        <v>1655</v>
      </c>
      <c r="AC117" s="137" t="s">
        <v>1625</v>
      </c>
      <c r="AD117" s="91">
        <f>INDEX(Auxiliar!$D$5:$I$10,MATCH('LISTA - Setembro2024'!AD$3,Auxiliar!$B$5:$B$10,0),MATCH('LISTA - Setembro2024'!$AC117,Auxiliar!$D$4:$I$4,0))</f>
        <v>0</v>
      </c>
      <c r="AE117" s="91">
        <f>INDEX(Auxiliar!$D$5:$I$10,MATCH('LISTA - Setembro2024'!AE$3,Auxiliar!$B$5:$B$10,0),MATCH('LISTA - Setembro2024'!$AC117,Auxiliar!$D$4:$I$4,0))</f>
        <v>0</v>
      </c>
      <c r="AF117" s="87">
        <f>INDEX(Auxiliar!$D$5:$I$10,MATCH('LISTA - Setembro2024'!AF$3,Auxiliar!$B$5:$B$10,0),MATCH('LISTA - Setembro2024'!$AC117,Auxiliar!$D$4:$I$4,0))</f>
        <v>0</v>
      </c>
      <c r="AG117" s="87" t="str">
        <f t="shared" si="21"/>
        <v>n.a.</v>
      </c>
      <c r="AH117" s="87">
        <f>INDEX(Auxiliar!$D$5:$I$10,MATCH('LISTA - Setembro2024'!AH$3,Auxiliar!$B$5:$B$10,0),MATCH('LISTA - Setembro2024'!$AG117,Auxiliar!$D$4:$I$4,0))</f>
        <v>0</v>
      </c>
      <c r="AI117" s="87">
        <f>INDEX(Auxiliar!$D$5:$I$10,MATCH('LISTA - Setembro2024'!AI$3,Auxiliar!$B$5:$B$10,0),MATCH('LISTA - Setembro2024'!$AC117,Auxiliar!$D$4:$I$4,0))</f>
        <v>0</v>
      </c>
      <c r="AJ117" s="87">
        <f>INDEX(Auxiliar!$D$5:$I$10,MATCH('LISTA - Setembro2024'!AJ$3,Auxiliar!$B$5:$B$10,0),MATCH('LISTA - Setembro2024'!$AC117,Auxiliar!$D$4:$I$4,0))</f>
        <v>0</v>
      </c>
      <c r="AK117" s="160">
        <f t="shared" si="22"/>
        <v>0</v>
      </c>
      <c r="AL117" s="87"/>
    </row>
    <row r="118" spans="1:38" ht="13.8" x14ac:dyDescent="0.25">
      <c r="A118" s="158" t="s">
        <v>354</v>
      </c>
      <c r="B118" s="81" t="str">
        <f t="shared" si="23"/>
        <v>ENTITY_CNTRPRTY_EMSSNS_SCP1</v>
      </c>
      <c r="C118" s="82" t="s">
        <v>10</v>
      </c>
      <c r="D118" s="83" t="s">
        <v>355</v>
      </c>
      <c r="E118" s="84" t="s">
        <v>356</v>
      </c>
      <c r="F118" s="85" t="s">
        <v>11</v>
      </c>
      <c r="G118" s="85" t="s">
        <v>11</v>
      </c>
      <c r="H118" s="85" t="s">
        <v>13</v>
      </c>
      <c r="I118" s="85" t="s">
        <v>11</v>
      </c>
      <c r="J118" s="85" t="s">
        <v>13</v>
      </c>
      <c r="K118" s="85" t="s">
        <v>11</v>
      </c>
      <c r="L118" s="86" t="str">
        <f>IFERROR(VLOOKUP($B118,'LISTA - Atual'!$B$1:$I$444,5,0),"Novo")</f>
        <v>N</v>
      </c>
      <c r="M118" s="86" t="str">
        <f t="shared" si="30"/>
        <v>Igual</v>
      </c>
      <c r="N118" s="86" t="str">
        <f>IFERROR(VLOOKUP($B118,'LISTA - Atual'!$B$1:$I$444,6,0),"Novo")</f>
        <v>N</v>
      </c>
      <c r="O118" s="86" t="str">
        <f t="shared" si="31"/>
        <v>Igual</v>
      </c>
      <c r="P118" s="86" t="str">
        <f>IFERROR(VLOOKUP($B118,'LISTA - Atual'!$B$1:$I$444,7,0),"Novo")</f>
        <v>Y</v>
      </c>
      <c r="Q118" s="86" t="str">
        <f t="shared" si="32"/>
        <v>Igual</v>
      </c>
      <c r="R118" s="86" t="s">
        <v>1563</v>
      </c>
      <c r="S118" s="86" t="str">
        <f>IFERROR(VLOOKUP($B118,'LISTA - Atual'!$B$1:$I$444,8,0),"Novo")</f>
        <v>Y</v>
      </c>
      <c r="T118" s="86" t="str">
        <f t="shared" si="33"/>
        <v>Igual</v>
      </c>
      <c r="U118" s="86" t="s">
        <v>1563</v>
      </c>
      <c r="V118" s="86" t="s">
        <v>11</v>
      </c>
      <c r="W118" s="87" t="str">
        <f>IFERROR(VLOOKUP(B118,#REF!,11,0),"n/a")</f>
        <v>n/a</v>
      </c>
      <c r="X118" s="87" t="str">
        <f>IFERROR(VLOOKUP(B118,#REF!,8,0),"n/a")</f>
        <v>n/a</v>
      </c>
      <c r="Y118" s="87" t="str">
        <f t="shared" si="25"/>
        <v>PILAR3</v>
      </c>
      <c r="Z118" s="131" t="s">
        <v>1605</v>
      </c>
      <c r="AA118" s="227" t="e">
        <f>VLOOKUP(Table1[[#This Row],[CONCAT]],'Campos Resumo Prop2.0'!A:H,8,0)</f>
        <v>#N/A</v>
      </c>
      <c r="AB118" s="87" t="s">
        <v>1656</v>
      </c>
      <c r="AC118" s="137" t="s">
        <v>1625</v>
      </c>
      <c r="AD118" s="91">
        <f>INDEX(Auxiliar!$D$5:$I$10,MATCH('LISTA - Setembro2024'!AD$3,Auxiliar!$B$5:$B$10,0),MATCH('LISTA - Setembro2024'!$AC118,Auxiliar!$D$4:$I$4,0))</f>
        <v>0</v>
      </c>
      <c r="AE118" s="91">
        <f>INDEX(Auxiliar!$D$5:$I$10,MATCH('LISTA - Setembro2024'!AE$3,Auxiliar!$B$5:$B$10,0),MATCH('LISTA - Setembro2024'!$AC118,Auxiliar!$D$4:$I$4,0))</f>
        <v>0</v>
      </c>
      <c r="AF118" s="87">
        <f>INDEX(Auxiliar!$D$5:$I$10,MATCH('LISTA - Setembro2024'!AF$3,Auxiliar!$B$5:$B$10,0),MATCH('LISTA - Setembro2024'!$AC118,Auxiliar!$D$4:$I$4,0))</f>
        <v>0</v>
      </c>
      <c r="AG118" s="87" t="str">
        <f t="shared" si="21"/>
        <v>n.a.</v>
      </c>
      <c r="AH118" s="87">
        <f>INDEX(Auxiliar!$D$5:$I$10,MATCH('LISTA - Setembro2024'!AH$3,Auxiliar!$B$5:$B$10,0),MATCH('LISTA - Setembro2024'!$AG118,Auxiliar!$D$4:$I$4,0))</f>
        <v>0</v>
      </c>
      <c r="AI118" s="87">
        <f>INDEX(Auxiliar!$D$5:$I$10,MATCH('LISTA - Setembro2024'!AI$3,Auxiliar!$B$5:$B$10,0),MATCH('LISTA - Setembro2024'!$AC118,Auxiliar!$D$4:$I$4,0))</f>
        <v>0</v>
      </c>
      <c r="AJ118" s="87">
        <f>INDEX(Auxiliar!$D$5:$I$10,MATCH('LISTA - Setembro2024'!AJ$3,Auxiliar!$B$5:$B$10,0),MATCH('LISTA - Setembro2024'!$AC118,Auxiliar!$D$4:$I$4,0))</f>
        <v>0</v>
      </c>
      <c r="AK118" s="160">
        <f t="shared" si="22"/>
        <v>0</v>
      </c>
      <c r="AL118" s="87"/>
    </row>
    <row r="119" spans="1:38" ht="13.8" x14ac:dyDescent="0.25">
      <c r="A119" s="158" t="s">
        <v>357</v>
      </c>
      <c r="B119" s="81" t="str">
        <f t="shared" si="23"/>
        <v>ENTITY_CNTRPRTY_EMSSNS_SCP2</v>
      </c>
      <c r="C119" s="82" t="s">
        <v>10</v>
      </c>
      <c r="D119" s="83" t="s">
        <v>358</v>
      </c>
      <c r="E119" s="84" t="s">
        <v>359</v>
      </c>
      <c r="F119" s="85" t="s">
        <v>11</v>
      </c>
      <c r="G119" s="85" t="s">
        <v>11</v>
      </c>
      <c r="H119" s="85" t="s">
        <v>13</v>
      </c>
      <c r="I119" s="85" t="s">
        <v>11</v>
      </c>
      <c r="J119" s="85" t="s">
        <v>13</v>
      </c>
      <c r="K119" s="85" t="s">
        <v>11</v>
      </c>
      <c r="L119" s="86" t="str">
        <f>IFERROR(VLOOKUP($B119,'LISTA - Atual'!$B$1:$I$444,5,0),"Novo")</f>
        <v>N</v>
      </c>
      <c r="M119" s="86" t="str">
        <f t="shared" si="30"/>
        <v>Igual</v>
      </c>
      <c r="N119" s="86" t="str">
        <f>IFERROR(VLOOKUP($B119,'LISTA - Atual'!$B$1:$I$444,6,0),"Novo")</f>
        <v>N</v>
      </c>
      <c r="O119" s="86" t="str">
        <f t="shared" si="31"/>
        <v>Igual</v>
      </c>
      <c r="P119" s="86" t="str">
        <f>IFERROR(VLOOKUP($B119,'LISTA - Atual'!$B$1:$I$444,7,0),"Novo")</f>
        <v>Y</v>
      </c>
      <c r="Q119" s="86" t="str">
        <f t="shared" si="32"/>
        <v>Igual</v>
      </c>
      <c r="R119" s="86" t="s">
        <v>1563</v>
      </c>
      <c r="S119" s="86" t="str">
        <f>IFERROR(VLOOKUP($B119,'LISTA - Atual'!$B$1:$I$444,8,0),"Novo")</f>
        <v>Y</v>
      </c>
      <c r="T119" s="86" t="str">
        <f t="shared" si="33"/>
        <v>Igual</v>
      </c>
      <c r="U119" s="86" t="s">
        <v>1563</v>
      </c>
      <c r="V119" s="86" t="s">
        <v>11</v>
      </c>
      <c r="W119" s="87" t="str">
        <f>IFERROR(VLOOKUP(B119,#REF!,11,0),"n/a")</f>
        <v>n/a</v>
      </c>
      <c r="X119" s="87" t="str">
        <f>IFERROR(VLOOKUP(B119,#REF!,8,0),"n/a")</f>
        <v>n/a</v>
      </c>
      <c r="Y119" s="87" t="str">
        <f t="shared" si="25"/>
        <v>PILAR3</v>
      </c>
      <c r="Z119" s="131" t="s">
        <v>1605</v>
      </c>
      <c r="AA119" s="227" t="e">
        <f>VLOOKUP(Table1[[#This Row],[CONCAT]],'Campos Resumo Prop2.0'!A:H,8,0)</f>
        <v>#N/A</v>
      </c>
      <c r="AB119" s="87" t="s">
        <v>1656</v>
      </c>
      <c r="AC119" s="137" t="s">
        <v>1625</v>
      </c>
      <c r="AD119" s="91">
        <f>INDEX(Auxiliar!$D$5:$I$10,MATCH('LISTA - Setembro2024'!AD$3,Auxiliar!$B$5:$B$10,0),MATCH('LISTA - Setembro2024'!$AC119,Auxiliar!$D$4:$I$4,0))</f>
        <v>0</v>
      </c>
      <c r="AE119" s="91">
        <f>INDEX(Auxiliar!$D$5:$I$10,MATCH('LISTA - Setembro2024'!AE$3,Auxiliar!$B$5:$B$10,0),MATCH('LISTA - Setembro2024'!$AC119,Auxiliar!$D$4:$I$4,0))</f>
        <v>0</v>
      </c>
      <c r="AF119" s="87">
        <f>INDEX(Auxiliar!$D$5:$I$10,MATCH('LISTA - Setembro2024'!AF$3,Auxiliar!$B$5:$B$10,0),MATCH('LISTA - Setembro2024'!$AC119,Auxiliar!$D$4:$I$4,0))</f>
        <v>0</v>
      </c>
      <c r="AG119" s="87" t="str">
        <f t="shared" si="21"/>
        <v>n.a.</v>
      </c>
      <c r="AH119" s="87">
        <f>INDEX(Auxiliar!$D$5:$I$10,MATCH('LISTA - Setembro2024'!AH$3,Auxiliar!$B$5:$B$10,0),MATCH('LISTA - Setembro2024'!$AG119,Auxiliar!$D$4:$I$4,0))</f>
        <v>0</v>
      </c>
      <c r="AI119" s="87">
        <f>INDEX(Auxiliar!$D$5:$I$10,MATCH('LISTA - Setembro2024'!AI$3,Auxiliar!$B$5:$B$10,0),MATCH('LISTA - Setembro2024'!$AC119,Auxiliar!$D$4:$I$4,0))</f>
        <v>0</v>
      </c>
      <c r="AJ119" s="87">
        <f>INDEX(Auxiliar!$D$5:$I$10,MATCH('LISTA - Setembro2024'!AJ$3,Auxiliar!$B$5:$B$10,0),MATCH('LISTA - Setembro2024'!$AC119,Auxiliar!$D$4:$I$4,0))</f>
        <v>0</v>
      </c>
      <c r="AK119" s="160">
        <f t="shared" si="22"/>
        <v>0</v>
      </c>
      <c r="AL119" s="87"/>
    </row>
    <row r="120" spans="1:38" ht="13.8" x14ac:dyDescent="0.25">
      <c r="A120" s="158" t="s">
        <v>360</v>
      </c>
      <c r="B120" s="81" t="str">
        <f t="shared" si="23"/>
        <v>ENTITY_CNTRPRTY_EMSSNS_SCP3</v>
      </c>
      <c r="C120" s="82" t="s">
        <v>10</v>
      </c>
      <c r="D120" s="83" t="s">
        <v>361</v>
      </c>
      <c r="E120" s="84" t="s">
        <v>362</v>
      </c>
      <c r="F120" s="85" t="s">
        <v>11</v>
      </c>
      <c r="G120" s="85" t="s">
        <v>11</v>
      </c>
      <c r="H120" s="85" t="s">
        <v>13</v>
      </c>
      <c r="I120" s="85" t="s">
        <v>11</v>
      </c>
      <c r="J120" s="85" t="s">
        <v>13</v>
      </c>
      <c r="K120" s="85" t="s">
        <v>11</v>
      </c>
      <c r="L120" s="86" t="str">
        <f>IFERROR(VLOOKUP($B120,'LISTA - Atual'!$B$1:$I$444,5,0),"Novo")</f>
        <v>N</v>
      </c>
      <c r="M120" s="86" t="str">
        <f t="shared" si="30"/>
        <v>Igual</v>
      </c>
      <c r="N120" s="86" t="str">
        <f>IFERROR(VLOOKUP($B120,'LISTA - Atual'!$B$1:$I$444,6,0),"Novo")</f>
        <v>N</v>
      </c>
      <c r="O120" s="86" t="str">
        <f t="shared" si="31"/>
        <v>Igual</v>
      </c>
      <c r="P120" s="86" t="str">
        <f>IFERROR(VLOOKUP($B120,'LISTA - Atual'!$B$1:$I$444,7,0),"Novo")</f>
        <v>Y</v>
      </c>
      <c r="Q120" s="86" t="str">
        <f t="shared" si="32"/>
        <v>Igual</v>
      </c>
      <c r="R120" s="86" t="s">
        <v>1563</v>
      </c>
      <c r="S120" s="86" t="str">
        <f>IFERROR(VLOOKUP($B120,'LISTA - Atual'!$B$1:$I$444,8,0),"Novo")</f>
        <v>Y</v>
      </c>
      <c r="T120" s="86" t="str">
        <f t="shared" si="33"/>
        <v>Igual</v>
      </c>
      <c r="U120" s="86" t="s">
        <v>1563</v>
      </c>
      <c r="V120" s="86" t="s">
        <v>11</v>
      </c>
      <c r="W120" s="87" t="str">
        <f>IFERROR(VLOOKUP(B120,#REF!,11,0),"n/a")</f>
        <v>n/a</v>
      </c>
      <c r="X120" s="87" t="str">
        <f>IFERROR(VLOOKUP(B120,#REF!,8,0),"n/a")</f>
        <v>n/a</v>
      </c>
      <c r="Y120" s="87" t="str">
        <f t="shared" si="25"/>
        <v>PILAR3</v>
      </c>
      <c r="Z120" s="131" t="s">
        <v>1605</v>
      </c>
      <c r="AA120" s="227" t="e">
        <f>VLOOKUP(Table1[[#This Row],[CONCAT]],'Campos Resumo Prop2.0'!A:H,8,0)</f>
        <v>#N/A</v>
      </c>
      <c r="AB120" s="87" t="s">
        <v>1656</v>
      </c>
      <c r="AC120" s="137" t="s">
        <v>1625</v>
      </c>
      <c r="AD120" s="91">
        <f>INDEX(Auxiliar!$D$5:$I$10,MATCH('LISTA - Setembro2024'!AD$3,Auxiliar!$B$5:$B$10,0),MATCH('LISTA - Setembro2024'!$AC120,Auxiliar!$D$4:$I$4,0))</f>
        <v>0</v>
      </c>
      <c r="AE120" s="91">
        <f>INDEX(Auxiliar!$D$5:$I$10,MATCH('LISTA - Setembro2024'!AE$3,Auxiliar!$B$5:$B$10,0),MATCH('LISTA - Setembro2024'!$AC120,Auxiliar!$D$4:$I$4,0))</f>
        <v>0</v>
      </c>
      <c r="AF120" s="87">
        <f>INDEX(Auxiliar!$D$5:$I$10,MATCH('LISTA - Setembro2024'!AF$3,Auxiliar!$B$5:$B$10,0),MATCH('LISTA - Setembro2024'!$AC120,Auxiliar!$D$4:$I$4,0))</f>
        <v>0</v>
      </c>
      <c r="AG120" s="87" t="str">
        <f t="shared" si="21"/>
        <v>n.a.</v>
      </c>
      <c r="AH120" s="87">
        <f>INDEX(Auxiliar!$D$5:$I$10,MATCH('LISTA - Setembro2024'!AH$3,Auxiliar!$B$5:$B$10,0),MATCH('LISTA - Setembro2024'!$AG120,Auxiliar!$D$4:$I$4,0))</f>
        <v>0</v>
      </c>
      <c r="AI120" s="87">
        <f>INDEX(Auxiliar!$D$5:$I$10,MATCH('LISTA - Setembro2024'!AI$3,Auxiliar!$B$5:$B$10,0),MATCH('LISTA - Setembro2024'!$AC120,Auxiliar!$D$4:$I$4,0))</f>
        <v>0</v>
      </c>
      <c r="AJ120" s="87">
        <f>INDEX(Auxiliar!$D$5:$I$10,MATCH('LISTA - Setembro2024'!AJ$3,Auxiliar!$B$5:$B$10,0),MATCH('LISTA - Setembro2024'!$AC120,Auxiliar!$D$4:$I$4,0))</f>
        <v>0</v>
      </c>
      <c r="AK120" s="160">
        <f t="shared" si="22"/>
        <v>0</v>
      </c>
      <c r="AL120" s="87"/>
    </row>
    <row r="121" spans="1:38" ht="13.8" x14ac:dyDescent="0.25">
      <c r="A121" s="158" t="s">
        <v>363</v>
      </c>
      <c r="B121" s="81" t="str">
        <f t="shared" si="23"/>
        <v>ENTITY_FLG_EXCLDD_EU_PRS_ALGND_BNCHMRK</v>
      </c>
      <c r="C121" s="82" t="s">
        <v>10</v>
      </c>
      <c r="D121" s="83" t="s">
        <v>364</v>
      </c>
      <c r="E121" s="84" t="s">
        <v>365</v>
      </c>
      <c r="F121" s="85" t="s">
        <v>11</v>
      </c>
      <c r="G121" s="85" t="s">
        <v>11</v>
      </c>
      <c r="H121" s="85" t="s">
        <v>13</v>
      </c>
      <c r="I121" s="85" t="s">
        <v>11</v>
      </c>
      <c r="J121" s="85" t="s">
        <v>11</v>
      </c>
      <c r="K121" s="85" t="s">
        <v>11</v>
      </c>
      <c r="L121" s="86" t="str">
        <f>IFERROR(VLOOKUP($B121,'LISTA - Atual'!$B$1:$I$444,5,0),"Novo")</f>
        <v>N</v>
      </c>
      <c r="M121" s="86" t="str">
        <f t="shared" si="30"/>
        <v>Igual</v>
      </c>
      <c r="N121" s="86" t="str">
        <f>IFERROR(VLOOKUP($B121,'LISTA - Atual'!$B$1:$I$444,6,0),"Novo")</f>
        <v>N</v>
      </c>
      <c r="O121" s="86" t="str">
        <f t="shared" si="31"/>
        <v>Igual</v>
      </c>
      <c r="P121" s="86" t="str">
        <f>IFERROR(VLOOKUP($B121,'LISTA - Atual'!$B$1:$I$444,7,0),"Novo")</f>
        <v>Y</v>
      </c>
      <c r="Q121" s="86" t="str">
        <f t="shared" si="32"/>
        <v>Igual</v>
      </c>
      <c r="R121" s="86" t="s">
        <v>1563</v>
      </c>
      <c r="S121" s="86" t="str">
        <f>IFERROR(VLOOKUP($B121,'LISTA - Atual'!$B$1:$I$444,8,0),"Novo")</f>
        <v>N</v>
      </c>
      <c r="T121" s="86" t="str">
        <f t="shared" si="33"/>
        <v>Igual</v>
      </c>
      <c r="U121" s="86" t="s">
        <v>1563</v>
      </c>
      <c r="V121" s="86" t="s">
        <v>11</v>
      </c>
      <c r="W121" s="87" t="str">
        <f>IFERROR(VLOOKUP(B121,#REF!,11,0),"n/a")</f>
        <v>n/a</v>
      </c>
      <c r="X121" s="87" t="str">
        <f>IFERROR(VLOOKUP(B121,#REF!,8,0),"n/a")</f>
        <v>n/a</v>
      </c>
      <c r="Y121" s="87" t="str">
        <f t="shared" si="25"/>
        <v>PILAR3</v>
      </c>
      <c r="Z121" s="131" t="s">
        <v>1605</v>
      </c>
      <c r="AA121" s="227" t="e">
        <f>VLOOKUP(Table1[[#This Row],[CONCAT]],'Campos Resumo Prop2.0'!A:H,8,0)</f>
        <v>#N/A</v>
      </c>
      <c r="AB121" s="87" t="s">
        <v>1654</v>
      </c>
      <c r="AC121" s="137" t="s">
        <v>1625</v>
      </c>
      <c r="AD121" s="91">
        <f>INDEX(Auxiliar!$D$5:$I$10,MATCH('LISTA - Setembro2024'!AD$3,Auxiliar!$B$5:$B$10,0),MATCH('LISTA - Setembro2024'!$AC121,Auxiliar!$D$4:$I$4,0))</f>
        <v>0</v>
      </c>
      <c r="AE121" s="91">
        <f>INDEX(Auxiliar!$D$5:$I$10,MATCH('LISTA - Setembro2024'!AE$3,Auxiliar!$B$5:$B$10,0),MATCH('LISTA - Setembro2024'!$AC121,Auxiliar!$D$4:$I$4,0))</f>
        <v>0</v>
      </c>
      <c r="AF121" s="87">
        <f>INDEX(Auxiliar!$D$5:$I$10,MATCH('LISTA - Setembro2024'!AF$3,Auxiliar!$B$5:$B$10,0),MATCH('LISTA - Setembro2024'!$AC121,Auxiliar!$D$4:$I$4,0))</f>
        <v>0</v>
      </c>
      <c r="AG121" s="87" t="str">
        <f t="shared" si="21"/>
        <v>n.a.</v>
      </c>
      <c r="AH121" s="87">
        <f>INDEX(Auxiliar!$D$5:$I$10,MATCH('LISTA - Setembro2024'!AH$3,Auxiliar!$B$5:$B$10,0),MATCH('LISTA - Setembro2024'!$AG121,Auxiliar!$D$4:$I$4,0))</f>
        <v>0</v>
      </c>
      <c r="AI121" s="87">
        <f>INDEX(Auxiliar!$D$5:$I$10,MATCH('LISTA - Setembro2024'!AI$3,Auxiliar!$B$5:$B$10,0),MATCH('LISTA - Setembro2024'!$AC121,Auxiliar!$D$4:$I$4,0))</f>
        <v>0</v>
      </c>
      <c r="AJ121" s="87">
        <f>INDEX(Auxiliar!$D$5:$I$10,MATCH('LISTA - Setembro2024'!AJ$3,Auxiliar!$B$5:$B$10,0),MATCH('LISTA - Setembro2024'!$AC121,Auxiliar!$D$4:$I$4,0))</f>
        <v>0</v>
      </c>
      <c r="AK121" s="160">
        <f t="shared" si="22"/>
        <v>0</v>
      </c>
      <c r="AL121" s="87"/>
    </row>
    <row r="122" spans="1:38" ht="13.8" x14ac:dyDescent="0.25">
      <c r="A122" s="158" t="s">
        <v>366</v>
      </c>
      <c r="B122" s="81" t="str">
        <f t="shared" si="23"/>
        <v>ENTITY_GRP_EMSSNS_SCP1</v>
      </c>
      <c r="C122" s="82" t="s">
        <v>10</v>
      </c>
      <c r="D122" s="83" t="s">
        <v>367</v>
      </c>
      <c r="E122" s="84" t="s">
        <v>368</v>
      </c>
      <c r="F122" s="85" t="s">
        <v>11</v>
      </c>
      <c r="G122" s="85" t="s">
        <v>11</v>
      </c>
      <c r="H122" s="85" t="s">
        <v>13</v>
      </c>
      <c r="I122" s="85" t="s">
        <v>11</v>
      </c>
      <c r="J122" s="85" t="s">
        <v>13</v>
      </c>
      <c r="K122" s="85" t="s">
        <v>11</v>
      </c>
      <c r="L122" s="86" t="str">
        <f>IFERROR(VLOOKUP($B122,'LISTA - Atual'!$B$1:$I$444,5,0),"Novo")</f>
        <v>N</v>
      </c>
      <c r="M122" s="86" t="str">
        <f t="shared" si="30"/>
        <v>Igual</v>
      </c>
      <c r="N122" s="86" t="str">
        <f>IFERROR(VLOOKUP($B122,'LISTA - Atual'!$B$1:$I$444,6,0),"Novo")</f>
        <v>N</v>
      </c>
      <c r="O122" s="86" t="str">
        <f t="shared" si="31"/>
        <v>Igual</v>
      </c>
      <c r="P122" s="86" t="str">
        <f>IFERROR(VLOOKUP($B122,'LISTA - Atual'!$B$1:$I$444,7,0),"Novo")</f>
        <v>Y</v>
      </c>
      <c r="Q122" s="86" t="str">
        <f t="shared" si="32"/>
        <v>Igual</v>
      </c>
      <c r="R122" s="86" t="s">
        <v>1563</v>
      </c>
      <c r="S122" s="86" t="str">
        <f>IFERROR(VLOOKUP($B122,'LISTA - Atual'!$B$1:$I$444,8,0),"Novo")</f>
        <v>Y</v>
      </c>
      <c r="T122" s="86" t="str">
        <f t="shared" si="33"/>
        <v>Igual</v>
      </c>
      <c r="U122" s="86" t="s">
        <v>1563</v>
      </c>
      <c r="V122" s="86" t="s">
        <v>11</v>
      </c>
      <c r="W122" s="87" t="str">
        <f>IFERROR(VLOOKUP(B122,#REF!,11,0),"n/a")</f>
        <v>n/a</v>
      </c>
      <c r="X122" s="87" t="str">
        <f>IFERROR(VLOOKUP(B122,#REF!,8,0),"n/a")</f>
        <v>n/a</v>
      </c>
      <c r="Y122" s="87" t="str">
        <f t="shared" si="25"/>
        <v>PILAR3</v>
      </c>
      <c r="Z122" s="131" t="s">
        <v>1605</v>
      </c>
      <c r="AA122" s="227" t="e">
        <f>VLOOKUP(Table1[[#This Row],[CONCAT]],'Campos Resumo Prop2.0'!A:H,8,0)</f>
        <v>#N/A</v>
      </c>
      <c r="AB122" s="87" t="s">
        <v>1656</v>
      </c>
      <c r="AC122" s="137" t="s">
        <v>1625</v>
      </c>
      <c r="AD122" s="91">
        <f>INDEX(Auxiliar!$D$5:$I$10,MATCH('LISTA - Setembro2024'!AD$3,Auxiliar!$B$5:$B$10,0),MATCH('LISTA - Setembro2024'!$AC122,Auxiliar!$D$4:$I$4,0))</f>
        <v>0</v>
      </c>
      <c r="AE122" s="91">
        <f>INDEX(Auxiliar!$D$5:$I$10,MATCH('LISTA - Setembro2024'!AE$3,Auxiliar!$B$5:$B$10,0),MATCH('LISTA - Setembro2024'!$AC122,Auxiliar!$D$4:$I$4,0))</f>
        <v>0</v>
      </c>
      <c r="AF122" s="87">
        <f>INDEX(Auxiliar!$D$5:$I$10,MATCH('LISTA - Setembro2024'!AF$3,Auxiliar!$B$5:$B$10,0),MATCH('LISTA - Setembro2024'!$AC122,Auxiliar!$D$4:$I$4,0))</f>
        <v>0</v>
      </c>
      <c r="AG122" s="87" t="str">
        <f t="shared" si="21"/>
        <v>n.a.</v>
      </c>
      <c r="AH122" s="87">
        <f>INDEX(Auxiliar!$D$5:$I$10,MATCH('LISTA - Setembro2024'!AH$3,Auxiliar!$B$5:$B$10,0),MATCH('LISTA - Setembro2024'!$AG122,Auxiliar!$D$4:$I$4,0))</f>
        <v>0</v>
      </c>
      <c r="AI122" s="87">
        <f>INDEX(Auxiliar!$D$5:$I$10,MATCH('LISTA - Setembro2024'!AI$3,Auxiliar!$B$5:$B$10,0),MATCH('LISTA - Setembro2024'!$AC122,Auxiliar!$D$4:$I$4,0))</f>
        <v>0</v>
      </c>
      <c r="AJ122" s="87">
        <f>INDEX(Auxiliar!$D$5:$I$10,MATCH('LISTA - Setembro2024'!AJ$3,Auxiliar!$B$5:$B$10,0),MATCH('LISTA - Setembro2024'!$AC122,Auxiliar!$D$4:$I$4,0))</f>
        <v>0</v>
      </c>
      <c r="AK122" s="160">
        <f t="shared" si="22"/>
        <v>0</v>
      </c>
      <c r="AL122" s="87"/>
    </row>
    <row r="123" spans="1:38" ht="13.8" x14ac:dyDescent="0.25">
      <c r="A123" s="158" t="s">
        <v>369</v>
      </c>
      <c r="B123" s="81" t="str">
        <f t="shared" si="23"/>
        <v>ENTITY_GRP_EMSSNS_SCP2</v>
      </c>
      <c r="C123" s="82" t="s">
        <v>10</v>
      </c>
      <c r="D123" s="83" t="s">
        <v>370</v>
      </c>
      <c r="E123" s="84" t="s">
        <v>371</v>
      </c>
      <c r="F123" s="85" t="s">
        <v>11</v>
      </c>
      <c r="G123" s="85" t="s">
        <v>11</v>
      </c>
      <c r="H123" s="85" t="s">
        <v>13</v>
      </c>
      <c r="I123" s="85" t="s">
        <v>11</v>
      </c>
      <c r="J123" s="85" t="s">
        <v>13</v>
      </c>
      <c r="K123" s="85" t="s">
        <v>11</v>
      </c>
      <c r="L123" s="86" t="str">
        <f>IFERROR(VLOOKUP($B123,'LISTA - Atual'!$B$1:$I$444,5,0),"Novo")</f>
        <v>N</v>
      </c>
      <c r="M123" s="86" t="str">
        <f t="shared" si="30"/>
        <v>Igual</v>
      </c>
      <c r="N123" s="86" t="str">
        <f>IFERROR(VLOOKUP($B123,'LISTA - Atual'!$B$1:$I$444,6,0),"Novo")</f>
        <v>N</v>
      </c>
      <c r="O123" s="86" t="str">
        <f t="shared" si="31"/>
        <v>Igual</v>
      </c>
      <c r="P123" s="86" t="str">
        <f>IFERROR(VLOOKUP($B123,'LISTA - Atual'!$B$1:$I$444,7,0),"Novo")</f>
        <v>Y</v>
      </c>
      <c r="Q123" s="86" t="str">
        <f t="shared" si="32"/>
        <v>Igual</v>
      </c>
      <c r="R123" s="86" t="s">
        <v>1563</v>
      </c>
      <c r="S123" s="86" t="str">
        <f>IFERROR(VLOOKUP($B123,'LISTA - Atual'!$B$1:$I$444,8,0),"Novo")</f>
        <v>Y</v>
      </c>
      <c r="T123" s="86" t="str">
        <f t="shared" si="33"/>
        <v>Igual</v>
      </c>
      <c r="U123" s="86" t="s">
        <v>1563</v>
      </c>
      <c r="V123" s="86" t="s">
        <v>11</v>
      </c>
      <c r="W123" s="87" t="str">
        <f>IFERROR(VLOOKUP(B123,#REF!,11,0),"n/a")</f>
        <v>n/a</v>
      </c>
      <c r="X123" s="87" t="str">
        <f>IFERROR(VLOOKUP(B123,#REF!,8,0),"n/a")</f>
        <v>n/a</v>
      </c>
      <c r="Y123" s="87" t="str">
        <f t="shared" si="25"/>
        <v>PILAR3</v>
      </c>
      <c r="Z123" s="131" t="s">
        <v>1605</v>
      </c>
      <c r="AA123" s="227" t="e">
        <f>VLOOKUP(Table1[[#This Row],[CONCAT]],'Campos Resumo Prop2.0'!A:H,8,0)</f>
        <v>#N/A</v>
      </c>
      <c r="AB123" s="87" t="s">
        <v>1656</v>
      </c>
      <c r="AC123" s="137" t="s">
        <v>1625</v>
      </c>
      <c r="AD123" s="91">
        <f>INDEX(Auxiliar!$D$5:$I$10,MATCH('LISTA - Setembro2024'!AD$3,Auxiliar!$B$5:$B$10,0),MATCH('LISTA - Setembro2024'!$AC123,Auxiliar!$D$4:$I$4,0))</f>
        <v>0</v>
      </c>
      <c r="AE123" s="91">
        <f>INDEX(Auxiliar!$D$5:$I$10,MATCH('LISTA - Setembro2024'!AE$3,Auxiliar!$B$5:$B$10,0),MATCH('LISTA - Setembro2024'!$AC123,Auxiliar!$D$4:$I$4,0))</f>
        <v>0</v>
      </c>
      <c r="AF123" s="87">
        <f>INDEX(Auxiliar!$D$5:$I$10,MATCH('LISTA - Setembro2024'!AF$3,Auxiliar!$B$5:$B$10,0),MATCH('LISTA - Setembro2024'!$AC123,Auxiliar!$D$4:$I$4,0))</f>
        <v>0</v>
      </c>
      <c r="AG123" s="87" t="str">
        <f t="shared" si="21"/>
        <v>n.a.</v>
      </c>
      <c r="AH123" s="87">
        <f>INDEX(Auxiliar!$D$5:$I$10,MATCH('LISTA - Setembro2024'!AH$3,Auxiliar!$B$5:$B$10,0),MATCH('LISTA - Setembro2024'!$AG123,Auxiliar!$D$4:$I$4,0))</f>
        <v>0</v>
      </c>
      <c r="AI123" s="87">
        <f>INDEX(Auxiliar!$D$5:$I$10,MATCH('LISTA - Setembro2024'!AI$3,Auxiliar!$B$5:$B$10,0),MATCH('LISTA - Setembro2024'!$AC123,Auxiliar!$D$4:$I$4,0))</f>
        <v>0</v>
      </c>
      <c r="AJ123" s="87">
        <f>INDEX(Auxiliar!$D$5:$I$10,MATCH('LISTA - Setembro2024'!AJ$3,Auxiliar!$B$5:$B$10,0),MATCH('LISTA - Setembro2024'!$AC123,Auxiliar!$D$4:$I$4,0))</f>
        <v>0</v>
      </c>
      <c r="AK123" s="160">
        <f t="shared" si="22"/>
        <v>0</v>
      </c>
      <c r="AL123" s="87"/>
    </row>
    <row r="124" spans="1:38" ht="13.8" x14ac:dyDescent="0.25">
      <c r="A124" s="158" t="s">
        <v>372</v>
      </c>
      <c r="B124" s="81" t="str">
        <f t="shared" si="23"/>
        <v>ENTITY_GRP_EMSSNS_SCP3</v>
      </c>
      <c r="C124" s="82" t="s">
        <v>10</v>
      </c>
      <c r="D124" s="83" t="s">
        <v>373</v>
      </c>
      <c r="E124" s="84" t="s">
        <v>374</v>
      </c>
      <c r="F124" s="85" t="s">
        <v>11</v>
      </c>
      <c r="G124" s="85" t="s">
        <v>11</v>
      </c>
      <c r="H124" s="85" t="s">
        <v>13</v>
      </c>
      <c r="I124" s="85" t="s">
        <v>11</v>
      </c>
      <c r="J124" s="85" t="s">
        <v>13</v>
      </c>
      <c r="K124" s="85" t="s">
        <v>11</v>
      </c>
      <c r="L124" s="86" t="str">
        <f>IFERROR(VLOOKUP($B124,'LISTA - Atual'!$B$1:$I$444,5,0),"Novo")</f>
        <v>N</v>
      </c>
      <c r="M124" s="86" t="str">
        <f t="shared" si="30"/>
        <v>Igual</v>
      </c>
      <c r="N124" s="86" t="str">
        <f>IFERROR(VLOOKUP($B124,'LISTA - Atual'!$B$1:$I$444,6,0),"Novo")</f>
        <v>N</v>
      </c>
      <c r="O124" s="86" t="str">
        <f t="shared" si="31"/>
        <v>Igual</v>
      </c>
      <c r="P124" s="86" t="str">
        <f>IFERROR(VLOOKUP($B124,'LISTA - Atual'!$B$1:$I$444,7,0),"Novo")</f>
        <v>Y</v>
      </c>
      <c r="Q124" s="86" t="str">
        <f t="shared" si="32"/>
        <v>Igual</v>
      </c>
      <c r="R124" s="86" t="s">
        <v>1563</v>
      </c>
      <c r="S124" s="86" t="str">
        <f>IFERROR(VLOOKUP($B124,'LISTA - Atual'!$B$1:$I$444,8,0),"Novo")</f>
        <v>Y</v>
      </c>
      <c r="T124" s="86" t="str">
        <f t="shared" si="33"/>
        <v>Igual</v>
      </c>
      <c r="U124" s="86" t="s">
        <v>1563</v>
      </c>
      <c r="V124" s="86" t="s">
        <v>11</v>
      </c>
      <c r="W124" s="87" t="str">
        <f>IFERROR(VLOOKUP(B124,#REF!,11,0),"n/a")</f>
        <v>n/a</v>
      </c>
      <c r="X124" s="87" t="str">
        <f>IFERROR(VLOOKUP(B124,#REF!,8,0),"n/a")</f>
        <v>n/a</v>
      </c>
      <c r="Y124" s="87" t="str">
        <f t="shared" si="25"/>
        <v>PILAR3</v>
      </c>
      <c r="Z124" s="131" t="s">
        <v>1605</v>
      </c>
      <c r="AA124" s="227" t="e">
        <f>VLOOKUP(Table1[[#This Row],[CONCAT]],'Campos Resumo Prop2.0'!A:H,8,0)</f>
        <v>#N/A</v>
      </c>
      <c r="AB124" s="87" t="s">
        <v>1656</v>
      </c>
      <c r="AC124" s="137" t="s">
        <v>1625</v>
      </c>
      <c r="AD124" s="91">
        <f>INDEX(Auxiliar!$D$5:$I$10,MATCH('LISTA - Setembro2024'!AD$3,Auxiliar!$B$5:$B$10,0),MATCH('LISTA - Setembro2024'!$AC124,Auxiliar!$D$4:$I$4,0))</f>
        <v>0</v>
      </c>
      <c r="AE124" s="91">
        <f>INDEX(Auxiliar!$D$5:$I$10,MATCH('LISTA - Setembro2024'!AE$3,Auxiliar!$B$5:$B$10,0),MATCH('LISTA - Setembro2024'!$AC124,Auxiliar!$D$4:$I$4,0))</f>
        <v>0</v>
      </c>
      <c r="AF124" s="87">
        <f>INDEX(Auxiliar!$D$5:$I$10,MATCH('LISTA - Setembro2024'!AF$3,Auxiliar!$B$5:$B$10,0),MATCH('LISTA - Setembro2024'!$AC124,Auxiliar!$D$4:$I$4,0))</f>
        <v>0</v>
      </c>
      <c r="AG124" s="87" t="str">
        <f t="shared" si="21"/>
        <v>n.a.</v>
      </c>
      <c r="AH124" s="87">
        <f>INDEX(Auxiliar!$D$5:$I$10,MATCH('LISTA - Setembro2024'!AH$3,Auxiliar!$B$5:$B$10,0),MATCH('LISTA - Setembro2024'!$AG124,Auxiliar!$D$4:$I$4,0))</f>
        <v>0</v>
      </c>
      <c r="AI124" s="87">
        <f>INDEX(Auxiliar!$D$5:$I$10,MATCH('LISTA - Setembro2024'!AI$3,Auxiliar!$B$5:$B$10,0),MATCH('LISTA - Setembro2024'!$AC124,Auxiliar!$D$4:$I$4,0))</f>
        <v>0</v>
      </c>
      <c r="AJ124" s="87">
        <f>INDEX(Auxiliar!$D$5:$I$10,MATCH('LISTA - Setembro2024'!AJ$3,Auxiliar!$B$5:$B$10,0),MATCH('LISTA - Setembro2024'!$AC124,Auxiliar!$D$4:$I$4,0))</f>
        <v>0</v>
      </c>
      <c r="AK124" s="160">
        <f t="shared" si="22"/>
        <v>0</v>
      </c>
      <c r="AL124" s="87"/>
    </row>
    <row r="125" spans="1:38" ht="13.8" x14ac:dyDescent="0.25">
      <c r="A125" s="158" t="s">
        <v>375</v>
      </c>
      <c r="B125" s="81" t="str">
        <f t="shared" si="23"/>
        <v>ENTITY_FLG_ACT_PHYSCL_RSK</v>
      </c>
      <c r="C125" s="82" t="s">
        <v>10</v>
      </c>
      <c r="D125" s="83" t="s">
        <v>376</v>
      </c>
      <c r="E125" s="93" t="s">
        <v>377</v>
      </c>
      <c r="F125" s="85" t="s">
        <v>11</v>
      </c>
      <c r="G125" s="85" t="s">
        <v>11</v>
      </c>
      <c r="H125" s="85" t="s">
        <v>13</v>
      </c>
      <c r="I125" s="85" t="s">
        <v>11</v>
      </c>
      <c r="J125" s="85" t="s">
        <v>11</v>
      </c>
      <c r="K125" s="85" t="s">
        <v>11</v>
      </c>
      <c r="L125" s="86" t="str">
        <f>IFERROR(VLOOKUP($B125,'LISTA - Atual'!$B$1:$I$444,5,0),"Novo")</f>
        <v>N</v>
      </c>
      <c r="M125" s="86" t="str">
        <f t="shared" si="30"/>
        <v>Igual</v>
      </c>
      <c r="N125" s="86" t="str">
        <f>IFERROR(VLOOKUP($B125,'LISTA - Atual'!$B$1:$I$444,6,0),"Novo")</f>
        <v>N</v>
      </c>
      <c r="O125" s="86" t="str">
        <f t="shared" si="31"/>
        <v>Igual</v>
      </c>
      <c r="P125" s="86" t="str">
        <f>IFERROR(VLOOKUP($B125,'LISTA - Atual'!$B$1:$I$444,7,0),"Novo")</f>
        <v>Y</v>
      </c>
      <c r="Q125" s="86" t="str">
        <f t="shared" si="32"/>
        <v>Igual</v>
      </c>
      <c r="R125" s="86" t="s">
        <v>1563</v>
      </c>
      <c r="S125" s="86" t="str">
        <f>IFERROR(VLOOKUP($B125,'LISTA - Atual'!$B$1:$I$444,8,0),"Novo")</f>
        <v>N</v>
      </c>
      <c r="T125" s="86" t="str">
        <f t="shared" si="33"/>
        <v>Igual</v>
      </c>
      <c r="U125" s="86" t="s">
        <v>1563</v>
      </c>
      <c r="V125" s="86" t="s">
        <v>11</v>
      </c>
      <c r="W125" s="87" t="str">
        <f>IFERROR(VLOOKUP(B125,#REF!,11,0),"n/a")</f>
        <v>n/a</v>
      </c>
      <c r="X125" s="87" t="str">
        <f>IFERROR(VLOOKUP(B125,#REF!,8,0),"n/a")</f>
        <v>n/a</v>
      </c>
      <c r="Y125" s="87" t="str">
        <f t="shared" si="25"/>
        <v>PILAR3</v>
      </c>
      <c r="Z125" s="131" t="s">
        <v>1605</v>
      </c>
      <c r="AA125" s="227" t="e">
        <f>VLOOKUP(Table1[[#This Row],[CONCAT]],'Campos Resumo Prop2.0'!A:H,8,0)</f>
        <v>#N/A</v>
      </c>
      <c r="AB125" s="87" t="s">
        <v>1654</v>
      </c>
      <c r="AC125" s="137" t="s">
        <v>1625</v>
      </c>
      <c r="AD125" s="91">
        <f>INDEX(Auxiliar!$D$5:$I$10,MATCH('LISTA - Setembro2024'!AD$3,Auxiliar!$B$5:$B$10,0),MATCH('LISTA - Setembro2024'!$AC125,Auxiliar!$D$4:$I$4,0))</f>
        <v>0</v>
      </c>
      <c r="AE125" s="91">
        <f>INDEX(Auxiliar!$D$5:$I$10,MATCH('LISTA - Setembro2024'!AE$3,Auxiliar!$B$5:$B$10,0),MATCH('LISTA - Setembro2024'!$AC125,Auxiliar!$D$4:$I$4,0))</f>
        <v>0</v>
      </c>
      <c r="AF125" s="87">
        <f>INDEX(Auxiliar!$D$5:$I$10,MATCH('LISTA - Setembro2024'!AF$3,Auxiliar!$B$5:$B$10,0),MATCH('LISTA - Setembro2024'!$AC125,Auxiliar!$D$4:$I$4,0))</f>
        <v>0</v>
      </c>
      <c r="AG125" s="87" t="str">
        <f t="shared" si="21"/>
        <v>n.a.</v>
      </c>
      <c r="AH125" s="87">
        <f>INDEX(Auxiliar!$D$5:$I$10,MATCH('LISTA - Setembro2024'!AH$3,Auxiliar!$B$5:$B$10,0),MATCH('LISTA - Setembro2024'!$AG125,Auxiliar!$D$4:$I$4,0))</f>
        <v>0</v>
      </c>
      <c r="AI125" s="87">
        <f>INDEX(Auxiliar!$D$5:$I$10,MATCH('LISTA - Setembro2024'!AI$3,Auxiliar!$B$5:$B$10,0),MATCH('LISTA - Setembro2024'!$AC125,Auxiliar!$D$4:$I$4,0))</f>
        <v>0</v>
      </c>
      <c r="AJ125" s="87">
        <f>INDEX(Auxiliar!$D$5:$I$10,MATCH('LISTA - Setembro2024'!AJ$3,Auxiliar!$B$5:$B$10,0),MATCH('LISTA - Setembro2024'!$AC125,Auxiliar!$D$4:$I$4,0))</f>
        <v>0</v>
      </c>
      <c r="AK125" s="160">
        <f t="shared" si="22"/>
        <v>0</v>
      </c>
      <c r="AL125" s="87"/>
    </row>
    <row r="126" spans="1:38" ht="13.8" x14ac:dyDescent="0.25">
      <c r="A126" s="158" t="s">
        <v>378</v>
      </c>
      <c r="B126" s="81" t="str">
        <f t="shared" si="23"/>
        <v>ENTITY_FLG_CHRNC_PHYSCL_RSK</v>
      </c>
      <c r="C126" s="82" t="s">
        <v>10</v>
      </c>
      <c r="D126" s="83" t="s">
        <v>379</v>
      </c>
      <c r="E126" s="93" t="s">
        <v>380</v>
      </c>
      <c r="F126" s="85" t="s">
        <v>11</v>
      </c>
      <c r="G126" s="85" t="s">
        <v>11</v>
      </c>
      <c r="H126" s="85" t="s">
        <v>13</v>
      </c>
      <c r="I126" s="85" t="s">
        <v>11</v>
      </c>
      <c r="J126" s="85" t="s">
        <v>11</v>
      </c>
      <c r="K126" s="85" t="s">
        <v>11</v>
      </c>
      <c r="L126" s="86" t="str">
        <f>IFERROR(VLOOKUP($B126,'LISTA - Atual'!$B$1:$I$444,5,0),"Novo")</f>
        <v>N</v>
      </c>
      <c r="M126" s="86" t="str">
        <f t="shared" si="30"/>
        <v>Igual</v>
      </c>
      <c r="N126" s="86" t="str">
        <f>IFERROR(VLOOKUP($B126,'LISTA - Atual'!$B$1:$I$444,6,0),"Novo")</f>
        <v>N</v>
      </c>
      <c r="O126" s="86" t="str">
        <f t="shared" si="31"/>
        <v>Igual</v>
      </c>
      <c r="P126" s="86" t="str">
        <f>IFERROR(VLOOKUP($B126,'LISTA - Atual'!$B$1:$I$444,7,0),"Novo")</f>
        <v>Y</v>
      </c>
      <c r="Q126" s="86" t="str">
        <f t="shared" si="32"/>
        <v>Igual</v>
      </c>
      <c r="R126" s="86" t="s">
        <v>1563</v>
      </c>
      <c r="S126" s="86" t="str">
        <f>IFERROR(VLOOKUP($B126,'LISTA - Atual'!$B$1:$I$444,8,0),"Novo")</f>
        <v>N</v>
      </c>
      <c r="T126" s="86" t="str">
        <f t="shared" si="33"/>
        <v>Igual</v>
      </c>
      <c r="U126" s="86" t="s">
        <v>1563</v>
      </c>
      <c r="V126" s="86" t="s">
        <v>11</v>
      </c>
      <c r="W126" s="87" t="str">
        <f>IFERROR(VLOOKUP(B126,#REF!,11,0),"n/a")</f>
        <v>n/a</v>
      </c>
      <c r="X126" s="87" t="str">
        <f>IFERROR(VLOOKUP(B126,#REF!,8,0),"n/a")</f>
        <v>n/a</v>
      </c>
      <c r="Y126" s="87" t="str">
        <f t="shared" si="25"/>
        <v>PILAR3</v>
      </c>
      <c r="Z126" s="131" t="s">
        <v>1605</v>
      </c>
      <c r="AA126" s="227" t="e">
        <f>VLOOKUP(Table1[[#This Row],[CONCAT]],'Campos Resumo Prop2.0'!A:H,8,0)</f>
        <v>#N/A</v>
      </c>
      <c r="AB126" s="87" t="s">
        <v>1654</v>
      </c>
      <c r="AC126" s="137" t="s">
        <v>1625</v>
      </c>
      <c r="AD126" s="91">
        <f>INDEX(Auxiliar!$D$5:$I$10,MATCH('LISTA - Setembro2024'!AD$3,Auxiliar!$B$5:$B$10,0),MATCH('LISTA - Setembro2024'!$AC126,Auxiliar!$D$4:$I$4,0))</f>
        <v>0</v>
      </c>
      <c r="AE126" s="91">
        <f>INDEX(Auxiliar!$D$5:$I$10,MATCH('LISTA - Setembro2024'!AE$3,Auxiliar!$B$5:$B$10,0),MATCH('LISTA - Setembro2024'!$AC126,Auxiliar!$D$4:$I$4,0))</f>
        <v>0</v>
      </c>
      <c r="AF126" s="87">
        <f>INDEX(Auxiliar!$D$5:$I$10,MATCH('LISTA - Setembro2024'!AF$3,Auxiliar!$B$5:$B$10,0),MATCH('LISTA - Setembro2024'!$AC126,Auxiliar!$D$4:$I$4,0))</f>
        <v>0</v>
      </c>
      <c r="AG126" s="87" t="str">
        <f t="shared" si="21"/>
        <v>n.a.</v>
      </c>
      <c r="AH126" s="87">
        <f>INDEX(Auxiliar!$D$5:$I$10,MATCH('LISTA - Setembro2024'!AH$3,Auxiliar!$B$5:$B$10,0),MATCH('LISTA - Setembro2024'!$AG126,Auxiliar!$D$4:$I$4,0))</f>
        <v>0</v>
      </c>
      <c r="AI126" s="87">
        <f>INDEX(Auxiliar!$D$5:$I$10,MATCH('LISTA - Setembro2024'!AI$3,Auxiliar!$B$5:$B$10,0),MATCH('LISTA - Setembro2024'!$AC126,Auxiliar!$D$4:$I$4,0))</f>
        <v>0</v>
      </c>
      <c r="AJ126" s="87">
        <f>INDEX(Auxiliar!$D$5:$I$10,MATCH('LISTA - Setembro2024'!AJ$3,Auxiliar!$B$5:$B$10,0),MATCH('LISTA - Setembro2024'!$AC126,Auxiliar!$D$4:$I$4,0))</f>
        <v>0</v>
      </c>
      <c r="AK126" s="160">
        <f t="shared" si="22"/>
        <v>0</v>
      </c>
      <c r="AL126" s="87"/>
    </row>
    <row r="127" spans="1:38" ht="13.8" x14ac:dyDescent="0.25">
      <c r="A127" s="158" t="s">
        <v>381</v>
      </c>
      <c r="B127" s="81" t="str">
        <f t="shared" si="23"/>
        <v>ENTITY_GRP_ECNMC_ACTVTY</v>
      </c>
      <c r="C127" s="82" t="s">
        <v>10</v>
      </c>
      <c r="D127" s="83" t="s">
        <v>382</v>
      </c>
      <c r="E127" s="93" t="s">
        <v>383</v>
      </c>
      <c r="F127" s="85" t="s">
        <v>11</v>
      </c>
      <c r="G127" s="85" t="s">
        <v>11</v>
      </c>
      <c r="H127" s="85" t="s">
        <v>11</v>
      </c>
      <c r="I127" s="85" t="s">
        <v>11</v>
      </c>
      <c r="J127" s="85" t="s">
        <v>13</v>
      </c>
      <c r="K127" s="85" t="s">
        <v>11</v>
      </c>
      <c r="L127" s="86" t="str">
        <f>IFERROR(VLOOKUP($B127,'LISTA - Atual'!$B$1:$I$444,5,0),"Novo")</f>
        <v>N</v>
      </c>
      <c r="M127" s="86" t="s">
        <v>1571</v>
      </c>
      <c r="N127" s="86" t="str">
        <f>IFERROR(VLOOKUP($B127,'LISTA - Atual'!$B$1:$I$444,6,0),"Novo")</f>
        <v>N</v>
      </c>
      <c r="O127" s="86" t="s">
        <v>1571</v>
      </c>
      <c r="P127" s="86" t="str">
        <f>IFERROR(VLOOKUP($B127,'LISTA - Atual'!$B$1:$I$444,7,0),"Novo")</f>
        <v>N</v>
      </c>
      <c r="Q127" s="86" t="s">
        <v>1571</v>
      </c>
      <c r="R127" s="86" t="s">
        <v>1563</v>
      </c>
      <c r="S127" s="86" t="str">
        <f>IFERROR(VLOOKUP($B127,'LISTA - Atual'!$B$1:$I$444,8,0),"Novo")</f>
        <v>Y</v>
      </c>
      <c r="T127" s="86" t="s">
        <v>1571</v>
      </c>
      <c r="U127" s="86" t="s">
        <v>1563</v>
      </c>
      <c r="V127" s="86" t="s">
        <v>11</v>
      </c>
      <c r="W127" s="87" t="str">
        <f>IFERROR(VLOOKUP(B127,#REF!,11,0),"n/a")</f>
        <v>n/a</v>
      </c>
      <c r="X127" s="87" t="str">
        <f>IFERROR(VLOOKUP(B127,#REF!,8,0),"n/a")</f>
        <v>n/a</v>
      </c>
      <c r="Y127" s="87" t="str">
        <f>$J$2</f>
        <v>ESG_RISKS</v>
      </c>
      <c r="Z127" s="131" t="s">
        <v>1570</v>
      </c>
      <c r="AA127" s="227" t="str">
        <f>VLOOKUP(Table1[[#This Row],[CONCAT]],'Campos Resumo Prop2.0'!A:H,8,0)</f>
        <v>Âmbito de proposta - Especificação &amp; Simular</v>
      </c>
      <c r="AB127" s="87" t="s">
        <v>1650</v>
      </c>
      <c r="AC127" s="137" t="s">
        <v>1636</v>
      </c>
      <c r="AD127" s="91">
        <f>INDEX(Auxiliar!$D$5:$I$10,MATCH('LISTA - Setembro2024'!AD$3,Auxiliar!$B$5:$B$10,0),MATCH('LISTA - Setembro2024'!$AC127,Auxiliar!$D$4:$I$4,0))</f>
        <v>2</v>
      </c>
      <c r="AE127" s="91">
        <f>INDEX(Auxiliar!$D$5:$I$10,MATCH('LISTA - Setembro2024'!AE$3,Auxiliar!$B$5:$B$10,0),MATCH('LISTA - Setembro2024'!$AC127,Auxiliar!$D$4:$I$4,0))</f>
        <v>1.5</v>
      </c>
      <c r="AF127" s="87">
        <f>INDEX(Auxiliar!$D$5:$I$10,MATCH('LISTA - Setembro2024'!AF$3,Auxiliar!$B$5:$B$10,0),MATCH('LISTA - Setembro2024'!$AC127,Auxiliar!$D$4:$I$4,0))</f>
        <v>1.5</v>
      </c>
      <c r="AG127" s="87" t="str">
        <f t="shared" si="21"/>
        <v>Baixa</v>
      </c>
      <c r="AH127" s="87">
        <f>INDEX(Auxiliar!$D$5:$I$10,MATCH('LISTA - Setembro2024'!AH$3,Auxiliar!$B$5:$B$10,0),MATCH('LISTA - Setembro2024'!$AG127,Auxiliar!$D$4:$I$4,0))</f>
        <v>0.5</v>
      </c>
      <c r="AI127" s="87">
        <f>INDEX(Auxiliar!$D$5:$I$10,MATCH('LISTA - Setembro2024'!AI$3,Auxiliar!$B$5:$B$10,0),MATCH('LISTA - Setembro2024'!$AC127,Auxiliar!$D$4:$I$4,0))</f>
        <v>0.5</v>
      </c>
      <c r="AJ127" s="87">
        <f>INDEX(Auxiliar!$D$5:$I$10,MATCH('LISTA - Setembro2024'!AJ$3,Auxiliar!$B$5:$B$10,0),MATCH('LISTA - Setembro2024'!$AC127,Auxiliar!$D$4:$I$4,0))</f>
        <v>1</v>
      </c>
      <c r="AK127" s="160">
        <f t="shared" si="22"/>
        <v>3.5</v>
      </c>
      <c r="AL127" s="87"/>
    </row>
    <row r="128" spans="1:38" ht="13.8" x14ac:dyDescent="0.25">
      <c r="A128" s="158" t="s">
        <v>384</v>
      </c>
      <c r="B128" s="81" t="str">
        <f t="shared" si="23"/>
        <v>ENTITY_PRSN_TYP</v>
      </c>
      <c r="C128" s="82" t="s">
        <v>10</v>
      </c>
      <c r="D128" s="83" t="s">
        <v>385</v>
      </c>
      <c r="E128" s="93" t="s">
        <v>386</v>
      </c>
      <c r="F128" s="85" t="s">
        <v>13</v>
      </c>
      <c r="G128" s="85" t="s">
        <v>11</v>
      </c>
      <c r="H128" s="85" t="s">
        <v>11</v>
      </c>
      <c r="I128" s="85" t="s">
        <v>11</v>
      </c>
      <c r="J128" s="85" t="s">
        <v>11</v>
      </c>
      <c r="K128" s="85" t="s">
        <v>11</v>
      </c>
      <c r="L128" s="86" t="str">
        <f>IFERROR(VLOOKUP($B128,'LISTA - Atual'!$B$1:$I$444,5,0),"Novo")</f>
        <v>Y</v>
      </c>
      <c r="M128" s="86" t="str">
        <f t="shared" ref="M128:M191" si="34">IF(L128="Novo","Novo Campo",IF(L128=F128,"Igual","Diferente"))</f>
        <v>Igual</v>
      </c>
      <c r="N128" s="86" t="str">
        <f>IFERROR(VLOOKUP($B128,'LISTA - Atual'!$B$1:$I$444,6,0),"Novo")</f>
        <v>N</v>
      </c>
      <c r="O128" s="86" t="str">
        <f t="shared" ref="O128:O191" si="35">IF(N128="Novo","Novo Campo",IF(N128=G128,"Igual","Diferente"))</f>
        <v>Igual</v>
      </c>
      <c r="P128" s="86" t="str">
        <f>IFERROR(VLOOKUP($B128,'LISTA - Atual'!$B$1:$I$444,7,0),"Novo")</f>
        <v>N</v>
      </c>
      <c r="Q128" s="86" t="str">
        <f t="shared" ref="Q128:Q191" si="36">IF(P128="Novo","Novo Campo",IF(P128=H128,"Igual","Diferente"))</f>
        <v>Igual</v>
      </c>
      <c r="R128" s="86" t="s">
        <v>1563</v>
      </c>
      <c r="S128" s="86" t="str">
        <f>IFERROR(VLOOKUP($B128,'LISTA - Atual'!$B$1:$I$444,8,0),"Novo")</f>
        <v>N</v>
      </c>
      <c r="T128" s="86" t="str">
        <f t="shared" ref="T128:T191" si="37">IF(S128="Novo","Novo Campo",IF(S128=J128,"Igual","Diferente"))</f>
        <v>Igual</v>
      </c>
      <c r="U128" s="86" t="s">
        <v>1563</v>
      </c>
      <c r="V128" s="86" t="s">
        <v>11</v>
      </c>
      <c r="W128" s="87" t="str">
        <f>IFERROR(VLOOKUP(B128,#REF!,11,0),"n/a")</f>
        <v>n/a</v>
      </c>
      <c r="X128" s="87" t="str">
        <f>IFERROR(VLOOKUP(B128,#REF!,8,0),"n/a")</f>
        <v>n/a</v>
      </c>
      <c r="Y128" s="87" t="str">
        <f t="shared" ref="Y128:Y141" si="38">$F$2</f>
        <v>ESTR</v>
      </c>
      <c r="Z128" s="131" t="s">
        <v>1605</v>
      </c>
      <c r="AA128" s="227" t="e">
        <f>VLOOKUP(Table1[[#This Row],[CONCAT]],'Campos Resumo Prop2.0'!A:H,8,0)</f>
        <v>#N/A</v>
      </c>
      <c r="AB128" s="87" t="s">
        <v>1650</v>
      </c>
      <c r="AC128" s="135" t="s">
        <v>1625</v>
      </c>
      <c r="AD128" s="91">
        <f>INDEX(Auxiliar!$D$5:$I$10,MATCH('LISTA - Setembro2024'!AD$3,Auxiliar!$B$5:$B$10,0),MATCH('LISTA - Setembro2024'!$AC128,Auxiliar!$D$4:$I$4,0))</f>
        <v>0</v>
      </c>
      <c r="AE128" s="91">
        <f>INDEX(Auxiliar!$D$5:$I$10,MATCH('LISTA - Setembro2024'!AE$3,Auxiliar!$B$5:$B$10,0),MATCH('LISTA - Setembro2024'!$AC128,Auxiliar!$D$4:$I$4,0))</f>
        <v>0</v>
      </c>
      <c r="AF128" s="87">
        <f>INDEX(Auxiliar!$D$5:$I$10,MATCH('LISTA - Setembro2024'!AF$3,Auxiliar!$B$5:$B$10,0),MATCH('LISTA - Setembro2024'!$AC128,Auxiliar!$D$4:$I$4,0))</f>
        <v>0</v>
      </c>
      <c r="AG128" s="87" t="str">
        <f t="shared" si="21"/>
        <v>n.a.</v>
      </c>
      <c r="AH128" s="87">
        <f>INDEX(Auxiliar!$D$5:$I$10,MATCH('LISTA - Setembro2024'!AH$3,Auxiliar!$B$5:$B$10,0),MATCH('LISTA - Setembro2024'!$AG128,Auxiliar!$D$4:$I$4,0))</f>
        <v>0</v>
      </c>
      <c r="AI128" s="87">
        <f>INDEX(Auxiliar!$D$5:$I$10,MATCH('LISTA - Setembro2024'!AI$3,Auxiliar!$B$5:$B$10,0),MATCH('LISTA - Setembro2024'!$AC128,Auxiliar!$D$4:$I$4,0))</f>
        <v>0</v>
      </c>
      <c r="AJ128" s="87">
        <f>INDEX(Auxiliar!$D$5:$I$10,MATCH('LISTA - Setembro2024'!AJ$3,Auxiliar!$B$5:$B$10,0),MATCH('LISTA - Setembro2024'!$AC128,Auxiliar!$D$4:$I$4,0))</f>
        <v>0</v>
      </c>
      <c r="AK128" s="160">
        <f t="shared" si="22"/>
        <v>0</v>
      </c>
      <c r="AL128" s="87"/>
    </row>
    <row r="129" spans="1:38" ht="13.8" x14ac:dyDescent="0.25">
      <c r="A129" s="158" t="s">
        <v>387</v>
      </c>
      <c r="B129" s="81" t="str">
        <f t="shared" si="23"/>
        <v>ENTITY_FR_CSH_FLW</v>
      </c>
      <c r="C129" s="82" t="s">
        <v>10</v>
      </c>
      <c r="D129" s="83" t="s">
        <v>388</v>
      </c>
      <c r="E129" s="94" t="s">
        <v>389</v>
      </c>
      <c r="F129" s="85" t="s">
        <v>13</v>
      </c>
      <c r="G129" s="85" t="s">
        <v>11</v>
      </c>
      <c r="H129" s="85" t="s">
        <v>11</v>
      </c>
      <c r="I129" s="85" t="s">
        <v>11</v>
      </c>
      <c r="J129" s="85" t="s">
        <v>11</v>
      </c>
      <c r="K129" s="85" t="s">
        <v>13</v>
      </c>
      <c r="L129" s="86" t="str">
        <f>IFERROR(VLOOKUP($B129,'LISTA - Atual'!$B$1:$I$444,5,0),"Novo")</f>
        <v>Y</v>
      </c>
      <c r="M129" s="86" t="str">
        <f t="shared" si="34"/>
        <v>Igual</v>
      </c>
      <c r="N129" s="86" t="str">
        <f>IFERROR(VLOOKUP($B129,'LISTA - Atual'!$B$1:$I$444,6,0),"Novo")</f>
        <v>N</v>
      </c>
      <c r="O129" s="86" t="str">
        <f t="shared" si="35"/>
        <v>Igual</v>
      </c>
      <c r="P129" s="86" t="str">
        <f>IFERROR(VLOOKUP($B129,'LISTA - Atual'!$B$1:$I$444,7,0),"Novo")</f>
        <v>N</v>
      </c>
      <c r="Q129" s="86" t="str">
        <f t="shared" si="36"/>
        <v>Igual</v>
      </c>
      <c r="R129" s="86" t="s">
        <v>1563</v>
      </c>
      <c r="S129" s="86" t="str">
        <f>IFERROR(VLOOKUP($B129,'LISTA - Atual'!$B$1:$I$444,8,0),"Novo")</f>
        <v>N</v>
      </c>
      <c r="T129" s="86" t="str">
        <f t="shared" si="37"/>
        <v>Igual</v>
      </c>
      <c r="U129" s="86" t="s">
        <v>1563</v>
      </c>
      <c r="V129" s="86" t="s">
        <v>11</v>
      </c>
      <c r="W129" s="87" t="str">
        <f>IFERROR(VLOOKUP(B129,#REF!,11,0),"n/a")</f>
        <v>n/a</v>
      </c>
      <c r="X129" s="88" t="str">
        <f>IFERROR(VLOOKUP(B129,#REF!,8,0),"n/a")</f>
        <v>n/a</v>
      </c>
      <c r="Y129" s="87" t="str">
        <f t="shared" si="38"/>
        <v>ESTR</v>
      </c>
      <c r="Z129" s="131" t="s">
        <v>1605</v>
      </c>
      <c r="AA129" s="227" t="e">
        <f>VLOOKUP(Table1[[#This Row],[CONCAT]],'Campos Resumo Prop2.0'!A:H,8,0)</f>
        <v>#N/A</v>
      </c>
      <c r="AB129" s="87" t="s">
        <v>1655</v>
      </c>
      <c r="AC129" s="135" t="s">
        <v>1625</v>
      </c>
      <c r="AD129" s="91">
        <f>INDEX(Auxiliar!$D$5:$I$10,MATCH('LISTA - Setembro2024'!AD$3,Auxiliar!$B$5:$B$10,0),MATCH('LISTA - Setembro2024'!$AC129,Auxiliar!$D$4:$I$4,0))</f>
        <v>0</v>
      </c>
      <c r="AE129" s="91">
        <f>INDEX(Auxiliar!$D$5:$I$10,MATCH('LISTA - Setembro2024'!AE$3,Auxiliar!$B$5:$B$10,0),MATCH('LISTA - Setembro2024'!$AC129,Auxiliar!$D$4:$I$4,0))</f>
        <v>0</v>
      </c>
      <c r="AF129" s="87">
        <f>INDEX(Auxiliar!$D$5:$I$10,MATCH('LISTA - Setembro2024'!AF$3,Auxiliar!$B$5:$B$10,0),MATCH('LISTA - Setembro2024'!$AC129,Auxiliar!$D$4:$I$4,0))</f>
        <v>0</v>
      </c>
      <c r="AG129" s="87" t="str">
        <f t="shared" si="21"/>
        <v>n.a.</v>
      </c>
      <c r="AH129" s="87">
        <f>INDEX(Auxiliar!$D$5:$I$10,MATCH('LISTA - Setembro2024'!AH$3,Auxiliar!$B$5:$B$10,0),MATCH('LISTA - Setembro2024'!$AG129,Auxiliar!$D$4:$I$4,0))</f>
        <v>0</v>
      </c>
      <c r="AI129" s="87">
        <f>INDEX(Auxiliar!$D$5:$I$10,MATCH('LISTA - Setembro2024'!AI$3,Auxiliar!$B$5:$B$10,0),MATCH('LISTA - Setembro2024'!$AC129,Auxiliar!$D$4:$I$4,0))</f>
        <v>0</v>
      </c>
      <c r="AJ129" s="87">
        <f>INDEX(Auxiliar!$D$5:$I$10,MATCH('LISTA - Setembro2024'!AJ$3,Auxiliar!$B$5:$B$10,0),MATCH('LISTA - Setembro2024'!$AC129,Auxiliar!$D$4:$I$4,0))</f>
        <v>0</v>
      </c>
      <c r="AK129" s="160">
        <f t="shared" si="22"/>
        <v>0</v>
      </c>
      <c r="AL129" s="87" t="s">
        <v>1669</v>
      </c>
    </row>
    <row r="130" spans="1:38" ht="13.8" x14ac:dyDescent="0.25">
      <c r="A130" s="158" t="s">
        <v>390</v>
      </c>
      <c r="B130" s="81" t="str">
        <f t="shared" si="23"/>
        <v>ENTITY_FR_CSH_FLW_T1</v>
      </c>
      <c r="C130" s="82" t="s">
        <v>10</v>
      </c>
      <c r="D130" s="83" t="s">
        <v>391</v>
      </c>
      <c r="E130" s="94" t="s">
        <v>392</v>
      </c>
      <c r="F130" s="85" t="s">
        <v>13</v>
      </c>
      <c r="G130" s="85" t="s">
        <v>11</v>
      </c>
      <c r="H130" s="85" t="s">
        <v>11</v>
      </c>
      <c r="I130" s="85" t="s">
        <v>11</v>
      </c>
      <c r="J130" s="85" t="s">
        <v>11</v>
      </c>
      <c r="K130" s="85" t="s">
        <v>13</v>
      </c>
      <c r="L130" s="86" t="str">
        <f>IFERROR(VLOOKUP($B130,'LISTA - Atual'!$B$1:$I$444,5,0),"Novo")</f>
        <v>Y</v>
      </c>
      <c r="M130" s="86" t="str">
        <f t="shared" si="34"/>
        <v>Igual</v>
      </c>
      <c r="N130" s="86" t="str">
        <f>IFERROR(VLOOKUP($B130,'LISTA - Atual'!$B$1:$I$444,6,0),"Novo")</f>
        <v>N</v>
      </c>
      <c r="O130" s="86" t="str">
        <f t="shared" si="35"/>
        <v>Igual</v>
      </c>
      <c r="P130" s="86" t="str">
        <f>IFERROR(VLOOKUP($B130,'LISTA - Atual'!$B$1:$I$444,7,0),"Novo")</f>
        <v>N</v>
      </c>
      <c r="Q130" s="86" t="str">
        <f t="shared" si="36"/>
        <v>Igual</v>
      </c>
      <c r="R130" s="86" t="s">
        <v>1563</v>
      </c>
      <c r="S130" s="86" t="str">
        <f>IFERROR(VLOOKUP($B130,'LISTA - Atual'!$B$1:$I$444,8,0),"Novo")</f>
        <v>N</v>
      </c>
      <c r="T130" s="86" t="str">
        <f t="shared" si="37"/>
        <v>Igual</v>
      </c>
      <c r="U130" s="86" t="s">
        <v>1563</v>
      </c>
      <c r="V130" s="86" t="s">
        <v>11</v>
      </c>
      <c r="W130" s="87" t="str">
        <f>IFERROR(VLOOKUP(B130,#REF!,11,0),"n/a")</f>
        <v>n/a</v>
      </c>
      <c r="X130" s="88" t="str">
        <f>IFERROR(VLOOKUP(B130,#REF!,8,0),"n/a")</f>
        <v>n/a</v>
      </c>
      <c r="Y130" s="87" t="str">
        <f t="shared" si="38"/>
        <v>ESTR</v>
      </c>
      <c r="Z130" s="131" t="s">
        <v>1605</v>
      </c>
      <c r="AA130" s="227" t="e">
        <f>VLOOKUP(Table1[[#This Row],[CONCAT]],'Campos Resumo Prop2.0'!A:H,8,0)</f>
        <v>#N/A</v>
      </c>
      <c r="AB130" s="87" t="s">
        <v>1655</v>
      </c>
      <c r="AC130" s="135" t="s">
        <v>1625</v>
      </c>
      <c r="AD130" s="91">
        <f>INDEX(Auxiliar!$D$5:$I$10,MATCH('LISTA - Setembro2024'!AD$3,Auxiliar!$B$5:$B$10,0),MATCH('LISTA - Setembro2024'!$AC130,Auxiliar!$D$4:$I$4,0))</f>
        <v>0</v>
      </c>
      <c r="AE130" s="91">
        <f>INDEX(Auxiliar!$D$5:$I$10,MATCH('LISTA - Setembro2024'!AE$3,Auxiliar!$B$5:$B$10,0),MATCH('LISTA - Setembro2024'!$AC130,Auxiliar!$D$4:$I$4,0))</f>
        <v>0</v>
      </c>
      <c r="AF130" s="87">
        <f>INDEX(Auxiliar!$D$5:$I$10,MATCH('LISTA - Setembro2024'!AF$3,Auxiliar!$B$5:$B$10,0),MATCH('LISTA - Setembro2024'!$AC130,Auxiliar!$D$4:$I$4,0))</f>
        <v>0</v>
      </c>
      <c r="AG130" s="87" t="str">
        <f t="shared" si="21"/>
        <v>n.a.</v>
      </c>
      <c r="AH130" s="87">
        <f>INDEX(Auxiliar!$D$5:$I$10,MATCH('LISTA - Setembro2024'!AH$3,Auxiliar!$B$5:$B$10,0),MATCH('LISTA - Setembro2024'!$AG130,Auxiliar!$D$4:$I$4,0))</f>
        <v>0</v>
      </c>
      <c r="AI130" s="87">
        <f>INDEX(Auxiliar!$D$5:$I$10,MATCH('LISTA - Setembro2024'!AI$3,Auxiliar!$B$5:$B$10,0),MATCH('LISTA - Setembro2024'!$AC130,Auxiliar!$D$4:$I$4,0))</f>
        <v>0</v>
      </c>
      <c r="AJ130" s="87">
        <f>INDEX(Auxiliar!$D$5:$I$10,MATCH('LISTA - Setembro2024'!AJ$3,Auxiliar!$B$5:$B$10,0),MATCH('LISTA - Setembro2024'!$AC130,Auxiliar!$D$4:$I$4,0))</f>
        <v>0</v>
      </c>
      <c r="AK130" s="160">
        <f t="shared" si="22"/>
        <v>0</v>
      </c>
      <c r="AL130" s="87" t="s">
        <v>1679</v>
      </c>
    </row>
    <row r="131" spans="1:38" ht="13.8" x14ac:dyDescent="0.25">
      <c r="A131" s="158" t="s">
        <v>393</v>
      </c>
      <c r="B131" s="81" t="str">
        <f t="shared" si="23"/>
        <v>ENTITY_FR_CSH_FLW_T2</v>
      </c>
      <c r="C131" s="82" t="s">
        <v>10</v>
      </c>
      <c r="D131" s="83" t="s">
        <v>394</v>
      </c>
      <c r="E131" s="94" t="s">
        <v>395</v>
      </c>
      <c r="F131" s="85" t="s">
        <v>13</v>
      </c>
      <c r="G131" s="85" t="s">
        <v>11</v>
      </c>
      <c r="H131" s="85" t="s">
        <v>11</v>
      </c>
      <c r="I131" s="85" t="s">
        <v>11</v>
      </c>
      <c r="J131" s="85" t="s">
        <v>11</v>
      </c>
      <c r="K131" s="85" t="s">
        <v>13</v>
      </c>
      <c r="L131" s="86" t="str">
        <f>IFERROR(VLOOKUP($B131,'LISTA - Atual'!$B$1:$I$444,5,0),"Novo")</f>
        <v>Y</v>
      </c>
      <c r="M131" s="86" t="str">
        <f t="shared" si="34"/>
        <v>Igual</v>
      </c>
      <c r="N131" s="86" t="str">
        <f>IFERROR(VLOOKUP($B131,'LISTA - Atual'!$B$1:$I$444,6,0),"Novo")</f>
        <v>N</v>
      </c>
      <c r="O131" s="86" t="str">
        <f t="shared" si="35"/>
        <v>Igual</v>
      </c>
      <c r="P131" s="86" t="str">
        <f>IFERROR(VLOOKUP($B131,'LISTA - Atual'!$B$1:$I$444,7,0),"Novo")</f>
        <v>N</v>
      </c>
      <c r="Q131" s="86" t="str">
        <f t="shared" si="36"/>
        <v>Igual</v>
      </c>
      <c r="R131" s="86" t="s">
        <v>1563</v>
      </c>
      <c r="S131" s="86" t="str">
        <f>IFERROR(VLOOKUP($B131,'LISTA - Atual'!$B$1:$I$444,8,0),"Novo")</f>
        <v>N</v>
      </c>
      <c r="T131" s="86" t="str">
        <f t="shared" si="37"/>
        <v>Igual</v>
      </c>
      <c r="U131" s="86" t="s">
        <v>1563</v>
      </c>
      <c r="V131" s="86" t="s">
        <v>11</v>
      </c>
      <c r="W131" s="87" t="str">
        <f>IFERROR(VLOOKUP(B131,#REF!,11,0),"n/a")</f>
        <v>n/a</v>
      </c>
      <c r="X131" s="88" t="str">
        <f>IFERROR(VLOOKUP(B131,#REF!,8,0),"n/a")</f>
        <v>n/a</v>
      </c>
      <c r="Y131" s="87" t="str">
        <f t="shared" si="38"/>
        <v>ESTR</v>
      </c>
      <c r="Z131" s="131" t="s">
        <v>1605</v>
      </c>
      <c r="AA131" s="227" t="e">
        <f>VLOOKUP(Table1[[#This Row],[CONCAT]],'Campos Resumo Prop2.0'!A:H,8,0)</f>
        <v>#N/A</v>
      </c>
      <c r="AB131" s="87" t="s">
        <v>1655</v>
      </c>
      <c r="AC131" s="135" t="s">
        <v>1625</v>
      </c>
      <c r="AD131" s="91">
        <f>INDEX(Auxiliar!$D$5:$I$10,MATCH('LISTA - Setembro2024'!AD$3,Auxiliar!$B$5:$B$10,0),MATCH('LISTA - Setembro2024'!$AC131,Auxiliar!$D$4:$I$4,0))</f>
        <v>0</v>
      </c>
      <c r="AE131" s="91">
        <f>INDEX(Auxiliar!$D$5:$I$10,MATCH('LISTA - Setembro2024'!AE$3,Auxiliar!$B$5:$B$10,0),MATCH('LISTA - Setembro2024'!$AC131,Auxiliar!$D$4:$I$4,0))</f>
        <v>0</v>
      </c>
      <c r="AF131" s="87">
        <f>INDEX(Auxiliar!$D$5:$I$10,MATCH('LISTA - Setembro2024'!AF$3,Auxiliar!$B$5:$B$10,0),MATCH('LISTA - Setembro2024'!$AC131,Auxiliar!$D$4:$I$4,0))</f>
        <v>0</v>
      </c>
      <c r="AG131" s="87" t="str">
        <f t="shared" si="21"/>
        <v>n.a.</v>
      </c>
      <c r="AH131" s="87">
        <f>INDEX(Auxiliar!$D$5:$I$10,MATCH('LISTA - Setembro2024'!AH$3,Auxiliar!$B$5:$B$10,0),MATCH('LISTA - Setembro2024'!$AG131,Auxiliar!$D$4:$I$4,0))</f>
        <v>0</v>
      </c>
      <c r="AI131" s="87">
        <f>INDEX(Auxiliar!$D$5:$I$10,MATCH('LISTA - Setembro2024'!AI$3,Auxiliar!$B$5:$B$10,0),MATCH('LISTA - Setembro2024'!$AC131,Auxiliar!$D$4:$I$4,0))</f>
        <v>0</v>
      </c>
      <c r="AJ131" s="87">
        <f>INDEX(Auxiliar!$D$5:$I$10,MATCH('LISTA - Setembro2024'!AJ$3,Auxiliar!$B$5:$B$10,0),MATCH('LISTA - Setembro2024'!$AC131,Auxiliar!$D$4:$I$4,0))</f>
        <v>0</v>
      </c>
      <c r="AK131" s="160">
        <f t="shared" si="22"/>
        <v>0</v>
      </c>
      <c r="AL131" s="87" t="s">
        <v>1679</v>
      </c>
    </row>
    <row r="132" spans="1:38" ht="13.8" x14ac:dyDescent="0.25">
      <c r="A132" s="158" t="s">
        <v>396</v>
      </c>
      <c r="B132" s="81" t="str">
        <f t="shared" si="23"/>
        <v>ENTITY_FR_CSH_FLW_T3</v>
      </c>
      <c r="C132" s="82" t="s">
        <v>10</v>
      </c>
      <c r="D132" s="83" t="s">
        <v>397</v>
      </c>
      <c r="E132" s="93" t="s">
        <v>398</v>
      </c>
      <c r="F132" s="85" t="s">
        <v>13</v>
      </c>
      <c r="G132" s="85" t="s">
        <v>11</v>
      </c>
      <c r="H132" s="85" t="s">
        <v>11</v>
      </c>
      <c r="I132" s="85" t="s">
        <v>11</v>
      </c>
      <c r="J132" s="85" t="s">
        <v>11</v>
      </c>
      <c r="K132" s="85" t="s">
        <v>13</v>
      </c>
      <c r="L132" s="86" t="str">
        <f>IFERROR(VLOOKUP($B132,'LISTA - Atual'!$B$1:$I$444,5,0),"Novo")</f>
        <v>Y</v>
      </c>
      <c r="M132" s="86" t="str">
        <f t="shared" si="34"/>
        <v>Igual</v>
      </c>
      <c r="N132" s="86" t="str">
        <f>IFERROR(VLOOKUP($B132,'LISTA - Atual'!$B$1:$I$444,6,0),"Novo")</f>
        <v>N</v>
      </c>
      <c r="O132" s="86" t="str">
        <f t="shared" si="35"/>
        <v>Igual</v>
      </c>
      <c r="P132" s="86" t="str">
        <f>IFERROR(VLOOKUP($B132,'LISTA - Atual'!$B$1:$I$444,7,0),"Novo")</f>
        <v>N</v>
      </c>
      <c r="Q132" s="86" t="str">
        <f t="shared" si="36"/>
        <v>Igual</v>
      </c>
      <c r="R132" s="86" t="s">
        <v>1563</v>
      </c>
      <c r="S132" s="86" t="str">
        <f>IFERROR(VLOOKUP($B132,'LISTA - Atual'!$B$1:$I$444,8,0),"Novo")</f>
        <v>N</v>
      </c>
      <c r="T132" s="86" t="str">
        <f t="shared" si="37"/>
        <v>Igual</v>
      </c>
      <c r="U132" s="86" t="s">
        <v>1563</v>
      </c>
      <c r="V132" s="86" t="s">
        <v>11</v>
      </c>
      <c r="W132" s="87" t="str">
        <f>IFERROR(VLOOKUP(B132,#REF!,11,0),"n/a")</f>
        <v>n/a</v>
      </c>
      <c r="X132" s="88" t="str">
        <f>IFERROR(VLOOKUP(B132,#REF!,8,0),"n/a")</f>
        <v>n/a</v>
      </c>
      <c r="Y132" s="87" t="str">
        <f t="shared" si="38"/>
        <v>ESTR</v>
      </c>
      <c r="Z132" s="131" t="s">
        <v>1605</v>
      </c>
      <c r="AA132" s="227" t="e">
        <f>VLOOKUP(Table1[[#This Row],[CONCAT]],'Campos Resumo Prop2.0'!A:H,8,0)</f>
        <v>#N/A</v>
      </c>
      <c r="AB132" s="87" t="s">
        <v>1655</v>
      </c>
      <c r="AC132" s="135" t="s">
        <v>1625</v>
      </c>
      <c r="AD132" s="91">
        <f>INDEX(Auxiliar!$D$5:$I$10,MATCH('LISTA - Setembro2024'!AD$3,Auxiliar!$B$5:$B$10,0),MATCH('LISTA - Setembro2024'!$AC132,Auxiliar!$D$4:$I$4,0))</f>
        <v>0</v>
      </c>
      <c r="AE132" s="91">
        <f>INDEX(Auxiliar!$D$5:$I$10,MATCH('LISTA - Setembro2024'!AE$3,Auxiliar!$B$5:$B$10,0),MATCH('LISTA - Setembro2024'!$AC132,Auxiliar!$D$4:$I$4,0))</f>
        <v>0</v>
      </c>
      <c r="AF132" s="87">
        <f>INDEX(Auxiliar!$D$5:$I$10,MATCH('LISTA - Setembro2024'!AF$3,Auxiliar!$B$5:$B$10,0),MATCH('LISTA - Setembro2024'!$AC132,Auxiliar!$D$4:$I$4,0))</f>
        <v>0</v>
      </c>
      <c r="AG132" s="87" t="str">
        <f t="shared" ref="AG132:AG195" si="39">IF(OR(AB132="Code List",AB132="Y, N"),AC132,"n.a.")</f>
        <v>n.a.</v>
      </c>
      <c r="AH132" s="87">
        <f>INDEX(Auxiliar!$D$5:$I$10,MATCH('LISTA - Setembro2024'!AH$3,Auxiliar!$B$5:$B$10,0),MATCH('LISTA - Setembro2024'!$AG132,Auxiliar!$D$4:$I$4,0))</f>
        <v>0</v>
      </c>
      <c r="AI132" s="87">
        <f>INDEX(Auxiliar!$D$5:$I$10,MATCH('LISTA - Setembro2024'!AI$3,Auxiliar!$B$5:$B$10,0),MATCH('LISTA - Setembro2024'!$AC132,Auxiliar!$D$4:$I$4,0))</f>
        <v>0</v>
      </c>
      <c r="AJ132" s="87">
        <f>INDEX(Auxiliar!$D$5:$I$10,MATCH('LISTA - Setembro2024'!AJ$3,Auxiliar!$B$5:$B$10,0),MATCH('LISTA - Setembro2024'!$AC132,Auxiliar!$D$4:$I$4,0))</f>
        <v>0</v>
      </c>
      <c r="AK132" s="160">
        <f t="shared" ref="AK132" si="40">SUM(AF132,AH132:AJ132)</f>
        <v>0</v>
      </c>
      <c r="AL132" s="87" t="s">
        <v>1679</v>
      </c>
    </row>
    <row r="133" spans="1:38" ht="13.8" x14ac:dyDescent="0.25">
      <c r="A133" s="158" t="s">
        <v>1292</v>
      </c>
      <c r="B133" s="81" t="str">
        <f t="shared" ref="B133:B196" si="41">C133&amp;"_"&amp;D133</f>
        <v>ENTITY_ADDRSS_CTY</v>
      </c>
      <c r="C133" s="82" t="s">
        <v>10</v>
      </c>
      <c r="D133" s="83" t="s">
        <v>1293</v>
      </c>
      <c r="E133" s="94" t="s">
        <v>1294</v>
      </c>
      <c r="F133" s="85" t="s">
        <v>13</v>
      </c>
      <c r="G133" s="85" t="s">
        <v>11</v>
      </c>
      <c r="H133" s="85" t="s">
        <v>11</v>
      </c>
      <c r="I133" s="85" t="s">
        <v>11</v>
      </c>
      <c r="J133" s="85" t="s">
        <v>11</v>
      </c>
      <c r="K133" s="85" t="s">
        <v>11</v>
      </c>
      <c r="L133" s="86" t="str">
        <f>IFERROR(VLOOKUP($B133,'LISTA - Atual'!$B$1:$I$444,5,0),"Novo")</f>
        <v>Novo</v>
      </c>
      <c r="M133" s="86" t="str">
        <f t="shared" si="34"/>
        <v>Novo Campo</v>
      </c>
      <c r="N133" s="86" t="str">
        <f>IFERROR(VLOOKUP($B133,'LISTA - Atual'!$B$1:$I$444,6,0),"Novo")</f>
        <v>Novo</v>
      </c>
      <c r="O133" s="86" t="str">
        <f t="shared" si="35"/>
        <v>Novo Campo</v>
      </c>
      <c r="P133" s="86" t="str">
        <f>IFERROR(VLOOKUP($B133,'LISTA - Atual'!$B$1:$I$444,7,0),"Novo")</f>
        <v>Novo</v>
      </c>
      <c r="Q133" s="86" t="str">
        <f t="shared" si="36"/>
        <v>Novo Campo</v>
      </c>
      <c r="R133" s="86" t="s">
        <v>1563</v>
      </c>
      <c r="S133" s="86" t="str">
        <f>IFERROR(VLOOKUP($B133,'LISTA - Atual'!$B$1:$I$444,8,0),"Novo")</f>
        <v>Novo</v>
      </c>
      <c r="T133" s="86" t="str">
        <f t="shared" si="37"/>
        <v>Novo Campo</v>
      </c>
      <c r="U133" s="86" t="s">
        <v>1563</v>
      </c>
      <c r="V133" s="86" t="s">
        <v>11</v>
      </c>
      <c r="W133" s="87" t="str">
        <f>IFERROR(VLOOKUP(B133,#REF!,11,0),"n/a")</f>
        <v>n/a</v>
      </c>
      <c r="X133" s="87" t="str">
        <f>IFERROR(VLOOKUP(B133,#REF!,8,0),"n/a")</f>
        <v>n/a</v>
      </c>
      <c r="Y133" s="87" t="str">
        <f t="shared" si="38"/>
        <v>ESTR</v>
      </c>
      <c r="Z133" s="131" t="s">
        <v>1570</v>
      </c>
      <c r="AA133" s="227" t="e">
        <f>VLOOKUP(Table1[[#This Row],[CONCAT]],'Campos Resumo Prop2.0'!A:H,8,0)</f>
        <v>#N/A</v>
      </c>
      <c r="AB133" s="87" t="s">
        <v>1652</v>
      </c>
      <c r="AC133" s="88" t="s">
        <v>1625</v>
      </c>
      <c r="AD133" s="91">
        <f>INDEX(Auxiliar!$D$5:$I$10,MATCH('LISTA - Setembro2024'!AD$3,Auxiliar!$B$5:$B$10,0),MATCH('LISTA - Setembro2024'!$AC133,Auxiliar!$D$4:$I$4,0))</f>
        <v>0</v>
      </c>
      <c r="AE133" s="91">
        <f>INDEX(Auxiliar!$D$5:$I$10,MATCH('LISTA - Setembro2024'!AE$3,Auxiliar!$B$5:$B$10,0),MATCH('LISTA - Setembro2024'!$AC133,Auxiliar!$D$4:$I$4,0))</f>
        <v>0</v>
      </c>
      <c r="AF133" s="87">
        <f>INDEX(Auxiliar!$D$5:$I$10,MATCH('LISTA - Setembro2024'!AF$3,Auxiliar!$B$5:$B$10,0),MATCH('LISTA - Setembro2024'!$AC133,Auxiliar!$D$4:$I$4,0))</f>
        <v>0</v>
      </c>
      <c r="AG133" s="87" t="str">
        <f t="shared" si="39"/>
        <v>n.a.</v>
      </c>
      <c r="AH133" s="87">
        <f>INDEX(Auxiliar!$D$5:$I$10,MATCH('LISTA - Setembro2024'!AH$3,Auxiliar!$B$5:$B$10,0),MATCH('LISTA - Setembro2024'!$AG133,Auxiliar!$D$4:$I$4,0))</f>
        <v>0</v>
      </c>
      <c r="AI133" s="87">
        <f>INDEX(Auxiliar!$D$5:$I$10,MATCH('LISTA - Setembro2024'!AI$3,Auxiliar!$B$5:$B$10,0),MATCH('LISTA - Setembro2024'!$AC133,Auxiliar!$D$4:$I$4,0))</f>
        <v>0</v>
      </c>
      <c r="AJ133" s="87">
        <f>INDEX(Auxiliar!$D$5:$I$10,MATCH('LISTA - Setembro2024'!AJ$3,Auxiliar!$B$5:$B$10,0),MATCH('LISTA - Setembro2024'!$AC133,Auxiliar!$D$4:$I$4,0))</f>
        <v>0</v>
      </c>
      <c r="AK133" s="160">
        <f>SUM(AF133,AH133:AJ133)</f>
        <v>0</v>
      </c>
      <c r="AL133" s="87"/>
    </row>
    <row r="134" spans="1:38" ht="13.8" x14ac:dyDescent="0.25">
      <c r="A134" s="158" t="s">
        <v>1295</v>
      </c>
      <c r="B134" s="81" t="str">
        <f t="shared" si="41"/>
        <v>ENTITY_ADDRSS_STRT</v>
      </c>
      <c r="C134" s="82" t="s">
        <v>10</v>
      </c>
      <c r="D134" s="83" t="s">
        <v>1296</v>
      </c>
      <c r="E134" s="94" t="s">
        <v>1297</v>
      </c>
      <c r="F134" s="85" t="s">
        <v>13</v>
      </c>
      <c r="G134" s="85" t="s">
        <v>11</v>
      </c>
      <c r="H134" s="85" t="s">
        <v>11</v>
      </c>
      <c r="I134" s="85" t="s">
        <v>11</v>
      </c>
      <c r="J134" s="85" t="s">
        <v>11</v>
      </c>
      <c r="K134" s="85" t="s">
        <v>11</v>
      </c>
      <c r="L134" s="86" t="str">
        <f>IFERROR(VLOOKUP($B134,'LISTA - Atual'!$B$1:$I$444,5,0),"Novo")</f>
        <v>Novo</v>
      </c>
      <c r="M134" s="86" t="str">
        <f t="shared" si="34"/>
        <v>Novo Campo</v>
      </c>
      <c r="N134" s="86" t="str">
        <f>IFERROR(VLOOKUP($B134,'LISTA - Atual'!$B$1:$I$444,6,0),"Novo")</f>
        <v>Novo</v>
      </c>
      <c r="O134" s="86" t="str">
        <f t="shared" si="35"/>
        <v>Novo Campo</v>
      </c>
      <c r="P134" s="86" t="str">
        <f>IFERROR(VLOOKUP($B134,'LISTA - Atual'!$B$1:$I$444,7,0),"Novo")</f>
        <v>Novo</v>
      </c>
      <c r="Q134" s="86" t="str">
        <f t="shared" si="36"/>
        <v>Novo Campo</v>
      </c>
      <c r="R134" s="86" t="s">
        <v>1563</v>
      </c>
      <c r="S134" s="86" t="str">
        <f>IFERROR(VLOOKUP($B134,'LISTA - Atual'!$B$1:$I$444,8,0),"Novo")</f>
        <v>Novo</v>
      </c>
      <c r="T134" s="86" t="str">
        <f t="shared" si="37"/>
        <v>Novo Campo</v>
      </c>
      <c r="U134" s="86" t="s">
        <v>1563</v>
      </c>
      <c r="V134" s="86" t="s">
        <v>11</v>
      </c>
      <c r="W134" s="87" t="str">
        <f>IFERROR(VLOOKUP(B134,#REF!,11,0),"n/a")</f>
        <v>n/a</v>
      </c>
      <c r="X134" s="87" t="str">
        <f>IFERROR(VLOOKUP(B134,#REF!,8,0),"n/a")</f>
        <v>n/a</v>
      </c>
      <c r="Y134" s="87" t="str">
        <f t="shared" si="38"/>
        <v>ESTR</v>
      </c>
      <c r="Z134" s="131" t="s">
        <v>1570</v>
      </c>
      <c r="AA134" s="227" t="e">
        <f>VLOOKUP(Table1[[#This Row],[CONCAT]],'Campos Resumo Prop2.0'!A:H,8,0)</f>
        <v>#N/A</v>
      </c>
      <c r="AB134" s="87" t="s">
        <v>1652</v>
      </c>
      <c r="AC134" s="88" t="s">
        <v>1625</v>
      </c>
      <c r="AD134" s="91">
        <f>INDEX(Auxiliar!$D$5:$I$10,MATCH('LISTA - Setembro2024'!AD$3,Auxiliar!$B$5:$B$10,0),MATCH('LISTA - Setembro2024'!$AC134,Auxiliar!$D$4:$I$4,0))</f>
        <v>0</v>
      </c>
      <c r="AE134" s="91">
        <f>INDEX(Auxiliar!$D$5:$I$10,MATCH('LISTA - Setembro2024'!AE$3,Auxiliar!$B$5:$B$10,0),MATCH('LISTA - Setembro2024'!$AC134,Auxiliar!$D$4:$I$4,0))</f>
        <v>0</v>
      </c>
      <c r="AF134" s="87">
        <f>INDEX(Auxiliar!$D$5:$I$10,MATCH('LISTA - Setembro2024'!AF$3,Auxiliar!$B$5:$B$10,0),MATCH('LISTA - Setembro2024'!$AC134,Auxiliar!$D$4:$I$4,0))</f>
        <v>0</v>
      </c>
      <c r="AG134" s="87" t="str">
        <f t="shared" si="39"/>
        <v>n.a.</v>
      </c>
      <c r="AH134" s="87">
        <f>INDEX(Auxiliar!$D$5:$I$10,MATCH('LISTA - Setembro2024'!AH$3,Auxiliar!$B$5:$B$10,0),MATCH('LISTA - Setembro2024'!$AG134,Auxiliar!$D$4:$I$4,0))</f>
        <v>0</v>
      </c>
      <c r="AI134" s="87">
        <f>INDEX(Auxiliar!$D$5:$I$10,MATCH('LISTA - Setembro2024'!AI$3,Auxiliar!$B$5:$B$10,0),MATCH('LISTA - Setembro2024'!$AC134,Auxiliar!$D$4:$I$4,0))</f>
        <v>0</v>
      </c>
      <c r="AJ134" s="87">
        <f>INDEX(Auxiliar!$D$5:$I$10,MATCH('LISTA - Setembro2024'!AJ$3,Auxiliar!$B$5:$B$10,0),MATCH('LISTA - Setembro2024'!$AC134,Auxiliar!$D$4:$I$4,0))</f>
        <v>0</v>
      </c>
      <c r="AK134" s="160">
        <f t="shared" ref="AK134:AK197" si="42">SUM(AF134,AH134:AJ134)</f>
        <v>0</v>
      </c>
      <c r="AL134" s="87"/>
    </row>
    <row r="135" spans="1:38" ht="13.8" x14ac:dyDescent="0.25">
      <c r="A135" s="158" t="s">
        <v>1298</v>
      </c>
      <c r="B135" s="81" t="str">
        <f t="shared" si="41"/>
        <v>ENTITY_DT_ENTRPRS_SZ</v>
      </c>
      <c r="C135" s="82" t="s">
        <v>10</v>
      </c>
      <c r="D135" s="83" t="s">
        <v>1299</v>
      </c>
      <c r="E135" s="93" t="s">
        <v>1300</v>
      </c>
      <c r="F135" s="85" t="s">
        <v>13</v>
      </c>
      <c r="G135" s="85" t="s">
        <v>11</v>
      </c>
      <c r="H135" s="85" t="s">
        <v>11</v>
      </c>
      <c r="I135" s="85" t="s">
        <v>11</v>
      </c>
      <c r="J135" s="85" t="s">
        <v>11</v>
      </c>
      <c r="K135" s="85" t="s">
        <v>11</v>
      </c>
      <c r="L135" s="86" t="str">
        <f>IFERROR(VLOOKUP($B135,'LISTA - Atual'!$B$1:$I$444,5,0),"Novo")</f>
        <v>Novo</v>
      </c>
      <c r="M135" s="86" t="str">
        <f t="shared" si="34"/>
        <v>Novo Campo</v>
      </c>
      <c r="N135" s="86" t="str">
        <f>IFERROR(VLOOKUP($B135,'LISTA - Atual'!$B$1:$I$444,6,0),"Novo")</f>
        <v>Novo</v>
      </c>
      <c r="O135" s="86" t="str">
        <f t="shared" si="35"/>
        <v>Novo Campo</v>
      </c>
      <c r="P135" s="86" t="str">
        <f>IFERROR(VLOOKUP($B135,'LISTA - Atual'!$B$1:$I$444,7,0),"Novo")</f>
        <v>Novo</v>
      </c>
      <c r="Q135" s="86" t="str">
        <f t="shared" si="36"/>
        <v>Novo Campo</v>
      </c>
      <c r="R135" s="86" t="s">
        <v>1563</v>
      </c>
      <c r="S135" s="86" t="str">
        <f>IFERROR(VLOOKUP($B135,'LISTA - Atual'!$B$1:$I$444,8,0),"Novo")</f>
        <v>Novo</v>
      </c>
      <c r="T135" s="86" t="str">
        <f t="shared" si="37"/>
        <v>Novo Campo</v>
      </c>
      <c r="U135" s="86" t="s">
        <v>1563</v>
      </c>
      <c r="V135" s="86" t="s">
        <v>11</v>
      </c>
      <c r="W135" s="87" t="str">
        <f>IFERROR(VLOOKUP(B135,#REF!,11,0),"n/a")</f>
        <v>n/a</v>
      </c>
      <c r="X135" s="87" t="str">
        <f>IFERROR(VLOOKUP(B135,#REF!,8,0),"n/a")</f>
        <v>n/a</v>
      </c>
      <c r="Y135" s="87" t="str">
        <f t="shared" si="38"/>
        <v>ESTR</v>
      </c>
      <c r="Z135" s="131" t="s">
        <v>1570</v>
      </c>
      <c r="AA135" s="227" t="e">
        <f>VLOOKUP(Table1[[#This Row],[CONCAT]],'Campos Resumo Prop2.0'!A:H,8,0)</f>
        <v>#N/A</v>
      </c>
      <c r="AB135" s="87" t="s">
        <v>1651</v>
      </c>
      <c r="AC135" s="88" t="s">
        <v>1625</v>
      </c>
      <c r="AD135" s="91">
        <f>INDEX(Auxiliar!$D$5:$I$10,MATCH('LISTA - Setembro2024'!AD$3,Auxiliar!$B$5:$B$10,0),MATCH('LISTA - Setembro2024'!$AC135,Auxiliar!$D$4:$I$4,0))</f>
        <v>0</v>
      </c>
      <c r="AE135" s="91">
        <f>INDEX(Auxiliar!$D$5:$I$10,MATCH('LISTA - Setembro2024'!AE$3,Auxiliar!$B$5:$B$10,0),MATCH('LISTA - Setembro2024'!$AC135,Auxiliar!$D$4:$I$4,0))</f>
        <v>0</v>
      </c>
      <c r="AF135" s="87">
        <f>INDEX(Auxiliar!$D$5:$I$10,MATCH('LISTA - Setembro2024'!AF$3,Auxiliar!$B$5:$B$10,0),MATCH('LISTA - Setembro2024'!$AC135,Auxiliar!$D$4:$I$4,0))</f>
        <v>0</v>
      </c>
      <c r="AG135" s="87" t="str">
        <f t="shared" si="39"/>
        <v>n.a.</v>
      </c>
      <c r="AH135" s="87">
        <f>INDEX(Auxiliar!$D$5:$I$10,MATCH('LISTA - Setembro2024'!AH$3,Auxiliar!$B$5:$B$10,0),MATCH('LISTA - Setembro2024'!$AG135,Auxiliar!$D$4:$I$4,0))</f>
        <v>0</v>
      </c>
      <c r="AI135" s="87">
        <f>INDEX(Auxiliar!$D$5:$I$10,MATCH('LISTA - Setembro2024'!AI$3,Auxiliar!$B$5:$B$10,0),MATCH('LISTA - Setembro2024'!$AC135,Auxiliar!$D$4:$I$4,0))</f>
        <v>0</v>
      </c>
      <c r="AJ135" s="87">
        <f>INDEX(Auxiliar!$D$5:$I$10,MATCH('LISTA - Setembro2024'!AJ$3,Auxiliar!$B$5:$B$10,0),MATCH('LISTA - Setembro2024'!$AC135,Auxiliar!$D$4:$I$4,0))</f>
        <v>0</v>
      </c>
      <c r="AK135" s="160">
        <f t="shared" si="42"/>
        <v>0</v>
      </c>
      <c r="AL135" s="87"/>
    </row>
    <row r="136" spans="1:38" ht="13.8" x14ac:dyDescent="0.25">
      <c r="A136" s="158" t="s">
        <v>1301</v>
      </c>
      <c r="B136" s="81" t="str">
        <f t="shared" si="41"/>
        <v>ENTITY_NMBR_EMPLYS</v>
      </c>
      <c r="C136" s="82" t="s">
        <v>10</v>
      </c>
      <c r="D136" s="83" t="s">
        <v>1302</v>
      </c>
      <c r="E136" s="94" t="s">
        <v>1303</v>
      </c>
      <c r="F136" s="85" t="s">
        <v>13</v>
      </c>
      <c r="G136" s="85" t="s">
        <v>11</v>
      </c>
      <c r="H136" s="85" t="s">
        <v>11</v>
      </c>
      <c r="I136" s="85" t="s">
        <v>11</v>
      </c>
      <c r="J136" s="85" t="s">
        <v>11</v>
      </c>
      <c r="K136" s="85" t="s">
        <v>11</v>
      </c>
      <c r="L136" s="86" t="str">
        <f>IFERROR(VLOOKUP($B136,'LISTA - Atual'!$B$1:$I$444,5,0),"Novo")</f>
        <v>Novo</v>
      </c>
      <c r="M136" s="86" t="str">
        <f t="shared" si="34"/>
        <v>Novo Campo</v>
      </c>
      <c r="N136" s="86" t="str">
        <f>IFERROR(VLOOKUP($B136,'LISTA - Atual'!$B$1:$I$444,6,0),"Novo")</f>
        <v>Novo</v>
      </c>
      <c r="O136" s="86" t="str">
        <f t="shared" si="35"/>
        <v>Novo Campo</v>
      </c>
      <c r="P136" s="86" t="str">
        <f>IFERROR(VLOOKUP($B136,'LISTA - Atual'!$B$1:$I$444,7,0),"Novo")</f>
        <v>Novo</v>
      </c>
      <c r="Q136" s="86" t="str">
        <f t="shared" si="36"/>
        <v>Novo Campo</v>
      </c>
      <c r="R136" s="86" t="s">
        <v>1563</v>
      </c>
      <c r="S136" s="86" t="str">
        <f>IFERROR(VLOOKUP($B136,'LISTA - Atual'!$B$1:$I$444,8,0),"Novo")</f>
        <v>Novo</v>
      </c>
      <c r="T136" s="86" t="str">
        <f t="shared" si="37"/>
        <v>Novo Campo</v>
      </c>
      <c r="U136" s="86" t="s">
        <v>1563</v>
      </c>
      <c r="V136" s="86" t="s">
        <v>11</v>
      </c>
      <c r="W136" s="87" t="str">
        <f>IFERROR(VLOOKUP(B136,#REF!,11,0),"n/a")</f>
        <v>n/a</v>
      </c>
      <c r="X136" s="87" t="str">
        <f>IFERROR(VLOOKUP(B136,#REF!,8,0),"n/a")</f>
        <v>n/a</v>
      </c>
      <c r="Y136" s="87" t="str">
        <f t="shared" si="38"/>
        <v>ESTR</v>
      </c>
      <c r="Z136" s="131" t="s">
        <v>1570</v>
      </c>
      <c r="AA136" s="227" t="e">
        <f>VLOOKUP(Table1[[#This Row],[CONCAT]],'Campos Resumo Prop2.0'!A:H,8,0)</f>
        <v>#N/A</v>
      </c>
      <c r="AB136" s="87" t="s">
        <v>1658</v>
      </c>
      <c r="AC136" s="88" t="s">
        <v>1625</v>
      </c>
      <c r="AD136" s="91">
        <f>INDEX(Auxiliar!$D$5:$I$10,MATCH('LISTA - Setembro2024'!AD$3,Auxiliar!$B$5:$B$10,0),MATCH('LISTA - Setembro2024'!$AC136,Auxiliar!$D$4:$I$4,0))</f>
        <v>0</v>
      </c>
      <c r="AE136" s="91">
        <f>INDEX(Auxiliar!$D$5:$I$10,MATCH('LISTA - Setembro2024'!AE$3,Auxiliar!$B$5:$B$10,0),MATCH('LISTA - Setembro2024'!$AC136,Auxiliar!$D$4:$I$4,0))</f>
        <v>0</v>
      </c>
      <c r="AF136" s="87">
        <f>INDEX(Auxiliar!$D$5:$I$10,MATCH('LISTA - Setembro2024'!AF$3,Auxiliar!$B$5:$B$10,0),MATCH('LISTA - Setembro2024'!$AC136,Auxiliar!$D$4:$I$4,0))</f>
        <v>0</v>
      </c>
      <c r="AG136" s="87" t="str">
        <f t="shared" si="39"/>
        <v>n.a.</v>
      </c>
      <c r="AH136" s="87">
        <f>INDEX(Auxiliar!$D$5:$I$10,MATCH('LISTA - Setembro2024'!AH$3,Auxiliar!$B$5:$B$10,0),MATCH('LISTA - Setembro2024'!$AG136,Auxiliar!$D$4:$I$4,0))</f>
        <v>0</v>
      </c>
      <c r="AI136" s="87">
        <f>INDEX(Auxiliar!$D$5:$I$10,MATCH('LISTA - Setembro2024'!AI$3,Auxiliar!$B$5:$B$10,0),MATCH('LISTA - Setembro2024'!$AC136,Auxiliar!$D$4:$I$4,0))</f>
        <v>0</v>
      </c>
      <c r="AJ136" s="87">
        <f>INDEX(Auxiliar!$D$5:$I$10,MATCH('LISTA - Setembro2024'!AJ$3,Auxiliar!$B$5:$B$10,0),MATCH('LISTA - Setembro2024'!$AC136,Auxiliar!$D$4:$I$4,0))</f>
        <v>0</v>
      </c>
      <c r="AK136" s="160">
        <f t="shared" si="42"/>
        <v>0</v>
      </c>
      <c r="AL136" s="87"/>
    </row>
    <row r="137" spans="1:38" ht="13.8" x14ac:dyDescent="0.25">
      <c r="A137" s="158" t="s">
        <v>1304</v>
      </c>
      <c r="B137" s="81" t="str">
        <f t="shared" si="41"/>
        <v>ENTITY_LGL_FRM</v>
      </c>
      <c r="C137" s="82" t="s">
        <v>10</v>
      </c>
      <c r="D137" s="83" t="s">
        <v>1305</v>
      </c>
      <c r="E137" s="94" t="s">
        <v>1306</v>
      </c>
      <c r="F137" s="85" t="s">
        <v>13</v>
      </c>
      <c r="G137" s="85" t="s">
        <v>11</v>
      </c>
      <c r="H137" s="85" t="s">
        <v>11</v>
      </c>
      <c r="I137" s="85" t="s">
        <v>11</v>
      </c>
      <c r="J137" s="85" t="s">
        <v>11</v>
      </c>
      <c r="K137" s="85" t="s">
        <v>11</v>
      </c>
      <c r="L137" s="86" t="str">
        <f>IFERROR(VLOOKUP($B137,'LISTA - Atual'!$B$1:$I$444,5,0),"Novo")</f>
        <v>Novo</v>
      </c>
      <c r="M137" s="86" t="str">
        <f t="shared" si="34"/>
        <v>Novo Campo</v>
      </c>
      <c r="N137" s="86" t="str">
        <f>IFERROR(VLOOKUP($B137,'LISTA - Atual'!$B$1:$I$444,6,0),"Novo")</f>
        <v>Novo</v>
      </c>
      <c r="O137" s="86" t="str">
        <f t="shared" si="35"/>
        <v>Novo Campo</v>
      </c>
      <c r="P137" s="86" t="str">
        <f>IFERROR(VLOOKUP($B137,'LISTA - Atual'!$B$1:$I$444,7,0),"Novo")</f>
        <v>Novo</v>
      </c>
      <c r="Q137" s="86" t="str">
        <f t="shared" si="36"/>
        <v>Novo Campo</v>
      </c>
      <c r="R137" s="86" t="s">
        <v>1563</v>
      </c>
      <c r="S137" s="86" t="str">
        <f>IFERROR(VLOOKUP($B137,'LISTA - Atual'!$B$1:$I$444,8,0),"Novo")</f>
        <v>Novo</v>
      </c>
      <c r="T137" s="86" t="str">
        <f t="shared" si="37"/>
        <v>Novo Campo</v>
      </c>
      <c r="U137" s="86" t="s">
        <v>1563</v>
      </c>
      <c r="V137" s="86" t="s">
        <v>11</v>
      </c>
      <c r="W137" s="87" t="str">
        <f>IFERROR(VLOOKUP(B137,#REF!,11,0),"n/a")</f>
        <v>n/a</v>
      </c>
      <c r="X137" s="87" t="str">
        <f>IFERROR(VLOOKUP(B137,#REF!,8,0),"n/a")</f>
        <v>n/a</v>
      </c>
      <c r="Y137" s="87" t="str">
        <f t="shared" si="38"/>
        <v>ESTR</v>
      </c>
      <c r="Z137" s="131" t="s">
        <v>1570</v>
      </c>
      <c r="AA137" s="227" t="e">
        <f>VLOOKUP(Table1[[#This Row],[CONCAT]],'Campos Resumo Prop2.0'!A:H,8,0)</f>
        <v>#N/A</v>
      </c>
      <c r="AB137" s="87" t="s">
        <v>1652</v>
      </c>
      <c r="AC137" s="88" t="s">
        <v>1625</v>
      </c>
      <c r="AD137" s="91">
        <f>INDEX(Auxiliar!$D$5:$I$10,MATCH('LISTA - Setembro2024'!AD$3,Auxiliar!$B$5:$B$10,0),MATCH('LISTA - Setembro2024'!$AC137,Auxiliar!$D$4:$I$4,0))</f>
        <v>0</v>
      </c>
      <c r="AE137" s="91">
        <f>INDEX(Auxiliar!$D$5:$I$10,MATCH('LISTA - Setembro2024'!AE$3,Auxiliar!$B$5:$B$10,0),MATCH('LISTA - Setembro2024'!$AC137,Auxiliar!$D$4:$I$4,0))</f>
        <v>0</v>
      </c>
      <c r="AF137" s="87">
        <f>INDEX(Auxiliar!$D$5:$I$10,MATCH('LISTA - Setembro2024'!AF$3,Auxiliar!$B$5:$B$10,0),MATCH('LISTA - Setembro2024'!$AC137,Auxiliar!$D$4:$I$4,0))</f>
        <v>0</v>
      </c>
      <c r="AG137" s="87" t="str">
        <f t="shared" si="39"/>
        <v>n.a.</v>
      </c>
      <c r="AH137" s="87">
        <f>INDEX(Auxiliar!$D$5:$I$10,MATCH('LISTA - Setembro2024'!AH$3,Auxiliar!$B$5:$B$10,0),MATCH('LISTA - Setembro2024'!$AG137,Auxiliar!$D$4:$I$4,0))</f>
        <v>0</v>
      </c>
      <c r="AI137" s="87">
        <f>INDEX(Auxiliar!$D$5:$I$10,MATCH('LISTA - Setembro2024'!AI$3,Auxiliar!$B$5:$B$10,0),MATCH('LISTA - Setembro2024'!$AC137,Auxiliar!$D$4:$I$4,0))</f>
        <v>0</v>
      </c>
      <c r="AJ137" s="87">
        <f>INDEX(Auxiliar!$D$5:$I$10,MATCH('LISTA - Setembro2024'!AJ$3,Auxiliar!$B$5:$B$10,0),MATCH('LISTA - Setembro2024'!$AC137,Auxiliar!$D$4:$I$4,0))</f>
        <v>0</v>
      </c>
      <c r="AK137" s="160">
        <f t="shared" si="42"/>
        <v>0</v>
      </c>
      <c r="AL137" s="87"/>
    </row>
    <row r="138" spans="1:38" ht="13.8" x14ac:dyDescent="0.25">
      <c r="A138" s="158" t="s">
        <v>1307</v>
      </c>
      <c r="B138" s="81" t="str">
        <f t="shared" si="41"/>
        <v>ENTITY_HD_OFFC_UNDRTKNG_ID</v>
      </c>
      <c r="C138" s="82" t="s">
        <v>10</v>
      </c>
      <c r="D138" s="83" t="s">
        <v>1308</v>
      </c>
      <c r="E138" s="93" t="s">
        <v>1309</v>
      </c>
      <c r="F138" s="85" t="s">
        <v>13</v>
      </c>
      <c r="G138" s="85" t="s">
        <v>11</v>
      </c>
      <c r="H138" s="85" t="s">
        <v>11</v>
      </c>
      <c r="I138" s="85" t="s">
        <v>11</v>
      </c>
      <c r="J138" s="85" t="s">
        <v>11</v>
      </c>
      <c r="K138" s="85" t="s">
        <v>11</v>
      </c>
      <c r="L138" s="86" t="str">
        <f>IFERROR(VLOOKUP($B138,'LISTA - Atual'!$B$1:$I$444,5,0),"Novo")</f>
        <v>Novo</v>
      </c>
      <c r="M138" s="86" t="str">
        <f t="shared" si="34"/>
        <v>Novo Campo</v>
      </c>
      <c r="N138" s="86" t="str">
        <f>IFERROR(VLOOKUP($B138,'LISTA - Atual'!$B$1:$I$444,6,0),"Novo")</f>
        <v>Novo</v>
      </c>
      <c r="O138" s="86" t="str">
        <f t="shared" si="35"/>
        <v>Novo Campo</v>
      </c>
      <c r="P138" s="86" t="str">
        <f>IFERROR(VLOOKUP($B138,'LISTA - Atual'!$B$1:$I$444,7,0),"Novo")</f>
        <v>Novo</v>
      </c>
      <c r="Q138" s="86" t="str">
        <f t="shared" si="36"/>
        <v>Novo Campo</v>
      </c>
      <c r="R138" s="86" t="s">
        <v>1563</v>
      </c>
      <c r="S138" s="86" t="str">
        <f>IFERROR(VLOOKUP($B138,'LISTA - Atual'!$B$1:$I$444,8,0),"Novo")</f>
        <v>Novo</v>
      </c>
      <c r="T138" s="86" t="str">
        <f t="shared" si="37"/>
        <v>Novo Campo</v>
      </c>
      <c r="U138" s="86" t="s">
        <v>1563</v>
      </c>
      <c r="V138" s="86" t="s">
        <v>11</v>
      </c>
      <c r="W138" s="87" t="str">
        <f>IFERROR(VLOOKUP(B138,#REF!,11,0),"n/a")</f>
        <v>n/a</v>
      </c>
      <c r="X138" s="87" t="str">
        <f>IFERROR(VLOOKUP(B138,#REF!,8,0),"n/a")</f>
        <v>n/a</v>
      </c>
      <c r="Y138" s="87" t="str">
        <f t="shared" si="38"/>
        <v>ESTR</v>
      </c>
      <c r="Z138" s="131" t="s">
        <v>1570</v>
      </c>
      <c r="AA138" s="227" t="e">
        <f>VLOOKUP(Table1[[#This Row],[CONCAT]],'Campos Resumo Prop2.0'!A:H,8,0)</f>
        <v>#N/A</v>
      </c>
      <c r="AB138" s="87" t="s">
        <v>1652</v>
      </c>
      <c r="AC138" s="88" t="s">
        <v>1625</v>
      </c>
      <c r="AD138" s="91">
        <f>INDEX(Auxiliar!$D$5:$I$10,MATCH('LISTA - Setembro2024'!AD$3,Auxiliar!$B$5:$B$10,0),MATCH('LISTA - Setembro2024'!$AC138,Auxiliar!$D$4:$I$4,0))</f>
        <v>0</v>
      </c>
      <c r="AE138" s="91">
        <f>INDEX(Auxiliar!$D$5:$I$10,MATCH('LISTA - Setembro2024'!AE$3,Auxiliar!$B$5:$B$10,0),MATCH('LISTA - Setembro2024'!$AC138,Auxiliar!$D$4:$I$4,0))</f>
        <v>0</v>
      </c>
      <c r="AF138" s="87">
        <f>INDEX(Auxiliar!$D$5:$I$10,MATCH('LISTA - Setembro2024'!AF$3,Auxiliar!$B$5:$B$10,0),MATCH('LISTA - Setembro2024'!$AC138,Auxiliar!$D$4:$I$4,0))</f>
        <v>0</v>
      </c>
      <c r="AG138" s="87" t="str">
        <f t="shared" si="39"/>
        <v>n.a.</v>
      </c>
      <c r="AH138" s="87">
        <f>INDEX(Auxiliar!$D$5:$I$10,MATCH('LISTA - Setembro2024'!AH$3,Auxiliar!$B$5:$B$10,0),MATCH('LISTA - Setembro2024'!$AG138,Auxiliar!$D$4:$I$4,0))</f>
        <v>0</v>
      </c>
      <c r="AI138" s="87">
        <f>INDEX(Auxiliar!$D$5:$I$10,MATCH('LISTA - Setembro2024'!AI$3,Auxiliar!$B$5:$B$10,0),MATCH('LISTA - Setembro2024'!$AC138,Auxiliar!$D$4:$I$4,0))</f>
        <v>0</v>
      </c>
      <c r="AJ138" s="87">
        <f>INDEX(Auxiliar!$D$5:$I$10,MATCH('LISTA - Setembro2024'!AJ$3,Auxiliar!$B$5:$B$10,0),MATCH('LISTA - Setembro2024'!$AC138,Auxiliar!$D$4:$I$4,0))</f>
        <v>0</v>
      </c>
      <c r="AK138" s="160">
        <f t="shared" si="42"/>
        <v>0</v>
      </c>
      <c r="AL138" s="87"/>
    </row>
    <row r="139" spans="1:38" ht="13.8" x14ac:dyDescent="0.25">
      <c r="A139" s="158" t="s">
        <v>1310</v>
      </c>
      <c r="B139" s="81" t="str">
        <f t="shared" si="41"/>
        <v>ENTITY_IMMDT_PRNT_UNDRTKNG_ID</v>
      </c>
      <c r="C139" s="82" t="s">
        <v>10</v>
      </c>
      <c r="D139" s="83" t="s">
        <v>1311</v>
      </c>
      <c r="E139" s="94" t="s">
        <v>1312</v>
      </c>
      <c r="F139" s="85" t="s">
        <v>13</v>
      </c>
      <c r="G139" s="85" t="s">
        <v>11</v>
      </c>
      <c r="H139" s="85" t="s">
        <v>11</v>
      </c>
      <c r="I139" s="85" t="s">
        <v>11</v>
      </c>
      <c r="J139" s="85" t="s">
        <v>11</v>
      </c>
      <c r="K139" s="85" t="s">
        <v>11</v>
      </c>
      <c r="L139" s="86" t="str">
        <f>IFERROR(VLOOKUP($B139,'LISTA - Atual'!$B$1:$I$444,5,0),"Novo")</f>
        <v>Novo</v>
      </c>
      <c r="M139" s="86" t="str">
        <f t="shared" si="34"/>
        <v>Novo Campo</v>
      </c>
      <c r="N139" s="86" t="str">
        <f>IFERROR(VLOOKUP($B139,'LISTA - Atual'!$B$1:$I$444,6,0),"Novo")</f>
        <v>Novo</v>
      </c>
      <c r="O139" s="86" t="str">
        <f t="shared" si="35"/>
        <v>Novo Campo</v>
      </c>
      <c r="P139" s="86" t="str">
        <f>IFERROR(VLOOKUP($B139,'LISTA - Atual'!$B$1:$I$444,7,0),"Novo")</f>
        <v>Novo</v>
      </c>
      <c r="Q139" s="86" t="str">
        <f t="shared" si="36"/>
        <v>Novo Campo</v>
      </c>
      <c r="R139" s="86" t="s">
        <v>1563</v>
      </c>
      <c r="S139" s="86" t="str">
        <f>IFERROR(VLOOKUP($B139,'LISTA - Atual'!$B$1:$I$444,8,0),"Novo")</f>
        <v>Novo</v>
      </c>
      <c r="T139" s="86" t="str">
        <f t="shared" si="37"/>
        <v>Novo Campo</v>
      </c>
      <c r="U139" s="86" t="s">
        <v>1563</v>
      </c>
      <c r="V139" s="86" t="s">
        <v>11</v>
      </c>
      <c r="W139" s="87" t="str">
        <f>IFERROR(VLOOKUP(B139,#REF!,11,0),"n/a")</f>
        <v>n/a</v>
      </c>
      <c r="X139" s="87" t="str">
        <f>IFERROR(VLOOKUP(B139,#REF!,8,0),"n/a")</f>
        <v>n/a</v>
      </c>
      <c r="Y139" s="87" t="str">
        <f t="shared" si="38"/>
        <v>ESTR</v>
      </c>
      <c r="Z139" s="131" t="s">
        <v>1570</v>
      </c>
      <c r="AA139" s="227" t="e">
        <f>VLOOKUP(Table1[[#This Row],[CONCAT]],'Campos Resumo Prop2.0'!A:H,8,0)</f>
        <v>#N/A</v>
      </c>
      <c r="AB139" s="87" t="s">
        <v>1652</v>
      </c>
      <c r="AC139" s="88" t="s">
        <v>1625</v>
      </c>
      <c r="AD139" s="91">
        <f>INDEX(Auxiliar!$D$5:$I$10,MATCH('LISTA - Setembro2024'!AD$3,Auxiliar!$B$5:$B$10,0),MATCH('LISTA - Setembro2024'!$AC139,Auxiliar!$D$4:$I$4,0))</f>
        <v>0</v>
      </c>
      <c r="AE139" s="91">
        <f>INDEX(Auxiliar!$D$5:$I$10,MATCH('LISTA - Setembro2024'!AE$3,Auxiliar!$B$5:$B$10,0),MATCH('LISTA - Setembro2024'!$AC139,Auxiliar!$D$4:$I$4,0))</f>
        <v>0</v>
      </c>
      <c r="AF139" s="87">
        <f>INDEX(Auxiliar!$D$5:$I$10,MATCH('LISTA - Setembro2024'!AF$3,Auxiliar!$B$5:$B$10,0),MATCH('LISTA - Setembro2024'!$AC139,Auxiliar!$D$4:$I$4,0))</f>
        <v>0</v>
      </c>
      <c r="AG139" s="87" t="str">
        <f t="shared" si="39"/>
        <v>n.a.</v>
      </c>
      <c r="AH139" s="87">
        <f>INDEX(Auxiliar!$D$5:$I$10,MATCH('LISTA - Setembro2024'!AH$3,Auxiliar!$B$5:$B$10,0),MATCH('LISTA - Setembro2024'!$AG139,Auxiliar!$D$4:$I$4,0))</f>
        <v>0</v>
      </c>
      <c r="AI139" s="87">
        <f>INDEX(Auxiliar!$D$5:$I$10,MATCH('LISTA - Setembro2024'!AI$3,Auxiliar!$B$5:$B$10,0),MATCH('LISTA - Setembro2024'!$AC139,Auxiliar!$D$4:$I$4,0))</f>
        <v>0</v>
      </c>
      <c r="AJ139" s="87">
        <f>INDEX(Auxiliar!$D$5:$I$10,MATCH('LISTA - Setembro2024'!AJ$3,Auxiliar!$B$5:$B$10,0),MATCH('LISTA - Setembro2024'!$AC139,Auxiliar!$D$4:$I$4,0))</f>
        <v>0</v>
      </c>
      <c r="AK139" s="160">
        <f t="shared" si="42"/>
        <v>0</v>
      </c>
      <c r="AL139" s="87"/>
    </row>
    <row r="140" spans="1:38" ht="13.8" x14ac:dyDescent="0.25">
      <c r="A140" s="158" t="s">
        <v>1313</v>
      </c>
      <c r="B140" s="81" t="str">
        <f t="shared" si="41"/>
        <v>ENTITY_ULTMT_PRNT_UNDRTKNG_ID</v>
      </c>
      <c r="C140" s="82" t="s">
        <v>10</v>
      </c>
      <c r="D140" s="83" t="s">
        <v>1314</v>
      </c>
      <c r="E140" s="94" t="s">
        <v>1315</v>
      </c>
      <c r="F140" s="85" t="s">
        <v>13</v>
      </c>
      <c r="G140" s="85" t="s">
        <v>11</v>
      </c>
      <c r="H140" s="85" t="s">
        <v>11</v>
      </c>
      <c r="I140" s="85" t="s">
        <v>11</v>
      </c>
      <c r="J140" s="85" t="s">
        <v>11</v>
      </c>
      <c r="K140" s="85" t="s">
        <v>11</v>
      </c>
      <c r="L140" s="86" t="str">
        <f>IFERROR(VLOOKUP($B140,'LISTA - Atual'!$B$1:$I$444,5,0),"Novo")</f>
        <v>Novo</v>
      </c>
      <c r="M140" s="86" t="str">
        <f t="shared" si="34"/>
        <v>Novo Campo</v>
      </c>
      <c r="N140" s="86" t="str">
        <f>IFERROR(VLOOKUP($B140,'LISTA - Atual'!$B$1:$I$444,6,0),"Novo")</f>
        <v>Novo</v>
      </c>
      <c r="O140" s="86" t="str">
        <f t="shared" si="35"/>
        <v>Novo Campo</v>
      </c>
      <c r="P140" s="86" t="str">
        <f>IFERROR(VLOOKUP($B140,'LISTA - Atual'!$B$1:$I$444,7,0),"Novo")</f>
        <v>Novo</v>
      </c>
      <c r="Q140" s="86" t="str">
        <f t="shared" si="36"/>
        <v>Novo Campo</v>
      </c>
      <c r="R140" s="86" t="s">
        <v>1563</v>
      </c>
      <c r="S140" s="86" t="str">
        <f>IFERROR(VLOOKUP($B140,'LISTA - Atual'!$B$1:$I$444,8,0),"Novo")</f>
        <v>Novo</v>
      </c>
      <c r="T140" s="86" t="str">
        <f t="shared" si="37"/>
        <v>Novo Campo</v>
      </c>
      <c r="U140" s="86" t="s">
        <v>1563</v>
      </c>
      <c r="V140" s="86" t="s">
        <v>11</v>
      </c>
      <c r="W140" s="87" t="str">
        <f>IFERROR(VLOOKUP(B140,#REF!,11,0),"n/a")</f>
        <v>n/a</v>
      </c>
      <c r="X140" s="87" t="str">
        <f>IFERROR(VLOOKUP(B140,#REF!,8,0),"n/a")</f>
        <v>n/a</v>
      </c>
      <c r="Y140" s="87" t="str">
        <f t="shared" si="38"/>
        <v>ESTR</v>
      </c>
      <c r="Z140" s="131" t="s">
        <v>1570</v>
      </c>
      <c r="AA140" s="227" t="e">
        <f>VLOOKUP(Table1[[#This Row],[CONCAT]],'Campos Resumo Prop2.0'!A:H,8,0)</f>
        <v>#N/A</v>
      </c>
      <c r="AB140" s="87" t="s">
        <v>1652</v>
      </c>
      <c r="AC140" s="88" t="s">
        <v>1625</v>
      </c>
      <c r="AD140" s="91">
        <f>INDEX(Auxiliar!$D$5:$I$10,MATCH('LISTA - Setembro2024'!AD$3,Auxiliar!$B$5:$B$10,0),MATCH('LISTA - Setembro2024'!$AC140,Auxiliar!$D$4:$I$4,0))</f>
        <v>0</v>
      </c>
      <c r="AE140" s="91">
        <f>INDEX(Auxiliar!$D$5:$I$10,MATCH('LISTA - Setembro2024'!AE$3,Auxiliar!$B$5:$B$10,0),MATCH('LISTA - Setembro2024'!$AC140,Auxiliar!$D$4:$I$4,0))</f>
        <v>0</v>
      </c>
      <c r="AF140" s="87">
        <f>INDEX(Auxiliar!$D$5:$I$10,MATCH('LISTA - Setembro2024'!AF$3,Auxiliar!$B$5:$B$10,0),MATCH('LISTA - Setembro2024'!$AC140,Auxiliar!$D$4:$I$4,0))</f>
        <v>0</v>
      </c>
      <c r="AG140" s="87" t="str">
        <f t="shared" si="39"/>
        <v>n.a.</v>
      </c>
      <c r="AH140" s="87">
        <f>INDEX(Auxiliar!$D$5:$I$10,MATCH('LISTA - Setembro2024'!AH$3,Auxiliar!$B$5:$B$10,0),MATCH('LISTA - Setembro2024'!$AG140,Auxiliar!$D$4:$I$4,0))</f>
        <v>0</v>
      </c>
      <c r="AI140" s="87">
        <f>INDEX(Auxiliar!$D$5:$I$10,MATCH('LISTA - Setembro2024'!AI$3,Auxiliar!$B$5:$B$10,0),MATCH('LISTA - Setembro2024'!$AC140,Auxiliar!$D$4:$I$4,0))</f>
        <v>0</v>
      </c>
      <c r="AJ140" s="87">
        <f>INDEX(Auxiliar!$D$5:$I$10,MATCH('LISTA - Setembro2024'!AJ$3,Auxiliar!$B$5:$B$10,0),MATCH('LISTA - Setembro2024'!$AC140,Auxiliar!$D$4:$I$4,0))</f>
        <v>0</v>
      </c>
      <c r="AK140" s="160">
        <f t="shared" si="42"/>
        <v>0</v>
      </c>
      <c r="AL140" s="87"/>
    </row>
    <row r="141" spans="1:38" ht="13.8" x14ac:dyDescent="0.25">
      <c r="A141" s="158" t="s">
        <v>1316</v>
      </c>
      <c r="B141" s="81" t="str">
        <f t="shared" si="41"/>
        <v>ENTITY_TTL_ASSTS</v>
      </c>
      <c r="C141" s="82" t="s">
        <v>10</v>
      </c>
      <c r="D141" s="83" t="s">
        <v>1317</v>
      </c>
      <c r="E141" s="93" t="s">
        <v>1318</v>
      </c>
      <c r="F141" s="85" t="s">
        <v>13</v>
      </c>
      <c r="G141" s="85" t="s">
        <v>11</v>
      </c>
      <c r="H141" s="85" t="s">
        <v>11</v>
      </c>
      <c r="I141" s="85" t="s">
        <v>11</v>
      </c>
      <c r="J141" s="85" t="s">
        <v>11</v>
      </c>
      <c r="K141" s="85" t="s">
        <v>11</v>
      </c>
      <c r="L141" s="86" t="str">
        <f>IFERROR(VLOOKUP($B141,'LISTA - Atual'!$B$1:$I$444,5,0),"Novo")</f>
        <v>Novo</v>
      </c>
      <c r="M141" s="86" t="str">
        <f t="shared" si="34"/>
        <v>Novo Campo</v>
      </c>
      <c r="N141" s="86" t="str">
        <f>IFERROR(VLOOKUP($B141,'LISTA - Atual'!$B$1:$I$444,6,0),"Novo")</f>
        <v>Novo</v>
      </c>
      <c r="O141" s="86" t="str">
        <f t="shared" si="35"/>
        <v>Novo Campo</v>
      </c>
      <c r="P141" s="86" t="str">
        <f>IFERROR(VLOOKUP($B141,'LISTA - Atual'!$B$1:$I$444,7,0),"Novo")</f>
        <v>Novo</v>
      </c>
      <c r="Q141" s="86" t="str">
        <f t="shared" si="36"/>
        <v>Novo Campo</v>
      </c>
      <c r="R141" s="86" t="s">
        <v>1563</v>
      </c>
      <c r="S141" s="86" t="str">
        <f>IFERROR(VLOOKUP($B141,'LISTA - Atual'!$B$1:$I$444,8,0),"Novo")</f>
        <v>Novo</v>
      </c>
      <c r="T141" s="86" t="str">
        <f t="shared" si="37"/>
        <v>Novo Campo</v>
      </c>
      <c r="U141" s="86" t="s">
        <v>1563</v>
      </c>
      <c r="V141" s="86" t="s">
        <v>11</v>
      </c>
      <c r="W141" s="87" t="str">
        <f>IFERROR(VLOOKUP(B141,#REF!,11,0),"n/a")</f>
        <v>n/a</v>
      </c>
      <c r="X141" s="87" t="str">
        <f>IFERROR(VLOOKUP(B141,#REF!,8,0),"n/a")</f>
        <v>n/a</v>
      </c>
      <c r="Y141" s="87" t="str">
        <f t="shared" si="38"/>
        <v>ESTR</v>
      </c>
      <c r="Z141" s="131" t="s">
        <v>1570</v>
      </c>
      <c r="AA141" s="227" t="e">
        <f>VLOOKUP(Table1[[#This Row],[CONCAT]],'Campos Resumo Prop2.0'!A:H,8,0)</f>
        <v>#N/A</v>
      </c>
      <c r="AB141" s="87" t="s">
        <v>1655</v>
      </c>
      <c r="AC141" s="88" t="s">
        <v>1625</v>
      </c>
      <c r="AD141" s="91">
        <f>INDEX(Auxiliar!$D$5:$I$10,MATCH('LISTA - Setembro2024'!AD$3,Auxiliar!$B$5:$B$10,0),MATCH('LISTA - Setembro2024'!$AC141,Auxiliar!$D$4:$I$4,0))</f>
        <v>0</v>
      </c>
      <c r="AE141" s="91">
        <f>INDEX(Auxiliar!$D$5:$I$10,MATCH('LISTA - Setembro2024'!AE$3,Auxiliar!$B$5:$B$10,0),MATCH('LISTA - Setembro2024'!$AC141,Auxiliar!$D$4:$I$4,0))</f>
        <v>0</v>
      </c>
      <c r="AF141" s="87">
        <f>INDEX(Auxiliar!$D$5:$I$10,MATCH('LISTA - Setembro2024'!AF$3,Auxiliar!$B$5:$B$10,0),MATCH('LISTA - Setembro2024'!$AC141,Auxiliar!$D$4:$I$4,0))</f>
        <v>0</v>
      </c>
      <c r="AG141" s="87" t="str">
        <f t="shared" si="39"/>
        <v>n.a.</v>
      </c>
      <c r="AH141" s="87">
        <f>INDEX(Auxiliar!$D$5:$I$10,MATCH('LISTA - Setembro2024'!AH$3,Auxiliar!$B$5:$B$10,0),MATCH('LISTA - Setembro2024'!$AG141,Auxiliar!$D$4:$I$4,0))</f>
        <v>0</v>
      </c>
      <c r="AI141" s="87">
        <f>INDEX(Auxiliar!$D$5:$I$10,MATCH('LISTA - Setembro2024'!AI$3,Auxiliar!$B$5:$B$10,0),MATCH('LISTA - Setembro2024'!$AC141,Auxiliar!$D$4:$I$4,0))</f>
        <v>0</v>
      </c>
      <c r="AJ141" s="87">
        <f>INDEX(Auxiliar!$D$5:$I$10,MATCH('LISTA - Setembro2024'!AJ$3,Auxiliar!$B$5:$B$10,0),MATCH('LISTA - Setembro2024'!$AC141,Auxiliar!$D$4:$I$4,0))</f>
        <v>0</v>
      </c>
      <c r="AK141" s="160">
        <f t="shared" si="42"/>
        <v>0</v>
      </c>
      <c r="AL141" s="87" t="s">
        <v>1669</v>
      </c>
    </row>
    <row r="142" spans="1:38" ht="13.8" x14ac:dyDescent="0.25">
      <c r="A142" s="158" t="s">
        <v>1319</v>
      </c>
      <c r="B142" s="81" t="str">
        <f t="shared" si="41"/>
        <v>ENTITY_FLLN_ANGL_NRRW_DFNTN</v>
      </c>
      <c r="C142" s="82" t="s">
        <v>10</v>
      </c>
      <c r="D142" s="83" t="s">
        <v>1320</v>
      </c>
      <c r="E142" s="94" t="s">
        <v>1321</v>
      </c>
      <c r="F142" s="85" t="s">
        <v>11</v>
      </c>
      <c r="G142" s="85" t="s">
        <v>11</v>
      </c>
      <c r="H142" s="85" t="s">
        <v>11</v>
      </c>
      <c r="I142" s="85" t="s">
        <v>11</v>
      </c>
      <c r="J142" s="85" t="s">
        <v>11</v>
      </c>
      <c r="K142" s="85" t="s">
        <v>13</v>
      </c>
      <c r="L142" s="86" t="str">
        <f>IFERROR(VLOOKUP($B142,'LISTA - Atual'!$B$1:$I$444,5,0),"Novo")</f>
        <v>Novo</v>
      </c>
      <c r="M142" s="86" t="str">
        <f t="shared" si="34"/>
        <v>Novo Campo</v>
      </c>
      <c r="N142" s="86" t="str">
        <f>IFERROR(VLOOKUP($B142,'LISTA - Atual'!$B$1:$I$444,6,0),"Novo")</f>
        <v>Novo</v>
      </c>
      <c r="O142" s="86" t="str">
        <f t="shared" si="35"/>
        <v>Novo Campo</v>
      </c>
      <c r="P142" s="86" t="str">
        <f>IFERROR(VLOOKUP($B142,'LISTA - Atual'!$B$1:$I$444,7,0),"Novo")</f>
        <v>Novo</v>
      </c>
      <c r="Q142" s="86" t="str">
        <f t="shared" si="36"/>
        <v>Novo Campo</v>
      </c>
      <c r="R142" s="86" t="s">
        <v>1563</v>
      </c>
      <c r="S142" s="86" t="str">
        <f>IFERROR(VLOOKUP($B142,'LISTA - Atual'!$B$1:$I$444,8,0),"Novo")</f>
        <v>Novo</v>
      </c>
      <c r="T142" s="86" t="str">
        <f t="shared" si="37"/>
        <v>Novo Campo</v>
      </c>
      <c r="U142" s="86" t="s">
        <v>1563</v>
      </c>
      <c r="V142" s="86" t="s">
        <v>11</v>
      </c>
      <c r="W142" s="87" t="str">
        <f>IFERROR(VLOOKUP(B142,#REF!,11,0),"n/a")</f>
        <v>n/a</v>
      </c>
      <c r="X142" s="87" t="str">
        <f>IFERROR(VLOOKUP(B142,#REF!,8,0),"n/a")</f>
        <v>n/a</v>
      </c>
      <c r="Y142" s="87" t="str">
        <f>$K$2</f>
        <v>LF</v>
      </c>
      <c r="Z142" s="131" t="s">
        <v>1570</v>
      </c>
      <c r="AA142" s="227" t="e">
        <f>VLOOKUP(Table1[[#This Row],[CONCAT]],'Campos Resumo Prop2.0'!A:H,8,0)</f>
        <v>#N/A</v>
      </c>
      <c r="AB142" s="87" t="s">
        <v>1654</v>
      </c>
      <c r="AC142" s="88" t="s">
        <v>1625</v>
      </c>
      <c r="AD142" s="91">
        <f>INDEX(Auxiliar!$D$5:$I$10,MATCH('LISTA - Setembro2024'!AD$3,Auxiliar!$B$5:$B$10,0),MATCH('LISTA - Setembro2024'!$AC142,Auxiliar!$D$4:$I$4,0))</f>
        <v>0</v>
      </c>
      <c r="AE142" s="91">
        <f>INDEX(Auxiliar!$D$5:$I$10,MATCH('LISTA - Setembro2024'!AE$3,Auxiliar!$B$5:$B$10,0),MATCH('LISTA - Setembro2024'!$AC142,Auxiliar!$D$4:$I$4,0))</f>
        <v>0</v>
      </c>
      <c r="AF142" s="87">
        <f>INDEX(Auxiliar!$D$5:$I$10,MATCH('LISTA - Setembro2024'!AF$3,Auxiliar!$B$5:$B$10,0),MATCH('LISTA - Setembro2024'!$AC142,Auxiliar!$D$4:$I$4,0))</f>
        <v>0</v>
      </c>
      <c r="AG142" s="87" t="str">
        <f t="shared" si="39"/>
        <v>n.a.</v>
      </c>
      <c r="AH142" s="87">
        <f>INDEX(Auxiliar!$D$5:$I$10,MATCH('LISTA - Setembro2024'!AH$3,Auxiliar!$B$5:$B$10,0),MATCH('LISTA - Setembro2024'!$AG142,Auxiliar!$D$4:$I$4,0))</f>
        <v>0</v>
      </c>
      <c r="AI142" s="87">
        <f>INDEX(Auxiliar!$D$5:$I$10,MATCH('LISTA - Setembro2024'!AI$3,Auxiliar!$B$5:$B$10,0),MATCH('LISTA - Setembro2024'!$AC142,Auxiliar!$D$4:$I$4,0))</f>
        <v>0</v>
      </c>
      <c r="AJ142" s="87">
        <f>INDEX(Auxiliar!$D$5:$I$10,MATCH('LISTA - Setembro2024'!AJ$3,Auxiliar!$B$5:$B$10,0),MATCH('LISTA - Setembro2024'!$AC142,Auxiliar!$D$4:$I$4,0))</f>
        <v>0</v>
      </c>
      <c r="AK142" s="160">
        <f t="shared" si="42"/>
        <v>0</v>
      </c>
      <c r="AL142" s="87" t="s">
        <v>1601</v>
      </c>
    </row>
    <row r="143" spans="1:38" ht="13.8" x14ac:dyDescent="0.25">
      <c r="A143" s="158" t="s">
        <v>1322</v>
      </c>
      <c r="B143" s="81" t="str">
        <f t="shared" si="41"/>
        <v>ENTITY_FLLN_ANGL_EXTNDD_DFNTN</v>
      </c>
      <c r="C143" s="82" t="s">
        <v>10</v>
      </c>
      <c r="D143" s="83" t="s">
        <v>1323</v>
      </c>
      <c r="E143" s="93" t="s">
        <v>1324</v>
      </c>
      <c r="F143" s="85" t="s">
        <v>11</v>
      </c>
      <c r="G143" s="85" t="s">
        <v>11</v>
      </c>
      <c r="H143" s="85" t="s">
        <v>11</v>
      </c>
      <c r="I143" s="85" t="s">
        <v>11</v>
      </c>
      <c r="J143" s="85" t="s">
        <v>11</v>
      </c>
      <c r="K143" s="85" t="s">
        <v>13</v>
      </c>
      <c r="L143" s="86" t="str">
        <f>IFERROR(VLOOKUP($B143,'LISTA - Atual'!$B$1:$I$444,5,0),"Novo")</f>
        <v>Novo</v>
      </c>
      <c r="M143" s="86" t="str">
        <f t="shared" si="34"/>
        <v>Novo Campo</v>
      </c>
      <c r="N143" s="86" t="str">
        <f>IFERROR(VLOOKUP($B143,'LISTA - Atual'!$B$1:$I$444,6,0),"Novo")</f>
        <v>Novo</v>
      </c>
      <c r="O143" s="86" t="str">
        <f t="shared" si="35"/>
        <v>Novo Campo</v>
      </c>
      <c r="P143" s="86" t="str">
        <f>IFERROR(VLOOKUP($B143,'LISTA - Atual'!$B$1:$I$444,7,0),"Novo")</f>
        <v>Novo</v>
      </c>
      <c r="Q143" s="86" t="str">
        <f t="shared" si="36"/>
        <v>Novo Campo</v>
      </c>
      <c r="R143" s="86" t="s">
        <v>1563</v>
      </c>
      <c r="S143" s="86" t="str">
        <f>IFERROR(VLOOKUP($B143,'LISTA - Atual'!$B$1:$I$444,8,0),"Novo")</f>
        <v>Novo</v>
      </c>
      <c r="T143" s="86" t="str">
        <f t="shared" si="37"/>
        <v>Novo Campo</v>
      </c>
      <c r="U143" s="86" t="s">
        <v>1563</v>
      </c>
      <c r="V143" s="86" t="s">
        <v>11</v>
      </c>
      <c r="W143" s="87" t="str">
        <f>IFERROR(VLOOKUP(B143,#REF!,11,0),"n/a")</f>
        <v>n/a</v>
      </c>
      <c r="X143" s="87" t="str">
        <f>IFERROR(VLOOKUP(B143,#REF!,8,0),"n/a")</f>
        <v>n/a</v>
      </c>
      <c r="Y143" s="87" t="str">
        <f t="shared" ref="Y143" si="43">$K$2</f>
        <v>LF</v>
      </c>
      <c r="Z143" s="131" t="s">
        <v>1570</v>
      </c>
      <c r="AA143" s="227" t="e">
        <f>VLOOKUP(Table1[[#This Row],[CONCAT]],'Campos Resumo Prop2.0'!A:H,8,0)</f>
        <v>#N/A</v>
      </c>
      <c r="AB143" s="87" t="s">
        <v>1654</v>
      </c>
      <c r="AC143" s="88" t="s">
        <v>1625</v>
      </c>
      <c r="AD143" s="91">
        <f>INDEX(Auxiliar!$D$5:$I$10,MATCH('LISTA - Setembro2024'!AD$3,Auxiliar!$B$5:$B$10,0),MATCH('LISTA - Setembro2024'!$AC143,Auxiliar!$D$4:$I$4,0))</f>
        <v>0</v>
      </c>
      <c r="AE143" s="91">
        <f>INDEX(Auxiliar!$D$5:$I$10,MATCH('LISTA - Setembro2024'!AE$3,Auxiliar!$B$5:$B$10,0),MATCH('LISTA - Setembro2024'!$AC143,Auxiliar!$D$4:$I$4,0))</f>
        <v>0</v>
      </c>
      <c r="AF143" s="87">
        <f>INDEX(Auxiliar!$D$5:$I$10,MATCH('LISTA - Setembro2024'!AF$3,Auxiliar!$B$5:$B$10,0),MATCH('LISTA - Setembro2024'!$AC143,Auxiliar!$D$4:$I$4,0))</f>
        <v>0</v>
      </c>
      <c r="AG143" s="87" t="str">
        <f t="shared" si="39"/>
        <v>n.a.</v>
      </c>
      <c r="AH143" s="87">
        <f>INDEX(Auxiliar!$D$5:$I$10,MATCH('LISTA - Setembro2024'!AH$3,Auxiliar!$B$5:$B$10,0),MATCH('LISTA - Setembro2024'!$AG143,Auxiliar!$D$4:$I$4,0))</f>
        <v>0</v>
      </c>
      <c r="AI143" s="87">
        <f>INDEX(Auxiliar!$D$5:$I$10,MATCH('LISTA - Setembro2024'!AI$3,Auxiliar!$B$5:$B$10,0),MATCH('LISTA - Setembro2024'!$AC143,Auxiliar!$D$4:$I$4,0))</f>
        <v>0</v>
      </c>
      <c r="AJ143" s="87">
        <f>INDEX(Auxiliar!$D$5:$I$10,MATCH('LISTA - Setembro2024'!AJ$3,Auxiliar!$B$5:$B$10,0),MATCH('LISTA - Setembro2024'!$AC143,Auxiliar!$D$4:$I$4,0))</f>
        <v>0</v>
      </c>
      <c r="AK143" s="160">
        <f t="shared" si="42"/>
        <v>0</v>
      </c>
      <c r="AL143" s="87" t="s">
        <v>1601</v>
      </c>
    </row>
    <row r="144" spans="1:38" ht="13.8" x14ac:dyDescent="0.25">
      <c r="A144" s="158" t="s">
        <v>1325</v>
      </c>
      <c r="B144" s="81" t="str">
        <f t="shared" si="41"/>
        <v>ENTITY_ENTTY_ID_BDR</v>
      </c>
      <c r="C144" s="82" t="s">
        <v>10</v>
      </c>
      <c r="D144" s="83" t="s">
        <v>1326</v>
      </c>
      <c r="E144" s="84" t="s">
        <v>1327</v>
      </c>
      <c r="F144" s="85" t="s">
        <v>13</v>
      </c>
      <c r="G144" s="85" t="s">
        <v>11</v>
      </c>
      <c r="H144" s="85" t="s">
        <v>11</v>
      </c>
      <c r="I144" s="85" t="s">
        <v>11</v>
      </c>
      <c r="J144" s="85" t="s">
        <v>11</v>
      </c>
      <c r="K144" s="85" t="s">
        <v>11</v>
      </c>
      <c r="L144" s="86" t="str">
        <f>IFERROR(VLOOKUP($B144,'LISTA - Atual'!$B$1:$I$444,5,0),"Novo")</f>
        <v>Novo</v>
      </c>
      <c r="M144" s="86" t="str">
        <f t="shared" si="34"/>
        <v>Novo Campo</v>
      </c>
      <c r="N144" s="86" t="str">
        <f>IFERROR(VLOOKUP($B144,'LISTA - Atual'!$B$1:$I$444,6,0),"Novo")</f>
        <v>Novo</v>
      </c>
      <c r="O144" s="86" t="str">
        <f t="shared" si="35"/>
        <v>Novo Campo</v>
      </c>
      <c r="P144" s="86" t="str">
        <f>IFERROR(VLOOKUP($B144,'LISTA - Atual'!$B$1:$I$444,7,0),"Novo")</f>
        <v>Novo</v>
      </c>
      <c r="Q144" s="86" t="str">
        <f t="shared" si="36"/>
        <v>Novo Campo</v>
      </c>
      <c r="R144" s="86" t="s">
        <v>1563</v>
      </c>
      <c r="S144" s="86" t="str">
        <f>IFERROR(VLOOKUP($B144,'LISTA - Atual'!$B$1:$I$444,8,0),"Novo")</f>
        <v>Novo</v>
      </c>
      <c r="T144" s="86" t="str">
        <f t="shared" si="37"/>
        <v>Novo Campo</v>
      </c>
      <c r="U144" s="86" t="s">
        <v>1563</v>
      </c>
      <c r="V144" s="86" t="s">
        <v>11</v>
      </c>
      <c r="W144" s="87" t="str">
        <f>IFERROR(VLOOKUP(B144,#REF!,11,0),"n/a")</f>
        <v>n/a</v>
      </c>
      <c r="X144" s="87" t="str">
        <f>IFERROR(VLOOKUP(B144,#REF!,8,0),"n/a")</f>
        <v>n/a</v>
      </c>
      <c r="Y144" s="87" t="str">
        <f>$F$2</f>
        <v>ESTR</v>
      </c>
      <c r="Z144" s="131" t="s">
        <v>1570</v>
      </c>
      <c r="AA144" s="227" t="e">
        <f>VLOOKUP(Table1[[#This Row],[CONCAT]],'Campos Resumo Prop2.0'!A:H,8,0)</f>
        <v>#N/A</v>
      </c>
      <c r="AB144" s="87" t="s">
        <v>1659</v>
      </c>
      <c r="AC144" s="88" t="s">
        <v>1625</v>
      </c>
      <c r="AD144" s="91">
        <f>INDEX(Auxiliar!$D$5:$I$10,MATCH('LISTA - Setembro2024'!AD$3,Auxiliar!$B$5:$B$10,0),MATCH('LISTA - Setembro2024'!$AC144,Auxiliar!$D$4:$I$4,0))</f>
        <v>0</v>
      </c>
      <c r="AE144" s="91">
        <f>INDEX(Auxiliar!$D$5:$I$10,MATCH('LISTA - Setembro2024'!AE$3,Auxiliar!$B$5:$B$10,0),MATCH('LISTA - Setembro2024'!$AC144,Auxiliar!$D$4:$I$4,0))</f>
        <v>0</v>
      </c>
      <c r="AF144" s="87">
        <f>INDEX(Auxiliar!$D$5:$I$10,MATCH('LISTA - Setembro2024'!AF$3,Auxiliar!$B$5:$B$10,0),MATCH('LISTA - Setembro2024'!$AC144,Auxiliar!$D$4:$I$4,0))</f>
        <v>0</v>
      </c>
      <c r="AG144" s="87" t="str">
        <f t="shared" si="39"/>
        <v>n.a.</v>
      </c>
      <c r="AH144" s="87">
        <f>INDEX(Auxiliar!$D$5:$I$10,MATCH('LISTA - Setembro2024'!AH$3,Auxiliar!$B$5:$B$10,0),MATCH('LISTA - Setembro2024'!$AG144,Auxiliar!$D$4:$I$4,0))</f>
        <v>0</v>
      </c>
      <c r="AI144" s="87">
        <f>INDEX(Auxiliar!$D$5:$I$10,MATCH('LISTA - Setembro2024'!AI$3,Auxiliar!$B$5:$B$10,0),MATCH('LISTA - Setembro2024'!$AC144,Auxiliar!$D$4:$I$4,0))</f>
        <v>0</v>
      </c>
      <c r="AJ144" s="87">
        <f>INDEX(Auxiliar!$D$5:$I$10,MATCH('LISTA - Setembro2024'!AJ$3,Auxiliar!$B$5:$B$10,0),MATCH('LISTA - Setembro2024'!$AC144,Auxiliar!$D$4:$I$4,0))</f>
        <v>0</v>
      </c>
      <c r="AK144" s="160">
        <f t="shared" si="42"/>
        <v>0</v>
      </c>
      <c r="AL144" s="87" t="s">
        <v>1667</v>
      </c>
    </row>
    <row r="145" spans="1:38" ht="13.8" x14ac:dyDescent="0.25">
      <c r="A145" s="158" t="s">
        <v>1401</v>
      </c>
      <c r="B145" s="81" t="str">
        <f t="shared" si="41"/>
        <v>ENTITY_TXNMY_ELGBL_CAPEX_W</v>
      </c>
      <c r="C145" s="82" t="s">
        <v>10</v>
      </c>
      <c r="D145" s="95" t="s">
        <v>1402</v>
      </c>
      <c r="E145" s="96" t="s">
        <v>1403</v>
      </c>
      <c r="F145" s="85" t="s">
        <v>11</v>
      </c>
      <c r="G145" s="85" t="s">
        <v>11</v>
      </c>
      <c r="H145" s="85" t="s">
        <v>13</v>
      </c>
      <c r="I145" s="85" t="s">
        <v>11</v>
      </c>
      <c r="J145" s="85" t="s">
        <v>11</v>
      </c>
      <c r="K145" s="85" t="s">
        <v>11</v>
      </c>
      <c r="L145" s="86" t="str">
        <f>IFERROR(VLOOKUP($B145,'LISTA - Atual'!$B$1:$I$444,5,0),"Novo")</f>
        <v>Novo</v>
      </c>
      <c r="M145" s="86" t="str">
        <f t="shared" si="34"/>
        <v>Novo Campo</v>
      </c>
      <c r="N145" s="86" t="str">
        <f>IFERROR(VLOOKUP($B145,'LISTA - Atual'!$B$1:$I$444,6,0),"Novo")</f>
        <v>Novo</v>
      </c>
      <c r="O145" s="86" t="str">
        <f t="shared" si="35"/>
        <v>Novo Campo</v>
      </c>
      <c r="P145" s="86" t="str">
        <f>IFERROR(VLOOKUP($B145,'LISTA - Atual'!$B$1:$I$444,7,0),"Novo")</f>
        <v>Novo</v>
      </c>
      <c r="Q145" s="86" t="str">
        <f t="shared" si="36"/>
        <v>Novo Campo</v>
      </c>
      <c r="R145" s="86" t="s">
        <v>1563</v>
      </c>
      <c r="S145" s="86" t="str">
        <f>IFERROR(VLOOKUP($B145,'LISTA - Atual'!$B$1:$I$444,8,0),"Novo")</f>
        <v>Novo</v>
      </c>
      <c r="T145" s="86" t="str">
        <f t="shared" si="37"/>
        <v>Novo Campo</v>
      </c>
      <c r="U145" s="86" t="s">
        <v>1563</v>
      </c>
      <c r="V145" s="86" t="s">
        <v>11</v>
      </c>
      <c r="W145" s="87" t="str">
        <f>IFERROR(VLOOKUP(B145,#REF!,11,0),"n/a")</f>
        <v>n/a</v>
      </c>
      <c r="X145" s="87" t="str">
        <f>IFERROR(VLOOKUP(B145,#REF!,8,0),"n/a")</f>
        <v>n/a</v>
      </c>
      <c r="Y145" s="87" t="str">
        <f t="shared" ref="Y145:Y164" si="44">$H$2</f>
        <v>PILAR3</v>
      </c>
      <c r="Z145" s="131" t="s">
        <v>1570</v>
      </c>
      <c r="AA145" s="227" t="str">
        <f>VLOOKUP(Table1[[#This Row],[CONCAT]],'Campos Resumo Prop2.0'!A:H,8,0)</f>
        <v>Âmbito de proposta - Especificação &amp; Simular</v>
      </c>
      <c r="AB145" s="87" t="s">
        <v>1656</v>
      </c>
      <c r="AC145" s="137" t="s">
        <v>1638</v>
      </c>
      <c r="AD145" s="91">
        <f>INDEX(Auxiliar!$D$5:$I$10,MATCH('LISTA - Setembro2024'!AD$3,Auxiliar!$B$5:$B$10,0),MATCH('LISTA - Setembro2024'!$AC145,Auxiliar!$D$4:$I$4,0))</f>
        <v>8</v>
      </c>
      <c r="AE145" s="91">
        <f>INDEX(Auxiliar!$D$5:$I$10,MATCH('LISTA - Setembro2024'!AE$3,Auxiliar!$B$5:$B$10,0),MATCH('LISTA - Setembro2024'!$AC145,Auxiliar!$D$4:$I$4,0))</f>
        <v>6</v>
      </c>
      <c r="AF145" s="87">
        <f>INDEX(Auxiliar!$D$5:$I$10,MATCH('LISTA - Setembro2024'!AF$3,Auxiliar!$B$5:$B$10,0),MATCH('LISTA - Setembro2024'!$AC145,Auxiliar!$D$4:$I$4,0))</f>
        <v>6</v>
      </c>
      <c r="AG145" s="87" t="str">
        <f t="shared" si="39"/>
        <v>n.a.</v>
      </c>
      <c r="AH145" s="87">
        <f>INDEX(Auxiliar!$D$5:$I$10,MATCH('LISTA - Setembro2024'!AH$3,Auxiliar!$B$5:$B$10,0),MATCH('LISTA - Setembro2024'!$AG145,Auxiliar!$D$4:$I$4,0))</f>
        <v>0</v>
      </c>
      <c r="AI145" s="87">
        <f>INDEX(Auxiliar!$D$5:$I$10,MATCH('LISTA - Setembro2024'!AI$3,Auxiliar!$B$5:$B$10,0),MATCH('LISTA - Setembro2024'!$AC145,Auxiliar!$D$4:$I$4,0))</f>
        <v>0.5</v>
      </c>
      <c r="AJ145" s="87">
        <f>INDEX(Auxiliar!$D$5:$I$10,MATCH('LISTA - Setembro2024'!AJ$3,Auxiliar!$B$5:$B$10,0),MATCH('LISTA - Setembro2024'!$AC145,Auxiliar!$D$4:$I$4,0))</f>
        <v>1</v>
      </c>
      <c r="AK145" s="160">
        <f t="shared" si="42"/>
        <v>7.5</v>
      </c>
      <c r="AL145" s="87"/>
    </row>
    <row r="146" spans="1:38" ht="13.8" x14ac:dyDescent="0.25">
      <c r="A146" s="158" t="s">
        <v>1404</v>
      </c>
      <c r="B146" s="81" t="str">
        <f t="shared" si="41"/>
        <v>ENTITY_TXNMY_ELGBL_TRNVR_W</v>
      </c>
      <c r="C146" s="82" t="s">
        <v>10</v>
      </c>
      <c r="D146" s="95" t="s">
        <v>1405</v>
      </c>
      <c r="E146" s="96" t="s">
        <v>1406</v>
      </c>
      <c r="F146" s="85" t="s">
        <v>11</v>
      </c>
      <c r="G146" s="85" t="s">
        <v>11</v>
      </c>
      <c r="H146" s="85" t="s">
        <v>13</v>
      </c>
      <c r="I146" s="85" t="s">
        <v>11</v>
      </c>
      <c r="J146" s="85" t="s">
        <v>11</v>
      </c>
      <c r="K146" s="85" t="s">
        <v>11</v>
      </c>
      <c r="L146" s="86" t="str">
        <f>IFERROR(VLOOKUP($B146,'LISTA - Atual'!$B$1:$I$444,5,0),"Novo")</f>
        <v>Novo</v>
      </c>
      <c r="M146" s="86" t="str">
        <f t="shared" si="34"/>
        <v>Novo Campo</v>
      </c>
      <c r="N146" s="86" t="str">
        <f>IFERROR(VLOOKUP($B146,'LISTA - Atual'!$B$1:$I$444,6,0),"Novo")</f>
        <v>Novo</v>
      </c>
      <c r="O146" s="86" t="str">
        <f t="shared" si="35"/>
        <v>Novo Campo</v>
      </c>
      <c r="P146" s="86" t="str">
        <f>IFERROR(VLOOKUP($B146,'LISTA - Atual'!$B$1:$I$444,7,0),"Novo")</f>
        <v>Novo</v>
      </c>
      <c r="Q146" s="86" t="str">
        <f t="shared" si="36"/>
        <v>Novo Campo</v>
      </c>
      <c r="R146" s="86" t="s">
        <v>1563</v>
      </c>
      <c r="S146" s="86" t="str">
        <f>IFERROR(VLOOKUP($B146,'LISTA - Atual'!$B$1:$I$444,8,0),"Novo")</f>
        <v>Novo</v>
      </c>
      <c r="T146" s="86" t="str">
        <f t="shared" si="37"/>
        <v>Novo Campo</v>
      </c>
      <c r="U146" s="86" t="s">
        <v>1563</v>
      </c>
      <c r="V146" s="86" t="s">
        <v>11</v>
      </c>
      <c r="W146" s="87" t="str">
        <f>IFERROR(VLOOKUP(B146,#REF!,11,0),"n/a")</f>
        <v>n/a</v>
      </c>
      <c r="X146" s="87" t="str">
        <f>IFERROR(VLOOKUP(B146,#REF!,8,0),"n/a")</f>
        <v>n/a</v>
      </c>
      <c r="Y146" s="87" t="str">
        <f t="shared" si="44"/>
        <v>PILAR3</v>
      </c>
      <c r="Z146" s="131" t="s">
        <v>1570</v>
      </c>
      <c r="AA146" s="227" t="str">
        <f>VLOOKUP(Table1[[#This Row],[CONCAT]],'Campos Resumo Prop2.0'!A:H,8,0)</f>
        <v>Âmbito de proposta - Especificação &amp; Simular</v>
      </c>
      <c r="AB146" s="87" t="s">
        <v>1656</v>
      </c>
      <c r="AC146" s="137" t="s">
        <v>1638</v>
      </c>
      <c r="AD146" s="91">
        <f>INDEX(Auxiliar!$D$5:$I$10,MATCH('LISTA - Setembro2024'!AD$3,Auxiliar!$B$5:$B$10,0),MATCH('LISTA - Setembro2024'!$AC146,Auxiliar!$D$4:$I$4,0))</f>
        <v>8</v>
      </c>
      <c r="AE146" s="91">
        <f>INDEX(Auxiliar!$D$5:$I$10,MATCH('LISTA - Setembro2024'!AE$3,Auxiliar!$B$5:$B$10,0),MATCH('LISTA - Setembro2024'!$AC146,Auxiliar!$D$4:$I$4,0))</f>
        <v>6</v>
      </c>
      <c r="AF146" s="87">
        <f>INDEX(Auxiliar!$D$5:$I$10,MATCH('LISTA - Setembro2024'!AF$3,Auxiliar!$B$5:$B$10,0),MATCH('LISTA - Setembro2024'!$AC146,Auxiliar!$D$4:$I$4,0))</f>
        <v>6</v>
      </c>
      <c r="AG146" s="87" t="str">
        <f t="shared" si="39"/>
        <v>n.a.</v>
      </c>
      <c r="AH146" s="87">
        <f>INDEX(Auxiliar!$D$5:$I$10,MATCH('LISTA - Setembro2024'!AH$3,Auxiliar!$B$5:$B$10,0),MATCH('LISTA - Setembro2024'!$AG146,Auxiliar!$D$4:$I$4,0))</f>
        <v>0</v>
      </c>
      <c r="AI146" s="87">
        <f>INDEX(Auxiliar!$D$5:$I$10,MATCH('LISTA - Setembro2024'!AI$3,Auxiliar!$B$5:$B$10,0),MATCH('LISTA - Setembro2024'!$AC146,Auxiliar!$D$4:$I$4,0))</f>
        <v>0.5</v>
      </c>
      <c r="AJ146" s="87">
        <f>INDEX(Auxiliar!$D$5:$I$10,MATCH('LISTA - Setembro2024'!AJ$3,Auxiliar!$B$5:$B$10,0),MATCH('LISTA - Setembro2024'!$AC146,Auxiliar!$D$4:$I$4,0))</f>
        <v>1</v>
      </c>
      <c r="AK146" s="160">
        <f t="shared" si="42"/>
        <v>7.5</v>
      </c>
      <c r="AL146" s="87"/>
    </row>
    <row r="147" spans="1:38" ht="13.8" x14ac:dyDescent="0.25">
      <c r="A147" s="158" t="s">
        <v>1407</v>
      </c>
      <c r="B147" s="81" t="str">
        <f t="shared" si="41"/>
        <v>ENTITY_TXNMY_ELGBL_CAPEX_P</v>
      </c>
      <c r="C147" s="82" t="s">
        <v>10</v>
      </c>
      <c r="D147" s="95" t="s">
        <v>1408</v>
      </c>
      <c r="E147" s="96" t="s">
        <v>1409</v>
      </c>
      <c r="F147" s="85" t="s">
        <v>11</v>
      </c>
      <c r="G147" s="85" t="s">
        <v>11</v>
      </c>
      <c r="H147" s="85" t="s">
        <v>13</v>
      </c>
      <c r="I147" s="85" t="s">
        <v>11</v>
      </c>
      <c r="J147" s="85" t="s">
        <v>11</v>
      </c>
      <c r="K147" s="85" t="s">
        <v>11</v>
      </c>
      <c r="L147" s="86" t="str">
        <f>IFERROR(VLOOKUP($B147,'LISTA - Atual'!$B$1:$I$444,5,0),"Novo")</f>
        <v>Novo</v>
      </c>
      <c r="M147" s="86" t="str">
        <f t="shared" si="34"/>
        <v>Novo Campo</v>
      </c>
      <c r="N147" s="86" t="str">
        <f>IFERROR(VLOOKUP($B147,'LISTA - Atual'!$B$1:$I$444,6,0),"Novo")</f>
        <v>Novo</v>
      </c>
      <c r="O147" s="86" t="str">
        <f t="shared" si="35"/>
        <v>Novo Campo</v>
      </c>
      <c r="P147" s="86" t="str">
        <f>IFERROR(VLOOKUP($B147,'LISTA - Atual'!$B$1:$I$444,7,0),"Novo")</f>
        <v>Novo</v>
      </c>
      <c r="Q147" s="86" t="str">
        <f t="shared" si="36"/>
        <v>Novo Campo</v>
      </c>
      <c r="R147" s="86" t="s">
        <v>1563</v>
      </c>
      <c r="S147" s="86" t="str">
        <f>IFERROR(VLOOKUP($B147,'LISTA - Atual'!$B$1:$I$444,8,0),"Novo")</f>
        <v>Novo</v>
      </c>
      <c r="T147" s="86" t="str">
        <f t="shared" si="37"/>
        <v>Novo Campo</v>
      </c>
      <c r="U147" s="86" t="s">
        <v>1563</v>
      </c>
      <c r="V147" s="86" t="s">
        <v>11</v>
      </c>
      <c r="W147" s="87" t="str">
        <f>IFERROR(VLOOKUP(B147,#REF!,11,0),"n/a")</f>
        <v>n/a</v>
      </c>
      <c r="X147" s="87" t="str">
        <f>IFERROR(VLOOKUP(B147,#REF!,8,0),"n/a")</f>
        <v>n/a</v>
      </c>
      <c r="Y147" s="87" t="str">
        <f t="shared" si="44"/>
        <v>PILAR3</v>
      </c>
      <c r="Z147" s="131" t="s">
        <v>1570</v>
      </c>
      <c r="AA147" s="227" t="str">
        <f>VLOOKUP(Table1[[#This Row],[CONCAT]],'Campos Resumo Prop2.0'!A:H,8,0)</f>
        <v>Âmbito de proposta - Especificação &amp; Simular</v>
      </c>
      <c r="AB147" s="87" t="s">
        <v>1656</v>
      </c>
      <c r="AC147" s="137" t="s">
        <v>1674</v>
      </c>
      <c r="AD147" s="91">
        <f>INDEX(Auxiliar!$D$5:$I$10,MATCH('LISTA - Setembro2024'!AD$3,Auxiliar!$B$5:$B$10,0),MATCH('LISTA - Setembro2024'!$AC147,Auxiliar!$D$4:$I$4,0))</f>
        <v>1</v>
      </c>
      <c r="AE147" s="91">
        <f>INDEX(Auxiliar!$D$5:$I$10,MATCH('LISTA - Setembro2024'!AE$3,Auxiliar!$B$5:$B$10,0),MATCH('LISTA - Setembro2024'!$AC147,Auxiliar!$D$4:$I$4,0))</f>
        <v>1</v>
      </c>
      <c r="AF147" s="87">
        <f>INDEX(Auxiliar!$D$5:$I$10,MATCH('LISTA - Setembro2024'!AF$3,Auxiliar!$B$5:$B$10,0),MATCH('LISTA - Setembro2024'!$AC147,Auxiliar!$D$4:$I$4,0))</f>
        <v>1</v>
      </c>
      <c r="AG147" s="87" t="str">
        <f t="shared" si="39"/>
        <v>n.a.</v>
      </c>
      <c r="AH147" s="87">
        <f>INDEX(Auxiliar!$D$5:$I$10,MATCH('LISTA - Setembro2024'!AH$3,Auxiliar!$B$5:$B$10,0),MATCH('LISTA - Setembro2024'!$AG147,Auxiliar!$D$4:$I$4,0))</f>
        <v>0</v>
      </c>
      <c r="AI147" s="87">
        <f>INDEX(Auxiliar!$D$5:$I$10,MATCH('LISTA - Setembro2024'!AI$3,Auxiliar!$B$5:$B$10,0),MATCH('LISTA - Setembro2024'!$AC147,Auxiliar!$D$4:$I$4,0))</f>
        <v>0.5</v>
      </c>
      <c r="AJ147" s="87">
        <f>INDEX(Auxiliar!$D$5:$I$10,MATCH('LISTA - Setembro2024'!AJ$3,Auxiliar!$B$5:$B$10,0),MATCH('LISTA - Setembro2024'!$AC147,Auxiliar!$D$4:$I$4,0))</f>
        <v>1</v>
      </c>
      <c r="AK147" s="160">
        <f t="shared" si="42"/>
        <v>2.5</v>
      </c>
      <c r="AL147" s="87"/>
    </row>
    <row r="148" spans="1:38" ht="13.8" x14ac:dyDescent="0.25">
      <c r="A148" s="158" t="s">
        <v>1410</v>
      </c>
      <c r="B148" s="81" t="str">
        <f t="shared" si="41"/>
        <v>ENTITY_TXNMY_ELGBL_TRNVR_P</v>
      </c>
      <c r="C148" s="82" t="s">
        <v>10</v>
      </c>
      <c r="D148" s="95" t="s">
        <v>1411</v>
      </c>
      <c r="E148" s="96" t="s">
        <v>1412</v>
      </c>
      <c r="F148" s="85" t="s">
        <v>11</v>
      </c>
      <c r="G148" s="85" t="s">
        <v>11</v>
      </c>
      <c r="H148" s="85" t="s">
        <v>13</v>
      </c>
      <c r="I148" s="85" t="s">
        <v>11</v>
      </c>
      <c r="J148" s="85" t="s">
        <v>11</v>
      </c>
      <c r="K148" s="85" t="s">
        <v>11</v>
      </c>
      <c r="L148" s="86" t="str">
        <f>IFERROR(VLOOKUP($B148,'LISTA - Atual'!$B$1:$I$444,5,0),"Novo")</f>
        <v>Novo</v>
      </c>
      <c r="M148" s="86" t="str">
        <f t="shared" si="34"/>
        <v>Novo Campo</v>
      </c>
      <c r="N148" s="86" t="str">
        <f>IFERROR(VLOOKUP($B148,'LISTA - Atual'!$B$1:$I$444,6,0),"Novo")</f>
        <v>Novo</v>
      </c>
      <c r="O148" s="86" t="str">
        <f t="shared" si="35"/>
        <v>Novo Campo</v>
      </c>
      <c r="P148" s="86" t="str">
        <f>IFERROR(VLOOKUP($B148,'LISTA - Atual'!$B$1:$I$444,7,0),"Novo")</f>
        <v>Novo</v>
      </c>
      <c r="Q148" s="86" t="str">
        <f t="shared" si="36"/>
        <v>Novo Campo</v>
      </c>
      <c r="R148" s="86" t="s">
        <v>1563</v>
      </c>
      <c r="S148" s="86" t="str">
        <f>IFERROR(VLOOKUP($B148,'LISTA - Atual'!$B$1:$I$444,8,0),"Novo")</f>
        <v>Novo</v>
      </c>
      <c r="T148" s="86" t="str">
        <f t="shared" si="37"/>
        <v>Novo Campo</v>
      </c>
      <c r="U148" s="86" t="s">
        <v>1563</v>
      </c>
      <c r="V148" s="86" t="s">
        <v>11</v>
      </c>
      <c r="W148" s="87" t="str">
        <f>IFERROR(VLOOKUP(B148,#REF!,11,0),"n/a")</f>
        <v>n/a</v>
      </c>
      <c r="X148" s="87" t="str">
        <f>IFERROR(VLOOKUP(B148,#REF!,8,0),"n/a")</f>
        <v>n/a</v>
      </c>
      <c r="Y148" s="87" t="str">
        <f t="shared" si="44"/>
        <v>PILAR3</v>
      </c>
      <c r="Z148" s="131" t="s">
        <v>1570</v>
      </c>
      <c r="AA148" s="227" t="str">
        <f>VLOOKUP(Table1[[#This Row],[CONCAT]],'Campos Resumo Prop2.0'!A:H,8,0)</f>
        <v>Âmbito de proposta - Especificação &amp; Simular</v>
      </c>
      <c r="AB148" s="87" t="s">
        <v>1656</v>
      </c>
      <c r="AC148" s="137" t="s">
        <v>1674</v>
      </c>
      <c r="AD148" s="91">
        <f>INDEX(Auxiliar!$D$5:$I$10,MATCH('LISTA - Setembro2024'!AD$3,Auxiliar!$B$5:$B$10,0),MATCH('LISTA - Setembro2024'!$AC148,Auxiliar!$D$4:$I$4,0))</f>
        <v>1</v>
      </c>
      <c r="AE148" s="91">
        <f>INDEX(Auxiliar!$D$5:$I$10,MATCH('LISTA - Setembro2024'!AE$3,Auxiliar!$B$5:$B$10,0),MATCH('LISTA - Setembro2024'!$AC148,Auxiliar!$D$4:$I$4,0))</f>
        <v>1</v>
      </c>
      <c r="AF148" s="87">
        <f>INDEX(Auxiliar!$D$5:$I$10,MATCH('LISTA - Setembro2024'!AF$3,Auxiliar!$B$5:$B$10,0),MATCH('LISTA - Setembro2024'!$AC148,Auxiliar!$D$4:$I$4,0))</f>
        <v>1</v>
      </c>
      <c r="AG148" s="87" t="str">
        <f t="shared" si="39"/>
        <v>n.a.</v>
      </c>
      <c r="AH148" s="87">
        <f>INDEX(Auxiliar!$D$5:$I$10,MATCH('LISTA - Setembro2024'!AH$3,Auxiliar!$B$5:$B$10,0),MATCH('LISTA - Setembro2024'!$AG148,Auxiliar!$D$4:$I$4,0))</f>
        <v>0</v>
      </c>
      <c r="AI148" s="87">
        <f>INDEX(Auxiliar!$D$5:$I$10,MATCH('LISTA - Setembro2024'!AI$3,Auxiliar!$B$5:$B$10,0),MATCH('LISTA - Setembro2024'!$AC148,Auxiliar!$D$4:$I$4,0))</f>
        <v>0.5</v>
      </c>
      <c r="AJ148" s="87">
        <f>INDEX(Auxiliar!$D$5:$I$10,MATCH('LISTA - Setembro2024'!AJ$3,Auxiliar!$B$5:$B$10,0),MATCH('LISTA - Setembro2024'!$AC148,Auxiliar!$D$4:$I$4,0))</f>
        <v>1</v>
      </c>
      <c r="AK148" s="160">
        <f t="shared" si="42"/>
        <v>2.5</v>
      </c>
      <c r="AL148" s="87"/>
    </row>
    <row r="149" spans="1:38" ht="13.8" x14ac:dyDescent="0.25">
      <c r="A149" s="158" t="s">
        <v>1413</v>
      </c>
      <c r="B149" s="81" t="str">
        <f t="shared" si="41"/>
        <v>ENTITY_TXNMY_ELGBL_CAPEX_B</v>
      </c>
      <c r="C149" s="82" t="s">
        <v>10</v>
      </c>
      <c r="D149" s="95" t="s">
        <v>1414</v>
      </c>
      <c r="E149" s="96" t="s">
        <v>1415</v>
      </c>
      <c r="F149" s="85" t="s">
        <v>11</v>
      </c>
      <c r="G149" s="85" t="s">
        <v>11</v>
      </c>
      <c r="H149" s="85" t="s">
        <v>13</v>
      </c>
      <c r="I149" s="85" t="s">
        <v>11</v>
      </c>
      <c r="J149" s="85" t="s">
        <v>11</v>
      </c>
      <c r="K149" s="85" t="s">
        <v>11</v>
      </c>
      <c r="L149" s="86" t="str">
        <f>IFERROR(VLOOKUP($B149,'LISTA - Atual'!$B$1:$I$444,5,0),"Novo")</f>
        <v>Novo</v>
      </c>
      <c r="M149" s="86" t="str">
        <f t="shared" si="34"/>
        <v>Novo Campo</v>
      </c>
      <c r="N149" s="86" t="str">
        <f>IFERROR(VLOOKUP($B149,'LISTA - Atual'!$B$1:$I$444,6,0),"Novo")</f>
        <v>Novo</v>
      </c>
      <c r="O149" s="86" t="str">
        <f t="shared" si="35"/>
        <v>Novo Campo</v>
      </c>
      <c r="P149" s="86" t="str">
        <f>IFERROR(VLOOKUP($B149,'LISTA - Atual'!$B$1:$I$444,7,0),"Novo")</f>
        <v>Novo</v>
      </c>
      <c r="Q149" s="86" t="str">
        <f t="shared" si="36"/>
        <v>Novo Campo</v>
      </c>
      <c r="R149" s="86" t="s">
        <v>1563</v>
      </c>
      <c r="S149" s="86" t="str">
        <f>IFERROR(VLOOKUP($B149,'LISTA - Atual'!$B$1:$I$444,8,0),"Novo")</f>
        <v>Novo</v>
      </c>
      <c r="T149" s="86" t="str">
        <f t="shared" si="37"/>
        <v>Novo Campo</v>
      </c>
      <c r="U149" s="86" t="s">
        <v>1563</v>
      </c>
      <c r="V149" s="86" t="s">
        <v>11</v>
      </c>
      <c r="W149" s="87" t="str">
        <f>IFERROR(VLOOKUP(B149,#REF!,11,0),"n/a")</f>
        <v>n/a</v>
      </c>
      <c r="X149" s="87" t="str">
        <f>IFERROR(VLOOKUP(B149,#REF!,8,0),"n/a")</f>
        <v>n/a</v>
      </c>
      <c r="Y149" s="87" t="str">
        <f t="shared" si="44"/>
        <v>PILAR3</v>
      </c>
      <c r="Z149" s="131" t="s">
        <v>1570</v>
      </c>
      <c r="AA149" s="227" t="str">
        <f>VLOOKUP(Table1[[#This Row],[CONCAT]],'Campos Resumo Prop2.0'!A:H,8,0)</f>
        <v>Âmbito de proposta - Especificação &amp; Simular</v>
      </c>
      <c r="AB149" s="87" t="s">
        <v>1656</v>
      </c>
      <c r="AC149" s="137" t="s">
        <v>1674</v>
      </c>
      <c r="AD149" s="91">
        <f>INDEX(Auxiliar!$D$5:$I$10,MATCH('LISTA - Setembro2024'!AD$3,Auxiliar!$B$5:$B$10,0),MATCH('LISTA - Setembro2024'!$AC149,Auxiliar!$D$4:$I$4,0))</f>
        <v>1</v>
      </c>
      <c r="AE149" s="91">
        <f>INDEX(Auxiliar!$D$5:$I$10,MATCH('LISTA - Setembro2024'!AE$3,Auxiliar!$B$5:$B$10,0),MATCH('LISTA - Setembro2024'!$AC149,Auxiliar!$D$4:$I$4,0))</f>
        <v>1</v>
      </c>
      <c r="AF149" s="87">
        <f>INDEX(Auxiliar!$D$5:$I$10,MATCH('LISTA - Setembro2024'!AF$3,Auxiliar!$B$5:$B$10,0),MATCH('LISTA - Setembro2024'!$AC149,Auxiliar!$D$4:$I$4,0))</f>
        <v>1</v>
      </c>
      <c r="AG149" s="87" t="str">
        <f t="shared" si="39"/>
        <v>n.a.</v>
      </c>
      <c r="AH149" s="87">
        <f>INDEX(Auxiliar!$D$5:$I$10,MATCH('LISTA - Setembro2024'!AH$3,Auxiliar!$B$5:$B$10,0),MATCH('LISTA - Setembro2024'!$AG149,Auxiliar!$D$4:$I$4,0))</f>
        <v>0</v>
      </c>
      <c r="AI149" s="87">
        <f>INDEX(Auxiliar!$D$5:$I$10,MATCH('LISTA - Setembro2024'!AI$3,Auxiliar!$B$5:$B$10,0),MATCH('LISTA - Setembro2024'!$AC149,Auxiliar!$D$4:$I$4,0))</f>
        <v>0.5</v>
      </c>
      <c r="AJ149" s="87">
        <f>INDEX(Auxiliar!$D$5:$I$10,MATCH('LISTA - Setembro2024'!AJ$3,Auxiliar!$B$5:$B$10,0),MATCH('LISTA - Setembro2024'!$AC149,Auxiliar!$D$4:$I$4,0))</f>
        <v>1</v>
      </c>
      <c r="AK149" s="160">
        <f t="shared" si="42"/>
        <v>2.5</v>
      </c>
      <c r="AL149" s="87"/>
    </row>
    <row r="150" spans="1:38" ht="13.8" x14ac:dyDescent="0.25">
      <c r="A150" s="158" t="s">
        <v>1416</v>
      </c>
      <c r="B150" s="81" t="str">
        <f t="shared" si="41"/>
        <v>ENTITY_TXNMY_ELGBL_TRNVR_B</v>
      </c>
      <c r="C150" s="82" t="s">
        <v>10</v>
      </c>
      <c r="D150" s="95" t="s">
        <v>1417</v>
      </c>
      <c r="E150" s="96" t="s">
        <v>1418</v>
      </c>
      <c r="F150" s="85" t="s">
        <v>11</v>
      </c>
      <c r="G150" s="85" t="s">
        <v>11</v>
      </c>
      <c r="H150" s="85" t="s">
        <v>13</v>
      </c>
      <c r="I150" s="85" t="s">
        <v>11</v>
      </c>
      <c r="J150" s="85" t="s">
        <v>11</v>
      </c>
      <c r="K150" s="85" t="s">
        <v>11</v>
      </c>
      <c r="L150" s="86" t="str">
        <f>IFERROR(VLOOKUP($B150,'LISTA - Atual'!$B$1:$I$444,5,0),"Novo")</f>
        <v>Novo</v>
      </c>
      <c r="M150" s="86" t="str">
        <f t="shared" si="34"/>
        <v>Novo Campo</v>
      </c>
      <c r="N150" s="86" t="str">
        <f>IFERROR(VLOOKUP($B150,'LISTA - Atual'!$B$1:$I$444,6,0),"Novo")</f>
        <v>Novo</v>
      </c>
      <c r="O150" s="86" t="str">
        <f t="shared" si="35"/>
        <v>Novo Campo</v>
      </c>
      <c r="P150" s="86" t="str">
        <f>IFERROR(VLOOKUP($B150,'LISTA - Atual'!$B$1:$I$444,7,0),"Novo")</f>
        <v>Novo</v>
      </c>
      <c r="Q150" s="86" t="str">
        <f t="shared" si="36"/>
        <v>Novo Campo</v>
      </c>
      <c r="R150" s="86" t="s">
        <v>1563</v>
      </c>
      <c r="S150" s="86" t="str">
        <f>IFERROR(VLOOKUP($B150,'LISTA - Atual'!$B$1:$I$444,8,0),"Novo")</f>
        <v>Novo</v>
      </c>
      <c r="T150" s="86" t="str">
        <f t="shared" si="37"/>
        <v>Novo Campo</v>
      </c>
      <c r="U150" s="86" t="s">
        <v>1563</v>
      </c>
      <c r="V150" s="86" t="s">
        <v>11</v>
      </c>
      <c r="W150" s="87" t="str">
        <f>IFERROR(VLOOKUP(B150,#REF!,11,0),"n/a")</f>
        <v>n/a</v>
      </c>
      <c r="X150" s="87" t="str">
        <f>IFERROR(VLOOKUP(B150,#REF!,8,0),"n/a")</f>
        <v>n/a</v>
      </c>
      <c r="Y150" s="87" t="str">
        <f t="shared" si="44"/>
        <v>PILAR3</v>
      </c>
      <c r="Z150" s="131" t="s">
        <v>1570</v>
      </c>
      <c r="AA150" s="227" t="str">
        <f>VLOOKUP(Table1[[#This Row],[CONCAT]],'Campos Resumo Prop2.0'!A:H,8,0)</f>
        <v>Âmbito de proposta - Especificação &amp; Simular</v>
      </c>
      <c r="AB150" s="87" t="s">
        <v>1656</v>
      </c>
      <c r="AC150" s="137" t="s">
        <v>1674</v>
      </c>
      <c r="AD150" s="91">
        <f>INDEX(Auxiliar!$D$5:$I$10,MATCH('LISTA - Setembro2024'!AD$3,Auxiliar!$B$5:$B$10,0),MATCH('LISTA - Setembro2024'!$AC150,Auxiliar!$D$4:$I$4,0))</f>
        <v>1</v>
      </c>
      <c r="AE150" s="91">
        <f>INDEX(Auxiliar!$D$5:$I$10,MATCH('LISTA - Setembro2024'!AE$3,Auxiliar!$B$5:$B$10,0),MATCH('LISTA - Setembro2024'!$AC150,Auxiliar!$D$4:$I$4,0))</f>
        <v>1</v>
      </c>
      <c r="AF150" s="87">
        <f>INDEX(Auxiliar!$D$5:$I$10,MATCH('LISTA - Setembro2024'!AF$3,Auxiliar!$B$5:$B$10,0),MATCH('LISTA - Setembro2024'!$AC150,Auxiliar!$D$4:$I$4,0))</f>
        <v>1</v>
      </c>
      <c r="AG150" s="87" t="str">
        <f t="shared" si="39"/>
        <v>n.a.</v>
      </c>
      <c r="AH150" s="87">
        <f>INDEX(Auxiliar!$D$5:$I$10,MATCH('LISTA - Setembro2024'!AH$3,Auxiliar!$B$5:$B$10,0),MATCH('LISTA - Setembro2024'!$AG150,Auxiliar!$D$4:$I$4,0))</f>
        <v>0</v>
      </c>
      <c r="AI150" s="87">
        <f>INDEX(Auxiliar!$D$5:$I$10,MATCH('LISTA - Setembro2024'!AI$3,Auxiliar!$B$5:$B$10,0),MATCH('LISTA - Setembro2024'!$AC150,Auxiliar!$D$4:$I$4,0))</f>
        <v>0.5</v>
      </c>
      <c r="AJ150" s="87">
        <f>INDEX(Auxiliar!$D$5:$I$10,MATCH('LISTA - Setembro2024'!AJ$3,Auxiliar!$B$5:$B$10,0),MATCH('LISTA - Setembro2024'!$AC150,Auxiliar!$D$4:$I$4,0))</f>
        <v>1</v>
      </c>
      <c r="AK150" s="160">
        <f t="shared" si="42"/>
        <v>2.5</v>
      </c>
      <c r="AL150" s="87"/>
    </row>
    <row r="151" spans="1:38" ht="13.8" x14ac:dyDescent="0.25">
      <c r="A151" s="158" t="s">
        <v>1419</v>
      </c>
      <c r="B151" s="81" t="str">
        <f t="shared" si="41"/>
        <v>ENTITY_TXNMY_ELGBL_CAPEX_CE</v>
      </c>
      <c r="C151" s="82" t="s">
        <v>10</v>
      </c>
      <c r="D151" s="95" t="s">
        <v>1420</v>
      </c>
      <c r="E151" s="96" t="s">
        <v>1421</v>
      </c>
      <c r="F151" s="85" t="s">
        <v>11</v>
      </c>
      <c r="G151" s="85" t="s">
        <v>11</v>
      </c>
      <c r="H151" s="85" t="s">
        <v>13</v>
      </c>
      <c r="I151" s="85" t="s">
        <v>11</v>
      </c>
      <c r="J151" s="85" t="s">
        <v>11</v>
      </c>
      <c r="K151" s="85" t="s">
        <v>11</v>
      </c>
      <c r="L151" s="86" t="str">
        <f>IFERROR(VLOOKUP($B151,'LISTA - Atual'!$B$1:$I$444,5,0),"Novo")</f>
        <v>Novo</v>
      </c>
      <c r="M151" s="86" t="str">
        <f t="shared" si="34"/>
        <v>Novo Campo</v>
      </c>
      <c r="N151" s="86" t="str">
        <f>IFERROR(VLOOKUP($B151,'LISTA - Atual'!$B$1:$I$444,6,0),"Novo")</f>
        <v>Novo</v>
      </c>
      <c r="O151" s="86" t="str">
        <f t="shared" si="35"/>
        <v>Novo Campo</v>
      </c>
      <c r="P151" s="86" t="str">
        <f>IFERROR(VLOOKUP($B151,'LISTA - Atual'!$B$1:$I$444,7,0),"Novo")</f>
        <v>Novo</v>
      </c>
      <c r="Q151" s="86" t="str">
        <f t="shared" si="36"/>
        <v>Novo Campo</v>
      </c>
      <c r="R151" s="86" t="s">
        <v>1563</v>
      </c>
      <c r="S151" s="86" t="str">
        <f>IFERROR(VLOOKUP($B151,'LISTA - Atual'!$B$1:$I$444,8,0),"Novo")</f>
        <v>Novo</v>
      </c>
      <c r="T151" s="86" t="str">
        <f t="shared" si="37"/>
        <v>Novo Campo</v>
      </c>
      <c r="U151" s="86" t="s">
        <v>1563</v>
      </c>
      <c r="V151" s="86" t="s">
        <v>11</v>
      </c>
      <c r="W151" s="87" t="str">
        <f>IFERROR(VLOOKUP(B151,#REF!,11,0),"n/a")</f>
        <v>n/a</v>
      </c>
      <c r="X151" s="87" t="str">
        <f>IFERROR(VLOOKUP(B151,#REF!,8,0),"n/a")</f>
        <v>n/a</v>
      </c>
      <c r="Y151" s="87" t="str">
        <f t="shared" si="44"/>
        <v>PILAR3</v>
      </c>
      <c r="Z151" s="131" t="s">
        <v>1570</v>
      </c>
      <c r="AA151" s="227" t="str">
        <f>VLOOKUP(Table1[[#This Row],[CONCAT]],'Campos Resumo Prop2.0'!A:H,8,0)</f>
        <v>Âmbito de proposta - Especificação &amp; Simular</v>
      </c>
      <c r="AB151" s="87" t="s">
        <v>1656</v>
      </c>
      <c r="AC151" s="137" t="s">
        <v>1674</v>
      </c>
      <c r="AD151" s="91">
        <f>INDEX(Auxiliar!$D$5:$I$10,MATCH('LISTA - Setembro2024'!AD$3,Auxiliar!$B$5:$B$10,0),MATCH('LISTA - Setembro2024'!$AC151,Auxiliar!$D$4:$I$4,0))</f>
        <v>1</v>
      </c>
      <c r="AE151" s="91">
        <f>INDEX(Auxiliar!$D$5:$I$10,MATCH('LISTA - Setembro2024'!AE$3,Auxiliar!$B$5:$B$10,0),MATCH('LISTA - Setembro2024'!$AC151,Auxiliar!$D$4:$I$4,0))</f>
        <v>1</v>
      </c>
      <c r="AF151" s="87">
        <f>INDEX(Auxiliar!$D$5:$I$10,MATCH('LISTA - Setembro2024'!AF$3,Auxiliar!$B$5:$B$10,0),MATCH('LISTA - Setembro2024'!$AC151,Auxiliar!$D$4:$I$4,0))</f>
        <v>1</v>
      </c>
      <c r="AG151" s="87" t="str">
        <f t="shared" si="39"/>
        <v>n.a.</v>
      </c>
      <c r="AH151" s="87">
        <f>INDEX(Auxiliar!$D$5:$I$10,MATCH('LISTA - Setembro2024'!AH$3,Auxiliar!$B$5:$B$10,0),MATCH('LISTA - Setembro2024'!$AG151,Auxiliar!$D$4:$I$4,0))</f>
        <v>0</v>
      </c>
      <c r="AI151" s="87">
        <f>INDEX(Auxiliar!$D$5:$I$10,MATCH('LISTA - Setembro2024'!AI$3,Auxiliar!$B$5:$B$10,0),MATCH('LISTA - Setembro2024'!$AC151,Auxiliar!$D$4:$I$4,0))</f>
        <v>0.5</v>
      </c>
      <c r="AJ151" s="87">
        <f>INDEX(Auxiliar!$D$5:$I$10,MATCH('LISTA - Setembro2024'!AJ$3,Auxiliar!$B$5:$B$10,0),MATCH('LISTA - Setembro2024'!$AC151,Auxiliar!$D$4:$I$4,0))</f>
        <v>1</v>
      </c>
      <c r="AK151" s="160">
        <f t="shared" si="42"/>
        <v>2.5</v>
      </c>
      <c r="AL151" s="87"/>
    </row>
    <row r="152" spans="1:38" ht="13.8" x14ac:dyDescent="0.25">
      <c r="A152" s="158" t="s">
        <v>1422</v>
      </c>
      <c r="B152" s="81" t="str">
        <f t="shared" si="41"/>
        <v>ENTITY_TXNMY_ELGBL_TRNVR_CE</v>
      </c>
      <c r="C152" s="82" t="s">
        <v>10</v>
      </c>
      <c r="D152" s="95" t="s">
        <v>1423</v>
      </c>
      <c r="E152" s="96" t="s">
        <v>1424</v>
      </c>
      <c r="F152" s="85" t="s">
        <v>11</v>
      </c>
      <c r="G152" s="85" t="s">
        <v>11</v>
      </c>
      <c r="H152" s="85" t="s">
        <v>13</v>
      </c>
      <c r="I152" s="85" t="s">
        <v>11</v>
      </c>
      <c r="J152" s="85" t="s">
        <v>11</v>
      </c>
      <c r="K152" s="85" t="s">
        <v>11</v>
      </c>
      <c r="L152" s="86" t="str">
        <f>IFERROR(VLOOKUP($B152,'LISTA - Atual'!$B$1:$I$444,5,0),"Novo")</f>
        <v>Novo</v>
      </c>
      <c r="M152" s="86" t="str">
        <f t="shared" si="34"/>
        <v>Novo Campo</v>
      </c>
      <c r="N152" s="86" t="str">
        <f>IFERROR(VLOOKUP($B152,'LISTA - Atual'!$B$1:$I$444,6,0),"Novo")</f>
        <v>Novo</v>
      </c>
      <c r="O152" s="86" t="str">
        <f t="shared" si="35"/>
        <v>Novo Campo</v>
      </c>
      <c r="P152" s="86" t="str">
        <f>IFERROR(VLOOKUP($B152,'LISTA - Atual'!$B$1:$I$444,7,0),"Novo")</f>
        <v>Novo</v>
      </c>
      <c r="Q152" s="86" t="str">
        <f t="shared" si="36"/>
        <v>Novo Campo</v>
      </c>
      <c r="R152" s="86" t="s">
        <v>1563</v>
      </c>
      <c r="S152" s="86" t="str">
        <f>IFERROR(VLOOKUP($B152,'LISTA - Atual'!$B$1:$I$444,8,0),"Novo")</f>
        <v>Novo</v>
      </c>
      <c r="T152" s="86" t="str">
        <f t="shared" si="37"/>
        <v>Novo Campo</v>
      </c>
      <c r="U152" s="86" t="s">
        <v>1563</v>
      </c>
      <c r="V152" s="86" t="s">
        <v>11</v>
      </c>
      <c r="W152" s="87" t="str">
        <f>IFERROR(VLOOKUP(B152,#REF!,11,0),"n/a")</f>
        <v>n/a</v>
      </c>
      <c r="X152" s="87" t="str">
        <f>IFERROR(VLOOKUP(B152,#REF!,8,0),"n/a")</f>
        <v>n/a</v>
      </c>
      <c r="Y152" s="87" t="str">
        <f t="shared" si="44"/>
        <v>PILAR3</v>
      </c>
      <c r="Z152" s="131" t="s">
        <v>1570</v>
      </c>
      <c r="AA152" s="227" t="str">
        <f>VLOOKUP(Table1[[#This Row],[CONCAT]],'Campos Resumo Prop2.0'!A:H,8,0)</f>
        <v>Âmbito de proposta - Especificação &amp; Simular</v>
      </c>
      <c r="AB152" s="87" t="s">
        <v>1656</v>
      </c>
      <c r="AC152" s="137" t="s">
        <v>1674</v>
      </c>
      <c r="AD152" s="91">
        <f>INDEX(Auxiliar!$D$5:$I$10,MATCH('LISTA - Setembro2024'!AD$3,Auxiliar!$B$5:$B$10,0),MATCH('LISTA - Setembro2024'!$AC152,Auxiliar!$D$4:$I$4,0))</f>
        <v>1</v>
      </c>
      <c r="AE152" s="91">
        <f>INDEX(Auxiliar!$D$5:$I$10,MATCH('LISTA - Setembro2024'!AE$3,Auxiliar!$B$5:$B$10,0),MATCH('LISTA - Setembro2024'!$AC152,Auxiliar!$D$4:$I$4,0))</f>
        <v>1</v>
      </c>
      <c r="AF152" s="87">
        <f>INDEX(Auxiliar!$D$5:$I$10,MATCH('LISTA - Setembro2024'!AF$3,Auxiliar!$B$5:$B$10,0),MATCH('LISTA - Setembro2024'!$AC152,Auxiliar!$D$4:$I$4,0))</f>
        <v>1</v>
      </c>
      <c r="AG152" s="87" t="str">
        <f t="shared" si="39"/>
        <v>n.a.</v>
      </c>
      <c r="AH152" s="87">
        <f>INDEX(Auxiliar!$D$5:$I$10,MATCH('LISTA - Setembro2024'!AH$3,Auxiliar!$B$5:$B$10,0),MATCH('LISTA - Setembro2024'!$AG152,Auxiliar!$D$4:$I$4,0))</f>
        <v>0</v>
      </c>
      <c r="AI152" s="87">
        <f>INDEX(Auxiliar!$D$5:$I$10,MATCH('LISTA - Setembro2024'!AI$3,Auxiliar!$B$5:$B$10,0),MATCH('LISTA - Setembro2024'!$AC152,Auxiliar!$D$4:$I$4,0))</f>
        <v>0.5</v>
      </c>
      <c r="AJ152" s="87">
        <f>INDEX(Auxiliar!$D$5:$I$10,MATCH('LISTA - Setembro2024'!AJ$3,Auxiliar!$B$5:$B$10,0),MATCH('LISTA - Setembro2024'!$AC152,Auxiliar!$D$4:$I$4,0))</f>
        <v>1</v>
      </c>
      <c r="AK152" s="160">
        <f t="shared" si="42"/>
        <v>2.5</v>
      </c>
      <c r="AL152" s="87"/>
    </row>
    <row r="153" spans="1:38" ht="13.8" x14ac:dyDescent="0.25">
      <c r="A153" s="158" t="s">
        <v>1425</v>
      </c>
      <c r="B153" s="81" t="str">
        <f t="shared" si="41"/>
        <v>ENTITY_PURE_CAPEX_P</v>
      </c>
      <c r="C153" s="82" t="s">
        <v>10</v>
      </c>
      <c r="D153" s="95" t="s">
        <v>1426</v>
      </c>
      <c r="E153" s="96" t="s">
        <v>1427</v>
      </c>
      <c r="F153" s="85" t="s">
        <v>11</v>
      </c>
      <c r="G153" s="85" t="s">
        <v>11</v>
      </c>
      <c r="H153" s="85" t="s">
        <v>13</v>
      </c>
      <c r="I153" s="85" t="s">
        <v>11</v>
      </c>
      <c r="J153" s="85" t="s">
        <v>11</v>
      </c>
      <c r="K153" s="85" t="s">
        <v>11</v>
      </c>
      <c r="L153" s="86" t="str">
        <f>IFERROR(VLOOKUP($B153,'LISTA - Atual'!$B$1:$I$444,5,0),"Novo")</f>
        <v>Novo</v>
      </c>
      <c r="M153" s="86" t="str">
        <f t="shared" si="34"/>
        <v>Novo Campo</v>
      </c>
      <c r="N153" s="86" t="str">
        <f>IFERROR(VLOOKUP($B153,'LISTA - Atual'!$B$1:$I$444,6,0),"Novo")</f>
        <v>Novo</v>
      </c>
      <c r="O153" s="86" t="str">
        <f t="shared" si="35"/>
        <v>Novo Campo</v>
      </c>
      <c r="P153" s="86" t="str">
        <f>IFERROR(VLOOKUP($B153,'LISTA - Atual'!$B$1:$I$444,7,0),"Novo")</f>
        <v>Novo</v>
      </c>
      <c r="Q153" s="86" t="str">
        <f t="shared" si="36"/>
        <v>Novo Campo</v>
      </c>
      <c r="R153" s="86" t="s">
        <v>1563</v>
      </c>
      <c r="S153" s="86" t="str">
        <f>IFERROR(VLOOKUP($B153,'LISTA - Atual'!$B$1:$I$444,8,0),"Novo")</f>
        <v>Novo</v>
      </c>
      <c r="T153" s="86" t="str">
        <f t="shared" si="37"/>
        <v>Novo Campo</v>
      </c>
      <c r="U153" s="86" t="s">
        <v>1563</v>
      </c>
      <c r="V153" s="86" t="s">
        <v>11</v>
      </c>
      <c r="W153" s="87" t="str">
        <f>IFERROR(VLOOKUP(B153,#REF!,11,0),"n/a")</f>
        <v>n/a</v>
      </c>
      <c r="X153" s="87" t="str">
        <f>IFERROR(VLOOKUP(B153,#REF!,8,0),"n/a")</f>
        <v>n/a</v>
      </c>
      <c r="Y153" s="87" t="str">
        <f t="shared" si="44"/>
        <v>PILAR3</v>
      </c>
      <c r="Z153" s="131" t="s">
        <v>1570</v>
      </c>
      <c r="AA153" s="227" t="str">
        <f>VLOOKUP(Table1[[#This Row],[CONCAT]],'Campos Resumo Prop2.0'!A:H,8,0)</f>
        <v>Âmbito de proposta - Especificação &amp; Simular</v>
      </c>
      <c r="AB153" s="87" t="s">
        <v>1656</v>
      </c>
      <c r="AC153" s="137" t="s">
        <v>1674</v>
      </c>
      <c r="AD153" s="91">
        <f>INDEX(Auxiliar!$D$5:$I$10,MATCH('LISTA - Setembro2024'!AD$3,Auxiliar!$B$5:$B$10,0),MATCH('LISTA - Setembro2024'!$AC153,Auxiliar!$D$4:$I$4,0))</f>
        <v>1</v>
      </c>
      <c r="AE153" s="91">
        <f>INDEX(Auxiliar!$D$5:$I$10,MATCH('LISTA - Setembro2024'!AE$3,Auxiliar!$B$5:$B$10,0),MATCH('LISTA - Setembro2024'!$AC153,Auxiliar!$D$4:$I$4,0))</f>
        <v>1</v>
      </c>
      <c r="AF153" s="87">
        <f>INDEX(Auxiliar!$D$5:$I$10,MATCH('LISTA - Setembro2024'!AF$3,Auxiliar!$B$5:$B$10,0),MATCH('LISTA - Setembro2024'!$AC153,Auxiliar!$D$4:$I$4,0))</f>
        <v>1</v>
      </c>
      <c r="AG153" s="87" t="str">
        <f t="shared" si="39"/>
        <v>n.a.</v>
      </c>
      <c r="AH153" s="87">
        <f>INDEX(Auxiliar!$D$5:$I$10,MATCH('LISTA - Setembro2024'!AH$3,Auxiliar!$B$5:$B$10,0),MATCH('LISTA - Setembro2024'!$AG153,Auxiliar!$D$4:$I$4,0))</f>
        <v>0</v>
      </c>
      <c r="AI153" s="87">
        <f>INDEX(Auxiliar!$D$5:$I$10,MATCH('LISTA - Setembro2024'!AI$3,Auxiliar!$B$5:$B$10,0),MATCH('LISTA - Setembro2024'!$AC153,Auxiliar!$D$4:$I$4,0))</f>
        <v>0.5</v>
      </c>
      <c r="AJ153" s="87">
        <f>INDEX(Auxiliar!$D$5:$I$10,MATCH('LISTA - Setembro2024'!AJ$3,Auxiliar!$B$5:$B$10,0),MATCH('LISTA - Setembro2024'!$AC153,Auxiliar!$D$4:$I$4,0))</f>
        <v>1</v>
      </c>
      <c r="AK153" s="160">
        <f t="shared" si="42"/>
        <v>2.5</v>
      </c>
      <c r="AL153" s="87"/>
    </row>
    <row r="154" spans="1:38" ht="13.8" x14ac:dyDescent="0.25">
      <c r="A154" s="158" t="s">
        <v>1428</v>
      </c>
      <c r="B154" s="81" t="str">
        <f t="shared" si="41"/>
        <v>ENTITY_PURE_TRNVR_P</v>
      </c>
      <c r="C154" s="82" t="s">
        <v>10</v>
      </c>
      <c r="D154" s="95" t="s">
        <v>1429</v>
      </c>
      <c r="E154" s="96" t="s">
        <v>1430</v>
      </c>
      <c r="F154" s="85" t="s">
        <v>11</v>
      </c>
      <c r="G154" s="85" t="s">
        <v>11</v>
      </c>
      <c r="H154" s="85" t="s">
        <v>13</v>
      </c>
      <c r="I154" s="85" t="s">
        <v>11</v>
      </c>
      <c r="J154" s="85" t="s">
        <v>11</v>
      </c>
      <c r="K154" s="85" t="s">
        <v>11</v>
      </c>
      <c r="L154" s="86" t="str">
        <f>IFERROR(VLOOKUP($B154,'LISTA - Atual'!$B$1:$I$444,5,0),"Novo")</f>
        <v>Novo</v>
      </c>
      <c r="M154" s="86" t="str">
        <f t="shared" si="34"/>
        <v>Novo Campo</v>
      </c>
      <c r="N154" s="86" t="str">
        <f>IFERROR(VLOOKUP($B154,'LISTA - Atual'!$B$1:$I$444,6,0),"Novo")</f>
        <v>Novo</v>
      </c>
      <c r="O154" s="86" t="str">
        <f t="shared" si="35"/>
        <v>Novo Campo</v>
      </c>
      <c r="P154" s="86" t="str">
        <f>IFERROR(VLOOKUP($B154,'LISTA - Atual'!$B$1:$I$444,7,0),"Novo")</f>
        <v>Novo</v>
      </c>
      <c r="Q154" s="86" t="str">
        <f t="shared" si="36"/>
        <v>Novo Campo</v>
      </c>
      <c r="R154" s="86" t="s">
        <v>1563</v>
      </c>
      <c r="S154" s="86" t="str">
        <f>IFERROR(VLOOKUP($B154,'LISTA - Atual'!$B$1:$I$444,8,0),"Novo")</f>
        <v>Novo</v>
      </c>
      <c r="T154" s="86" t="str">
        <f t="shared" si="37"/>
        <v>Novo Campo</v>
      </c>
      <c r="U154" s="86" t="s">
        <v>1563</v>
      </c>
      <c r="V154" s="86" t="s">
        <v>11</v>
      </c>
      <c r="W154" s="87" t="str">
        <f>IFERROR(VLOOKUP(B154,#REF!,11,0),"n/a")</f>
        <v>n/a</v>
      </c>
      <c r="X154" s="87" t="str">
        <f>IFERROR(VLOOKUP(B154,#REF!,8,0),"n/a")</f>
        <v>n/a</v>
      </c>
      <c r="Y154" s="87" t="str">
        <f t="shared" si="44"/>
        <v>PILAR3</v>
      </c>
      <c r="Z154" s="131" t="s">
        <v>1570</v>
      </c>
      <c r="AA154" s="227" t="str">
        <f>VLOOKUP(Table1[[#This Row],[CONCAT]],'Campos Resumo Prop2.0'!A:H,8,0)</f>
        <v>Âmbito de proposta - Especificação &amp; Simular</v>
      </c>
      <c r="AB154" s="87" t="s">
        <v>1656</v>
      </c>
      <c r="AC154" s="137" t="s">
        <v>1674</v>
      </c>
      <c r="AD154" s="91">
        <f>INDEX(Auxiliar!$D$5:$I$10,MATCH('LISTA - Setembro2024'!AD$3,Auxiliar!$B$5:$B$10,0),MATCH('LISTA - Setembro2024'!$AC154,Auxiliar!$D$4:$I$4,0))</f>
        <v>1</v>
      </c>
      <c r="AE154" s="91">
        <f>INDEX(Auxiliar!$D$5:$I$10,MATCH('LISTA - Setembro2024'!AE$3,Auxiliar!$B$5:$B$10,0),MATCH('LISTA - Setembro2024'!$AC154,Auxiliar!$D$4:$I$4,0))</f>
        <v>1</v>
      </c>
      <c r="AF154" s="87">
        <f>INDEX(Auxiliar!$D$5:$I$10,MATCH('LISTA - Setembro2024'!AF$3,Auxiliar!$B$5:$B$10,0),MATCH('LISTA - Setembro2024'!$AC154,Auxiliar!$D$4:$I$4,0))</f>
        <v>1</v>
      </c>
      <c r="AG154" s="87" t="str">
        <f t="shared" si="39"/>
        <v>n.a.</v>
      </c>
      <c r="AH154" s="87">
        <f>INDEX(Auxiliar!$D$5:$I$10,MATCH('LISTA - Setembro2024'!AH$3,Auxiliar!$B$5:$B$10,0),MATCH('LISTA - Setembro2024'!$AG154,Auxiliar!$D$4:$I$4,0))</f>
        <v>0</v>
      </c>
      <c r="AI154" s="87">
        <f>INDEX(Auxiliar!$D$5:$I$10,MATCH('LISTA - Setembro2024'!AI$3,Auxiliar!$B$5:$B$10,0),MATCH('LISTA - Setembro2024'!$AC154,Auxiliar!$D$4:$I$4,0))</f>
        <v>0.5</v>
      </c>
      <c r="AJ154" s="87">
        <f>INDEX(Auxiliar!$D$5:$I$10,MATCH('LISTA - Setembro2024'!AJ$3,Auxiliar!$B$5:$B$10,0),MATCH('LISTA - Setembro2024'!$AC154,Auxiliar!$D$4:$I$4,0))</f>
        <v>1</v>
      </c>
      <c r="AK154" s="160">
        <f t="shared" si="42"/>
        <v>2.5</v>
      </c>
      <c r="AL154" s="87"/>
    </row>
    <row r="155" spans="1:38" ht="13.8" x14ac:dyDescent="0.25">
      <c r="A155" s="158" t="s">
        <v>1431</v>
      </c>
      <c r="B155" s="81" t="str">
        <f t="shared" si="41"/>
        <v>ENTITY_PURE_CAPEX_B</v>
      </c>
      <c r="C155" s="82" t="s">
        <v>10</v>
      </c>
      <c r="D155" s="95" t="s">
        <v>1432</v>
      </c>
      <c r="E155" s="96" t="s">
        <v>1433</v>
      </c>
      <c r="F155" s="85" t="s">
        <v>11</v>
      </c>
      <c r="G155" s="85" t="s">
        <v>11</v>
      </c>
      <c r="H155" s="85" t="s">
        <v>13</v>
      </c>
      <c r="I155" s="85" t="s">
        <v>11</v>
      </c>
      <c r="J155" s="85" t="s">
        <v>11</v>
      </c>
      <c r="K155" s="85" t="s">
        <v>11</v>
      </c>
      <c r="L155" s="86" t="str">
        <f>IFERROR(VLOOKUP($B155,'LISTA - Atual'!$B$1:$I$444,5,0),"Novo")</f>
        <v>Novo</v>
      </c>
      <c r="M155" s="86" t="str">
        <f t="shared" si="34"/>
        <v>Novo Campo</v>
      </c>
      <c r="N155" s="86" t="str">
        <f>IFERROR(VLOOKUP($B155,'LISTA - Atual'!$B$1:$I$444,6,0),"Novo")</f>
        <v>Novo</v>
      </c>
      <c r="O155" s="86" t="str">
        <f t="shared" si="35"/>
        <v>Novo Campo</v>
      </c>
      <c r="P155" s="86" t="str">
        <f>IFERROR(VLOOKUP($B155,'LISTA - Atual'!$B$1:$I$444,7,0),"Novo")</f>
        <v>Novo</v>
      </c>
      <c r="Q155" s="86" t="str">
        <f t="shared" si="36"/>
        <v>Novo Campo</v>
      </c>
      <c r="R155" s="86" t="s">
        <v>1563</v>
      </c>
      <c r="S155" s="86" t="str">
        <f>IFERROR(VLOOKUP($B155,'LISTA - Atual'!$B$1:$I$444,8,0),"Novo")</f>
        <v>Novo</v>
      </c>
      <c r="T155" s="86" t="str">
        <f t="shared" si="37"/>
        <v>Novo Campo</v>
      </c>
      <c r="U155" s="86" t="s">
        <v>1563</v>
      </c>
      <c r="V155" s="86" t="s">
        <v>11</v>
      </c>
      <c r="W155" s="87" t="str">
        <f>IFERROR(VLOOKUP(B155,#REF!,11,0),"n/a")</f>
        <v>n/a</v>
      </c>
      <c r="X155" s="87" t="str">
        <f>IFERROR(VLOOKUP(B155,#REF!,8,0),"n/a")</f>
        <v>n/a</v>
      </c>
      <c r="Y155" s="87" t="str">
        <f t="shared" si="44"/>
        <v>PILAR3</v>
      </c>
      <c r="Z155" s="131" t="s">
        <v>1570</v>
      </c>
      <c r="AA155" s="227" t="str">
        <f>VLOOKUP(Table1[[#This Row],[CONCAT]],'Campos Resumo Prop2.0'!A:H,8,0)</f>
        <v>Âmbito de proposta - Especificação &amp; Simular</v>
      </c>
      <c r="AB155" s="87" t="s">
        <v>1656</v>
      </c>
      <c r="AC155" s="137" t="s">
        <v>1674</v>
      </c>
      <c r="AD155" s="91">
        <f>INDEX(Auxiliar!$D$5:$I$10,MATCH('LISTA - Setembro2024'!AD$3,Auxiliar!$B$5:$B$10,0),MATCH('LISTA - Setembro2024'!$AC155,Auxiliar!$D$4:$I$4,0))</f>
        <v>1</v>
      </c>
      <c r="AE155" s="91">
        <f>INDEX(Auxiliar!$D$5:$I$10,MATCH('LISTA - Setembro2024'!AE$3,Auxiliar!$B$5:$B$10,0),MATCH('LISTA - Setembro2024'!$AC155,Auxiliar!$D$4:$I$4,0))</f>
        <v>1</v>
      </c>
      <c r="AF155" s="87">
        <f>INDEX(Auxiliar!$D$5:$I$10,MATCH('LISTA - Setembro2024'!AF$3,Auxiliar!$B$5:$B$10,0),MATCH('LISTA - Setembro2024'!$AC155,Auxiliar!$D$4:$I$4,0))</f>
        <v>1</v>
      </c>
      <c r="AG155" s="87" t="str">
        <f t="shared" si="39"/>
        <v>n.a.</v>
      </c>
      <c r="AH155" s="87">
        <f>INDEX(Auxiliar!$D$5:$I$10,MATCH('LISTA - Setembro2024'!AH$3,Auxiliar!$B$5:$B$10,0),MATCH('LISTA - Setembro2024'!$AG155,Auxiliar!$D$4:$I$4,0))</f>
        <v>0</v>
      </c>
      <c r="AI155" s="87">
        <f>INDEX(Auxiliar!$D$5:$I$10,MATCH('LISTA - Setembro2024'!AI$3,Auxiliar!$B$5:$B$10,0),MATCH('LISTA - Setembro2024'!$AC155,Auxiliar!$D$4:$I$4,0))</f>
        <v>0.5</v>
      </c>
      <c r="AJ155" s="87">
        <f>INDEX(Auxiliar!$D$5:$I$10,MATCH('LISTA - Setembro2024'!AJ$3,Auxiliar!$B$5:$B$10,0),MATCH('LISTA - Setembro2024'!$AC155,Auxiliar!$D$4:$I$4,0))</f>
        <v>1</v>
      </c>
      <c r="AK155" s="160">
        <f t="shared" si="42"/>
        <v>2.5</v>
      </c>
      <c r="AL155" s="87"/>
    </row>
    <row r="156" spans="1:38" ht="13.8" x14ac:dyDescent="0.25">
      <c r="A156" s="158" t="s">
        <v>1434</v>
      </c>
      <c r="B156" s="81" t="str">
        <f t="shared" si="41"/>
        <v>ENTITY_PURE_TRNVR_B</v>
      </c>
      <c r="C156" s="82" t="s">
        <v>10</v>
      </c>
      <c r="D156" s="95" t="s">
        <v>1435</v>
      </c>
      <c r="E156" s="96" t="s">
        <v>1436</v>
      </c>
      <c r="F156" s="85" t="s">
        <v>11</v>
      </c>
      <c r="G156" s="85" t="s">
        <v>11</v>
      </c>
      <c r="H156" s="85" t="s">
        <v>13</v>
      </c>
      <c r="I156" s="85" t="s">
        <v>11</v>
      </c>
      <c r="J156" s="85" t="s">
        <v>11</v>
      </c>
      <c r="K156" s="85" t="s">
        <v>11</v>
      </c>
      <c r="L156" s="86" t="str">
        <f>IFERROR(VLOOKUP($B156,'LISTA - Atual'!$B$1:$I$444,5,0),"Novo")</f>
        <v>Novo</v>
      </c>
      <c r="M156" s="86" t="str">
        <f t="shared" si="34"/>
        <v>Novo Campo</v>
      </c>
      <c r="N156" s="86" t="str">
        <f>IFERROR(VLOOKUP($B156,'LISTA - Atual'!$B$1:$I$444,6,0),"Novo")</f>
        <v>Novo</v>
      </c>
      <c r="O156" s="86" t="str">
        <f t="shared" si="35"/>
        <v>Novo Campo</v>
      </c>
      <c r="P156" s="86" t="str">
        <f>IFERROR(VLOOKUP($B156,'LISTA - Atual'!$B$1:$I$444,7,0),"Novo")</f>
        <v>Novo</v>
      </c>
      <c r="Q156" s="86" t="str">
        <f t="shared" si="36"/>
        <v>Novo Campo</v>
      </c>
      <c r="R156" s="86" t="s">
        <v>1563</v>
      </c>
      <c r="S156" s="86" t="str">
        <f>IFERROR(VLOOKUP($B156,'LISTA - Atual'!$B$1:$I$444,8,0),"Novo")</f>
        <v>Novo</v>
      </c>
      <c r="T156" s="86" t="str">
        <f t="shared" si="37"/>
        <v>Novo Campo</v>
      </c>
      <c r="U156" s="86" t="s">
        <v>1563</v>
      </c>
      <c r="V156" s="86" t="s">
        <v>11</v>
      </c>
      <c r="W156" s="87" t="str">
        <f>IFERROR(VLOOKUP(B156,#REF!,11,0),"n/a")</f>
        <v>n/a</v>
      </c>
      <c r="X156" s="87" t="str">
        <f>IFERROR(VLOOKUP(B156,#REF!,8,0),"n/a")</f>
        <v>n/a</v>
      </c>
      <c r="Y156" s="87" t="str">
        <f t="shared" si="44"/>
        <v>PILAR3</v>
      </c>
      <c r="Z156" s="131" t="s">
        <v>1570</v>
      </c>
      <c r="AA156" s="227" t="str">
        <f>VLOOKUP(Table1[[#This Row],[CONCAT]],'Campos Resumo Prop2.0'!A:H,8,0)</f>
        <v>Âmbito de proposta - Especificação &amp; Simular</v>
      </c>
      <c r="AB156" s="87" t="s">
        <v>1656</v>
      </c>
      <c r="AC156" s="137" t="s">
        <v>1674</v>
      </c>
      <c r="AD156" s="91">
        <f>INDEX(Auxiliar!$D$5:$I$10,MATCH('LISTA - Setembro2024'!AD$3,Auxiliar!$B$5:$B$10,0),MATCH('LISTA - Setembro2024'!$AC156,Auxiliar!$D$4:$I$4,0))</f>
        <v>1</v>
      </c>
      <c r="AE156" s="91">
        <f>INDEX(Auxiliar!$D$5:$I$10,MATCH('LISTA - Setembro2024'!AE$3,Auxiliar!$B$5:$B$10,0),MATCH('LISTA - Setembro2024'!$AC156,Auxiliar!$D$4:$I$4,0))</f>
        <v>1</v>
      </c>
      <c r="AF156" s="87">
        <f>INDEX(Auxiliar!$D$5:$I$10,MATCH('LISTA - Setembro2024'!AF$3,Auxiliar!$B$5:$B$10,0),MATCH('LISTA - Setembro2024'!$AC156,Auxiliar!$D$4:$I$4,0))</f>
        <v>1</v>
      </c>
      <c r="AG156" s="87" t="str">
        <f t="shared" si="39"/>
        <v>n.a.</v>
      </c>
      <c r="AH156" s="87">
        <f>INDEX(Auxiliar!$D$5:$I$10,MATCH('LISTA - Setembro2024'!AH$3,Auxiliar!$B$5:$B$10,0),MATCH('LISTA - Setembro2024'!$AG156,Auxiliar!$D$4:$I$4,0))</f>
        <v>0</v>
      </c>
      <c r="AI156" s="87">
        <f>INDEX(Auxiliar!$D$5:$I$10,MATCH('LISTA - Setembro2024'!AI$3,Auxiliar!$B$5:$B$10,0),MATCH('LISTA - Setembro2024'!$AC156,Auxiliar!$D$4:$I$4,0))</f>
        <v>0.5</v>
      </c>
      <c r="AJ156" s="87">
        <f>INDEX(Auxiliar!$D$5:$I$10,MATCH('LISTA - Setembro2024'!AJ$3,Auxiliar!$B$5:$B$10,0),MATCH('LISTA - Setembro2024'!$AC156,Auxiliar!$D$4:$I$4,0))</f>
        <v>1</v>
      </c>
      <c r="AK156" s="160">
        <f t="shared" si="42"/>
        <v>2.5</v>
      </c>
      <c r="AL156" s="87"/>
    </row>
    <row r="157" spans="1:38" ht="13.8" x14ac:dyDescent="0.25">
      <c r="A157" s="158" t="s">
        <v>1437</v>
      </c>
      <c r="B157" s="81" t="str">
        <f t="shared" si="41"/>
        <v>ENTITY_PURE_CAPEX_W</v>
      </c>
      <c r="C157" s="82" t="s">
        <v>10</v>
      </c>
      <c r="D157" s="95" t="s">
        <v>1438</v>
      </c>
      <c r="E157" s="96" t="s">
        <v>1439</v>
      </c>
      <c r="F157" s="85" t="s">
        <v>11</v>
      </c>
      <c r="G157" s="85" t="s">
        <v>11</v>
      </c>
      <c r="H157" s="85" t="s">
        <v>13</v>
      </c>
      <c r="I157" s="85" t="s">
        <v>11</v>
      </c>
      <c r="J157" s="85" t="s">
        <v>11</v>
      </c>
      <c r="K157" s="85" t="s">
        <v>11</v>
      </c>
      <c r="L157" s="86" t="str">
        <f>IFERROR(VLOOKUP($B157,'LISTA - Atual'!$B$1:$I$444,5,0),"Novo")</f>
        <v>Novo</v>
      </c>
      <c r="M157" s="86" t="str">
        <f t="shared" si="34"/>
        <v>Novo Campo</v>
      </c>
      <c r="N157" s="86" t="str">
        <f>IFERROR(VLOOKUP($B157,'LISTA - Atual'!$B$1:$I$444,6,0),"Novo")</f>
        <v>Novo</v>
      </c>
      <c r="O157" s="86" t="str">
        <f t="shared" si="35"/>
        <v>Novo Campo</v>
      </c>
      <c r="P157" s="86" t="str">
        <f>IFERROR(VLOOKUP($B157,'LISTA - Atual'!$B$1:$I$444,7,0),"Novo")</f>
        <v>Novo</v>
      </c>
      <c r="Q157" s="86" t="str">
        <f t="shared" si="36"/>
        <v>Novo Campo</v>
      </c>
      <c r="R157" s="86" t="s">
        <v>1563</v>
      </c>
      <c r="S157" s="86" t="str">
        <f>IFERROR(VLOOKUP($B157,'LISTA - Atual'!$B$1:$I$444,8,0),"Novo")</f>
        <v>Novo</v>
      </c>
      <c r="T157" s="86" t="str">
        <f t="shared" si="37"/>
        <v>Novo Campo</v>
      </c>
      <c r="U157" s="86" t="s">
        <v>1563</v>
      </c>
      <c r="V157" s="86" t="s">
        <v>11</v>
      </c>
      <c r="W157" s="87" t="str">
        <f>IFERROR(VLOOKUP(B157,#REF!,11,0),"n/a")</f>
        <v>n/a</v>
      </c>
      <c r="X157" s="87" t="str">
        <f>IFERROR(VLOOKUP(B157,#REF!,8,0),"n/a")</f>
        <v>n/a</v>
      </c>
      <c r="Y157" s="87" t="str">
        <f t="shared" si="44"/>
        <v>PILAR3</v>
      </c>
      <c r="Z157" s="131" t="s">
        <v>1570</v>
      </c>
      <c r="AA157" s="227" t="str">
        <f>VLOOKUP(Table1[[#This Row],[CONCAT]],'Campos Resumo Prop2.0'!A:H,8,0)</f>
        <v>Âmbito de proposta - Especificação &amp; Simular</v>
      </c>
      <c r="AB157" s="87" t="s">
        <v>1656</v>
      </c>
      <c r="AC157" s="137" t="s">
        <v>1674</v>
      </c>
      <c r="AD157" s="91">
        <f>INDEX(Auxiliar!$D$5:$I$10,MATCH('LISTA - Setembro2024'!AD$3,Auxiliar!$B$5:$B$10,0),MATCH('LISTA - Setembro2024'!$AC157,Auxiliar!$D$4:$I$4,0))</f>
        <v>1</v>
      </c>
      <c r="AE157" s="91">
        <f>INDEX(Auxiliar!$D$5:$I$10,MATCH('LISTA - Setembro2024'!AE$3,Auxiliar!$B$5:$B$10,0),MATCH('LISTA - Setembro2024'!$AC157,Auxiliar!$D$4:$I$4,0))</f>
        <v>1</v>
      </c>
      <c r="AF157" s="87">
        <f>INDEX(Auxiliar!$D$5:$I$10,MATCH('LISTA - Setembro2024'!AF$3,Auxiliar!$B$5:$B$10,0),MATCH('LISTA - Setembro2024'!$AC157,Auxiliar!$D$4:$I$4,0))</f>
        <v>1</v>
      </c>
      <c r="AG157" s="87" t="str">
        <f t="shared" si="39"/>
        <v>n.a.</v>
      </c>
      <c r="AH157" s="87">
        <f>INDEX(Auxiliar!$D$5:$I$10,MATCH('LISTA - Setembro2024'!AH$3,Auxiliar!$B$5:$B$10,0),MATCH('LISTA - Setembro2024'!$AG157,Auxiliar!$D$4:$I$4,0))</f>
        <v>0</v>
      </c>
      <c r="AI157" s="87">
        <f>INDEX(Auxiliar!$D$5:$I$10,MATCH('LISTA - Setembro2024'!AI$3,Auxiliar!$B$5:$B$10,0),MATCH('LISTA - Setembro2024'!$AC157,Auxiliar!$D$4:$I$4,0))</f>
        <v>0.5</v>
      </c>
      <c r="AJ157" s="87">
        <f>INDEX(Auxiliar!$D$5:$I$10,MATCH('LISTA - Setembro2024'!AJ$3,Auxiliar!$B$5:$B$10,0),MATCH('LISTA - Setembro2024'!$AC157,Auxiliar!$D$4:$I$4,0))</f>
        <v>1</v>
      </c>
      <c r="AK157" s="160">
        <f t="shared" si="42"/>
        <v>2.5</v>
      </c>
      <c r="AL157" s="87"/>
    </row>
    <row r="158" spans="1:38" ht="13.8" x14ac:dyDescent="0.25">
      <c r="A158" s="158" t="s">
        <v>1440</v>
      </c>
      <c r="B158" s="81" t="str">
        <f t="shared" si="41"/>
        <v>ENTITY_PURE_TRNVR_W</v>
      </c>
      <c r="C158" s="82" t="s">
        <v>10</v>
      </c>
      <c r="D158" s="95" t="s">
        <v>1441</v>
      </c>
      <c r="E158" s="96" t="s">
        <v>1442</v>
      </c>
      <c r="F158" s="85" t="s">
        <v>11</v>
      </c>
      <c r="G158" s="85" t="s">
        <v>11</v>
      </c>
      <c r="H158" s="85" t="s">
        <v>13</v>
      </c>
      <c r="I158" s="85" t="s">
        <v>11</v>
      </c>
      <c r="J158" s="85" t="s">
        <v>11</v>
      </c>
      <c r="K158" s="85" t="s">
        <v>11</v>
      </c>
      <c r="L158" s="86" t="str">
        <f>IFERROR(VLOOKUP($B158,'LISTA - Atual'!$B$1:$I$444,5,0),"Novo")</f>
        <v>Novo</v>
      </c>
      <c r="M158" s="86" t="str">
        <f t="shared" si="34"/>
        <v>Novo Campo</v>
      </c>
      <c r="N158" s="86" t="str">
        <f>IFERROR(VLOOKUP($B158,'LISTA - Atual'!$B$1:$I$444,6,0),"Novo")</f>
        <v>Novo</v>
      </c>
      <c r="O158" s="86" t="str">
        <f t="shared" si="35"/>
        <v>Novo Campo</v>
      </c>
      <c r="P158" s="86" t="str">
        <f>IFERROR(VLOOKUP($B158,'LISTA - Atual'!$B$1:$I$444,7,0),"Novo")</f>
        <v>Novo</v>
      </c>
      <c r="Q158" s="86" t="str">
        <f t="shared" si="36"/>
        <v>Novo Campo</v>
      </c>
      <c r="R158" s="86" t="s">
        <v>1563</v>
      </c>
      <c r="S158" s="86" t="str">
        <f>IFERROR(VLOOKUP($B158,'LISTA - Atual'!$B$1:$I$444,8,0),"Novo")</f>
        <v>Novo</v>
      </c>
      <c r="T158" s="86" t="str">
        <f t="shared" si="37"/>
        <v>Novo Campo</v>
      </c>
      <c r="U158" s="86" t="s">
        <v>1563</v>
      </c>
      <c r="V158" s="86" t="s">
        <v>11</v>
      </c>
      <c r="W158" s="87" t="str">
        <f>IFERROR(VLOOKUP(B158,#REF!,11,0),"n/a")</f>
        <v>n/a</v>
      </c>
      <c r="X158" s="87" t="str">
        <f>IFERROR(VLOOKUP(B158,#REF!,8,0),"n/a")</f>
        <v>n/a</v>
      </c>
      <c r="Y158" s="87" t="str">
        <f t="shared" si="44"/>
        <v>PILAR3</v>
      </c>
      <c r="Z158" s="131" t="s">
        <v>1570</v>
      </c>
      <c r="AA158" s="227" t="str">
        <f>VLOOKUP(Table1[[#This Row],[CONCAT]],'Campos Resumo Prop2.0'!A:H,8,0)</f>
        <v>Âmbito de proposta - Especificação &amp; Simular</v>
      </c>
      <c r="AB158" s="87" t="s">
        <v>1656</v>
      </c>
      <c r="AC158" s="137" t="s">
        <v>1674</v>
      </c>
      <c r="AD158" s="91">
        <f>INDEX(Auxiliar!$D$5:$I$10,MATCH('LISTA - Setembro2024'!AD$3,Auxiliar!$B$5:$B$10,0),MATCH('LISTA - Setembro2024'!$AC158,Auxiliar!$D$4:$I$4,0))</f>
        <v>1</v>
      </c>
      <c r="AE158" s="91">
        <f>INDEX(Auxiliar!$D$5:$I$10,MATCH('LISTA - Setembro2024'!AE$3,Auxiliar!$B$5:$B$10,0),MATCH('LISTA - Setembro2024'!$AC158,Auxiliar!$D$4:$I$4,0))</f>
        <v>1</v>
      </c>
      <c r="AF158" s="87">
        <f>INDEX(Auxiliar!$D$5:$I$10,MATCH('LISTA - Setembro2024'!AF$3,Auxiliar!$B$5:$B$10,0),MATCH('LISTA - Setembro2024'!$AC158,Auxiliar!$D$4:$I$4,0))</f>
        <v>1</v>
      </c>
      <c r="AG158" s="87" t="str">
        <f t="shared" si="39"/>
        <v>n.a.</v>
      </c>
      <c r="AH158" s="87">
        <f>INDEX(Auxiliar!$D$5:$I$10,MATCH('LISTA - Setembro2024'!AH$3,Auxiliar!$B$5:$B$10,0),MATCH('LISTA - Setembro2024'!$AG158,Auxiliar!$D$4:$I$4,0))</f>
        <v>0</v>
      </c>
      <c r="AI158" s="87">
        <f>INDEX(Auxiliar!$D$5:$I$10,MATCH('LISTA - Setembro2024'!AI$3,Auxiliar!$B$5:$B$10,0),MATCH('LISTA - Setembro2024'!$AC158,Auxiliar!$D$4:$I$4,0))</f>
        <v>0.5</v>
      </c>
      <c r="AJ158" s="87">
        <f>INDEX(Auxiliar!$D$5:$I$10,MATCH('LISTA - Setembro2024'!AJ$3,Auxiliar!$B$5:$B$10,0),MATCH('LISTA - Setembro2024'!$AC158,Auxiliar!$D$4:$I$4,0))</f>
        <v>1</v>
      </c>
      <c r="AK158" s="160">
        <f t="shared" si="42"/>
        <v>2.5</v>
      </c>
      <c r="AL158" s="87"/>
    </row>
    <row r="159" spans="1:38" ht="13.8" x14ac:dyDescent="0.25">
      <c r="A159" s="158" t="s">
        <v>1443</v>
      </c>
      <c r="B159" s="81" t="str">
        <f t="shared" si="41"/>
        <v>ENTITY_PURE_CAPEX_CE</v>
      </c>
      <c r="C159" s="82" t="s">
        <v>10</v>
      </c>
      <c r="D159" s="95" t="s">
        <v>1444</v>
      </c>
      <c r="E159" s="96" t="s">
        <v>1445</v>
      </c>
      <c r="F159" s="85" t="s">
        <v>11</v>
      </c>
      <c r="G159" s="85" t="s">
        <v>11</v>
      </c>
      <c r="H159" s="85" t="s">
        <v>13</v>
      </c>
      <c r="I159" s="85" t="s">
        <v>11</v>
      </c>
      <c r="J159" s="85" t="s">
        <v>11</v>
      </c>
      <c r="K159" s="85" t="s">
        <v>11</v>
      </c>
      <c r="L159" s="86" t="str">
        <f>IFERROR(VLOOKUP($B159,'LISTA - Atual'!$B$1:$I$444,5,0),"Novo")</f>
        <v>Novo</v>
      </c>
      <c r="M159" s="86" t="str">
        <f t="shared" si="34"/>
        <v>Novo Campo</v>
      </c>
      <c r="N159" s="86" t="str">
        <f>IFERROR(VLOOKUP($B159,'LISTA - Atual'!$B$1:$I$444,6,0),"Novo")</f>
        <v>Novo</v>
      </c>
      <c r="O159" s="86" t="str">
        <f t="shared" si="35"/>
        <v>Novo Campo</v>
      </c>
      <c r="P159" s="86" t="str">
        <f>IFERROR(VLOOKUP($B159,'LISTA - Atual'!$B$1:$I$444,7,0),"Novo")</f>
        <v>Novo</v>
      </c>
      <c r="Q159" s="86" t="str">
        <f t="shared" si="36"/>
        <v>Novo Campo</v>
      </c>
      <c r="R159" s="86" t="s">
        <v>1563</v>
      </c>
      <c r="S159" s="86" t="str">
        <f>IFERROR(VLOOKUP($B159,'LISTA - Atual'!$B$1:$I$444,8,0),"Novo")</f>
        <v>Novo</v>
      </c>
      <c r="T159" s="86" t="str">
        <f t="shared" si="37"/>
        <v>Novo Campo</v>
      </c>
      <c r="U159" s="86" t="s">
        <v>1563</v>
      </c>
      <c r="V159" s="86" t="s">
        <v>11</v>
      </c>
      <c r="W159" s="87" t="str">
        <f>IFERROR(VLOOKUP(B159,#REF!,11,0),"n/a")</f>
        <v>n/a</v>
      </c>
      <c r="X159" s="87" t="str">
        <f>IFERROR(VLOOKUP(B159,#REF!,8,0),"n/a")</f>
        <v>n/a</v>
      </c>
      <c r="Y159" s="87" t="str">
        <f t="shared" si="44"/>
        <v>PILAR3</v>
      </c>
      <c r="Z159" s="131" t="s">
        <v>1570</v>
      </c>
      <c r="AA159" s="227" t="str">
        <f>VLOOKUP(Table1[[#This Row],[CONCAT]],'Campos Resumo Prop2.0'!A:H,8,0)</f>
        <v>Âmbito de proposta - Especificação &amp; Simular</v>
      </c>
      <c r="AB159" s="87" t="s">
        <v>1656</v>
      </c>
      <c r="AC159" s="137" t="s">
        <v>1674</v>
      </c>
      <c r="AD159" s="91">
        <f>INDEX(Auxiliar!$D$5:$I$10,MATCH('LISTA - Setembro2024'!AD$3,Auxiliar!$B$5:$B$10,0),MATCH('LISTA - Setembro2024'!$AC159,Auxiliar!$D$4:$I$4,0))</f>
        <v>1</v>
      </c>
      <c r="AE159" s="91">
        <f>INDEX(Auxiliar!$D$5:$I$10,MATCH('LISTA - Setembro2024'!AE$3,Auxiliar!$B$5:$B$10,0),MATCH('LISTA - Setembro2024'!$AC159,Auxiliar!$D$4:$I$4,0))</f>
        <v>1</v>
      </c>
      <c r="AF159" s="87">
        <f>INDEX(Auxiliar!$D$5:$I$10,MATCH('LISTA - Setembro2024'!AF$3,Auxiliar!$B$5:$B$10,0),MATCH('LISTA - Setembro2024'!$AC159,Auxiliar!$D$4:$I$4,0))</f>
        <v>1</v>
      </c>
      <c r="AG159" s="87" t="str">
        <f t="shared" si="39"/>
        <v>n.a.</v>
      </c>
      <c r="AH159" s="87">
        <f>INDEX(Auxiliar!$D$5:$I$10,MATCH('LISTA - Setembro2024'!AH$3,Auxiliar!$B$5:$B$10,0),MATCH('LISTA - Setembro2024'!$AG159,Auxiliar!$D$4:$I$4,0))</f>
        <v>0</v>
      </c>
      <c r="AI159" s="87">
        <f>INDEX(Auxiliar!$D$5:$I$10,MATCH('LISTA - Setembro2024'!AI$3,Auxiliar!$B$5:$B$10,0),MATCH('LISTA - Setembro2024'!$AC159,Auxiliar!$D$4:$I$4,0))</f>
        <v>0.5</v>
      </c>
      <c r="AJ159" s="87">
        <f>INDEX(Auxiliar!$D$5:$I$10,MATCH('LISTA - Setembro2024'!AJ$3,Auxiliar!$B$5:$B$10,0),MATCH('LISTA - Setembro2024'!$AC159,Auxiliar!$D$4:$I$4,0))</f>
        <v>1</v>
      </c>
      <c r="AK159" s="160">
        <f t="shared" si="42"/>
        <v>2.5</v>
      </c>
      <c r="AL159" s="87"/>
    </row>
    <row r="160" spans="1:38" ht="13.8" x14ac:dyDescent="0.25">
      <c r="A160" s="158" t="s">
        <v>1446</v>
      </c>
      <c r="B160" s="81" t="str">
        <f t="shared" si="41"/>
        <v>ENTITY_PURE_TRNVR_CE</v>
      </c>
      <c r="C160" s="82" t="s">
        <v>10</v>
      </c>
      <c r="D160" s="95" t="s">
        <v>1447</v>
      </c>
      <c r="E160" s="96" t="s">
        <v>1448</v>
      </c>
      <c r="F160" s="85" t="s">
        <v>11</v>
      </c>
      <c r="G160" s="85" t="s">
        <v>11</v>
      </c>
      <c r="H160" s="85" t="s">
        <v>13</v>
      </c>
      <c r="I160" s="85" t="s">
        <v>11</v>
      </c>
      <c r="J160" s="85" t="s">
        <v>11</v>
      </c>
      <c r="K160" s="85" t="s">
        <v>11</v>
      </c>
      <c r="L160" s="86" t="str">
        <f>IFERROR(VLOOKUP($B160,'LISTA - Atual'!$B$1:$I$444,5,0),"Novo")</f>
        <v>Novo</v>
      </c>
      <c r="M160" s="86" t="str">
        <f t="shared" si="34"/>
        <v>Novo Campo</v>
      </c>
      <c r="N160" s="86" t="str">
        <f>IFERROR(VLOOKUP($B160,'LISTA - Atual'!$B$1:$I$444,6,0),"Novo")</f>
        <v>Novo</v>
      </c>
      <c r="O160" s="86" t="str">
        <f t="shared" si="35"/>
        <v>Novo Campo</v>
      </c>
      <c r="P160" s="86" t="str">
        <f>IFERROR(VLOOKUP($B160,'LISTA - Atual'!$B$1:$I$444,7,0),"Novo")</f>
        <v>Novo</v>
      </c>
      <c r="Q160" s="86" t="str">
        <f t="shared" si="36"/>
        <v>Novo Campo</v>
      </c>
      <c r="R160" s="86" t="s">
        <v>1563</v>
      </c>
      <c r="S160" s="86" t="str">
        <f>IFERROR(VLOOKUP($B160,'LISTA - Atual'!$B$1:$I$444,8,0),"Novo")</f>
        <v>Novo</v>
      </c>
      <c r="T160" s="86" t="str">
        <f t="shared" si="37"/>
        <v>Novo Campo</v>
      </c>
      <c r="U160" s="86" t="s">
        <v>1563</v>
      </c>
      <c r="V160" s="86" t="s">
        <v>11</v>
      </c>
      <c r="W160" s="87" t="str">
        <f>IFERROR(VLOOKUP(B160,#REF!,11,0),"n/a")</f>
        <v>n/a</v>
      </c>
      <c r="X160" s="87" t="str">
        <f>IFERROR(VLOOKUP(B160,#REF!,8,0),"n/a")</f>
        <v>n/a</v>
      </c>
      <c r="Y160" s="87" t="str">
        <f t="shared" si="44"/>
        <v>PILAR3</v>
      </c>
      <c r="Z160" s="131" t="s">
        <v>1570</v>
      </c>
      <c r="AA160" s="227" t="str">
        <f>VLOOKUP(Table1[[#This Row],[CONCAT]],'Campos Resumo Prop2.0'!A:H,8,0)</f>
        <v>Âmbito de proposta - Especificação &amp; Simular</v>
      </c>
      <c r="AB160" s="87" t="s">
        <v>1656</v>
      </c>
      <c r="AC160" s="137" t="s">
        <v>1674</v>
      </c>
      <c r="AD160" s="91">
        <f>INDEX(Auxiliar!$D$5:$I$10,MATCH('LISTA - Setembro2024'!AD$3,Auxiliar!$B$5:$B$10,0),MATCH('LISTA - Setembro2024'!$AC160,Auxiliar!$D$4:$I$4,0))</f>
        <v>1</v>
      </c>
      <c r="AE160" s="91">
        <f>INDEX(Auxiliar!$D$5:$I$10,MATCH('LISTA - Setembro2024'!AE$3,Auxiliar!$B$5:$B$10,0),MATCH('LISTA - Setembro2024'!$AC160,Auxiliar!$D$4:$I$4,0))</f>
        <v>1</v>
      </c>
      <c r="AF160" s="87">
        <f>INDEX(Auxiliar!$D$5:$I$10,MATCH('LISTA - Setembro2024'!AF$3,Auxiliar!$B$5:$B$10,0),MATCH('LISTA - Setembro2024'!$AC160,Auxiliar!$D$4:$I$4,0))</f>
        <v>1</v>
      </c>
      <c r="AG160" s="87" t="str">
        <f t="shared" si="39"/>
        <v>n.a.</v>
      </c>
      <c r="AH160" s="87">
        <f>INDEX(Auxiliar!$D$5:$I$10,MATCH('LISTA - Setembro2024'!AH$3,Auxiliar!$B$5:$B$10,0),MATCH('LISTA - Setembro2024'!$AG160,Auxiliar!$D$4:$I$4,0))</f>
        <v>0</v>
      </c>
      <c r="AI160" s="87">
        <f>INDEX(Auxiliar!$D$5:$I$10,MATCH('LISTA - Setembro2024'!AI$3,Auxiliar!$B$5:$B$10,0),MATCH('LISTA - Setembro2024'!$AC160,Auxiliar!$D$4:$I$4,0))</f>
        <v>0.5</v>
      </c>
      <c r="AJ160" s="87">
        <f>INDEX(Auxiliar!$D$5:$I$10,MATCH('LISTA - Setembro2024'!AJ$3,Auxiliar!$B$5:$B$10,0),MATCH('LISTA - Setembro2024'!$AC160,Auxiliar!$D$4:$I$4,0))</f>
        <v>1</v>
      </c>
      <c r="AK160" s="160">
        <f t="shared" si="42"/>
        <v>2.5</v>
      </c>
      <c r="AL160" s="87"/>
    </row>
    <row r="161" spans="1:38" ht="13.8" x14ac:dyDescent="0.25">
      <c r="A161" s="158" t="s">
        <v>1449</v>
      </c>
      <c r="B161" s="81" t="str">
        <f t="shared" si="41"/>
        <v>ENTITY_ENBLNG_CAPEX_W</v>
      </c>
      <c r="C161" s="82" t="s">
        <v>10</v>
      </c>
      <c r="D161" s="95" t="s">
        <v>1450</v>
      </c>
      <c r="E161" s="96" t="s">
        <v>1451</v>
      </c>
      <c r="F161" s="85" t="s">
        <v>11</v>
      </c>
      <c r="G161" s="85" t="s">
        <v>11</v>
      </c>
      <c r="H161" s="85" t="s">
        <v>13</v>
      </c>
      <c r="I161" s="85" t="s">
        <v>11</v>
      </c>
      <c r="J161" s="85" t="s">
        <v>11</v>
      </c>
      <c r="K161" s="85" t="s">
        <v>11</v>
      </c>
      <c r="L161" s="86" t="str">
        <f>IFERROR(VLOOKUP($B161,'LISTA - Atual'!$B$1:$I$444,5,0),"Novo")</f>
        <v>Novo</v>
      </c>
      <c r="M161" s="86" t="str">
        <f t="shared" si="34"/>
        <v>Novo Campo</v>
      </c>
      <c r="N161" s="86" t="str">
        <f>IFERROR(VLOOKUP($B161,'LISTA - Atual'!$B$1:$I$444,6,0),"Novo")</f>
        <v>Novo</v>
      </c>
      <c r="O161" s="86" t="str">
        <f t="shared" si="35"/>
        <v>Novo Campo</v>
      </c>
      <c r="P161" s="86" t="str">
        <f>IFERROR(VLOOKUP($B161,'LISTA - Atual'!$B$1:$I$444,7,0),"Novo")</f>
        <v>Novo</v>
      </c>
      <c r="Q161" s="86" t="str">
        <f t="shared" si="36"/>
        <v>Novo Campo</v>
      </c>
      <c r="R161" s="86" t="s">
        <v>1563</v>
      </c>
      <c r="S161" s="86" t="str">
        <f>IFERROR(VLOOKUP($B161,'LISTA - Atual'!$B$1:$I$444,8,0),"Novo")</f>
        <v>Novo</v>
      </c>
      <c r="T161" s="86" t="str">
        <f t="shared" si="37"/>
        <v>Novo Campo</v>
      </c>
      <c r="U161" s="86" t="s">
        <v>1563</v>
      </c>
      <c r="V161" s="86" t="s">
        <v>11</v>
      </c>
      <c r="W161" s="87" t="str">
        <f>IFERROR(VLOOKUP(B161,#REF!,11,0),"n/a")</f>
        <v>n/a</v>
      </c>
      <c r="X161" s="87" t="str">
        <f>IFERROR(VLOOKUP(B161,#REF!,8,0),"n/a")</f>
        <v>n/a</v>
      </c>
      <c r="Y161" s="87" t="str">
        <f t="shared" si="44"/>
        <v>PILAR3</v>
      </c>
      <c r="Z161" s="131" t="s">
        <v>1570</v>
      </c>
      <c r="AA161" s="227" t="str">
        <f>VLOOKUP(Table1[[#This Row],[CONCAT]],'Campos Resumo Prop2.0'!A:H,8,0)</f>
        <v>Âmbito de proposta - Especificação &amp; Simular</v>
      </c>
      <c r="AB161" s="87" t="s">
        <v>1656</v>
      </c>
      <c r="AC161" s="137" t="s">
        <v>1674</v>
      </c>
      <c r="AD161" s="91">
        <f>INDEX(Auxiliar!$D$5:$I$10,MATCH('LISTA - Setembro2024'!AD$3,Auxiliar!$B$5:$B$10,0),MATCH('LISTA - Setembro2024'!$AC161,Auxiliar!$D$4:$I$4,0))</f>
        <v>1</v>
      </c>
      <c r="AE161" s="91">
        <f>INDEX(Auxiliar!$D$5:$I$10,MATCH('LISTA - Setembro2024'!AE$3,Auxiliar!$B$5:$B$10,0),MATCH('LISTA - Setembro2024'!$AC161,Auxiliar!$D$4:$I$4,0))</f>
        <v>1</v>
      </c>
      <c r="AF161" s="87">
        <f>INDEX(Auxiliar!$D$5:$I$10,MATCH('LISTA - Setembro2024'!AF$3,Auxiliar!$B$5:$B$10,0),MATCH('LISTA - Setembro2024'!$AC161,Auxiliar!$D$4:$I$4,0))</f>
        <v>1</v>
      </c>
      <c r="AG161" s="87" t="str">
        <f t="shared" si="39"/>
        <v>n.a.</v>
      </c>
      <c r="AH161" s="87">
        <f>INDEX(Auxiliar!$D$5:$I$10,MATCH('LISTA - Setembro2024'!AH$3,Auxiliar!$B$5:$B$10,0),MATCH('LISTA - Setembro2024'!$AG161,Auxiliar!$D$4:$I$4,0))</f>
        <v>0</v>
      </c>
      <c r="AI161" s="87">
        <f>INDEX(Auxiliar!$D$5:$I$10,MATCH('LISTA - Setembro2024'!AI$3,Auxiliar!$B$5:$B$10,0),MATCH('LISTA - Setembro2024'!$AC161,Auxiliar!$D$4:$I$4,0))</f>
        <v>0.5</v>
      </c>
      <c r="AJ161" s="87">
        <f>INDEX(Auxiliar!$D$5:$I$10,MATCH('LISTA - Setembro2024'!AJ$3,Auxiliar!$B$5:$B$10,0),MATCH('LISTA - Setembro2024'!$AC161,Auxiliar!$D$4:$I$4,0))</f>
        <v>1</v>
      </c>
      <c r="AK161" s="160">
        <f t="shared" si="42"/>
        <v>2.5</v>
      </c>
      <c r="AL161" s="87"/>
    </row>
    <row r="162" spans="1:38" ht="13.8" x14ac:dyDescent="0.25">
      <c r="A162" s="158" t="s">
        <v>1452</v>
      </c>
      <c r="B162" s="81" t="str">
        <f t="shared" si="41"/>
        <v>ENTITY_ENBLNG_TRNVR_W</v>
      </c>
      <c r="C162" s="82" t="s">
        <v>10</v>
      </c>
      <c r="D162" s="95" t="s">
        <v>1453</v>
      </c>
      <c r="E162" s="96" t="s">
        <v>1454</v>
      </c>
      <c r="F162" s="85" t="s">
        <v>11</v>
      </c>
      <c r="G162" s="85" t="s">
        <v>11</v>
      </c>
      <c r="H162" s="85" t="s">
        <v>13</v>
      </c>
      <c r="I162" s="85" t="s">
        <v>11</v>
      </c>
      <c r="J162" s="85" t="s">
        <v>11</v>
      </c>
      <c r="K162" s="85" t="s">
        <v>11</v>
      </c>
      <c r="L162" s="86" t="str">
        <f>IFERROR(VLOOKUP($B162,'LISTA - Atual'!$B$1:$I$444,5,0),"Novo")</f>
        <v>Novo</v>
      </c>
      <c r="M162" s="86" t="str">
        <f t="shared" si="34"/>
        <v>Novo Campo</v>
      </c>
      <c r="N162" s="86" t="str">
        <f>IFERROR(VLOOKUP($B162,'LISTA - Atual'!$B$1:$I$444,6,0),"Novo")</f>
        <v>Novo</v>
      </c>
      <c r="O162" s="86" t="str">
        <f t="shared" si="35"/>
        <v>Novo Campo</v>
      </c>
      <c r="P162" s="86" t="str">
        <f>IFERROR(VLOOKUP($B162,'LISTA - Atual'!$B$1:$I$444,7,0),"Novo")</f>
        <v>Novo</v>
      </c>
      <c r="Q162" s="86" t="str">
        <f t="shared" si="36"/>
        <v>Novo Campo</v>
      </c>
      <c r="R162" s="86" t="s">
        <v>1563</v>
      </c>
      <c r="S162" s="86" t="str">
        <f>IFERROR(VLOOKUP($B162,'LISTA - Atual'!$B$1:$I$444,8,0),"Novo")</f>
        <v>Novo</v>
      </c>
      <c r="T162" s="86" t="str">
        <f t="shared" si="37"/>
        <v>Novo Campo</v>
      </c>
      <c r="U162" s="86" t="s">
        <v>1563</v>
      </c>
      <c r="V162" s="86" t="s">
        <v>11</v>
      </c>
      <c r="W162" s="87" t="str">
        <f>IFERROR(VLOOKUP(B162,#REF!,11,0),"n/a")</f>
        <v>n/a</v>
      </c>
      <c r="X162" s="87" t="str">
        <f>IFERROR(VLOOKUP(B162,#REF!,8,0),"n/a")</f>
        <v>n/a</v>
      </c>
      <c r="Y162" s="87" t="str">
        <f t="shared" si="44"/>
        <v>PILAR3</v>
      </c>
      <c r="Z162" s="131" t="s">
        <v>1570</v>
      </c>
      <c r="AA162" s="227" t="str">
        <f>VLOOKUP(Table1[[#This Row],[CONCAT]],'Campos Resumo Prop2.0'!A:H,8,0)</f>
        <v>Âmbito de proposta - Especificação &amp; Simular</v>
      </c>
      <c r="AB162" s="87" t="s">
        <v>1656</v>
      </c>
      <c r="AC162" s="137" t="s">
        <v>1674</v>
      </c>
      <c r="AD162" s="91">
        <f>INDEX(Auxiliar!$D$5:$I$10,MATCH('LISTA - Setembro2024'!AD$3,Auxiliar!$B$5:$B$10,0),MATCH('LISTA - Setembro2024'!$AC162,Auxiliar!$D$4:$I$4,0))</f>
        <v>1</v>
      </c>
      <c r="AE162" s="91">
        <f>INDEX(Auxiliar!$D$5:$I$10,MATCH('LISTA - Setembro2024'!AE$3,Auxiliar!$B$5:$B$10,0),MATCH('LISTA - Setembro2024'!$AC162,Auxiliar!$D$4:$I$4,0))</f>
        <v>1</v>
      </c>
      <c r="AF162" s="87">
        <f>INDEX(Auxiliar!$D$5:$I$10,MATCH('LISTA - Setembro2024'!AF$3,Auxiliar!$B$5:$B$10,0),MATCH('LISTA - Setembro2024'!$AC162,Auxiliar!$D$4:$I$4,0))</f>
        <v>1</v>
      </c>
      <c r="AG162" s="87" t="str">
        <f t="shared" si="39"/>
        <v>n.a.</v>
      </c>
      <c r="AH162" s="87">
        <f>INDEX(Auxiliar!$D$5:$I$10,MATCH('LISTA - Setembro2024'!AH$3,Auxiliar!$B$5:$B$10,0),MATCH('LISTA - Setembro2024'!$AG162,Auxiliar!$D$4:$I$4,0))</f>
        <v>0</v>
      </c>
      <c r="AI162" s="87">
        <f>INDEX(Auxiliar!$D$5:$I$10,MATCH('LISTA - Setembro2024'!AI$3,Auxiliar!$B$5:$B$10,0),MATCH('LISTA - Setembro2024'!$AC162,Auxiliar!$D$4:$I$4,0))</f>
        <v>0.5</v>
      </c>
      <c r="AJ162" s="87">
        <f>INDEX(Auxiliar!$D$5:$I$10,MATCH('LISTA - Setembro2024'!AJ$3,Auxiliar!$B$5:$B$10,0),MATCH('LISTA - Setembro2024'!$AC162,Auxiliar!$D$4:$I$4,0))</f>
        <v>1</v>
      </c>
      <c r="AK162" s="160">
        <f t="shared" si="42"/>
        <v>2.5</v>
      </c>
      <c r="AL162" s="87"/>
    </row>
    <row r="163" spans="1:38" ht="13.8" x14ac:dyDescent="0.25">
      <c r="A163" s="158" t="s">
        <v>1455</v>
      </c>
      <c r="B163" s="81" t="str">
        <f t="shared" si="41"/>
        <v>ENTITY_ENBLNG_CAPEX_CE</v>
      </c>
      <c r="C163" s="82" t="s">
        <v>10</v>
      </c>
      <c r="D163" s="95" t="s">
        <v>1456</v>
      </c>
      <c r="E163" s="96" t="s">
        <v>1457</v>
      </c>
      <c r="F163" s="85" t="s">
        <v>11</v>
      </c>
      <c r="G163" s="85" t="s">
        <v>11</v>
      </c>
      <c r="H163" s="85" t="s">
        <v>13</v>
      </c>
      <c r="I163" s="85" t="s">
        <v>11</v>
      </c>
      <c r="J163" s="85" t="s">
        <v>11</v>
      </c>
      <c r="K163" s="85" t="s">
        <v>11</v>
      </c>
      <c r="L163" s="86" t="str">
        <f>IFERROR(VLOOKUP($B163,'LISTA - Atual'!$B$1:$I$444,5,0),"Novo")</f>
        <v>Novo</v>
      </c>
      <c r="M163" s="86" t="str">
        <f t="shared" si="34"/>
        <v>Novo Campo</v>
      </c>
      <c r="N163" s="86" t="str">
        <f>IFERROR(VLOOKUP($B163,'LISTA - Atual'!$B$1:$I$444,6,0),"Novo")</f>
        <v>Novo</v>
      </c>
      <c r="O163" s="86" t="str">
        <f t="shared" si="35"/>
        <v>Novo Campo</v>
      </c>
      <c r="P163" s="86" t="str">
        <f>IFERROR(VLOOKUP($B163,'LISTA - Atual'!$B$1:$I$444,7,0),"Novo")</f>
        <v>Novo</v>
      </c>
      <c r="Q163" s="86" t="str">
        <f t="shared" si="36"/>
        <v>Novo Campo</v>
      </c>
      <c r="R163" s="86" t="s">
        <v>1563</v>
      </c>
      <c r="S163" s="86" t="str">
        <f>IFERROR(VLOOKUP($B163,'LISTA - Atual'!$B$1:$I$444,8,0),"Novo")</f>
        <v>Novo</v>
      </c>
      <c r="T163" s="86" t="str">
        <f t="shared" si="37"/>
        <v>Novo Campo</v>
      </c>
      <c r="U163" s="86" t="s">
        <v>1563</v>
      </c>
      <c r="V163" s="86" t="s">
        <v>11</v>
      </c>
      <c r="W163" s="87" t="str">
        <f>IFERROR(VLOOKUP(B163,#REF!,11,0),"n/a")</f>
        <v>n/a</v>
      </c>
      <c r="X163" s="87" t="str">
        <f>IFERROR(VLOOKUP(B163,#REF!,8,0),"n/a")</f>
        <v>n/a</v>
      </c>
      <c r="Y163" s="87" t="str">
        <f t="shared" si="44"/>
        <v>PILAR3</v>
      </c>
      <c r="Z163" s="131" t="s">
        <v>1570</v>
      </c>
      <c r="AA163" s="227" t="str">
        <f>VLOOKUP(Table1[[#This Row],[CONCAT]],'Campos Resumo Prop2.0'!A:H,8,0)</f>
        <v>Âmbito de proposta - Especificação &amp; Simular</v>
      </c>
      <c r="AB163" s="87" t="s">
        <v>1656</v>
      </c>
      <c r="AC163" s="137" t="s">
        <v>1674</v>
      </c>
      <c r="AD163" s="91">
        <f>INDEX(Auxiliar!$D$5:$I$10,MATCH('LISTA - Setembro2024'!AD$3,Auxiliar!$B$5:$B$10,0),MATCH('LISTA - Setembro2024'!$AC163,Auxiliar!$D$4:$I$4,0))</f>
        <v>1</v>
      </c>
      <c r="AE163" s="91">
        <f>INDEX(Auxiliar!$D$5:$I$10,MATCH('LISTA - Setembro2024'!AE$3,Auxiliar!$B$5:$B$10,0),MATCH('LISTA - Setembro2024'!$AC163,Auxiliar!$D$4:$I$4,0))</f>
        <v>1</v>
      </c>
      <c r="AF163" s="87">
        <f>INDEX(Auxiliar!$D$5:$I$10,MATCH('LISTA - Setembro2024'!AF$3,Auxiliar!$B$5:$B$10,0),MATCH('LISTA - Setembro2024'!$AC163,Auxiliar!$D$4:$I$4,0))</f>
        <v>1</v>
      </c>
      <c r="AG163" s="87" t="str">
        <f t="shared" si="39"/>
        <v>n.a.</v>
      </c>
      <c r="AH163" s="87">
        <f>INDEX(Auxiliar!$D$5:$I$10,MATCH('LISTA - Setembro2024'!AH$3,Auxiliar!$B$5:$B$10,0),MATCH('LISTA - Setembro2024'!$AG163,Auxiliar!$D$4:$I$4,0))</f>
        <v>0</v>
      </c>
      <c r="AI163" s="87">
        <f>INDEX(Auxiliar!$D$5:$I$10,MATCH('LISTA - Setembro2024'!AI$3,Auxiliar!$B$5:$B$10,0),MATCH('LISTA - Setembro2024'!$AC163,Auxiliar!$D$4:$I$4,0))</f>
        <v>0.5</v>
      </c>
      <c r="AJ163" s="87">
        <f>INDEX(Auxiliar!$D$5:$I$10,MATCH('LISTA - Setembro2024'!AJ$3,Auxiliar!$B$5:$B$10,0),MATCH('LISTA - Setembro2024'!$AC163,Auxiliar!$D$4:$I$4,0))</f>
        <v>1</v>
      </c>
      <c r="AK163" s="160">
        <f t="shared" si="42"/>
        <v>2.5</v>
      </c>
      <c r="AL163" s="87"/>
    </row>
    <row r="164" spans="1:38" ht="13.8" x14ac:dyDescent="0.25">
      <c r="A164" s="158" t="s">
        <v>1458</v>
      </c>
      <c r="B164" s="81" t="str">
        <f t="shared" si="41"/>
        <v>ENTITY_ENBLNG_TRNVR_CE</v>
      </c>
      <c r="C164" s="82" t="s">
        <v>10</v>
      </c>
      <c r="D164" s="95" t="s">
        <v>1459</v>
      </c>
      <c r="E164" s="96" t="s">
        <v>1460</v>
      </c>
      <c r="F164" s="85" t="s">
        <v>11</v>
      </c>
      <c r="G164" s="85" t="s">
        <v>11</v>
      </c>
      <c r="H164" s="85" t="s">
        <v>13</v>
      </c>
      <c r="I164" s="85" t="s">
        <v>11</v>
      </c>
      <c r="J164" s="85" t="s">
        <v>11</v>
      </c>
      <c r="K164" s="85" t="s">
        <v>11</v>
      </c>
      <c r="L164" s="86" t="str">
        <f>IFERROR(VLOOKUP($B164,'LISTA - Atual'!$B$1:$I$444,5,0),"Novo")</f>
        <v>Novo</v>
      </c>
      <c r="M164" s="86" t="str">
        <f t="shared" si="34"/>
        <v>Novo Campo</v>
      </c>
      <c r="N164" s="86" t="str">
        <f>IFERROR(VLOOKUP($B164,'LISTA - Atual'!$B$1:$I$444,6,0),"Novo")</f>
        <v>Novo</v>
      </c>
      <c r="O164" s="86" t="str">
        <f t="shared" si="35"/>
        <v>Novo Campo</v>
      </c>
      <c r="P164" s="86" t="str">
        <f>IFERROR(VLOOKUP($B164,'LISTA - Atual'!$B$1:$I$444,7,0),"Novo")</f>
        <v>Novo</v>
      </c>
      <c r="Q164" s="86" t="str">
        <f t="shared" si="36"/>
        <v>Novo Campo</v>
      </c>
      <c r="R164" s="86" t="s">
        <v>1563</v>
      </c>
      <c r="S164" s="86" t="str">
        <f>IFERROR(VLOOKUP($B164,'LISTA - Atual'!$B$1:$I$444,8,0),"Novo")</f>
        <v>Novo</v>
      </c>
      <c r="T164" s="86" t="str">
        <f t="shared" si="37"/>
        <v>Novo Campo</v>
      </c>
      <c r="U164" s="86" t="s">
        <v>1563</v>
      </c>
      <c r="V164" s="86" t="s">
        <v>11</v>
      </c>
      <c r="W164" s="87" t="str">
        <f>IFERROR(VLOOKUP(B164,#REF!,11,0),"n/a")</f>
        <v>n/a</v>
      </c>
      <c r="X164" s="87" t="str">
        <f>IFERROR(VLOOKUP(B164,#REF!,8,0),"n/a")</f>
        <v>n/a</v>
      </c>
      <c r="Y164" s="87" t="str">
        <f t="shared" si="44"/>
        <v>PILAR3</v>
      </c>
      <c r="Z164" s="131" t="s">
        <v>1570</v>
      </c>
      <c r="AA164" s="227" t="str">
        <f>VLOOKUP(Table1[[#This Row],[CONCAT]],'Campos Resumo Prop2.0'!A:H,8,0)</f>
        <v>Âmbito de proposta - Especificação &amp; Simular</v>
      </c>
      <c r="AB164" s="87" t="s">
        <v>1656</v>
      </c>
      <c r="AC164" s="137" t="s">
        <v>1674</v>
      </c>
      <c r="AD164" s="91">
        <f>INDEX(Auxiliar!$D$5:$I$10,MATCH('LISTA - Setembro2024'!AD$3,Auxiliar!$B$5:$B$10,0),MATCH('LISTA - Setembro2024'!$AC164,Auxiliar!$D$4:$I$4,0))</f>
        <v>1</v>
      </c>
      <c r="AE164" s="91">
        <f>INDEX(Auxiliar!$D$5:$I$10,MATCH('LISTA - Setembro2024'!AE$3,Auxiliar!$B$5:$B$10,0),MATCH('LISTA - Setembro2024'!$AC164,Auxiliar!$D$4:$I$4,0))</f>
        <v>1</v>
      </c>
      <c r="AF164" s="87">
        <f>INDEX(Auxiliar!$D$5:$I$10,MATCH('LISTA - Setembro2024'!AF$3,Auxiliar!$B$5:$B$10,0),MATCH('LISTA - Setembro2024'!$AC164,Auxiliar!$D$4:$I$4,0))</f>
        <v>1</v>
      </c>
      <c r="AG164" s="87" t="str">
        <f t="shared" si="39"/>
        <v>n.a.</v>
      </c>
      <c r="AH164" s="87">
        <f>INDEX(Auxiliar!$D$5:$I$10,MATCH('LISTA - Setembro2024'!AH$3,Auxiliar!$B$5:$B$10,0),MATCH('LISTA - Setembro2024'!$AG164,Auxiliar!$D$4:$I$4,0))</f>
        <v>0</v>
      </c>
      <c r="AI164" s="87">
        <f>INDEX(Auxiliar!$D$5:$I$10,MATCH('LISTA - Setembro2024'!AI$3,Auxiliar!$B$5:$B$10,0),MATCH('LISTA - Setembro2024'!$AC164,Auxiliar!$D$4:$I$4,0))</f>
        <v>0.5</v>
      </c>
      <c r="AJ164" s="87">
        <f>INDEX(Auxiliar!$D$5:$I$10,MATCH('LISTA - Setembro2024'!AJ$3,Auxiliar!$B$5:$B$10,0),MATCH('LISTA - Setembro2024'!$AC164,Auxiliar!$D$4:$I$4,0))</f>
        <v>1</v>
      </c>
      <c r="AK164" s="160">
        <f t="shared" si="42"/>
        <v>2.5</v>
      </c>
      <c r="AL164" s="87"/>
    </row>
    <row r="165" spans="1:38" ht="13.8" x14ac:dyDescent="0.25">
      <c r="A165" s="158" t="s">
        <v>1461</v>
      </c>
      <c r="B165" s="81" t="str">
        <f t="shared" si="41"/>
        <v>ENTITY_RORAC</v>
      </c>
      <c r="C165" s="82" t="s">
        <v>10</v>
      </c>
      <c r="D165" s="95" t="s">
        <v>1462</v>
      </c>
      <c r="E165" s="84" t="s">
        <v>1463</v>
      </c>
      <c r="F165" s="85" t="s">
        <v>11</v>
      </c>
      <c r="G165" s="85" t="s">
        <v>11</v>
      </c>
      <c r="H165" s="85" t="s">
        <v>11</v>
      </c>
      <c r="I165" s="85" t="s">
        <v>11</v>
      </c>
      <c r="J165" s="85" t="s">
        <v>11</v>
      </c>
      <c r="K165" s="85" t="s">
        <v>13</v>
      </c>
      <c r="L165" s="86" t="str">
        <f>IFERROR(VLOOKUP($B165,'LISTA - Atual'!$B$1:$I$444,5,0),"Novo")</f>
        <v>Novo</v>
      </c>
      <c r="M165" s="86" t="str">
        <f t="shared" si="34"/>
        <v>Novo Campo</v>
      </c>
      <c r="N165" s="86" t="str">
        <f>IFERROR(VLOOKUP($B165,'LISTA - Atual'!$B$1:$I$444,6,0),"Novo")</f>
        <v>Novo</v>
      </c>
      <c r="O165" s="86" t="str">
        <f t="shared" si="35"/>
        <v>Novo Campo</v>
      </c>
      <c r="P165" s="86" t="str">
        <f>IFERROR(VLOOKUP($B165,'LISTA - Atual'!$B$1:$I$444,7,0),"Novo")</f>
        <v>Novo</v>
      </c>
      <c r="Q165" s="86" t="str">
        <f t="shared" si="36"/>
        <v>Novo Campo</v>
      </c>
      <c r="R165" s="86" t="s">
        <v>1563</v>
      </c>
      <c r="S165" s="86" t="str">
        <f>IFERROR(VLOOKUP($B165,'LISTA - Atual'!$B$1:$I$444,8,0),"Novo")</f>
        <v>Novo</v>
      </c>
      <c r="T165" s="86" t="str">
        <f t="shared" si="37"/>
        <v>Novo Campo</v>
      </c>
      <c r="U165" s="86" t="s">
        <v>1563</v>
      </c>
      <c r="V165" s="86" t="s">
        <v>11</v>
      </c>
      <c r="W165" s="87" t="str">
        <f>IFERROR(VLOOKUP(B165,#REF!,11,0),"n/a")</f>
        <v>n/a</v>
      </c>
      <c r="X165" s="87" t="str">
        <f>IFERROR(VLOOKUP(B165,#REF!,8,0),"n/a")</f>
        <v>n/a</v>
      </c>
      <c r="Y165" s="87" t="str">
        <f t="shared" ref="Y165:Y170" si="45">$K$2</f>
        <v>LF</v>
      </c>
      <c r="Z165" s="131" t="s">
        <v>1570</v>
      </c>
      <c r="AA165" s="227" t="e">
        <f>VLOOKUP(Table1[[#This Row],[CONCAT]],'Campos Resumo Prop2.0'!A:H,8,0)</f>
        <v>#N/A</v>
      </c>
      <c r="AB165" s="87" t="s">
        <v>1656</v>
      </c>
      <c r="AC165" s="88" t="s">
        <v>1625</v>
      </c>
      <c r="AD165" s="91">
        <f>INDEX(Auxiliar!$D$5:$I$10,MATCH('LISTA - Setembro2024'!AD$3,Auxiliar!$B$5:$B$10,0),MATCH('LISTA - Setembro2024'!$AC165,Auxiliar!$D$4:$I$4,0))</f>
        <v>0</v>
      </c>
      <c r="AE165" s="91">
        <f>INDEX(Auxiliar!$D$5:$I$10,MATCH('LISTA - Setembro2024'!AE$3,Auxiliar!$B$5:$B$10,0),MATCH('LISTA - Setembro2024'!$AC165,Auxiliar!$D$4:$I$4,0))</f>
        <v>0</v>
      </c>
      <c r="AF165" s="87">
        <f>INDEX(Auxiliar!$D$5:$I$10,MATCH('LISTA - Setembro2024'!AF$3,Auxiliar!$B$5:$B$10,0),MATCH('LISTA - Setembro2024'!$AC165,Auxiliar!$D$4:$I$4,0))</f>
        <v>0</v>
      </c>
      <c r="AG165" s="87" t="str">
        <f t="shared" si="39"/>
        <v>n.a.</v>
      </c>
      <c r="AH165" s="87">
        <f>INDEX(Auxiliar!$D$5:$I$10,MATCH('LISTA - Setembro2024'!AH$3,Auxiliar!$B$5:$B$10,0),MATCH('LISTA - Setembro2024'!$AG165,Auxiliar!$D$4:$I$4,0))</f>
        <v>0</v>
      </c>
      <c r="AI165" s="87">
        <f>INDEX(Auxiliar!$D$5:$I$10,MATCH('LISTA - Setembro2024'!AI$3,Auxiliar!$B$5:$B$10,0),MATCH('LISTA - Setembro2024'!$AC165,Auxiliar!$D$4:$I$4,0))</f>
        <v>0</v>
      </c>
      <c r="AJ165" s="87">
        <f>INDEX(Auxiliar!$D$5:$I$10,MATCH('LISTA - Setembro2024'!AJ$3,Auxiliar!$B$5:$B$10,0),MATCH('LISTA - Setembro2024'!$AC165,Auxiliar!$D$4:$I$4,0))</f>
        <v>0</v>
      </c>
      <c r="AK165" s="160">
        <f t="shared" si="42"/>
        <v>0</v>
      </c>
      <c r="AL165" s="87" t="s">
        <v>1668</v>
      </c>
    </row>
    <row r="166" spans="1:38" ht="13.8" x14ac:dyDescent="0.25">
      <c r="A166" s="158" t="s">
        <v>1464</v>
      </c>
      <c r="B166" s="81" t="str">
        <f t="shared" si="41"/>
        <v>ENTITY_GRP_RORAC</v>
      </c>
      <c r="C166" s="82" t="s">
        <v>10</v>
      </c>
      <c r="D166" s="95" t="s">
        <v>1465</v>
      </c>
      <c r="E166" s="84" t="s">
        <v>1466</v>
      </c>
      <c r="F166" s="85" t="s">
        <v>11</v>
      </c>
      <c r="G166" s="85" t="s">
        <v>11</v>
      </c>
      <c r="H166" s="85" t="s">
        <v>11</v>
      </c>
      <c r="I166" s="85" t="s">
        <v>11</v>
      </c>
      <c r="J166" s="85" t="s">
        <v>11</v>
      </c>
      <c r="K166" s="85" t="s">
        <v>13</v>
      </c>
      <c r="L166" s="86" t="str">
        <f>IFERROR(VLOOKUP($B166,'LISTA - Atual'!$B$1:$I$444,5,0),"Novo")</f>
        <v>Novo</v>
      </c>
      <c r="M166" s="86" t="str">
        <f t="shared" si="34"/>
        <v>Novo Campo</v>
      </c>
      <c r="N166" s="86" t="str">
        <f>IFERROR(VLOOKUP($B166,'LISTA - Atual'!$B$1:$I$444,6,0),"Novo")</f>
        <v>Novo</v>
      </c>
      <c r="O166" s="86" t="str">
        <f t="shared" si="35"/>
        <v>Novo Campo</v>
      </c>
      <c r="P166" s="86" t="str">
        <f>IFERROR(VLOOKUP($B166,'LISTA - Atual'!$B$1:$I$444,7,0),"Novo")</f>
        <v>Novo</v>
      </c>
      <c r="Q166" s="86" t="str">
        <f t="shared" si="36"/>
        <v>Novo Campo</v>
      </c>
      <c r="R166" s="86" t="s">
        <v>1563</v>
      </c>
      <c r="S166" s="86" t="str">
        <f>IFERROR(VLOOKUP($B166,'LISTA - Atual'!$B$1:$I$444,8,0),"Novo")</f>
        <v>Novo</v>
      </c>
      <c r="T166" s="86" t="str">
        <f t="shared" si="37"/>
        <v>Novo Campo</v>
      </c>
      <c r="U166" s="86" t="s">
        <v>1563</v>
      </c>
      <c r="V166" s="86" t="s">
        <v>11</v>
      </c>
      <c r="W166" s="87" t="str">
        <f>IFERROR(VLOOKUP(B166,#REF!,11,0),"n/a")</f>
        <v>n/a</v>
      </c>
      <c r="X166" s="87" t="str">
        <f>IFERROR(VLOOKUP(B166,#REF!,8,0),"n/a")</f>
        <v>n/a</v>
      </c>
      <c r="Y166" s="87" t="str">
        <f t="shared" si="45"/>
        <v>LF</v>
      </c>
      <c r="Z166" s="131" t="s">
        <v>1570</v>
      </c>
      <c r="AA166" s="227" t="e">
        <f>VLOOKUP(Table1[[#This Row],[CONCAT]],'Campos Resumo Prop2.0'!A:H,8,0)</f>
        <v>#N/A</v>
      </c>
      <c r="AB166" s="87" t="s">
        <v>1656</v>
      </c>
      <c r="AC166" s="88" t="s">
        <v>1625</v>
      </c>
      <c r="AD166" s="91">
        <f>INDEX(Auxiliar!$D$5:$I$10,MATCH('LISTA - Setembro2024'!AD$3,Auxiliar!$B$5:$B$10,0),MATCH('LISTA - Setembro2024'!$AC166,Auxiliar!$D$4:$I$4,0))</f>
        <v>0</v>
      </c>
      <c r="AE166" s="91">
        <f>INDEX(Auxiliar!$D$5:$I$10,MATCH('LISTA - Setembro2024'!AE$3,Auxiliar!$B$5:$B$10,0),MATCH('LISTA - Setembro2024'!$AC166,Auxiliar!$D$4:$I$4,0))</f>
        <v>0</v>
      </c>
      <c r="AF166" s="87">
        <f>INDEX(Auxiliar!$D$5:$I$10,MATCH('LISTA - Setembro2024'!AF$3,Auxiliar!$B$5:$B$10,0),MATCH('LISTA - Setembro2024'!$AC166,Auxiliar!$D$4:$I$4,0))</f>
        <v>0</v>
      </c>
      <c r="AG166" s="87" t="str">
        <f t="shared" si="39"/>
        <v>n.a.</v>
      </c>
      <c r="AH166" s="87">
        <f>INDEX(Auxiliar!$D$5:$I$10,MATCH('LISTA - Setembro2024'!AH$3,Auxiliar!$B$5:$B$10,0),MATCH('LISTA - Setembro2024'!$AG166,Auxiliar!$D$4:$I$4,0))</f>
        <v>0</v>
      </c>
      <c r="AI166" s="87">
        <f>INDEX(Auxiliar!$D$5:$I$10,MATCH('LISTA - Setembro2024'!AI$3,Auxiliar!$B$5:$B$10,0),MATCH('LISTA - Setembro2024'!$AC166,Auxiliar!$D$4:$I$4,0))</f>
        <v>0</v>
      </c>
      <c r="AJ166" s="87">
        <f>INDEX(Auxiliar!$D$5:$I$10,MATCH('LISTA - Setembro2024'!AJ$3,Auxiliar!$B$5:$B$10,0),MATCH('LISTA - Setembro2024'!$AC166,Auxiliar!$D$4:$I$4,0))</f>
        <v>0</v>
      </c>
      <c r="AK166" s="160">
        <f t="shared" si="42"/>
        <v>0</v>
      </c>
      <c r="AL166" s="87" t="s">
        <v>1668</v>
      </c>
    </row>
    <row r="167" spans="1:38" ht="13.8" x14ac:dyDescent="0.25">
      <c r="A167" s="158" t="s">
        <v>1467</v>
      </c>
      <c r="B167" s="81" t="str">
        <f t="shared" si="41"/>
        <v>ENTITY_RORWA</v>
      </c>
      <c r="C167" s="82" t="s">
        <v>10</v>
      </c>
      <c r="D167" s="95" t="s">
        <v>1468</v>
      </c>
      <c r="E167" s="84" t="s">
        <v>1469</v>
      </c>
      <c r="F167" s="85" t="s">
        <v>11</v>
      </c>
      <c r="G167" s="85" t="s">
        <v>11</v>
      </c>
      <c r="H167" s="85" t="s">
        <v>11</v>
      </c>
      <c r="I167" s="85" t="s">
        <v>11</v>
      </c>
      <c r="J167" s="85" t="s">
        <v>11</v>
      </c>
      <c r="K167" s="85" t="s">
        <v>13</v>
      </c>
      <c r="L167" s="86" t="str">
        <f>IFERROR(VLOOKUP($B167,'LISTA - Atual'!$B$1:$I$444,5,0),"Novo")</f>
        <v>Novo</v>
      </c>
      <c r="M167" s="86" t="str">
        <f t="shared" si="34"/>
        <v>Novo Campo</v>
      </c>
      <c r="N167" s="86" t="str">
        <f>IFERROR(VLOOKUP($B167,'LISTA - Atual'!$B$1:$I$444,6,0),"Novo")</f>
        <v>Novo</v>
      </c>
      <c r="O167" s="86" t="str">
        <f t="shared" si="35"/>
        <v>Novo Campo</v>
      </c>
      <c r="P167" s="86" t="str">
        <f>IFERROR(VLOOKUP($B167,'LISTA - Atual'!$B$1:$I$444,7,0),"Novo")</f>
        <v>Novo</v>
      </c>
      <c r="Q167" s="86" t="str">
        <f t="shared" si="36"/>
        <v>Novo Campo</v>
      </c>
      <c r="R167" s="86" t="s">
        <v>1563</v>
      </c>
      <c r="S167" s="86" t="str">
        <f>IFERROR(VLOOKUP($B167,'LISTA - Atual'!$B$1:$I$444,8,0),"Novo")</f>
        <v>Novo</v>
      </c>
      <c r="T167" s="86" t="str">
        <f t="shared" si="37"/>
        <v>Novo Campo</v>
      </c>
      <c r="U167" s="86" t="s">
        <v>1563</v>
      </c>
      <c r="V167" s="86" t="s">
        <v>11</v>
      </c>
      <c r="W167" s="87" t="str">
        <f>IFERROR(VLOOKUP(B167,#REF!,11,0),"n/a")</f>
        <v>n/a</v>
      </c>
      <c r="X167" s="87" t="str">
        <f>IFERROR(VLOOKUP(B167,#REF!,8,0),"n/a")</f>
        <v>n/a</v>
      </c>
      <c r="Y167" s="87" t="str">
        <f t="shared" si="45"/>
        <v>LF</v>
      </c>
      <c r="Z167" s="131" t="s">
        <v>1570</v>
      </c>
      <c r="AA167" s="227" t="e">
        <f>VLOOKUP(Table1[[#This Row],[CONCAT]],'Campos Resumo Prop2.0'!A:H,8,0)</f>
        <v>#N/A</v>
      </c>
      <c r="AB167" s="87" t="s">
        <v>1656</v>
      </c>
      <c r="AC167" s="88" t="s">
        <v>1625</v>
      </c>
      <c r="AD167" s="91">
        <f>INDEX(Auxiliar!$D$5:$I$10,MATCH('LISTA - Setembro2024'!AD$3,Auxiliar!$B$5:$B$10,0),MATCH('LISTA - Setembro2024'!$AC167,Auxiliar!$D$4:$I$4,0))</f>
        <v>0</v>
      </c>
      <c r="AE167" s="91">
        <f>INDEX(Auxiliar!$D$5:$I$10,MATCH('LISTA - Setembro2024'!AE$3,Auxiliar!$B$5:$B$10,0),MATCH('LISTA - Setembro2024'!$AC167,Auxiliar!$D$4:$I$4,0))</f>
        <v>0</v>
      </c>
      <c r="AF167" s="87">
        <f>INDEX(Auxiliar!$D$5:$I$10,MATCH('LISTA - Setembro2024'!AF$3,Auxiliar!$B$5:$B$10,0),MATCH('LISTA - Setembro2024'!$AC167,Auxiliar!$D$4:$I$4,0))</f>
        <v>0</v>
      </c>
      <c r="AG167" s="87" t="str">
        <f t="shared" si="39"/>
        <v>n.a.</v>
      </c>
      <c r="AH167" s="87">
        <f>INDEX(Auxiliar!$D$5:$I$10,MATCH('LISTA - Setembro2024'!AH$3,Auxiliar!$B$5:$B$10,0),MATCH('LISTA - Setembro2024'!$AG167,Auxiliar!$D$4:$I$4,0))</f>
        <v>0</v>
      </c>
      <c r="AI167" s="87">
        <f>INDEX(Auxiliar!$D$5:$I$10,MATCH('LISTA - Setembro2024'!AI$3,Auxiliar!$B$5:$B$10,0),MATCH('LISTA - Setembro2024'!$AC167,Auxiliar!$D$4:$I$4,0))</f>
        <v>0</v>
      </c>
      <c r="AJ167" s="87">
        <f>INDEX(Auxiliar!$D$5:$I$10,MATCH('LISTA - Setembro2024'!AJ$3,Auxiliar!$B$5:$B$10,0),MATCH('LISTA - Setembro2024'!$AC167,Auxiliar!$D$4:$I$4,0))</f>
        <v>0</v>
      </c>
      <c r="AK167" s="160">
        <f t="shared" si="42"/>
        <v>0</v>
      </c>
      <c r="AL167" s="87" t="s">
        <v>1668</v>
      </c>
    </row>
    <row r="168" spans="1:38" ht="13.8" x14ac:dyDescent="0.25">
      <c r="A168" s="158" t="s">
        <v>1470</v>
      </c>
      <c r="B168" s="81" t="str">
        <f t="shared" si="41"/>
        <v>ENTITY_GRP_RORWA</v>
      </c>
      <c r="C168" s="82" t="s">
        <v>10</v>
      </c>
      <c r="D168" s="95" t="s">
        <v>1471</v>
      </c>
      <c r="E168" s="84" t="s">
        <v>1472</v>
      </c>
      <c r="F168" s="85" t="s">
        <v>11</v>
      </c>
      <c r="G168" s="85" t="s">
        <v>11</v>
      </c>
      <c r="H168" s="85" t="s">
        <v>11</v>
      </c>
      <c r="I168" s="85" t="s">
        <v>11</v>
      </c>
      <c r="J168" s="85" t="s">
        <v>11</v>
      </c>
      <c r="K168" s="85" t="s">
        <v>13</v>
      </c>
      <c r="L168" s="86" t="str">
        <f>IFERROR(VLOOKUP($B168,'LISTA - Atual'!$B$1:$I$444,5,0),"Novo")</f>
        <v>Novo</v>
      </c>
      <c r="M168" s="86" t="str">
        <f t="shared" si="34"/>
        <v>Novo Campo</v>
      </c>
      <c r="N168" s="86" t="str">
        <f>IFERROR(VLOOKUP($B168,'LISTA - Atual'!$B$1:$I$444,6,0),"Novo")</f>
        <v>Novo</v>
      </c>
      <c r="O168" s="86" t="str">
        <f t="shared" si="35"/>
        <v>Novo Campo</v>
      </c>
      <c r="P168" s="86" t="str">
        <f>IFERROR(VLOOKUP($B168,'LISTA - Atual'!$B$1:$I$444,7,0),"Novo")</f>
        <v>Novo</v>
      </c>
      <c r="Q168" s="86" t="str">
        <f t="shared" si="36"/>
        <v>Novo Campo</v>
      </c>
      <c r="R168" s="86" t="s">
        <v>1563</v>
      </c>
      <c r="S168" s="86" t="str">
        <f>IFERROR(VLOOKUP($B168,'LISTA - Atual'!$B$1:$I$444,8,0),"Novo")</f>
        <v>Novo</v>
      </c>
      <c r="T168" s="86" t="str">
        <f t="shared" si="37"/>
        <v>Novo Campo</v>
      </c>
      <c r="U168" s="86" t="s">
        <v>1563</v>
      </c>
      <c r="V168" s="86" t="s">
        <v>11</v>
      </c>
      <c r="W168" s="87" t="str">
        <f>IFERROR(VLOOKUP(B168,#REF!,11,0),"n/a")</f>
        <v>n/a</v>
      </c>
      <c r="X168" s="87" t="str">
        <f>IFERROR(VLOOKUP(B168,#REF!,8,0),"n/a")</f>
        <v>n/a</v>
      </c>
      <c r="Y168" s="87" t="str">
        <f t="shared" si="45"/>
        <v>LF</v>
      </c>
      <c r="Z168" s="131" t="s">
        <v>1570</v>
      </c>
      <c r="AA168" s="227" t="e">
        <f>VLOOKUP(Table1[[#This Row],[CONCAT]],'Campos Resumo Prop2.0'!A:H,8,0)</f>
        <v>#N/A</v>
      </c>
      <c r="AB168" s="87" t="s">
        <v>1656</v>
      </c>
      <c r="AC168" s="88" t="s">
        <v>1625</v>
      </c>
      <c r="AD168" s="91">
        <f>INDEX(Auxiliar!$D$5:$I$10,MATCH('LISTA - Setembro2024'!AD$3,Auxiliar!$B$5:$B$10,0),MATCH('LISTA - Setembro2024'!$AC168,Auxiliar!$D$4:$I$4,0))</f>
        <v>0</v>
      </c>
      <c r="AE168" s="91">
        <f>INDEX(Auxiliar!$D$5:$I$10,MATCH('LISTA - Setembro2024'!AE$3,Auxiliar!$B$5:$B$10,0),MATCH('LISTA - Setembro2024'!$AC168,Auxiliar!$D$4:$I$4,0))</f>
        <v>0</v>
      </c>
      <c r="AF168" s="87">
        <f>INDEX(Auxiliar!$D$5:$I$10,MATCH('LISTA - Setembro2024'!AF$3,Auxiliar!$B$5:$B$10,0),MATCH('LISTA - Setembro2024'!$AC168,Auxiliar!$D$4:$I$4,0))</f>
        <v>0</v>
      </c>
      <c r="AG168" s="87" t="str">
        <f t="shared" si="39"/>
        <v>n.a.</v>
      </c>
      <c r="AH168" s="87">
        <f>INDEX(Auxiliar!$D$5:$I$10,MATCH('LISTA - Setembro2024'!AH$3,Auxiliar!$B$5:$B$10,0),MATCH('LISTA - Setembro2024'!$AG168,Auxiliar!$D$4:$I$4,0))</f>
        <v>0</v>
      </c>
      <c r="AI168" s="87">
        <f>INDEX(Auxiliar!$D$5:$I$10,MATCH('LISTA - Setembro2024'!AI$3,Auxiliar!$B$5:$B$10,0),MATCH('LISTA - Setembro2024'!$AC168,Auxiliar!$D$4:$I$4,0))</f>
        <v>0</v>
      </c>
      <c r="AJ168" s="87">
        <f>INDEX(Auxiliar!$D$5:$I$10,MATCH('LISTA - Setembro2024'!AJ$3,Auxiliar!$B$5:$B$10,0),MATCH('LISTA - Setembro2024'!$AC168,Auxiliar!$D$4:$I$4,0))</f>
        <v>0</v>
      </c>
      <c r="AK168" s="160">
        <f t="shared" si="42"/>
        <v>0</v>
      </c>
      <c r="AL168" s="87" t="s">
        <v>1668</v>
      </c>
    </row>
    <row r="169" spans="1:38" ht="13.8" x14ac:dyDescent="0.25">
      <c r="A169" s="158" t="s">
        <v>1473</v>
      </c>
      <c r="B169" s="81" t="str">
        <f t="shared" si="41"/>
        <v>ENTITY_SCAN</v>
      </c>
      <c r="C169" s="82" t="s">
        <v>10</v>
      </c>
      <c r="D169" s="95" t="s">
        <v>1474</v>
      </c>
      <c r="E169" s="84" t="s">
        <v>1474</v>
      </c>
      <c r="F169" s="85" t="s">
        <v>11</v>
      </c>
      <c r="G169" s="85" t="s">
        <v>11</v>
      </c>
      <c r="H169" s="85" t="s">
        <v>11</v>
      </c>
      <c r="I169" s="85" t="s">
        <v>11</v>
      </c>
      <c r="J169" s="85" t="s">
        <v>11</v>
      </c>
      <c r="K169" s="85" t="s">
        <v>13</v>
      </c>
      <c r="L169" s="86" t="str">
        <f>IFERROR(VLOOKUP($B169,'LISTA - Atual'!$B$1:$I$444,5,0),"Novo")</f>
        <v>Novo</v>
      </c>
      <c r="M169" s="86" t="str">
        <f t="shared" si="34"/>
        <v>Novo Campo</v>
      </c>
      <c r="N169" s="86" t="str">
        <f>IFERROR(VLOOKUP($B169,'LISTA - Atual'!$B$1:$I$444,6,0),"Novo")</f>
        <v>Novo</v>
      </c>
      <c r="O169" s="86" t="str">
        <f t="shared" si="35"/>
        <v>Novo Campo</v>
      </c>
      <c r="P169" s="86" t="str">
        <f>IFERROR(VLOOKUP($B169,'LISTA - Atual'!$B$1:$I$444,7,0),"Novo")</f>
        <v>Novo</v>
      </c>
      <c r="Q169" s="86" t="str">
        <f t="shared" si="36"/>
        <v>Novo Campo</v>
      </c>
      <c r="R169" s="86" t="s">
        <v>1563</v>
      </c>
      <c r="S169" s="86" t="str">
        <f>IFERROR(VLOOKUP($B169,'LISTA - Atual'!$B$1:$I$444,8,0),"Novo")</f>
        <v>Novo</v>
      </c>
      <c r="T169" s="86" t="str">
        <f t="shared" si="37"/>
        <v>Novo Campo</v>
      </c>
      <c r="U169" s="86" t="s">
        <v>1563</v>
      </c>
      <c r="V169" s="86" t="s">
        <v>11</v>
      </c>
      <c r="W169" s="87" t="str">
        <f>IFERROR(VLOOKUP(B169,#REF!,11,0),"n/a")</f>
        <v>n/a</v>
      </c>
      <c r="X169" s="87" t="str">
        <f>IFERROR(VLOOKUP(B169,#REF!,8,0),"n/a")</f>
        <v>n/a</v>
      </c>
      <c r="Y169" s="87" t="str">
        <f t="shared" si="45"/>
        <v>LF</v>
      </c>
      <c r="Z169" s="131" t="s">
        <v>1570</v>
      </c>
      <c r="AA169" s="227" t="e">
        <f>VLOOKUP(Table1[[#This Row],[CONCAT]],'Campos Resumo Prop2.0'!A:H,8,0)</f>
        <v>#N/A</v>
      </c>
      <c r="AB169" s="87" t="s">
        <v>1650</v>
      </c>
      <c r="AC169" s="88" t="s">
        <v>1625</v>
      </c>
      <c r="AD169" s="91">
        <f>INDEX(Auxiliar!$D$5:$I$10,MATCH('LISTA - Setembro2024'!AD$3,Auxiliar!$B$5:$B$10,0),MATCH('LISTA - Setembro2024'!$AC169,Auxiliar!$D$4:$I$4,0))</f>
        <v>0</v>
      </c>
      <c r="AE169" s="91">
        <f>INDEX(Auxiliar!$D$5:$I$10,MATCH('LISTA - Setembro2024'!AE$3,Auxiliar!$B$5:$B$10,0),MATCH('LISTA - Setembro2024'!$AC169,Auxiliar!$D$4:$I$4,0))</f>
        <v>0</v>
      </c>
      <c r="AF169" s="87">
        <f>INDEX(Auxiliar!$D$5:$I$10,MATCH('LISTA - Setembro2024'!AF$3,Auxiliar!$B$5:$B$10,0),MATCH('LISTA - Setembro2024'!$AC169,Auxiliar!$D$4:$I$4,0))</f>
        <v>0</v>
      </c>
      <c r="AG169" s="87" t="str">
        <f t="shared" si="39"/>
        <v>n.a.</v>
      </c>
      <c r="AH169" s="87">
        <f>INDEX(Auxiliar!$D$5:$I$10,MATCH('LISTA - Setembro2024'!AH$3,Auxiliar!$B$5:$B$10,0),MATCH('LISTA - Setembro2024'!$AG169,Auxiliar!$D$4:$I$4,0))</f>
        <v>0</v>
      </c>
      <c r="AI169" s="87">
        <f>INDEX(Auxiliar!$D$5:$I$10,MATCH('LISTA - Setembro2024'!AI$3,Auxiliar!$B$5:$B$10,0),MATCH('LISTA - Setembro2024'!$AC169,Auxiliar!$D$4:$I$4,0))</f>
        <v>0</v>
      </c>
      <c r="AJ169" s="87">
        <f>INDEX(Auxiliar!$D$5:$I$10,MATCH('LISTA - Setembro2024'!AJ$3,Auxiliar!$B$5:$B$10,0),MATCH('LISTA - Setembro2024'!$AC169,Auxiliar!$D$4:$I$4,0))</f>
        <v>0</v>
      </c>
      <c r="AK169" s="160">
        <f t="shared" si="42"/>
        <v>0</v>
      </c>
      <c r="AL169" s="87" t="s">
        <v>1668</v>
      </c>
    </row>
    <row r="170" spans="1:38" ht="13.8" x14ac:dyDescent="0.25">
      <c r="A170" s="158" t="s">
        <v>1475</v>
      </c>
      <c r="B170" s="81" t="str">
        <f t="shared" si="41"/>
        <v>ENTITY_TTL_PRMSSBL_DBT_BLNC</v>
      </c>
      <c r="C170" s="82" t="s">
        <v>10</v>
      </c>
      <c r="D170" s="95" t="s">
        <v>1476</v>
      </c>
      <c r="E170" s="84" t="s">
        <v>1477</v>
      </c>
      <c r="F170" s="85" t="s">
        <v>11</v>
      </c>
      <c r="G170" s="85" t="s">
        <v>11</v>
      </c>
      <c r="H170" s="85" t="s">
        <v>11</v>
      </c>
      <c r="I170" s="85" t="s">
        <v>11</v>
      </c>
      <c r="J170" s="85" t="s">
        <v>11</v>
      </c>
      <c r="K170" s="85" t="s">
        <v>13</v>
      </c>
      <c r="L170" s="86" t="str">
        <f>IFERROR(VLOOKUP($B170,'LISTA - Atual'!$B$1:$I$444,5,0),"Novo")</f>
        <v>Novo</v>
      </c>
      <c r="M170" s="86" t="str">
        <f t="shared" si="34"/>
        <v>Novo Campo</v>
      </c>
      <c r="N170" s="86" t="str">
        <f>IFERROR(VLOOKUP($B170,'LISTA - Atual'!$B$1:$I$444,6,0),"Novo")</f>
        <v>Novo</v>
      </c>
      <c r="O170" s="86" t="str">
        <f t="shared" si="35"/>
        <v>Novo Campo</v>
      </c>
      <c r="P170" s="86" t="str">
        <f>IFERROR(VLOOKUP($B170,'LISTA - Atual'!$B$1:$I$444,7,0),"Novo")</f>
        <v>Novo</v>
      </c>
      <c r="Q170" s="86" t="str">
        <f t="shared" si="36"/>
        <v>Novo Campo</v>
      </c>
      <c r="R170" s="86" t="s">
        <v>1563</v>
      </c>
      <c r="S170" s="86" t="str">
        <f>IFERROR(VLOOKUP($B170,'LISTA - Atual'!$B$1:$I$444,8,0),"Novo")</f>
        <v>Novo</v>
      </c>
      <c r="T170" s="86" t="str">
        <f t="shared" si="37"/>
        <v>Novo Campo</v>
      </c>
      <c r="U170" s="86" t="s">
        <v>1563</v>
      </c>
      <c r="V170" s="86" t="s">
        <v>11</v>
      </c>
      <c r="W170" s="87" t="str">
        <f>IFERROR(VLOOKUP(B170,#REF!,11,0),"n/a")</f>
        <v>n/a</v>
      </c>
      <c r="X170" s="87" t="str">
        <f>IFERROR(VLOOKUP(B170,#REF!,8,0),"n/a")</f>
        <v>n/a</v>
      </c>
      <c r="Y170" s="87" t="str">
        <f t="shared" si="45"/>
        <v>LF</v>
      </c>
      <c r="Z170" s="131" t="s">
        <v>1570</v>
      </c>
      <c r="AA170" s="227" t="e">
        <f>VLOOKUP(Table1[[#This Row],[CONCAT]],'Campos Resumo Prop2.0'!A:H,8,0)</f>
        <v>#N/A</v>
      </c>
      <c r="AB170" s="87" t="s">
        <v>1655</v>
      </c>
      <c r="AC170" s="88" t="s">
        <v>1625</v>
      </c>
      <c r="AD170" s="91">
        <f>INDEX(Auxiliar!$D$5:$I$10,MATCH('LISTA - Setembro2024'!AD$3,Auxiliar!$B$5:$B$10,0),MATCH('LISTA - Setembro2024'!$AC170,Auxiliar!$D$4:$I$4,0))</f>
        <v>0</v>
      </c>
      <c r="AE170" s="91">
        <f>INDEX(Auxiliar!$D$5:$I$10,MATCH('LISTA - Setembro2024'!AE$3,Auxiliar!$B$5:$B$10,0),MATCH('LISTA - Setembro2024'!$AC170,Auxiliar!$D$4:$I$4,0))</f>
        <v>0</v>
      </c>
      <c r="AF170" s="87">
        <f>INDEX(Auxiliar!$D$5:$I$10,MATCH('LISTA - Setembro2024'!AF$3,Auxiliar!$B$5:$B$10,0),MATCH('LISTA - Setembro2024'!$AC170,Auxiliar!$D$4:$I$4,0))</f>
        <v>0</v>
      </c>
      <c r="AG170" s="87" t="str">
        <f t="shared" si="39"/>
        <v>n.a.</v>
      </c>
      <c r="AH170" s="87">
        <f>INDEX(Auxiliar!$D$5:$I$10,MATCH('LISTA - Setembro2024'!AH$3,Auxiliar!$B$5:$B$10,0),MATCH('LISTA - Setembro2024'!$AG170,Auxiliar!$D$4:$I$4,0))</f>
        <v>0</v>
      </c>
      <c r="AI170" s="87">
        <f>INDEX(Auxiliar!$D$5:$I$10,MATCH('LISTA - Setembro2024'!AI$3,Auxiliar!$B$5:$B$10,0),MATCH('LISTA - Setembro2024'!$AC170,Auxiliar!$D$4:$I$4,0))</f>
        <v>0</v>
      </c>
      <c r="AJ170" s="87">
        <f>INDEX(Auxiliar!$D$5:$I$10,MATCH('LISTA - Setembro2024'!AJ$3,Auxiliar!$B$5:$B$10,0),MATCH('LISTA - Setembro2024'!$AC170,Auxiliar!$D$4:$I$4,0))</f>
        <v>0</v>
      </c>
      <c r="AK170" s="160">
        <f t="shared" si="42"/>
        <v>0</v>
      </c>
      <c r="AL170" s="87" t="s">
        <v>1668</v>
      </c>
    </row>
    <row r="171" spans="1:38" ht="13.8" x14ac:dyDescent="0.25">
      <c r="A171" s="158" t="s">
        <v>399</v>
      </c>
      <c r="B171" s="81" t="str">
        <f t="shared" si="41"/>
        <v>INSTR_ENTITY_COD_SOC</v>
      </c>
      <c r="C171" s="82" t="s">
        <v>400</v>
      </c>
      <c r="D171" s="83" t="s">
        <v>12</v>
      </c>
      <c r="E171" s="84" t="s">
        <v>14</v>
      </c>
      <c r="F171" s="85" t="s">
        <v>13</v>
      </c>
      <c r="G171" s="85" t="s">
        <v>11</v>
      </c>
      <c r="H171" s="85" t="s">
        <v>13</v>
      </c>
      <c r="I171" s="85" t="s">
        <v>11</v>
      </c>
      <c r="J171" s="85" t="s">
        <v>11</v>
      </c>
      <c r="K171" s="85" t="s">
        <v>13</v>
      </c>
      <c r="L171" s="86" t="str">
        <f>IFERROR(VLOOKUP($B171,'LISTA - Atual'!$B$1:$I$444,5,0),"Novo")</f>
        <v>Y</v>
      </c>
      <c r="M171" s="86" t="str">
        <f t="shared" si="34"/>
        <v>Igual</v>
      </c>
      <c r="N171" s="86" t="str">
        <f>IFERROR(VLOOKUP($B171,'LISTA - Atual'!$B$1:$I$444,6,0),"Novo")</f>
        <v>N</v>
      </c>
      <c r="O171" s="86" t="str">
        <f t="shared" si="35"/>
        <v>Igual</v>
      </c>
      <c r="P171" s="86" t="str">
        <f>IFERROR(VLOOKUP($B171,'LISTA - Atual'!$B$1:$I$444,7,0),"Novo")</f>
        <v>Y</v>
      </c>
      <c r="Q171" s="86" t="str">
        <f t="shared" si="36"/>
        <v>Igual</v>
      </c>
      <c r="R171" s="86" t="s">
        <v>1563</v>
      </c>
      <c r="S171" s="86" t="str">
        <f>IFERROR(VLOOKUP($B171,'LISTA - Atual'!$B$1:$I$444,8,0),"Novo")</f>
        <v>N</v>
      </c>
      <c r="T171" s="86" t="str">
        <f t="shared" si="37"/>
        <v>Igual</v>
      </c>
      <c r="U171" s="86" t="s">
        <v>1563</v>
      </c>
      <c r="V171" s="86" t="s">
        <v>11</v>
      </c>
      <c r="W171" s="87" t="str">
        <f>IFERROR(VLOOKUP(B171,#REF!,11,0),"n/a")</f>
        <v>n/a</v>
      </c>
      <c r="X171" s="87" t="str">
        <f>IFERROR(VLOOKUP(B171,#REF!,8,0),"n/a")</f>
        <v>n/a</v>
      </c>
      <c r="Y171" s="87" t="str">
        <f>$F$2&amp;$Y$1&amp;$H$2</f>
        <v>ESTR &amp; PILAR3</v>
      </c>
      <c r="Z171" s="131" t="s">
        <v>1605</v>
      </c>
      <c r="AA171" s="227" t="e">
        <f>VLOOKUP(Table1[[#This Row],[CONCAT]],'Campos Resumo Prop2.0'!A:H,8,0)</f>
        <v>#N/A</v>
      </c>
      <c r="AB171" s="87" t="s">
        <v>1649</v>
      </c>
      <c r="AC171" s="135" t="s">
        <v>1625</v>
      </c>
      <c r="AD171" s="91">
        <f>INDEX(Auxiliar!$D$5:$I$10,MATCH('LISTA - Setembro2024'!AD$3,Auxiliar!$B$5:$B$10,0),MATCH('LISTA - Setembro2024'!$AC171,Auxiliar!$D$4:$I$4,0))</f>
        <v>0</v>
      </c>
      <c r="AE171" s="91">
        <f>INDEX(Auxiliar!$D$5:$I$10,MATCH('LISTA - Setembro2024'!AE$3,Auxiliar!$B$5:$B$10,0),MATCH('LISTA - Setembro2024'!$AC171,Auxiliar!$D$4:$I$4,0))</f>
        <v>0</v>
      </c>
      <c r="AF171" s="87">
        <f>INDEX(Auxiliar!$D$5:$I$10,MATCH('LISTA - Setembro2024'!AF$3,Auxiliar!$B$5:$B$10,0),MATCH('LISTA - Setembro2024'!$AC171,Auxiliar!$D$4:$I$4,0))</f>
        <v>0</v>
      </c>
      <c r="AG171" s="87" t="str">
        <f t="shared" si="39"/>
        <v>n.a.</v>
      </c>
      <c r="AH171" s="87">
        <f>INDEX(Auxiliar!$D$5:$I$10,MATCH('LISTA - Setembro2024'!AH$3,Auxiliar!$B$5:$B$10,0),MATCH('LISTA - Setembro2024'!$AG171,Auxiliar!$D$4:$I$4,0))</f>
        <v>0</v>
      </c>
      <c r="AI171" s="87">
        <f>INDEX(Auxiliar!$D$5:$I$10,MATCH('LISTA - Setembro2024'!AI$3,Auxiliar!$B$5:$B$10,0),MATCH('LISTA - Setembro2024'!$AC171,Auxiliar!$D$4:$I$4,0))</f>
        <v>0</v>
      </c>
      <c r="AJ171" s="87">
        <f>INDEX(Auxiliar!$D$5:$I$10,MATCH('LISTA - Setembro2024'!AJ$3,Auxiliar!$B$5:$B$10,0),MATCH('LISTA - Setembro2024'!$AC171,Auxiliar!$D$4:$I$4,0))</f>
        <v>0</v>
      </c>
      <c r="AK171" s="160">
        <f t="shared" si="42"/>
        <v>0</v>
      </c>
      <c r="AL171" s="87"/>
    </row>
    <row r="172" spans="1:38" ht="13.8" x14ac:dyDescent="0.25">
      <c r="A172" s="158" t="s">
        <v>401</v>
      </c>
      <c r="B172" s="81" t="str">
        <f t="shared" si="41"/>
        <v>INSTR_ENTITY_DT_RFRNC</v>
      </c>
      <c r="C172" s="82" t="s">
        <v>400</v>
      </c>
      <c r="D172" s="83" t="s">
        <v>38</v>
      </c>
      <c r="E172" s="84" t="s">
        <v>402</v>
      </c>
      <c r="F172" s="85" t="s">
        <v>13</v>
      </c>
      <c r="G172" s="85" t="s">
        <v>11</v>
      </c>
      <c r="H172" s="85" t="s">
        <v>13</v>
      </c>
      <c r="I172" s="85" t="s">
        <v>11</v>
      </c>
      <c r="J172" s="85" t="s">
        <v>11</v>
      </c>
      <c r="K172" s="85" t="s">
        <v>13</v>
      </c>
      <c r="L172" s="86" t="str">
        <f>IFERROR(VLOOKUP($B172,'LISTA - Atual'!$B$1:$I$444,5,0),"Novo")</f>
        <v>Y</v>
      </c>
      <c r="M172" s="86" t="str">
        <f t="shared" si="34"/>
        <v>Igual</v>
      </c>
      <c r="N172" s="86" t="str">
        <f>IFERROR(VLOOKUP($B172,'LISTA - Atual'!$B$1:$I$444,6,0),"Novo")</f>
        <v>N</v>
      </c>
      <c r="O172" s="86" t="str">
        <f t="shared" si="35"/>
        <v>Igual</v>
      </c>
      <c r="P172" s="86" t="str">
        <f>IFERROR(VLOOKUP($B172,'LISTA - Atual'!$B$1:$I$444,7,0),"Novo")</f>
        <v>Y</v>
      </c>
      <c r="Q172" s="86" t="str">
        <f t="shared" si="36"/>
        <v>Igual</v>
      </c>
      <c r="R172" s="86" t="s">
        <v>1563</v>
      </c>
      <c r="S172" s="86" t="str">
        <f>IFERROR(VLOOKUP($B172,'LISTA - Atual'!$B$1:$I$444,8,0),"Novo")</f>
        <v>N</v>
      </c>
      <c r="T172" s="86" t="str">
        <f t="shared" si="37"/>
        <v>Igual</v>
      </c>
      <c r="U172" s="86" t="s">
        <v>1563</v>
      </c>
      <c r="V172" s="86" t="s">
        <v>11</v>
      </c>
      <c r="W172" s="87" t="str">
        <f>IFERROR(VLOOKUP(B172,#REF!,11,0),"n/a")</f>
        <v>n/a</v>
      </c>
      <c r="X172" s="87" t="str">
        <f>IFERROR(VLOOKUP(B172,#REF!,8,0),"n/a")</f>
        <v>n/a</v>
      </c>
      <c r="Y172" s="87" t="str">
        <f>$F$2&amp;$Y$1&amp;$H$2</f>
        <v>ESTR &amp; PILAR3</v>
      </c>
      <c r="Z172" s="131" t="s">
        <v>1605</v>
      </c>
      <c r="AA172" s="227" t="e">
        <f>VLOOKUP(Table1[[#This Row],[CONCAT]],'Campos Resumo Prop2.0'!A:H,8,0)</f>
        <v>#N/A</v>
      </c>
      <c r="AB172" s="87" t="s">
        <v>1651</v>
      </c>
      <c r="AC172" s="135" t="s">
        <v>1625</v>
      </c>
      <c r="AD172" s="91">
        <f>INDEX(Auxiliar!$D$5:$I$10,MATCH('LISTA - Setembro2024'!AD$3,Auxiliar!$B$5:$B$10,0),MATCH('LISTA - Setembro2024'!$AC172,Auxiliar!$D$4:$I$4,0))</f>
        <v>0</v>
      </c>
      <c r="AE172" s="91">
        <f>INDEX(Auxiliar!$D$5:$I$10,MATCH('LISTA - Setembro2024'!AE$3,Auxiliar!$B$5:$B$10,0),MATCH('LISTA - Setembro2024'!$AC172,Auxiliar!$D$4:$I$4,0))</f>
        <v>0</v>
      </c>
      <c r="AF172" s="87">
        <f>INDEX(Auxiliar!$D$5:$I$10,MATCH('LISTA - Setembro2024'!AF$3,Auxiliar!$B$5:$B$10,0),MATCH('LISTA - Setembro2024'!$AC172,Auxiliar!$D$4:$I$4,0))</f>
        <v>0</v>
      </c>
      <c r="AG172" s="87" t="str">
        <f t="shared" si="39"/>
        <v>n.a.</v>
      </c>
      <c r="AH172" s="87">
        <f>INDEX(Auxiliar!$D$5:$I$10,MATCH('LISTA - Setembro2024'!AH$3,Auxiliar!$B$5:$B$10,0),MATCH('LISTA - Setembro2024'!$AG172,Auxiliar!$D$4:$I$4,0))</f>
        <v>0</v>
      </c>
      <c r="AI172" s="87">
        <f>INDEX(Auxiliar!$D$5:$I$10,MATCH('LISTA - Setembro2024'!AI$3,Auxiliar!$B$5:$B$10,0),MATCH('LISTA - Setembro2024'!$AC172,Auxiliar!$D$4:$I$4,0))</f>
        <v>0</v>
      </c>
      <c r="AJ172" s="87">
        <f>INDEX(Auxiliar!$D$5:$I$10,MATCH('LISTA - Setembro2024'!AJ$3,Auxiliar!$B$5:$B$10,0),MATCH('LISTA - Setembro2024'!$AC172,Auxiliar!$D$4:$I$4,0))</f>
        <v>0</v>
      </c>
      <c r="AK172" s="160">
        <f t="shared" si="42"/>
        <v>0</v>
      </c>
      <c r="AL172" s="87"/>
    </row>
    <row r="173" spans="1:38" ht="13.8" x14ac:dyDescent="0.25">
      <c r="A173" s="158" t="s">
        <v>403</v>
      </c>
      <c r="B173" s="81" t="str">
        <f t="shared" si="41"/>
        <v>INSTR_ENTITY_ENTTY_ID</v>
      </c>
      <c r="C173" s="82" t="s">
        <v>400</v>
      </c>
      <c r="D173" s="83" t="s">
        <v>41</v>
      </c>
      <c r="E173" s="84" t="s">
        <v>42</v>
      </c>
      <c r="F173" s="85" t="s">
        <v>13</v>
      </c>
      <c r="G173" s="85" t="s">
        <v>11</v>
      </c>
      <c r="H173" s="85" t="s">
        <v>13</v>
      </c>
      <c r="I173" s="85" t="s">
        <v>11</v>
      </c>
      <c r="J173" s="85" t="s">
        <v>11</v>
      </c>
      <c r="K173" s="85" t="s">
        <v>13</v>
      </c>
      <c r="L173" s="86" t="str">
        <f>IFERROR(VLOOKUP($B173,'LISTA - Atual'!$B$1:$I$444,5,0),"Novo")</f>
        <v>Y</v>
      </c>
      <c r="M173" s="86" t="str">
        <f t="shared" si="34"/>
        <v>Igual</v>
      </c>
      <c r="N173" s="86" t="str">
        <f>IFERROR(VLOOKUP($B173,'LISTA - Atual'!$B$1:$I$444,6,0),"Novo")</f>
        <v>N</v>
      </c>
      <c r="O173" s="86" t="str">
        <f t="shared" si="35"/>
        <v>Igual</v>
      </c>
      <c r="P173" s="86" t="str">
        <f>IFERROR(VLOOKUP($B173,'LISTA - Atual'!$B$1:$I$444,7,0),"Novo")</f>
        <v>Y</v>
      </c>
      <c r="Q173" s="86" t="str">
        <f t="shared" si="36"/>
        <v>Igual</v>
      </c>
      <c r="R173" s="86" t="s">
        <v>1563</v>
      </c>
      <c r="S173" s="86" t="str">
        <f>IFERROR(VLOOKUP($B173,'LISTA - Atual'!$B$1:$I$444,8,0),"Novo")</f>
        <v>N</v>
      </c>
      <c r="T173" s="86" t="str">
        <f t="shared" si="37"/>
        <v>Igual</v>
      </c>
      <c r="U173" s="86" t="s">
        <v>1563</v>
      </c>
      <c r="V173" s="86" t="s">
        <v>11</v>
      </c>
      <c r="W173" s="87" t="str">
        <f>IFERROR(VLOOKUP(B173,#REF!,11,0),"n/a")</f>
        <v>n/a</v>
      </c>
      <c r="X173" s="87" t="str">
        <f>IFERROR(VLOOKUP(B173,#REF!,8,0),"n/a")</f>
        <v>n/a</v>
      </c>
      <c r="Y173" s="87" t="str">
        <f>$F$2&amp;$Y$1&amp;$H$2</f>
        <v>ESTR &amp; PILAR3</v>
      </c>
      <c r="Z173" s="131" t="s">
        <v>1605</v>
      </c>
      <c r="AA173" s="227" t="e">
        <f>VLOOKUP(Table1[[#This Row],[CONCAT]],'Campos Resumo Prop2.0'!A:H,8,0)</f>
        <v>#N/A</v>
      </c>
      <c r="AB173" s="87" t="s">
        <v>1652</v>
      </c>
      <c r="AC173" s="135" t="s">
        <v>1625</v>
      </c>
      <c r="AD173" s="91">
        <f>INDEX(Auxiliar!$D$5:$I$10,MATCH('LISTA - Setembro2024'!AD$3,Auxiliar!$B$5:$B$10,0),MATCH('LISTA - Setembro2024'!$AC173,Auxiliar!$D$4:$I$4,0))</f>
        <v>0</v>
      </c>
      <c r="AE173" s="91">
        <f>INDEX(Auxiliar!$D$5:$I$10,MATCH('LISTA - Setembro2024'!AE$3,Auxiliar!$B$5:$B$10,0),MATCH('LISTA - Setembro2024'!$AC173,Auxiliar!$D$4:$I$4,0))</f>
        <v>0</v>
      </c>
      <c r="AF173" s="87">
        <f>INDEX(Auxiliar!$D$5:$I$10,MATCH('LISTA - Setembro2024'!AF$3,Auxiliar!$B$5:$B$10,0),MATCH('LISTA - Setembro2024'!$AC173,Auxiliar!$D$4:$I$4,0))</f>
        <v>0</v>
      </c>
      <c r="AG173" s="87" t="str">
        <f t="shared" si="39"/>
        <v>n.a.</v>
      </c>
      <c r="AH173" s="87">
        <f>INDEX(Auxiliar!$D$5:$I$10,MATCH('LISTA - Setembro2024'!AH$3,Auxiliar!$B$5:$B$10,0),MATCH('LISTA - Setembro2024'!$AG173,Auxiliar!$D$4:$I$4,0))</f>
        <v>0</v>
      </c>
      <c r="AI173" s="87">
        <f>INDEX(Auxiliar!$D$5:$I$10,MATCH('LISTA - Setembro2024'!AI$3,Auxiliar!$B$5:$B$10,0),MATCH('LISTA - Setembro2024'!$AC173,Auxiliar!$D$4:$I$4,0))</f>
        <v>0</v>
      </c>
      <c r="AJ173" s="87">
        <f>INDEX(Auxiliar!$D$5:$I$10,MATCH('LISTA - Setembro2024'!AJ$3,Auxiliar!$B$5:$B$10,0),MATCH('LISTA - Setembro2024'!$AC173,Auxiliar!$D$4:$I$4,0))</f>
        <v>0</v>
      </c>
      <c r="AK173" s="160">
        <f t="shared" si="42"/>
        <v>0</v>
      </c>
      <c r="AL173" s="87"/>
    </row>
    <row r="174" spans="1:38" ht="13.8" x14ac:dyDescent="0.25">
      <c r="A174" s="158" t="s">
        <v>404</v>
      </c>
      <c r="B174" s="81" t="str">
        <f t="shared" si="41"/>
        <v>INSTR_ENTITY_INSTRMNT_ID</v>
      </c>
      <c r="C174" s="82" t="s">
        <v>400</v>
      </c>
      <c r="D174" s="83" t="s">
        <v>405</v>
      </c>
      <c r="E174" s="84" t="s">
        <v>406</v>
      </c>
      <c r="F174" s="85" t="s">
        <v>13</v>
      </c>
      <c r="G174" s="85" t="s">
        <v>11</v>
      </c>
      <c r="H174" s="85" t="s">
        <v>13</v>
      </c>
      <c r="I174" s="85" t="s">
        <v>11</v>
      </c>
      <c r="J174" s="85" t="s">
        <v>11</v>
      </c>
      <c r="K174" s="85" t="s">
        <v>13</v>
      </c>
      <c r="L174" s="86" t="str">
        <f>IFERROR(VLOOKUP($B174,'LISTA - Atual'!$B$1:$I$444,5,0),"Novo")</f>
        <v>Y</v>
      </c>
      <c r="M174" s="86" t="str">
        <f t="shared" si="34"/>
        <v>Igual</v>
      </c>
      <c r="N174" s="86" t="str">
        <f>IFERROR(VLOOKUP($B174,'LISTA - Atual'!$B$1:$I$444,6,0),"Novo")</f>
        <v>N</v>
      </c>
      <c r="O174" s="86" t="str">
        <f t="shared" si="35"/>
        <v>Igual</v>
      </c>
      <c r="P174" s="86" t="str">
        <f>IFERROR(VLOOKUP($B174,'LISTA - Atual'!$B$1:$I$444,7,0),"Novo")</f>
        <v>Y</v>
      </c>
      <c r="Q174" s="86" t="str">
        <f t="shared" si="36"/>
        <v>Igual</v>
      </c>
      <c r="R174" s="86" t="s">
        <v>1563</v>
      </c>
      <c r="S174" s="86" t="str">
        <f>IFERROR(VLOOKUP($B174,'LISTA - Atual'!$B$1:$I$444,8,0),"Novo")</f>
        <v>N</v>
      </c>
      <c r="T174" s="86" t="str">
        <f t="shared" si="37"/>
        <v>Igual</v>
      </c>
      <c r="U174" s="86" t="s">
        <v>1563</v>
      </c>
      <c r="V174" s="86" t="s">
        <v>11</v>
      </c>
      <c r="W174" s="87" t="str">
        <f>IFERROR(VLOOKUP(B174,#REF!,11,0),"n/a")</f>
        <v>n/a</v>
      </c>
      <c r="X174" s="87" t="str">
        <f>IFERROR(VLOOKUP(B174,#REF!,8,0),"n/a")</f>
        <v>n/a</v>
      </c>
      <c r="Y174" s="87" t="str">
        <f>$F$2&amp;$Y$1&amp;$H$2</f>
        <v>ESTR &amp; PILAR3</v>
      </c>
      <c r="Z174" s="131" t="s">
        <v>1605</v>
      </c>
      <c r="AA174" s="227" t="e">
        <f>VLOOKUP(Table1[[#This Row],[CONCAT]],'Campos Resumo Prop2.0'!A:H,8,0)</f>
        <v>#N/A</v>
      </c>
      <c r="AB174" s="87" t="s">
        <v>1659</v>
      </c>
      <c r="AC174" s="135" t="s">
        <v>1625</v>
      </c>
      <c r="AD174" s="91">
        <f>INDEX(Auxiliar!$D$5:$I$10,MATCH('LISTA - Setembro2024'!AD$3,Auxiliar!$B$5:$B$10,0),MATCH('LISTA - Setembro2024'!$AC174,Auxiliar!$D$4:$I$4,0))</f>
        <v>0</v>
      </c>
      <c r="AE174" s="91">
        <f>INDEX(Auxiliar!$D$5:$I$10,MATCH('LISTA - Setembro2024'!AE$3,Auxiliar!$B$5:$B$10,0),MATCH('LISTA - Setembro2024'!$AC174,Auxiliar!$D$4:$I$4,0))</f>
        <v>0</v>
      </c>
      <c r="AF174" s="87">
        <f>INDEX(Auxiliar!$D$5:$I$10,MATCH('LISTA - Setembro2024'!AF$3,Auxiliar!$B$5:$B$10,0),MATCH('LISTA - Setembro2024'!$AC174,Auxiliar!$D$4:$I$4,0))</f>
        <v>0</v>
      </c>
      <c r="AG174" s="87" t="str">
        <f t="shared" si="39"/>
        <v>n.a.</v>
      </c>
      <c r="AH174" s="87">
        <f>INDEX(Auxiliar!$D$5:$I$10,MATCH('LISTA - Setembro2024'!AH$3,Auxiliar!$B$5:$B$10,0),MATCH('LISTA - Setembro2024'!$AG174,Auxiliar!$D$4:$I$4,0))</f>
        <v>0</v>
      </c>
      <c r="AI174" s="87">
        <f>INDEX(Auxiliar!$D$5:$I$10,MATCH('LISTA - Setembro2024'!AI$3,Auxiliar!$B$5:$B$10,0),MATCH('LISTA - Setembro2024'!$AC174,Auxiliar!$D$4:$I$4,0))</f>
        <v>0</v>
      </c>
      <c r="AJ174" s="87">
        <f>INDEX(Auxiliar!$D$5:$I$10,MATCH('LISTA - Setembro2024'!AJ$3,Auxiliar!$B$5:$B$10,0),MATCH('LISTA - Setembro2024'!$AC174,Auxiliar!$D$4:$I$4,0))</f>
        <v>0</v>
      </c>
      <c r="AK174" s="160">
        <f t="shared" si="42"/>
        <v>0</v>
      </c>
      <c r="AL174" s="87"/>
    </row>
    <row r="175" spans="1:38" ht="13.8" x14ac:dyDescent="0.25">
      <c r="A175" s="158" t="s">
        <v>407</v>
      </c>
      <c r="B175" s="81" t="str">
        <f t="shared" si="41"/>
        <v>INSTR_ENTITY_JNT_LBLTY_AMNT</v>
      </c>
      <c r="C175" s="82" t="s">
        <v>400</v>
      </c>
      <c r="D175" s="83" t="s">
        <v>408</v>
      </c>
      <c r="E175" s="84" t="s">
        <v>409</v>
      </c>
      <c r="F175" s="85" t="s">
        <v>13</v>
      </c>
      <c r="G175" s="85" t="s">
        <v>11</v>
      </c>
      <c r="H175" s="85" t="s">
        <v>11</v>
      </c>
      <c r="I175" s="85" t="s">
        <v>11</v>
      </c>
      <c r="J175" s="85" t="s">
        <v>11</v>
      </c>
      <c r="K175" s="85" t="s">
        <v>13</v>
      </c>
      <c r="L175" s="86" t="str">
        <f>IFERROR(VLOOKUP($B175,'LISTA - Atual'!$B$1:$I$444,5,0),"Novo")</f>
        <v>Y</v>
      </c>
      <c r="M175" s="86" t="str">
        <f t="shared" si="34"/>
        <v>Igual</v>
      </c>
      <c r="N175" s="86" t="str">
        <f>IFERROR(VLOOKUP($B175,'LISTA - Atual'!$B$1:$I$444,6,0),"Novo")</f>
        <v>N</v>
      </c>
      <c r="O175" s="86" t="str">
        <f t="shared" si="35"/>
        <v>Igual</v>
      </c>
      <c r="P175" s="86" t="str">
        <f>IFERROR(VLOOKUP($B175,'LISTA - Atual'!$B$1:$I$444,7,0),"Novo")</f>
        <v>N</v>
      </c>
      <c r="Q175" s="86" t="str">
        <f t="shared" si="36"/>
        <v>Igual</v>
      </c>
      <c r="R175" s="86" t="s">
        <v>1563</v>
      </c>
      <c r="S175" s="86" t="str">
        <f>IFERROR(VLOOKUP($B175,'LISTA - Atual'!$B$1:$I$444,8,0),"Novo")</f>
        <v>N</v>
      </c>
      <c r="T175" s="86" t="str">
        <f t="shared" si="37"/>
        <v>Igual</v>
      </c>
      <c r="U175" s="86" t="s">
        <v>1563</v>
      </c>
      <c r="V175" s="86" t="s">
        <v>11</v>
      </c>
      <c r="W175" s="87" t="str">
        <f>IFERROR(VLOOKUP(B175,#REF!,11,0),"n/a")</f>
        <v>n/a</v>
      </c>
      <c r="X175" s="87" t="str">
        <f>IFERROR(VLOOKUP(B175,#REF!,8,0),"n/a")</f>
        <v>n/a</v>
      </c>
      <c r="Y175" s="87" t="str">
        <f>$F$2</f>
        <v>ESTR</v>
      </c>
      <c r="Z175" s="131" t="s">
        <v>1605</v>
      </c>
      <c r="AA175" s="227" t="e">
        <f>VLOOKUP(Table1[[#This Row],[CONCAT]],'Campos Resumo Prop2.0'!A:H,8,0)</f>
        <v>#N/A</v>
      </c>
      <c r="AB175" s="87" t="s">
        <v>1655</v>
      </c>
      <c r="AC175" s="135" t="s">
        <v>1625</v>
      </c>
      <c r="AD175" s="91">
        <f>INDEX(Auxiliar!$D$5:$I$10,MATCH('LISTA - Setembro2024'!AD$3,Auxiliar!$B$5:$B$10,0),MATCH('LISTA - Setembro2024'!$AC175,Auxiliar!$D$4:$I$4,0))</f>
        <v>0</v>
      </c>
      <c r="AE175" s="91">
        <f>INDEX(Auxiliar!$D$5:$I$10,MATCH('LISTA - Setembro2024'!AE$3,Auxiliar!$B$5:$B$10,0),MATCH('LISTA - Setembro2024'!$AC175,Auxiliar!$D$4:$I$4,0))</f>
        <v>0</v>
      </c>
      <c r="AF175" s="87">
        <f>INDEX(Auxiliar!$D$5:$I$10,MATCH('LISTA - Setembro2024'!AF$3,Auxiliar!$B$5:$B$10,0),MATCH('LISTA - Setembro2024'!$AC175,Auxiliar!$D$4:$I$4,0))</f>
        <v>0</v>
      </c>
      <c r="AG175" s="87" t="str">
        <f t="shared" si="39"/>
        <v>n.a.</v>
      </c>
      <c r="AH175" s="87">
        <f>INDEX(Auxiliar!$D$5:$I$10,MATCH('LISTA - Setembro2024'!AH$3,Auxiliar!$B$5:$B$10,0),MATCH('LISTA - Setembro2024'!$AG175,Auxiliar!$D$4:$I$4,0))</f>
        <v>0</v>
      </c>
      <c r="AI175" s="87">
        <f>INDEX(Auxiliar!$D$5:$I$10,MATCH('LISTA - Setembro2024'!AI$3,Auxiliar!$B$5:$B$10,0),MATCH('LISTA - Setembro2024'!$AC175,Auxiliar!$D$4:$I$4,0))</f>
        <v>0</v>
      </c>
      <c r="AJ175" s="87">
        <f>INDEX(Auxiliar!$D$5:$I$10,MATCH('LISTA - Setembro2024'!AJ$3,Auxiliar!$B$5:$B$10,0),MATCH('LISTA - Setembro2024'!$AC175,Auxiliar!$D$4:$I$4,0))</f>
        <v>0</v>
      </c>
      <c r="AK175" s="160">
        <f t="shared" si="42"/>
        <v>0</v>
      </c>
      <c r="AL175" s="87"/>
    </row>
    <row r="176" spans="1:38" ht="13.8" x14ac:dyDescent="0.25">
      <c r="A176" s="158" t="s">
        <v>410</v>
      </c>
      <c r="B176" s="81" t="str">
        <f t="shared" si="41"/>
        <v>INSTR_ENTITY_MN_ENTTY_ID</v>
      </c>
      <c r="C176" s="82" t="s">
        <v>400</v>
      </c>
      <c r="D176" s="83" t="s">
        <v>411</v>
      </c>
      <c r="E176" s="84" t="s">
        <v>412</v>
      </c>
      <c r="F176" s="85" t="s">
        <v>13</v>
      </c>
      <c r="G176" s="85" t="s">
        <v>11</v>
      </c>
      <c r="H176" s="85" t="s">
        <v>13</v>
      </c>
      <c r="I176" s="85" t="s">
        <v>11</v>
      </c>
      <c r="J176" s="85" t="s">
        <v>11</v>
      </c>
      <c r="K176" s="85" t="s">
        <v>13</v>
      </c>
      <c r="L176" s="86" t="str">
        <f>IFERROR(VLOOKUP($B176,'LISTA - Atual'!$B$1:$I$444,5,0),"Novo")</f>
        <v>Y</v>
      </c>
      <c r="M176" s="86" t="str">
        <f t="shared" si="34"/>
        <v>Igual</v>
      </c>
      <c r="N176" s="86" t="str">
        <f>IFERROR(VLOOKUP($B176,'LISTA - Atual'!$B$1:$I$444,6,0),"Novo")</f>
        <v>N</v>
      </c>
      <c r="O176" s="86" t="str">
        <f t="shared" si="35"/>
        <v>Igual</v>
      </c>
      <c r="P176" s="86" t="str">
        <f>IFERROR(VLOOKUP($B176,'LISTA - Atual'!$B$1:$I$444,7,0),"Novo")</f>
        <v>Y</v>
      </c>
      <c r="Q176" s="86" t="str">
        <f t="shared" si="36"/>
        <v>Igual</v>
      </c>
      <c r="R176" s="86" t="s">
        <v>1563</v>
      </c>
      <c r="S176" s="86" t="str">
        <f>IFERROR(VLOOKUP($B176,'LISTA - Atual'!$B$1:$I$444,8,0),"Novo")</f>
        <v>N</v>
      </c>
      <c r="T176" s="86" t="str">
        <f t="shared" si="37"/>
        <v>Igual</v>
      </c>
      <c r="U176" s="86" t="s">
        <v>1563</v>
      </c>
      <c r="V176" s="86" t="s">
        <v>11</v>
      </c>
      <c r="W176" s="87" t="str">
        <f>IFERROR(VLOOKUP(B176,#REF!,11,0),"n/a")</f>
        <v>n/a</v>
      </c>
      <c r="X176" s="87" t="str">
        <f>IFERROR(VLOOKUP(B176,#REF!,8,0),"n/a")</f>
        <v>n/a</v>
      </c>
      <c r="Y176" s="87" t="str">
        <f>$F$2&amp;$Y$1&amp;$H$2</f>
        <v>ESTR &amp; PILAR3</v>
      </c>
      <c r="Z176" s="131" t="s">
        <v>1605</v>
      </c>
      <c r="AA176" s="227" t="e">
        <f>VLOOKUP(Table1[[#This Row],[CONCAT]],'Campos Resumo Prop2.0'!A:H,8,0)</f>
        <v>#N/A</v>
      </c>
      <c r="AB176" s="87" t="s">
        <v>1654</v>
      </c>
      <c r="AC176" s="135" t="s">
        <v>1625</v>
      </c>
      <c r="AD176" s="135">
        <v>1</v>
      </c>
      <c r="AE176" s="91">
        <f>INDEX(Auxiliar!$D$5:$I$10,MATCH('LISTA - Setembro2024'!AE$3,Auxiliar!$B$5:$B$10,0),MATCH('LISTA - Setembro2024'!$AC176,Auxiliar!$D$4:$I$4,0))</f>
        <v>0</v>
      </c>
      <c r="AF176" s="87">
        <f>INDEX(Auxiliar!$D$5:$I$10,MATCH('LISTA - Setembro2024'!AF$3,Auxiliar!$B$5:$B$10,0),MATCH('LISTA - Setembro2024'!$AC176,Auxiliar!$D$4:$I$4,0))</f>
        <v>0</v>
      </c>
      <c r="AG176" s="87" t="str">
        <f t="shared" si="39"/>
        <v>n.a.</v>
      </c>
      <c r="AH176" s="87">
        <f>INDEX(Auxiliar!$D$5:$I$10,MATCH('LISTA - Setembro2024'!AH$3,Auxiliar!$B$5:$B$10,0),MATCH('LISTA - Setembro2024'!$AG176,Auxiliar!$D$4:$I$4,0))</f>
        <v>0</v>
      </c>
      <c r="AI176" s="87">
        <f>INDEX(Auxiliar!$D$5:$I$10,MATCH('LISTA - Setembro2024'!AI$3,Auxiliar!$B$5:$B$10,0),MATCH('LISTA - Setembro2024'!$AC176,Auxiliar!$D$4:$I$4,0))</f>
        <v>0</v>
      </c>
      <c r="AJ176" s="87">
        <f>INDEX(Auxiliar!$D$5:$I$10,MATCH('LISTA - Setembro2024'!AJ$3,Auxiliar!$B$5:$B$10,0),MATCH('LISTA - Setembro2024'!$AC176,Auxiliar!$D$4:$I$4,0))</f>
        <v>0</v>
      </c>
      <c r="AK176" s="160">
        <f t="shared" si="42"/>
        <v>0</v>
      </c>
      <c r="AL176" s="87" t="s">
        <v>1695</v>
      </c>
    </row>
    <row r="177" spans="1:38" ht="13.8" x14ac:dyDescent="0.25">
      <c r="A177" s="158" t="s">
        <v>413</v>
      </c>
      <c r="B177" s="81" t="str">
        <f t="shared" si="41"/>
        <v>INSTRUMENT_COD_SOC</v>
      </c>
      <c r="C177" s="82" t="s">
        <v>414</v>
      </c>
      <c r="D177" s="83" t="s">
        <v>12</v>
      </c>
      <c r="E177" s="84" t="s">
        <v>14</v>
      </c>
      <c r="F177" s="85" t="s">
        <v>13</v>
      </c>
      <c r="G177" s="85" t="s">
        <v>13</v>
      </c>
      <c r="H177" s="85" t="s">
        <v>13</v>
      </c>
      <c r="I177" s="85" t="s">
        <v>11</v>
      </c>
      <c r="J177" s="85" t="s">
        <v>13</v>
      </c>
      <c r="K177" s="85" t="s">
        <v>13</v>
      </c>
      <c r="L177" s="86" t="str">
        <f>IFERROR(VLOOKUP($B177,'LISTA - Atual'!$B$1:$I$444,5,0),"Novo")</f>
        <v>Y</v>
      </c>
      <c r="M177" s="86" t="str">
        <f t="shared" si="34"/>
        <v>Igual</v>
      </c>
      <c r="N177" s="86" t="str">
        <f>IFERROR(VLOOKUP($B177,'LISTA - Atual'!$B$1:$I$444,6,0),"Novo")</f>
        <v>Y</v>
      </c>
      <c r="O177" s="86" t="str">
        <f t="shared" si="35"/>
        <v>Igual</v>
      </c>
      <c r="P177" s="86" t="str">
        <f>IFERROR(VLOOKUP($B177,'LISTA - Atual'!$B$1:$I$444,7,0),"Novo")</f>
        <v>Y</v>
      </c>
      <c r="Q177" s="86" t="str">
        <f t="shared" si="36"/>
        <v>Igual</v>
      </c>
      <c r="R177" s="86" t="s">
        <v>1563</v>
      </c>
      <c r="S177" s="86" t="str">
        <f>IFERROR(VLOOKUP($B177,'LISTA - Atual'!$B$1:$I$444,8,0),"Novo")</f>
        <v>Y</v>
      </c>
      <c r="T177" s="86" t="str">
        <f t="shared" si="37"/>
        <v>Igual</v>
      </c>
      <c r="U177" s="86" t="s">
        <v>1563</v>
      </c>
      <c r="V177" s="86" t="s">
        <v>11</v>
      </c>
      <c r="W177" s="87" t="str">
        <f>IFERROR(VLOOKUP(B177,#REF!,11,0),"n/a")</f>
        <v>n/a</v>
      </c>
      <c r="X177" s="87" t="str">
        <f>IFERROR(VLOOKUP(B177,#REF!,8,0),"n/a")</f>
        <v>n/a</v>
      </c>
      <c r="Y177" s="87" t="str">
        <f>$F$2&amp;$Y$1&amp;$G$2&amp;$Y$1&amp;$H$2</f>
        <v>ESTR &amp; GD &amp; PILAR3</v>
      </c>
      <c r="Z177" s="131" t="s">
        <v>1605</v>
      </c>
      <c r="AA177" s="227" t="e">
        <f>VLOOKUP(Table1[[#This Row],[CONCAT]],'Campos Resumo Prop2.0'!A:H,8,0)</f>
        <v>#N/A</v>
      </c>
      <c r="AB177" s="87" t="s">
        <v>1649</v>
      </c>
      <c r="AC177" s="135" t="s">
        <v>1625</v>
      </c>
      <c r="AD177" s="91">
        <f>INDEX(Auxiliar!$D$5:$I$10,MATCH('LISTA - Setembro2024'!AD$3,Auxiliar!$B$5:$B$10,0),MATCH('LISTA - Setembro2024'!$AC177,Auxiliar!$D$4:$I$4,0))</f>
        <v>0</v>
      </c>
      <c r="AE177" s="91">
        <f>INDEX(Auxiliar!$D$5:$I$10,MATCH('LISTA - Setembro2024'!AE$3,Auxiliar!$B$5:$B$10,0),MATCH('LISTA - Setembro2024'!$AC177,Auxiliar!$D$4:$I$4,0))</f>
        <v>0</v>
      </c>
      <c r="AF177" s="87">
        <f>INDEX(Auxiliar!$D$5:$I$10,MATCH('LISTA - Setembro2024'!AF$3,Auxiliar!$B$5:$B$10,0),MATCH('LISTA - Setembro2024'!$AC177,Auxiliar!$D$4:$I$4,0))</f>
        <v>0</v>
      </c>
      <c r="AG177" s="87" t="str">
        <f t="shared" si="39"/>
        <v>n.a.</v>
      </c>
      <c r="AH177" s="87">
        <f>INDEX(Auxiliar!$D$5:$I$10,MATCH('LISTA - Setembro2024'!AH$3,Auxiliar!$B$5:$B$10,0),MATCH('LISTA - Setembro2024'!$AG177,Auxiliar!$D$4:$I$4,0))</f>
        <v>0</v>
      </c>
      <c r="AI177" s="87">
        <f>INDEX(Auxiliar!$D$5:$I$10,MATCH('LISTA - Setembro2024'!AI$3,Auxiliar!$B$5:$B$10,0),MATCH('LISTA - Setembro2024'!$AC177,Auxiliar!$D$4:$I$4,0))</f>
        <v>0</v>
      </c>
      <c r="AJ177" s="87">
        <f>INDEX(Auxiliar!$D$5:$I$10,MATCH('LISTA - Setembro2024'!AJ$3,Auxiliar!$B$5:$B$10,0),MATCH('LISTA - Setembro2024'!$AC177,Auxiliar!$D$4:$I$4,0))</f>
        <v>0</v>
      </c>
      <c r="AK177" s="160">
        <f t="shared" si="42"/>
        <v>0</v>
      </c>
      <c r="AL177" s="87"/>
    </row>
    <row r="178" spans="1:38" ht="13.8" x14ac:dyDescent="0.25">
      <c r="A178" s="158" t="s">
        <v>415</v>
      </c>
      <c r="B178" s="81" t="str">
        <f t="shared" si="41"/>
        <v>INSTRUMENT_SUBPORTFOLIO_ID</v>
      </c>
      <c r="C178" s="82" t="s">
        <v>414</v>
      </c>
      <c r="D178" s="83" t="s">
        <v>416</v>
      </c>
      <c r="E178" s="84" t="s">
        <v>417</v>
      </c>
      <c r="F178" s="85" t="s">
        <v>13</v>
      </c>
      <c r="G178" s="85" t="s">
        <v>13</v>
      </c>
      <c r="H178" s="85" t="s">
        <v>13</v>
      </c>
      <c r="I178" s="85" t="s">
        <v>11</v>
      </c>
      <c r="J178" s="85" t="s">
        <v>13</v>
      </c>
      <c r="K178" s="85" t="s">
        <v>13</v>
      </c>
      <c r="L178" s="86" t="str">
        <f>IFERROR(VLOOKUP($B178,'LISTA - Atual'!$B$1:$I$444,5,0),"Novo")</f>
        <v>Y</v>
      </c>
      <c r="M178" s="86" t="str">
        <f t="shared" si="34"/>
        <v>Igual</v>
      </c>
      <c r="N178" s="86" t="str">
        <f>IFERROR(VLOOKUP($B178,'LISTA - Atual'!$B$1:$I$444,6,0),"Novo")</f>
        <v>Y</v>
      </c>
      <c r="O178" s="86" t="str">
        <f t="shared" si="35"/>
        <v>Igual</v>
      </c>
      <c r="P178" s="86" t="str">
        <f>IFERROR(VLOOKUP($B178,'LISTA - Atual'!$B$1:$I$444,7,0),"Novo")</f>
        <v>Y</v>
      </c>
      <c r="Q178" s="86" t="str">
        <f t="shared" si="36"/>
        <v>Igual</v>
      </c>
      <c r="R178" s="86" t="s">
        <v>1563</v>
      </c>
      <c r="S178" s="86" t="str">
        <f>IFERROR(VLOOKUP($B178,'LISTA - Atual'!$B$1:$I$444,8,0),"Novo")</f>
        <v>Y</v>
      </c>
      <c r="T178" s="86" t="str">
        <f t="shared" si="37"/>
        <v>Igual</v>
      </c>
      <c r="U178" s="86" t="s">
        <v>1563</v>
      </c>
      <c r="V178" s="86" t="s">
        <v>11</v>
      </c>
      <c r="W178" s="87" t="str">
        <f>IFERROR(VLOOKUP(B178,#REF!,11,0),"n/a")</f>
        <v>n/a</v>
      </c>
      <c r="X178" s="87" t="str">
        <f>IFERROR(VLOOKUP(B178,#REF!,8,0),"n/a")</f>
        <v>n/a</v>
      </c>
      <c r="Y178" s="87" t="str">
        <f>$F$2&amp;$Y$1&amp;$G$2&amp;$Y$1&amp;$H$2</f>
        <v>ESTR &amp; GD &amp; PILAR3</v>
      </c>
      <c r="Z178" s="131" t="s">
        <v>1605</v>
      </c>
      <c r="AA178" s="227" t="e">
        <f>VLOOKUP(Table1[[#This Row],[CONCAT]],'Campos Resumo Prop2.0'!A:H,8,0)</f>
        <v>#N/A</v>
      </c>
      <c r="AB178" s="87" t="s">
        <v>1650</v>
      </c>
      <c r="AC178" s="135" t="s">
        <v>1625</v>
      </c>
      <c r="AD178" s="91">
        <f>INDEX(Auxiliar!$D$5:$I$10,MATCH('LISTA - Setembro2024'!AD$3,Auxiliar!$B$5:$B$10,0),MATCH('LISTA - Setembro2024'!$AC178,Auxiliar!$D$4:$I$4,0))</f>
        <v>0</v>
      </c>
      <c r="AE178" s="91">
        <f>INDEX(Auxiliar!$D$5:$I$10,MATCH('LISTA - Setembro2024'!AE$3,Auxiliar!$B$5:$B$10,0),MATCH('LISTA - Setembro2024'!$AC178,Auxiliar!$D$4:$I$4,0))</f>
        <v>0</v>
      </c>
      <c r="AF178" s="87">
        <f>INDEX(Auxiliar!$D$5:$I$10,MATCH('LISTA - Setembro2024'!AF$3,Auxiliar!$B$5:$B$10,0),MATCH('LISTA - Setembro2024'!$AC178,Auxiliar!$D$4:$I$4,0))</f>
        <v>0</v>
      </c>
      <c r="AG178" s="87" t="str">
        <f t="shared" si="39"/>
        <v>n.a.</v>
      </c>
      <c r="AH178" s="87">
        <f>INDEX(Auxiliar!$D$5:$I$10,MATCH('LISTA - Setembro2024'!AH$3,Auxiliar!$B$5:$B$10,0),MATCH('LISTA - Setembro2024'!$AG178,Auxiliar!$D$4:$I$4,0))</f>
        <v>0</v>
      </c>
      <c r="AI178" s="87">
        <f>INDEX(Auxiliar!$D$5:$I$10,MATCH('LISTA - Setembro2024'!AI$3,Auxiliar!$B$5:$B$10,0),MATCH('LISTA - Setembro2024'!$AC178,Auxiliar!$D$4:$I$4,0))</f>
        <v>0</v>
      </c>
      <c r="AJ178" s="87">
        <f>INDEX(Auxiliar!$D$5:$I$10,MATCH('LISTA - Setembro2024'!AJ$3,Auxiliar!$B$5:$B$10,0),MATCH('LISTA - Setembro2024'!$AC178,Auxiliar!$D$4:$I$4,0))</f>
        <v>0</v>
      </c>
      <c r="AK178" s="160">
        <f t="shared" si="42"/>
        <v>0</v>
      </c>
      <c r="AL178" s="87"/>
    </row>
    <row r="179" spans="1:38" ht="13.8" x14ac:dyDescent="0.25">
      <c r="A179" s="158" t="s">
        <v>418</v>
      </c>
      <c r="B179" s="81" t="str">
        <f t="shared" si="41"/>
        <v>INSTRUMENT_CRE_FNRP18</v>
      </c>
      <c r="C179" s="82" t="s">
        <v>414</v>
      </c>
      <c r="D179" s="83" t="s">
        <v>419</v>
      </c>
      <c r="E179" s="84" t="s">
        <v>420</v>
      </c>
      <c r="F179" s="85" t="s">
        <v>13</v>
      </c>
      <c r="G179" s="85" t="s">
        <v>11</v>
      </c>
      <c r="H179" s="85" t="s">
        <v>11</v>
      </c>
      <c r="I179" s="85" t="s">
        <v>11</v>
      </c>
      <c r="J179" s="85" t="s">
        <v>11</v>
      </c>
      <c r="K179" s="85" t="s">
        <v>11</v>
      </c>
      <c r="L179" s="86" t="str">
        <f>IFERROR(VLOOKUP($B179,'LISTA - Atual'!$B$1:$I$444,5,0),"Novo")</f>
        <v>Y</v>
      </c>
      <c r="M179" s="86" t="str">
        <f t="shared" si="34"/>
        <v>Igual</v>
      </c>
      <c r="N179" s="86" t="str">
        <f>IFERROR(VLOOKUP($B179,'LISTA - Atual'!$B$1:$I$444,6,0),"Novo")</f>
        <v>N</v>
      </c>
      <c r="O179" s="86" t="str">
        <f t="shared" si="35"/>
        <v>Igual</v>
      </c>
      <c r="P179" s="86" t="str">
        <f>IFERROR(VLOOKUP($B179,'LISTA - Atual'!$B$1:$I$444,7,0),"Novo")</f>
        <v>N</v>
      </c>
      <c r="Q179" s="86" t="str">
        <f t="shared" si="36"/>
        <v>Igual</v>
      </c>
      <c r="R179" s="86" t="s">
        <v>1563</v>
      </c>
      <c r="S179" s="86" t="str">
        <f>IFERROR(VLOOKUP($B179,'LISTA - Atual'!$B$1:$I$444,8,0),"Novo")</f>
        <v>N</v>
      </c>
      <c r="T179" s="86" t="str">
        <f t="shared" si="37"/>
        <v>Igual</v>
      </c>
      <c r="U179" s="86" t="s">
        <v>1563</v>
      </c>
      <c r="V179" s="86" t="s">
        <v>11</v>
      </c>
      <c r="W179" s="87" t="str">
        <f>IFERROR(VLOOKUP(B179,#REF!,11,0),"n/a")</f>
        <v>n/a</v>
      </c>
      <c r="X179" s="87" t="str">
        <f>IFERROR(VLOOKUP(B179,#REF!,8,0),"n/a")</f>
        <v>n/a</v>
      </c>
      <c r="Y179" s="87" t="str">
        <f t="shared" ref="Y179:Y182" si="46">$F$2</f>
        <v>ESTR</v>
      </c>
      <c r="Z179" s="131" t="s">
        <v>1605</v>
      </c>
      <c r="AA179" s="227" t="e">
        <f>VLOOKUP(Table1[[#This Row],[CONCAT]],'Campos Resumo Prop2.0'!A:H,8,0)</f>
        <v>#N/A</v>
      </c>
      <c r="AB179" s="87" t="s">
        <v>1654</v>
      </c>
      <c r="AC179" s="135" t="s">
        <v>1625</v>
      </c>
      <c r="AD179" s="91">
        <f>INDEX(Auxiliar!$D$5:$I$10,MATCH('LISTA - Setembro2024'!AD$3,Auxiliar!$B$5:$B$10,0),MATCH('LISTA - Setembro2024'!$AC179,Auxiliar!$D$4:$I$4,0))</f>
        <v>0</v>
      </c>
      <c r="AE179" s="91">
        <f>INDEX(Auxiliar!$D$5:$I$10,MATCH('LISTA - Setembro2024'!AE$3,Auxiliar!$B$5:$B$10,0),MATCH('LISTA - Setembro2024'!$AC179,Auxiliar!$D$4:$I$4,0))</f>
        <v>0</v>
      </c>
      <c r="AF179" s="87">
        <f>INDEX(Auxiliar!$D$5:$I$10,MATCH('LISTA - Setembro2024'!AF$3,Auxiliar!$B$5:$B$10,0),MATCH('LISTA - Setembro2024'!$AC179,Auxiliar!$D$4:$I$4,0))</f>
        <v>0</v>
      </c>
      <c r="AG179" s="87" t="str">
        <f t="shared" si="39"/>
        <v>n.a.</v>
      </c>
      <c r="AH179" s="87">
        <f>INDEX(Auxiliar!$D$5:$I$10,MATCH('LISTA - Setembro2024'!AH$3,Auxiliar!$B$5:$B$10,0),MATCH('LISTA - Setembro2024'!$AG179,Auxiliar!$D$4:$I$4,0))</f>
        <v>0</v>
      </c>
      <c r="AI179" s="87">
        <f>INDEX(Auxiliar!$D$5:$I$10,MATCH('LISTA - Setembro2024'!AI$3,Auxiliar!$B$5:$B$10,0),MATCH('LISTA - Setembro2024'!$AC179,Auxiliar!$D$4:$I$4,0))</f>
        <v>0</v>
      </c>
      <c r="AJ179" s="87">
        <f>INDEX(Auxiliar!$D$5:$I$10,MATCH('LISTA - Setembro2024'!AJ$3,Auxiliar!$B$5:$B$10,0),MATCH('LISTA - Setembro2024'!$AC179,Auxiliar!$D$4:$I$4,0))</f>
        <v>0</v>
      </c>
      <c r="AK179" s="160">
        <f t="shared" si="42"/>
        <v>0</v>
      </c>
      <c r="AL179" s="87"/>
    </row>
    <row r="180" spans="1:38" s="20" customFormat="1" ht="13.8" x14ac:dyDescent="0.25">
      <c r="A180" s="158" t="s">
        <v>421</v>
      </c>
      <c r="B180" s="81" t="str">
        <f t="shared" si="41"/>
        <v>INSTRUMENT_SME_FNRP18</v>
      </c>
      <c r="C180" s="82" t="s">
        <v>414</v>
      </c>
      <c r="D180" s="83" t="s">
        <v>422</v>
      </c>
      <c r="E180" s="84" t="s">
        <v>423</v>
      </c>
      <c r="F180" s="85" t="s">
        <v>13</v>
      </c>
      <c r="G180" s="85" t="s">
        <v>11</v>
      </c>
      <c r="H180" s="85" t="s">
        <v>11</v>
      </c>
      <c r="I180" s="85" t="s">
        <v>11</v>
      </c>
      <c r="J180" s="85" t="s">
        <v>11</v>
      </c>
      <c r="K180" s="85" t="s">
        <v>11</v>
      </c>
      <c r="L180" s="86" t="str">
        <f>IFERROR(VLOOKUP($B180,'LISTA - Atual'!$B$1:$I$444,5,0),"Novo")</f>
        <v>Y</v>
      </c>
      <c r="M180" s="86" t="str">
        <f t="shared" si="34"/>
        <v>Igual</v>
      </c>
      <c r="N180" s="86" t="str">
        <f>IFERROR(VLOOKUP($B180,'LISTA - Atual'!$B$1:$I$444,6,0),"Novo")</f>
        <v>N</v>
      </c>
      <c r="O180" s="86" t="str">
        <f t="shared" si="35"/>
        <v>Igual</v>
      </c>
      <c r="P180" s="86" t="str">
        <f>IFERROR(VLOOKUP($B180,'LISTA - Atual'!$B$1:$I$444,7,0),"Novo")</f>
        <v>N</v>
      </c>
      <c r="Q180" s="86" t="str">
        <f t="shared" si="36"/>
        <v>Igual</v>
      </c>
      <c r="R180" s="86" t="s">
        <v>1563</v>
      </c>
      <c r="S180" s="86" t="str">
        <f>IFERROR(VLOOKUP($B180,'LISTA - Atual'!$B$1:$I$444,8,0),"Novo")</f>
        <v>N</v>
      </c>
      <c r="T180" s="86" t="str">
        <f t="shared" si="37"/>
        <v>Igual</v>
      </c>
      <c r="U180" s="86" t="s">
        <v>1563</v>
      </c>
      <c r="V180" s="86" t="s">
        <v>11</v>
      </c>
      <c r="W180" s="87" t="str">
        <f>IFERROR(VLOOKUP(B180,#REF!,11,0),"n/a")</f>
        <v>n/a</v>
      </c>
      <c r="X180" s="87" t="str">
        <f>IFERROR(VLOOKUP(B180,#REF!,8,0),"n/a")</f>
        <v>n/a</v>
      </c>
      <c r="Y180" s="87" t="str">
        <f t="shared" si="46"/>
        <v>ESTR</v>
      </c>
      <c r="Z180" s="131" t="s">
        <v>1605</v>
      </c>
      <c r="AA180" s="227" t="e">
        <f>VLOOKUP(Table1[[#This Row],[CONCAT]],'Campos Resumo Prop2.0'!A:H,8,0)</f>
        <v>#N/A</v>
      </c>
      <c r="AB180" s="87" t="s">
        <v>1654</v>
      </c>
      <c r="AC180" s="135" t="s">
        <v>1625</v>
      </c>
      <c r="AD180" s="91">
        <f>INDEX(Auxiliar!$D$5:$I$10,MATCH('LISTA - Setembro2024'!AD$3,Auxiliar!$B$5:$B$10,0),MATCH('LISTA - Setembro2024'!$AC180,Auxiliar!$D$4:$I$4,0))</f>
        <v>0</v>
      </c>
      <c r="AE180" s="91">
        <f>INDEX(Auxiliar!$D$5:$I$10,MATCH('LISTA - Setembro2024'!AE$3,Auxiliar!$B$5:$B$10,0),MATCH('LISTA - Setembro2024'!$AC180,Auxiliar!$D$4:$I$4,0))</f>
        <v>0</v>
      </c>
      <c r="AF180" s="87">
        <f>INDEX(Auxiliar!$D$5:$I$10,MATCH('LISTA - Setembro2024'!AF$3,Auxiliar!$B$5:$B$10,0),MATCH('LISTA - Setembro2024'!$AC180,Auxiliar!$D$4:$I$4,0))</f>
        <v>0</v>
      </c>
      <c r="AG180" s="87" t="str">
        <f t="shared" si="39"/>
        <v>n.a.</v>
      </c>
      <c r="AH180" s="87">
        <f>INDEX(Auxiliar!$D$5:$I$10,MATCH('LISTA - Setembro2024'!AH$3,Auxiliar!$B$5:$B$10,0),MATCH('LISTA - Setembro2024'!$AG180,Auxiliar!$D$4:$I$4,0))</f>
        <v>0</v>
      </c>
      <c r="AI180" s="87">
        <f>INDEX(Auxiliar!$D$5:$I$10,MATCH('LISTA - Setembro2024'!AI$3,Auxiliar!$B$5:$B$10,0),MATCH('LISTA - Setembro2024'!$AC180,Auxiliar!$D$4:$I$4,0))</f>
        <v>0</v>
      </c>
      <c r="AJ180" s="87">
        <f>INDEX(Auxiliar!$D$5:$I$10,MATCH('LISTA - Setembro2024'!AJ$3,Auxiliar!$B$5:$B$10,0),MATCH('LISTA - Setembro2024'!$AC180,Auxiliar!$D$4:$I$4,0))</f>
        <v>0</v>
      </c>
      <c r="AK180" s="160">
        <f t="shared" si="42"/>
        <v>0</v>
      </c>
      <c r="AL180" s="161"/>
    </row>
    <row r="181" spans="1:38" ht="13.8" x14ac:dyDescent="0.25">
      <c r="A181" s="158" t="s">
        <v>424</v>
      </c>
      <c r="B181" s="81" t="str">
        <f t="shared" si="41"/>
        <v>INSTRUMENT_RRE_FNRP18</v>
      </c>
      <c r="C181" s="82" t="s">
        <v>414</v>
      </c>
      <c r="D181" s="83" t="s">
        <v>425</v>
      </c>
      <c r="E181" s="84" t="s">
        <v>426</v>
      </c>
      <c r="F181" s="85" t="s">
        <v>13</v>
      </c>
      <c r="G181" s="85" t="s">
        <v>11</v>
      </c>
      <c r="H181" s="85" t="s">
        <v>11</v>
      </c>
      <c r="I181" s="85" t="s">
        <v>11</v>
      </c>
      <c r="J181" s="85" t="s">
        <v>11</v>
      </c>
      <c r="K181" s="85" t="s">
        <v>11</v>
      </c>
      <c r="L181" s="86" t="str">
        <f>IFERROR(VLOOKUP($B181,'LISTA - Atual'!$B$1:$I$444,5,0),"Novo")</f>
        <v>Y</v>
      </c>
      <c r="M181" s="86" t="str">
        <f t="shared" si="34"/>
        <v>Igual</v>
      </c>
      <c r="N181" s="86" t="str">
        <f>IFERROR(VLOOKUP($B181,'LISTA - Atual'!$B$1:$I$444,6,0),"Novo")</f>
        <v>N</v>
      </c>
      <c r="O181" s="86" t="str">
        <f t="shared" si="35"/>
        <v>Igual</v>
      </c>
      <c r="P181" s="86" t="str">
        <f>IFERROR(VLOOKUP($B181,'LISTA - Atual'!$B$1:$I$444,7,0),"Novo")</f>
        <v>N</v>
      </c>
      <c r="Q181" s="86" t="str">
        <f t="shared" si="36"/>
        <v>Igual</v>
      </c>
      <c r="R181" s="86" t="s">
        <v>1563</v>
      </c>
      <c r="S181" s="86" t="str">
        <f>IFERROR(VLOOKUP($B181,'LISTA - Atual'!$B$1:$I$444,8,0),"Novo")</f>
        <v>N</v>
      </c>
      <c r="T181" s="86" t="str">
        <f t="shared" si="37"/>
        <v>Igual</v>
      </c>
      <c r="U181" s="86" t="s">
        <v>1563</v>
      </c>
      <c r="V181" s="86" t="s">
        <v>11</v>
      </c>
      <c r="W181" s="87" t="str">
        <f>IFERROR(VLOOKUP(B181,#REF!,11,0),"n/a")</f>
        <v>n/a</v>
      </c>
      <c r="X181" s="87" t="str">
        <f>IFERROR(VLOOKUP(B181,#REF!,8,0),"n/a")</f>
        <v>n/a</v>
      </c>
      <c r="Y181" s="87" t="str">
        <f t="shared" si="46"/>
        <v>ESTR</v>
      </c>
      <c r="Z181" s="131" t="s">
        <v>1605</v>
      </c>
      <c r="AA181" s="227" t="e">
        <f>VLOOKUP(Table1[[#This Row],[CONCAT]],'Campos Resumo Prop2.0'!A:H,8,0)</f>
        <v>#N/A</v>
      </c>
      <c r="AB181" s="87" t="s">
        <v>1654</v>
      </c>
      <c r="AC181" s="135" t="s">
        <v>1625</v>
      </c>
      <c r="AD181" s="91">
        <f>INDEX(Auxiliar!$D$5:$I$10,MATCH('LISTA - Setembro2024'!AD$3,Auxiliar!$B$5:$B$10,0),MATCH('LISTA - Setembro2024'!$AC181,Auxiliar!$D$4:$I$4,0))</f>
        <v>0</v>
      </c>
      <c r="AE181" s="91">
        <f>INDEX(Auxiliar!$D$5:$I$10,MATCH('LISTA - Setembro2024'!AE$3,Auxiliar!$B$5:$B$10,0),MATCH('LISTA - Setembro2024'!$AC181,Auxiliar!$D$4:$I$4,0))</f>
        <v>0</v>
      </c>
      <c r="AF181" s="87">
        <f>INDEX(Auxiliar!$D$5:$I$10,MATCH('LISTA - Setembro2024'!AF$3,Auxiliar!$B$5:$B$10,0),MATCH('LISTA - Setembro2024'!$AC181,Auxiliar!$D$4:$I$4,0))</f>
        <v>0</v>
      </c>
      <c r="AG181" s="87" t="str">
        <f t="shared" si="39"/>
        <v>n.a.</v>
      </c>
      <c r="AH181" s="87">
        <f>INDEX(Auxiliar!$D$5:$I$10,MATCH('LISTA - Setembro2024'!AH$3,Auxiliar!$B$5:$B$10,0),MATCH('LISTA - Setembro2024'!$AG181,Auxiliar!$D$4:$I$4,0))</f>
        <v>0</v>
      </c>
      <c r="AI181" s="87">
        <f>INDEX(Auxiliar!$D$5:$I$10,MATCH('LISTA - Setembro2024'!AI$3,Auxiliar!$B$5:$B$10,0),MATCH('LISTA - Setembro2024'!$AC181,Auxiliar!$D$4:$I$4,0))</f>
        <v>0</v>
      </c>
      <c r="AJ181" s="87">
        <f>INDEX(Auxiliar!$D$5:$I$10,MATCH('LISTA - Setembro2024'!AJ$3,Auxiliar!$B$5:$B$10,0),MATCH('LISTA - Setembro2024'!$AC181,Auxiliar!$D$4:$I$4,0))</f>
        <v>0</v>
      </c>
      <c r="AK181" s="160">
        <f t="shared" si="42"/>
        <v>0</v>
      </c>
      <c r="AL181" s="87"/>
    </row>
    <row r="182" spans="1:38" ht="13.8" x14ac:dyDescent="0.25">
      <c r="A182" s="158" t="s">
        <v>427</v>
      </c>
      <c r="B182" s="81" t="str">
        <f t="shared" si="41"/>
        <v>INSTRUMENT_CNSMPTN_FNRP18</v>
      </c>
      <c r="C182" s="82" t="s">
        <v>414</v>
      </c>
      <c r="D182" s="83" t="s">
        <v>428</v>
      </c>
      <c r="E182" s="84" t="s">
        <v>429</v>
      </c>
      <c r="F182" s="85" t="s">
        <v>13</v>
      </c>
      <c r="G182" s="85" t="s">
        <v>11</v>
      </c>
      <c r="H182" s="85" t="s">
        <v>11</v>
      </c>
      <c r="I182" s="85" t="s">
        <v>11</v>
      </c>
      <c r="J182" s="85" t="s">
        <v>11</v>
      </c>
      <c r="K182" s="85" t="s">
        <v>11</v>
      </c>
      <c r="L182" s="86" t="str">
        <f>IFERROR(VLOOKUP($B182,'LISTA - Atual'!$B$1:$I$444,5,0),"Novo")</f>
        <v>Y</v>
      </c>
      <c r="M182" s="86" t="str">
        <f t="shared" si="34"/>
        <v>Igual</v>
      </c>
      <c r="N182" s="86" t="str">
        <f>IFERROR(VLOOKUP($B182,'LISTA - Atual'!$B$1:$I$444,6,0),"Novo")</f>
        <v>N</v>
      </c>
      <c r="O182" s="86" t="str">
        <f t="shared" si="35"/>
        <v>Igual</v>
      </c>
      <c r="P182" s="86" t="str">
        <f>IFERROR(VLOOKUP($B182,'LISTA - Atual'!$B$1:$I$444,7,0),"Novo")</f>
        <v>N</v>
      </c>
      <c r="Q182" s="86" t="str">
        <f t="shared" si="36"/>
        <v>Igual</v>
      </c>
      <c r="R182" s="86" t="s">
        <v>1563</v>
      </c>
      <c r="S182" s="86" t="str">
        <f>IFERROR(VLOOKUP($B182,'LISTA - Atual'!$B$1:$I$444,8,0),"Novo")</f>
        <v>N</v>
      </c>
      <c r="T182" s="86" t="str">
        <f t="shared" si="37"/>
        <v>Igual</v>
      </c>
      <c r="U182" s="86" t="s">
        <v>1563</v>
      </c>
      <c r="V182" s="86" t="s">
        <v>11</v>
      </c>
      <c r="W182" s="87" t="str">
        <f>IFERROR(VLOOKUP(B182,#REF!,11,0),"n/a")</f>
        <v>n/a</v>
      </c>
      <c r="X182" s="87" t="str">
        <f>IFERROR(VLOOKUP(B182,#REF!,8,0),"n/a")</f>
        <v>n/a</v>
      </c>
      <c r="Y182" s="87" t="str">
        <f t="shared" si="46"/>
        <v>ESTR</v>
      </c>
      <c r="Z182" s="131" t="s">
        <v>1605</v>
      </c>
      <c r="AA182" s="227" t="e">
        <f>VLOOKUP(Table1[[#This Row],[CONCAT]],'Campos Resumo Prop2.0'!A:H,8,0)</f>
        <v>#N/A</v>
      </c>
      <c r="AB182" s="87" t="s">
        <v>1654</v>
      </c>
      <c r="AC182" s="135" t="s">
        <v>1625</v>
      </c>
      <c r="AD182" s="91">
        <f>INDEX(Auxiliar!$D$5:$I$10,MATCH('LISTA - Setembro2024'!AD$3,Auxiliar!$B$5:$B$10,0),MATCH('LISTA - Setembro2024'!$AC182,Auxiliar!$D$4:$I$4,0))</f>
        <v>0</v>
      </c>
      <c r="AE182" s="91">
        <f>INDEX(Auxiliar!$D$5:$I$10,MATCH('LISTA - Setembro2024'!AE$3,Auxiliar!$B$5:$B$10,0),MATCH('LISTA - Setembro2024'!$AC182,Auxiliar!$D$4:$I$4,0))</f>
        <v>0</v>
      </c>
      <c r="AF182" s="87">
        <f>INDEX(Auxiliar!$D$5:$I$10,MATCH('LISTA - Setembro2024'!AF$3,Auxiliar!$B$5:$B$10,0),MATCH('LISTA - Setembro2024'!$AC182,Auxiliar!$D$4:$I$4,0))</f>
        <v>0</v>
      </c>
      <c r="AG182" s="87" t="str">
        <f t="shared" si="39"/>
        <v>n.a.</v>
      </c>
      <c r="AH182" s="87">
        <f>INDEX(Auxiliar!$D$5:$I$10,MATCH('LISTA - Setembro2024'!AH$3,Auxiliar!$B$5:$B$10,0),MATCH('LISTA - Setembro2024'!$AG182,Auxiliar!$D$4:$I$4,0))</f>
        <v>0</v>
      </c>
      <c r="AI182" s="87">
        <f>INDEX(Auxiliar!$D$5:$I$10,MATCH('LISTA - Setembro2024'!AI$3,Auxiliar!$B$5:$B$10,0),MATCH('LISTA - Setembro2024'!$AC182,Auxiliar!$D$4:$I$4,0))</f>
        <v>0</v>
      </c>
      <c r="AJ182" s="87">
        <f>INDEX(Auxiliar!$D$5:$I$10,MATCH('LISTA - Setembro2024'!AJ$3,Auxiliar!$B$5:$B$10,0),MATCH('LISTA - Setembro2024'!$AC182,Auxiliar!$D$4:$I$4,0))</f>
        <v>0</v>
      </c>
      <c r="AK182" s="160">
        <f t="shared" si="42"/>
        <v>0</v>
      </c>
      <c r="AL182" s="87"/>
    </row>
    <row r="183" spans="1:38" ht="13.8" x14ac:dyDescent="0.25">
      <c r="A183" s="158" t="s">
        <v>430</v>
      </c>
      <c r="B183" s="81" t="str">
        <f t="shared" si="41"/>
        <v>INSTRUMENT_DT_RFRNC</v>
      </c>
      <c r="C183" s="82" t="s">
        <v>414</v>
      </c>
      <c r="D183" s="83" t="s">
        <v>38</v>
      </c>
      <c r="E183" s="84" t="s">
        <v>402</v>
      </c>
      <c r="F183" s="85" t="s">
        <v>13</v>
      </c>
      <c r="G183" s="85" t="s">
        <v>13</v>
      </c>
      <c r="H183" s="85" t="s">
        <v>13</v>
      </c>
      <c r="I183" s="85" t="s">
        <v>11</v>
      </c>
      <c r="J183" s="85" t="s">
        <v>13</v>
      </c>
      <c r="K183" s="85" t="s">
        <v>13</v>
      </c>
      <c r="L183" s="86" t="str">
        <f>IFERROR(VLOOKUP($B183,'LISTA - Atual'!$B$1:$I$444,5,0),"Novo")</f>
        <v>Y</v>
      </c>
      <c r="M183" s="86" t="str">
        <f t="shared" si="34"/>
        <v>Igual</v>
      </c>
      <c r="N183" s="86" t="str">
        <f>IFERROR(VLOOKUP($B183,'LISTA - Atual'!$B$1:$I$444,6,0),"Novo")</f>
        <v>Y</v>
      </c>
      <c r="O183" s="86" t="str">
        <f t="shared" si="35"/>
        <v>Igual</v>
      </c>
      <c r="P183" s="86" t="str">
        <f>IFERROR(VLOOKUP($B183,'LISTA - Atual'!$B$1:$I$444,7,0),"Novo")</f>
        <v>Y</v>
      </c>
      <c r="Q183" s="86" t="str">
        <f t="shared" si="36"/>
        <v>Igual</v>
      </c>
      <c r="R183" s="86" t="s">
        <v>1563</v>
      </c>
      <c r="S183" s="86" t="str">
        <f>IFERROR(VLOOKUP($B183,'LISTA - Atual'!$B$1:$I$444,8,0),"Novo")</f>
        <v>Y</v>
      </c>
      <c r="T183" s="86" t="str">
        <f t="shared" si="37"/>
        <v>Igual</v>
      </c>
      <c r="U183" s="86" t="s">
        <v>1563</v>
      </c>
      <c r="V183" s="86" t="s">
        <v>11</v>
      </c>
      <c r="W183" s="87" t="str">
        <f>IFERROR(VLOOKUP(B183,#REF!,11,0),"n/a")</f>
        <v>n/a</v>
      </c>
      <c r="X183" s="87" t="str">
        <f>IFERROR(VLOOKUP(B183,#REF!,8,0),"n/a")</f>
        <v>n/a</v>
      </c>
      <c r="Y183" s="87" t="str">
        <f>$F$2&amp;$Y$1&amp;$G$2&amp;$Y$1&amp;$H$2</f>
        <v>ESTR &amp; GD &amp; PILAR3</v>
      </c>
      <c r="Z183" s="131" t="s">
        <v>1605</v>
      </c>
      <c r="AA183" s="227" t="e">
        <f>VLOOKUP(Table1[[#This Row],[CONCAT]],'Campos Resumo Prop2.0'!A:H,8,0)</f>
        <v>#N/A</v>
      </c>
      <c r="AB183" s="87" t="s">
        <v>1651</v>
      </c>
      <c r="AC183" s="135" t="s">
        <v>1625</v>
      </c>
      <c r="AD183" s="91">
        <f>INDEX(Auxiliar!$D$5:$I$10,MATCH('LISTA - Setembro2024'!AD$3,Auxiliar!$B$5:$B$10,0),MATCH('LISTA - Setembro2024'!$AC183,Auxiliar!$D$4:$I$4,0))</f>
        <v>0</v>
      </c>
      <c r="AE183" s="91">
        <f>INDEX(Auxiliar!$D$5:$I$10,MATCH('LISTA - Setembro2024'!AE$3,Auxiliar!$B$5:$B$10,0),MATCH('LISTA - Setembro2024'!$AC183,Auxiliar!$D$4:$I$4,0))</f>
        <v>0</v>
      </c>
      <c r="AF183" s="87">
        <f>INDEX(Auxiliar!$D$5:$I$10,MATCH('LISTA - Setembro2024'!AF$3,Auxiliar!$B$5:$B$10,0),MATCH('LISTA - Setembro2024'!$AC183,Auxiliar!$D$4:$I$4,0))</f>
        <v>0</v>
      </c>
      <c r="AG183" s="87" t="str">
        <f t="shared" si="39"/>
        <v>n.a.</v>
      </c>
      <c r="AH183" s="87">
        <f>INDEX(Auxiliar!$D$5:$I$10,MATCH('LISTA - Setembro2024'!AH$3,Auxiliar!$B$5:$B$10,0),MATCH('LISTA - Setembro2024'!$AG183,Auxiliar!$D$4:$I$4,0))</f>
        <v>0</v>
      </c>
      <c r="AI183" s="87">
        <f>INDEX(Auxiliar!$D$5:$I$10,MATCH('LISTA - Setembro2024'!AI$3,Auxiliar!$B$5:$B$10,0),MATCH('LISTA - Setembro2024'!$AC183,Auxiliar!$D$4:$I$4,0))</f>
        <v>0</v>
      </c>
      <c r="AJ183" s="87">
        <f>INDEX(Auxiliar!$D$5:$I$10,MATCH('LISTA - Setembro2024'!AJ$3,Auxiliar!$B$5:$B$10,0),MATCH('LISTA - Setembro2024'!$AC183,Auxiliar!$D$4:$I$4,0))</f>
        <v>0</v>
      </c>
      <c r="AK183" s="160">
        <f t="shared" si="42"/>
        <v>0</v>
      </c>
      <c r="AL183" s="87"/>
    </row>
    <row r="184" spans="1:38" ht="13.8" x14ac:dyDescent="0.25">
      <c r="A184" s="158" t="s">
        <v>431</v>
      </c>
      <c r="B184" s="81" t="str">
        <f t="shared" si="41"/>
        <v>INSTRUMENT_INSTRMNT_ID</v>
      </c>
      <c r="C184" s="82" t="s">
        <v>414</v>
      </c>
      <c r="D184" s="83" t="s">
        <v>405</v>
      </c>
      <c r="E184" s="84" t="s">
        <v>406</v>
      </c>
      <c r="F184" s="85" t="s">
        <v>13</v>
      </c>
      <c r="G184" s="85" t="s">
        <v>13</v>
      </c>
      <c r="H184" s="85" t="s">
        <v>13</v>
      </c>
      <c r="I184" s="85" t="s">
        <v>11</v>
      </c>
      <c r="J184" s="85" t="s">
        <v>13</v>
      </c>
      <c r="K184" s="85" t="s">
        <v>13</v>
      </c>
      <c r="L184" s="86" t="str">
        <f>IFERROR(VLOOKUP($B184,'LISTA - Atual'!$B$1:$I$444,5,0),"Novo")</f>
        <v>Y</v>
      </c>
      <c r="M184" s="86" t="str">
        <f t="shared" si="34"/>
        <v>Igual</v>
      </c>
      <c r="N184" s="86" t="str">
        <f>IFERROR(VLOOKUP($B184,'LISTA - Atual'!$B$1:$I$444,6,0),"Novo")</f>
        <v>Y</v>
      </c>
      <c r="O184" s="86" t="str">
        <f t="shared" si="35"/>
        <v>Igual</v>
      </c>
      <c r="P184" s="86" t="str">
        <f>IFERROR(VLOOKUP($B184,'LISTA - Atual'!$B$1:$I$444,7,0),"Novo")</f>
        <v>Y</v>
      </c>
      <c r="Q184" s="86" t="str">
        <f t="shared" si="36"/>
        <v>Igual</v>
      </c>
      <c r="R184" s="86" t="s">
        <v>1563</v>
      </c>
      <c r="S184" s="86" t="str">
        <f>IFERROR(VLOOKUP($B184,'LISTA - Atual'!$B$1:$I$444,8,0),"Novo")</f>
        <v>Y</v>
      </c>
      <c r="T184" s="86" t="str">
        <f t="shared" si="37"/>
        <v>Igual</v>
      </c>
      <c r="U184" s="86" t="s">
        <v>1563</v>
      </c>
      <c r="V184" s="86" t="s">
        <v>11</v>
      </c>
      <c r="W184" s="87" t="str">
        <f>IFERROR(VLOOKUP(B184,#REF!,11,0),"n/a")</f>
        <v>n/a</v>
      </c>
      <c r="X184" s="87" t="str">
        <f>IFERROR(VLOOKUP(B184,#REF!,8,0),"n/a")</f>
        <v>n/a</v>
      </c>
      <c r="Y184" s="87" t="str">
        <f>$F$2&amp;$Y$1&amp;$G$2&amp;$Y$1&amp;$H$2</f>
        <v>ESTR &amp; GD &amp; PILAR3</v>
      </c>
      <c r="Z184" s="131" t="s">
        <v>1605</v>
      </c>
      <c r="AA184" s="227" t="e">
        <f>VLOOKUP(Table1[[#This Row],[CONCAT]],'Campos Resumo Prop2.0'!A:H,8,0)</f>
        <v>#N/A</v>
      </c>
      <c r="AB184" s="87" t="s">
        <v>1659</v>
      </c>
      <c r="AC184" s="135" t="s">
        <v>1625</v>
      </c>
      <c r="AD184" s="91">
        <f>INDEX(Auxiliar!$D$5:$I$10,MATCH('LISTA - Setembro2024'!AD$3,Auxiliar!$B$5:$B$10,0),MATCH('LISTA - Setembro2024'!$AC184,Auxiliar!$D$4:$I$4,0))</f>
        <v>0</v>
      </c>
      <c r="AE184" s="91">
        <f>INDEX(Auxiliar!$D$5:$I$10,MATCH('LISTA - Setembro2024'!AE$3,Auxiliar!$B$5:$B$10,0),MATCH('LISTA - Setembro2024'!$AC184,Auxiliar!$D$4:$I$4,0))</f>
        <v>0</v>
      </c>
      <c r="AF184" s="87">
        <f>INDEX(Auxiliar!$D$5:$I$10,MATCH('LISTA - Setembro2024'!AF$3,Auxiliar!$B$5:$B$10,0),MATCH('LISTA - Setembro2024'!$AC184,Auxiliar!$D$4:$I$4,0))</f>
        <v>0</v>
      </c>
      <c r="AG184" s="87" t="str">
        <f t="shared" si="39"/>
        <v>n.a.</v>
      </c>
      <c r="AH184" s="87">
        <f>INDEX(Auxiliar!$D$5:$I$10,MATCH('LISTA - Setembro2024'!AH$3,Auxiliar!$B$5:$B$10,0),MATCH('LISTA - Setembro2024'!$AG184,Auxiliar!$D$4:$I$4,0))</f>
        <v>0</v>
      </c>
      <c r="AI184" s="87">
        <f>INDEX(Auxiliar!$D$5:$I$10,MATCH('LISTA - Setembro2024'!AI$3,Auxiliar!$B$5:$B$10,0),MATCH('LISTA - Setembro2024'!$AC184,Auxiliar!$D$4:$I$4,0))</f>
        <v>0</v>
      </c>
      <c r="AJ184" s="87">
        <f>INDEX(Auxiliar!$D$5:$I$10,MATCH('LISTA - Setembro2024'!AJ$3,Auxiliar!$B$5:$B$10,0),MATCH('LISTA - Setembro2024'!$AC184,Auxiliar!$D$4:$I$4,0))</f>
        <v>0</v>
      </c>
      <c r="AK184" s="160">
        <f t="shared" si="42"/>
        <v>0</v>
      </c>
      <c r="AL184" s="87"/>
    </row>
    <row r="185" spans="1:38" ht="13.8" x14ac:dyDescent="0.25">
      <c r="A185" s="158" t="s">
        <v>432</v>
      </c>
      <c r="B185" s="81" t="str">
        <f t="shared" si="41"/>
        <v>INSTRUMENT_CNTRCT_ID</v>
      </c>
      <c r="C185" s="82" t="s">
        <v>414</v>
      </c>
      <c r="D185" s="83" t="s">
        <v>433</v>
      </c>
      <c r="E185" s="84" t="s">
        <v>434</v>
      </c>
      <c r="F185" s="85" t="s">
        <v>13</v>
      </c>
      <c r="G185" s="85" t="s">
        <v>11</v>
      </c>
      <c r="H185" s="85" t="s">
        <v>11</v>
      </c>
      <c r="I185" s="85" t="s">
        <v>11</v>
      </c>
      <c r="J185" s="85" t="s">
        <v>11</v>
      </c>
      <c r="K185" s="85" t="s">
        <v>11</v>
      </c>
      <c r="L185" s="86" t="str">
        <f>IFERROR(VLOOKUP($B185,'LISTA - Atual'!$B$1:$I$444,5,0),"Novo")</f>
        <v>Y</v>
      </c>
      <c r="M185" s="86" t="str">
        <f t="shared" si="34"/>
        <v>Igual</v>
      </c>
      <c r="N185" s="86" t="str">
        <f>IFERROR(VLOOKUP($B185,'LISTA - Atual'!$B$1:$I$444,6,0),"Novo")</f>
        <v>N</v>
      </c>
      <c r="O185" s="86" t="str">
        <f t="shared" si="35"/>
        <v>Igual</v>
      </c>
      <c r="P185" s="86" t="str">
        <f>IFERROR(VLOOKUP($B185,'LISTA - Atual'!$B$1:$I$444,7,0),"Novo")</f>
        <v>N</v>
      </c>
      <c r="Q185" s="86" t="str">
        <f t="shared" si="36"/>
        <v>Igual</v>
      </c>
      <c r="R185" s="86" t="s">
        <v>1563</v>
      </c>
      <c r="S185" s="86" t="str">
        <f>IFERROR(VLOOKUP($B185,'LISTA - Atual'!$B$1:$I$444,8,0),"Novo")</f>
        <v>N</v>
      </c>
      <c r="T185" s="86" t="str">
        <f t="shared" si="37"/>
        <v>Igual</v>
      </c>
      <c r="U185" s="86" t="s">
        <v>1563</v>
      </c>
      <c r="V185" s="86" t="s">
        <v>11</v>
      </c>
      <c r="W185" s="87" t="str">
        <f>IFERROR(VLOOKUP(B185,#REF!,11,0),"n/a")</f>
        <v>n/a</v>
      </c>
      <c r="X185" s="87" t="str">
        <f>IFERROR(VLOOKUP(B185,#REF!,8,0),"n/a")</f>
        <v>n/a</v>
      </c>
      <c r="Y185" s="87" t="str">
        <f t="shared" ref="Y185:Y186" si="47">$F$2</f>
        <v>ESTR</v>
      </c>
      <c r="Z185" s="131" t="s">
        <v>1605</v>
      </c>
      <c r="AA185" s="227" t="e">
        <f>VLOOKUP(Table1[[#This Row],[CONCAT]],'Campos Resumo Prop2.0'!A:H,8,0)</f>
        <v>#N/A</v>
      </c>
      <c r="AB185" s="87" t="s">
        <v>1659</v>
      </c>
      <c r="AC185" s="135" t="s">
        <v>1625</v>
      </c>
      <c r="AD185" s="91">
        <f>INDEX(Auxiliar!$D$5:$I$10,MATCH('LISTA - Setembro2024'!AD$3,Auxiliar!$B$5:$B$10,0),MATCH('LISTA - Setembro2024'!$AC185,Auxiliar!$D$4:$I$4,0))</f>
        <v>0</v>
      </c>
      <c r="AE185" s="91">
        <f>INDEX(Auxiliar!$D$5:$I$10,MATCH('LISTA - Setembro2024'!AE$3,Auxiliar!$B$5:$B$10,0),MATCH('LISTA - Setembro2024'!$AC185,Auxiliar!$D$4:$I$4,0))</f>
        <v>0</v>
      </c>
      <c r="AF185" s="87">
        <f>INDEX(Auxiliar!$D$5:$I$10,MATCH('LISTA - Setembro2024'!AF$3,Auxiliar!$B$5:$B$10,0),MATCH('LISTA - Setembro2024'!$AC185,Auxiliar!$D$4:$I$4,0))</f>
        <v>0</v>
      </c>
      <c r="AG185" s="87" t="str">
        <f t="shared" si="39"/>
        <v>n.a.</v>
      </c>
      <c r="AH185" s="87">
        <f>INDEX(Auxiliar!$D$5:$I$10,MATCH('LISTA - Setembro2024'!AH$3,Auxiliar!$B$5:$B$10,0),MATCH('LISTA - Setembro2024'!$AG185,Auxiliar!$D$4:$I$4,0))</f>
        <v>0</v>
      </c>
      <c r="AI185" s="87">
        <f>INDEX(Auxiliar!$D$5:$I$10,MATCH('LISTA - Setembro2024'!AI$3,Auxiliar!$B$5:$B$10,0),MATCH('LISTA - Setembro2024'!$AC185,Auxiliar!$D$4:$I$4,0))</f>
        <v>0</v>
      </c>
      <c r="AJ185" s="87">
        <f>INDEX(Auxiliar!$D$5:$I$10,MATCH('LISTA - Setembro2024'!AJ$3,Auxiliar!$B$5:$B$10,0),MATCH('LISTA - Setembro2024'!$AC185,Auxiliar!$D$4:$I$4,0))</f>
        <v>0</v>
      </c>
      <c r="AK185" s="160">
        <f t="shared" si="42"/>
        <v>0</v>
      </c>
      <c r="AL185" s="87"/>
    </row>
    <row r="186" spans="1:38" ht="13.8" x14ac:dyDescent="0.25">
      <c r="A186" s="158" t="s">
        <v>435</v>
      </c>
      <c r="B186" s="81" t="str">
        <f t="shared" si="41"/>
        <v>INSTRUMENT_CRRNCY_DNMNTN</v>
      </c>
      <c r="C186" s="82" t="s">
        <v>414</v>
      </c>
      <c r="D186" s="83" t="s">
        <v>436</v>
      </c>
      <c r="E186" s="84" t="s">
        <v>437</v>
      </c>
      <c r="F186" s="85" t="s">
        <v>13</v>
      </c>
      <c r="G186" s="85" t="s">
        <v>11</v>
      </c>
      <c r="H186" s="85" t="s">
        <v>11</v>
      </c>
      <c r="I186" s="85" t="s">
        <v>11</v>
      </c>
      <c r="J186" s="85" t="s">
        <v>11</v>
      </c>
      <c r="K186" s="85" t="s">
        <v>13</v>
      </c>
      <c r="L186" s="86" t="str">
        <f>IFERROR(VLOOKUP($B186,'LISTA - Atual'!$B$1:$I$444,5,0),"Novo")</f>
        <v>Y</v>
      </c>
      <c r="M186" s="86" t="str">
        <f t="shared" si="34"/>
        <v>Igual</v>
      </c>
      <c r="N186" s="86" t="str">
        <f>IFERROR(VLOOKUP($B186,'LISTA - Atual'!$B$1:$I$444,6,0),"Novo")</f>
        <v>N</v>
      </c>
      <c r="O186" s="86" t="str">
        <f t="shared" si="35"/>
        <v>Igual</v>
      </c>
      <c r="P186" s="86" t="str">
        <f>IFERROR(VLOOKUP($B186,'LISTA - Atual'!$B$1:$I$444,7,0),"Novo")</f>
        <v>N</v>
      </c>
      <c r="Q186" s="86" t="str">
        <f t="shared" si="36"/>
        <v>Igual</v>
      </c>
      <c r="R186" s="86" t="s">
        <v>1563</v>
      </c>
      <c r="S186" s="86" t="str">
        <f>IFERROR(VLOOKUP($B186,'LISTA - Atual'!$B$1:$I$444,8,0),"Novo")</f>
        <v>N</v>
      </c>
      <c r="T186" s="86" t="str">
        <f t="shared" si="37"/>
        <v>Igual</v>
      </c>
      <c r="U186" s="86" t="s">
        <v>1563</v>
      </c>
      <c r="V186" s="86" t="s">
        <v>11</v>
      </c>
      <c r="W186" s="87" t="str">
        <f>IFERROR(VLOOKUP(B186,#REF!,11,0),"n/a")</f>
        <v>n/a</v>
      </c>
      <c r="X186" s="87" t="str">
        <f>IFERROR(VLOOKUP(B186,#REF!,8,0),"n/a")</f>
        <v>n/a</v>
      </c>
      <c r="Y186" s="87" t="str">
        <f t="shared" si="47"/>
        <v>ESTR</v>
      </c>
      <c r="Z186" s="131" t="s">
        <v>1605</v>
      </c>
      <c r="AA186" s="227" t="e">
        <f>VLOOKUP(Table1[[#This Row],[CONCAT]],'Campos Resumo Prop2.0'!A:H,8,0)</f>
        <v>#N/A</v>
      </c>
      <c r="AB186" s="87" t="s">
        <v>1650</v>
      </c>
      <c r="AC186" s="135" t="s">
        <v>1625</v>
      </c>
      <c r="AD186" s="91">
        <f>INDEX(Auxiliar!$D$5:$I$10,MATCH('LISTA - Setembro2024'!AD$3,Auxiliar!$B$5:$B$10,0),MATCH('LISTA - Setembro2024'!$AC186,Auxiliar!$D$4:$I$4,0))</f>
        <v>0</v>
      </c>
      <c r="AE186" s="91">
        <f>INDEX(Auxiliar!$D$5:$I$10,MATCH('LISTA - Setembro2024'!AE$3,Auxiliar!$B$5:$B$10,0),MATCH('LISTA - Setembro2024'!$AC186,Auxiliar!$D$4:$I$4,0))</f>
        <v>0</v>
      </c>
      <c r="AF186" s="87">
        <f>INDEX(Auxiliar!$D$5:$I$10,MATCH('LISTA - Setembro2024'!AF$3,Auxiliar!$B$5:$B$10,0),MATCH('LISTA - Setembro2024'!$AC186,Auxiliar!$D$4:$I$4,0))</f>
        <v>0</v>
      </c>
      <c r="AG186" s="87" t="str">
        <f t="shared" si="39"/>
        <v>n.a.</v>
      </c>
      <c r="AH186" s="87">
        <f>INDEX(Auxiliar!$D$5:$I$10,MATCH('LISTA - Setembro2024'!AH$3,Auxiliar!$B$5:$B$10,0),MATCH('LISTA - Setembro2024'!$AG186,Auxiliar!$D$4:$I$4,0))</f>
        <v>0</v>
      </c>
      <c r="AI186" s="87">
        <f>INDEX(Auxiliar!$D$5:$I$10,MATCH('LISTA - Setembro2024'!AI$3,Auxiliar!$B$5:$B$10,0),MATCH('LISTA - Setembro2024'!$AC186,Auxiliar!$D$4:$I$4,0))</f>
        <v>0</v>
      </c>
      <c r="AJ186" s="87">
        <f>INDEX(Auxiliar!$D$5:$I$10,MATCH('LISTA - Setembro2024'!AJ$3,Auxiliar!$B$5:$B$10,0),MATCH('LISTA - Setembro2024'!$AC186,Auxiliar!$D$4:$I$4,0))</f>
        <v>0</v>
      </c>
      <c r="AK186" s="160">
        <f t="shared" si="42"/>
        <v>0</v>
      </c>
      <c r="AL186" s="87"/>
    </row>
    <row r="187" spans="1:38" ht="13.8" x14ac:dyDescent="0.25">
      <c r="A187" s="158" t="s">
        <v>438</v>
      </c>
      <c r="B187" s="81" t="str">
        <f t="shared" si="41"/>
        <v>INSTRUMENT_DT_INCPTN</v>
      </c>
      <c r="C187" s="82" t="s">
        <v>414</v>
      </c>
      <c r="D187" s="83" t="s">
        <v>439</v>
      </c>
      <c r="E187" s="84" t="s">
        <v>440</v>
      </c>
      <c r="F187" s="85" t="s">
        <v>13</v>
      </c>
      <c r="G187" s="85" t="s">
        <v>11</v>
      </c>
      <c r="H187" s="85" t="s">
        <v>13</v>
      </c>
      <c r="I187" s="85" t="s">
        <v>11</v>
      </c>
      <c r="J187" s="85" t="s">
        <v>11</v>
      </c>
      <c r="K187" s="85" t="s">
        <v>13</v>
      </c>
      <c r="L187" s="86" t="str">
        <f>IFERROR(VLOOKUP($B187,'LISTA - Atual'!$B$1:$I$444,5,0),"Novo")</f>
        <v>Y</v>
      </c>
      <c r="M187" s="86" t="str">
        <f t="shared" si="34"/>
        <v>Igual</v>
      </c>
      <c r="N187" s="86" t="str">
        <f>IFERROR(VLOOKUP($B187,'LISTA - Atual'!$B$1:$I$444,6,0),"Novo")</f>
        <v>N</v>
      </c>
      <c r="O187" s="86" t="str">
        <f t="shared" si="35"/>
        <v>Igual</v>
      </c>
      <c r="P187" s="86" t="str">
        <f>IFERROR(VLOOKUP($B187,'LISTA - Atual'!$B$1:$I$444,7,0),"Novo")</f>
        <v>Y</v>
      </c>
      <c r="Q187" s="86" t="str">
        <f t="shared" si="36"/>
        <v>Igual</v>
      </c>
      <c r="R187" s="86" t="s">
        <v>1563</v>
      </c>
      <c r="S187" s="86" t="str">
        <f>IFERROR(VLOOKUP($B187,'LISTA - Atual'!$B$1:$I$444,8,0),"Novo")</f>
        <v>N</v>
      </c>
      <c r="T187" s="86" t="str">
        <f t="shared" si="37"/>
        <v>Igual</v>
      </c>
      <c r="U187" s="86" t="s">
        <v>1563</v>
      </c>
      <c r="V187" s="86" t="s">
        <v>11</v>
      </c>
      <c r="W187" s="87" t="str">
        <f>IFERROR(VLOOKUP(B187,#REF!,11,0),"n/a")</f>
        <v>n/a</v>
      </c>
      <c r="X187" s="87" t="str">
        <f>IFERROR(VLOOKUP(B187,#REF!,8,0),"n/a")</f>
        <v>n/a</v>
      </c>
      <c r="Y187" s="87" t="str">
        <f>$F$2&amp;$Y$1&amp;$H$2</f>
        <v>ESTR &amp; PILAR3</v>
      </c>
      <c r="Z187" s="131" t="s">
        <v>1605</v>
      </c>
      <c r="AA187" s="227" t="e">
        <f>VLOOKUP(Table1[[#This Row],[CONCAT]],'Campos Resumo Prop2.0'!A:H,8,0)</f>
        <v>#N/A</v>
      </c>
      <c r="AB187" s="87" t="s">
        <v>1651</v>
      </c>
      <c r="AC187" s="135" t="s">
        <v>1625</v>
      </c>
      <c r="AD187" s="91">
        <f>INDEX(Auxiliar!$D$5:$I$10,MATCH('LISTA - Setembro2024'!AD$3,Auxiliar!$B$5:$B$10,0),MATCH('LISTA - Setembro2024'!$AC187,Auxiliar!$D$4:$I$4,0))</f>
        <v>0</v>
      </c>
      <c r="AE187" s="91">
        <f>INDEX(Auxiliar!$D$5:$I$10,MATCH('LISTA - Setembro2024'!AE$3,Auxiliar!$B$5:$B$10,0),MATCH('LISTA - Setembro2024'!$AC187,Auxiliar!$D$4:$I$4,0))</f>
        <v>0</v>
      </c>
      <c r="AF187" s="87">
        <f>INDEX(Auxiliar!$D$5:$I$10,MATCH('LISTA - Setembro2024'!AF$3,Auxiliar!$B$5:$B$10,0),MATCH('LISTA - Setembro2024'!$AC187,Auxiliar!$D$4:$I$4,0))</f>
        <v>0</v>
      </c>
      <c r="AG187" s="87" t="str">
        <f t="shared" si="39"/>
        <v>n.a.</v>
      </c>
      <c r="AH187" s="87">
        <f>INDEX(Auxiliar!$D$5:$I$10,MATCH('LISTA - Setembro2024'!AH$3,Auxiliar!$B$5:$B$10,0),MATCH('LISTA - Setembro2024'!$AG187,Auxiliar!$D$4:$I$4,0))</f>
        <v>0</v>
      </c>
      <c r="AI187" s="87">
        <f>INDEX(Auxiliar!$D$5:$I$10,MATCH('LISTA - Setembro2024'!AI$3,Auxiliar!$B$5:$B$10,0),MATCH('LISTA - Setembro2024'!$AC187,Auxiliar!$D$4:$I$4,0))</f>
        <v>0</v>
      </c>
      <c r="AJ187" s="87">
        <f>INDEX(Auxiliar!$D$5:$I$10,MATCH('LISTA - Setembro2024'!AJ$3,Auxiliar!$B$5:$B$10,0),MATCH('LISTA - Setembro2024'!$AC187,Auxiliar!$D$4:$I$4,0))</f>
        <v>0</v>
      </c>
      <c r="AK187" s="160">
        <f t="shared" si="42"/>
        <v>0</v>
      </c>
      <c r="AL187" s="87"/>
    </row>
    <row r="188" spans="1:38" ht="13.8" x14ac:dyDescent="0.25">
      <c r="A188" s="158" t="s">
        <v>441</v>
      </c>
      <c r="B188" s="81" t="str">
        <f t="shared" si="41"/>
        <v>INSTRUMENT_OBSRVD_AGNT_ID</v>
      </c>
      <c r="C188" s="82" t="s">
        <v>414</v>
      </c>
      <c r="D188" s="83" t="s">
        <v>442</v>
      </c>
      <c r="E188" s="84" t="s">
        <v>443</v>
      </c>
      <c r="F188" s="85" t="s">
        <v>13</v>
      </c>
      <c r="G188" s="85" t="s">
        <v>11</v>
      </c>
      <c r="H188" s="85" t="s">
        <v>11</v>
      </c>
      <c r="I188" s="85" t="s">
        <v>11</v>
      </c>
      <c r="J188" s="85" t="s">
        <v>11</v>
      </c>
      <c r="K188" s="85" t="s">
        <v>13</v>
      </c>
      <c r="L188" s="86" t="str">
        <f>IFERROR(VLOOKUP($B188,'LISTA - Atual'!$B$1:$I$444,5,0),"Novo")</f>
        <v>Y</v>
      </c>
      <c r="M188" s="86" t="str">
        <f t="shared" si="34"/>
        <v>Igual</v>
      </c>
      <c r="N188" s="86" t="str">
        <f>IFERROR(VLOOKUP($B188,'LISTA - Atual'!$B$1:$I$444,6,0),"Novo")</f>
        <v>N</v>
      </c>
      <c r="O188" s="86" t="str">
        <f t="shared" si="35"/>
        <v>Igual</v>
      </c>
      <c r="P188" s="86" t="str">
        <f>IFERROR(VLOOKUP($B188,'LISTA - Atual'!$B$1:$I$444,7,0),"Novo")</f>
        <v>N</v>
      </c>
      <c r="Q188" s="86" t="str">
        <f t="shared" si="36"/>
        <v>Igual</v>
      </c>
      <c r="R188" s="86" t="s">
        <v>1563</v>
      </c>
      <c r="S188" s="86" t="str">
        <f>IFERROR(VLOOKUP($B188,'LISTA - Atual'!$B$1:$I$444,8,0),"Novo")</f>
        <v>N</v>
      </c>
      <c r="T188" s="86" t="str">
        <f t="shared" si="37"/>
        <v>Igual</v>
      </c>
      <c r="U188" s="86" t="s">
        <v>1563</v>
      </c>
      <c r="V188" s="86" t="s">
        <v>11</v>
      </c>
      <c r="W188" s="87" t="str">
        <f>IFERROR(VLOOKUP(B188,#REF!,11,0),"n/a")</f>
        <v>n/a</v>
      </c>
      <c r="X188" s="87" t="str">
        <f>IFERROR(VLOOKUP(B188,#REF!,8,0),"n/a")</f>
        <v>n/a</v>
      </c>
      <c r="Y188" s="87" t="str">
        <f t="shared" ref="Y188:Y195" si="48">$F$2</f>
        <v>ESTR</v>
      </c>
      <c r="Z188" s="131" t="s">
        <v>1605</v>
      </c>
      <c r="AA188" s="227" t="e">
        <f>VLOOKUP(Table1[[#This Row],[CONCAT]],'Campos Resumo Prop2.0'!A:H,8,0)</f>
        <v>#N/A</v>
      </c>
      <c r="AB188" s="87" t="s">
        <v>1660</v>
      </c>
      <c r="AC188" s="135" t="s">
        <v>1625</v>
      </c>
      <c r="AD188" s="91">
        <f>INDEX(Auxiliar!$D$5:$I$10,MATCH('LISTA - Setembro2024'!AD$3,Auxiliar!$B$5:$B$10,0),MATCH('LISTA - Setembro2024'!$AC188,Auxiliar!$D$4:$I$4,0))</f>
        <v>0</v>
      </c>
      <c r="AE188" s="91">
        <f>INDEX(Auxiliar!$D$5:$I$10,MATCH('LISTA - Setembro2024'!AE$3,Auxiliar!$B$5:$B$10,0),MATCH('LISTA - Setembro2024'!$AC188,Auxiliar!$D$4:$I$4,0))</f>
        <v>0</v>
      </c>
      <c r="AF188" s="87">
        <f>INDEX(Auxiliar!$D$5:$I$10,MATCH('LISTA - Setembro2024'!AF$3,Auxiliar!$B$5:$B$10,0),MATCH('LISTA - Setembro2024'!$AC188,Auxiliar!$D$4:$I$4,0))</f>
        <v>0</v>
      </c>
      <c r="AG188" s="87" t="str">
        <f t="shared" si="39"/>
        <v>n.a.</v>
      </c>
      <c r="AH188" s="87">
        <f>INDEX(Auxiliar!$D$5:$I$10,MATCH('LISTA - Setembro2024'!AH$3,Auxiliar!$B$5:$B$10,0),MATCH('LISTA - Setembro2024'!$AG188,Auxiliar!$D$4:$I$4,0))</f>
        <v>0</v>
      </c>
      <c r="AI188" s="87">
        <f>INDEX(Auxiliar!$D$5:$I$10,MATCH('LISTA - Setembro2024'!AI$3,Auxiliar!$B$5:$B$10,0),MATCH('LISTA - Setembro2024'!$AC188,Auxiliar!$D$4:$I$4,0))</f>
        <v>0</v>
      </c>
      <c r="AJ188" s="87">
        <f>INDEX(Auxiliar!$D$5:$I$10,MATCH('LISTA - Setembro2024'!AJ$3,Auxiliar!$B$5:$B$10,0),MATCH('LISTA - Setembro2024'!$AC188,Auxiliar!$D$4:$I$4,0))</f>
        <v>0</v>
      </c>
      <c r="AK188" s="160">
        <f t="shared" si="42"/>
        <v>0</v>
      </c>
      <c r="AL188" s="87"/>
    </row>
    <row r="189" spans="1:38" ht="13.8" x14ac:dyDescent="0.25">
      <c r="A189" s="158" t="s">
        <v>444</v>
      </c>
      <c r="B189" s="81" t="str">
        <f t="shared" si="41"/>
        <v>INSTRUMENT_OBSRVD_AGNT_NM</v>
      </c>
      <c r="C189" s="82" t="s">
        <v>414</v>
      </c>
      <c r="D189" s="83" t="s">
        <v>445</v>
      </c>
      <c r="E189" s="84" t="s">
        <v>446</v>
      </c>
      <c r="F189" s="85" t="s">
        <v>13</v>
      </c>
      <c r="G189" s="85" t="s">
        <v>11</v>
      </c>
      <c r="H189" s="85" t="s">
        <v>11</v>
      </c>
      <c r="I189" s="85" t="s">
        <v>11</v>
      </c>
      <c r="J189" s="85" t="s">
        <v>11</v>
      </c>
      <c r="K189" s="85" t="s">
        <v>13</v>
      </c>
      <c r="L189" s="86" t="str">
        <f>IFERROR(VLOOKUP($B189,'LISTA - Atual'!$B$1:$I$444,5,0),"Novo")</f>
        <v>Y</v>
      </c>
      <c r="M189" s="86" t="str">
        <f t="shared" si="34"/>
        <v>Igual</v>
      </c>
      <c r="N189" s="86" t="str">
        <f>IFERROR(VLOOKUP($B189,'LISTA - Atual'!$B$1:$I$444,6,0),"Novo")</f>
        <v>N</v>
      </c>
      <c r="O189" s="86" t="str">
        <f t="shared" si="35"/>
        <v>Igual</v>
      </c>
      <c r="P189" s="86" t="str">
        <f>IFERROR(VLOOKUP($B189,'LISTA - Atual'!$B$1:$I$444,7,0),"Novo")</f>
        <v>N</v>
      </c>
      <c r="Q189" s="86" t="str">
        <f t="shared" si="36"/>
        <v>Igual</v>
      </c>
      <c r="R189" s="86" t="s">
        <v>1563</v>
      </c>
      <c r="S189" s="86" t="str">
        <f>IFERROR(VLOOKUP($B189,'LISTA - Atual'!$B$1:$I$444,8,0),"Novo")</f>
        <v>N</v>
      </c>
      <c r="T189" s="86" t="str">
        <f t="shared" si="37"/>
        <v>Igual</v>
      </c>
      <c r="U189" s="86" t="s">
        <v>1563</v>
      </c>
      <c r="V189" s="86" t="s">
        <v>11</v>
      </c>
      <c r="W189" s="87" t="str">
        <f>IFERROR(VLOOKUP(B189,#REF!,11,0),"n/a")</f>
        <v>n/a</v>
      </c>
      <c r="X189" s="87" t="str">
        <f>IFERROR(VLOOKUP(B189,#REF!,8,0),"n/a")</f>
        <v>n/a</v>
      </c>
      <c r="Y189" s="87" t="str">
        <f t="shared" si="48"/>
        <v>ESTR</v>
      </c>
      <c r="Z189" s="131" t="s">
        <v>1605</v>
      </c>
      <c r="AA189" s="227" t="e">
        <f>VLOOKUP(Table1[[#This Row],[CONCAT]],'Campos Resumo Prop2.0'!A:H,8,0)</f>
        <v>#N/A</v>
      </c>
      <c r="AB189" s="87" t="s">
        <v>1652</v>
      </c>
      <c r="AC189" s="135" t="s">
        <v>1625</v>
      </c>
      <c r="AD189" s="91">
        <f>INDEX(Auxiliar!$D$5:$I$10,MATCH('LISTA - Setembro2024'!AD$3,Auxiliar!$B$5:$B$10,0),MATCH('LISTA - Setembro2024'!$AC189,Auxiliar!$D$4:$I$4,0))</f>
        <v>0</v>
      </c>
      <c r="AE189" s="91">
        <f>INDEX(Auxiliar!$D$5:$I$10,MATCH('LISTA - Setembro2024'!AE$3,Auxiliar!$B$5:$B$10,0),MATCH('LISTA - Setembro2024'!$AC189,Auxiliar!$D$4:$I$4,0))</f>
        <v>0</v>
      </c>
      <c r="AF189" s="87">
        <f>INDEX(Auxiliar!$D$5:$I$10,MATCH('LISTA - Setembro2024'!AF$3,Auxiliar!$B$5:$B$10,0),MATCH('LISTA - Setembro2024'!$AC189,Auxiliar!$D$4:$I$4,0))</f>
        <v>0</v>
      </c>
      <c r="AG189" s="87" t="str">
        <f t="shared" si="39"/>
        <v>n.a.</v>
      </c>
      <c r="AH189" s="87">
        <f>INDEX(Auxiliar!$D$5:$I$10,MATCH('LISTA - Setembro2024'!AH$3,Auxiliar!$B$5:$B$10,0),MATCH('LISTA - Setembro2024'!$AG189,Auxiliar!$D$4:$I$4,0))</f>
        <v>0</v>
      </c>
      <c r="AI189" s="87">
        <f>INDEX(Auxiliar!$D$5:$I$10,MATCH('LISTA - Setembro2024'!AI$3,Auxiliar!$B$5:$B$10,0),MATCH('LISTA - Setembro2024'!$AC189,Auxiliar!$D$4:$I$4,0))</f>
        <v>0</v>
      </c>
      <c r="AJ189" s="87">
        <f>INDEX(Auxiliar!$D$5:$I$10,MATCH('LISTA - Setembro2024'!AJ$3,Auxiliar!$B$5:$B$10,0),MATCH('LISTA - Setembro2024'!$AC189,Auxiliar!$D$4:$I$4,0))</f>
        <v>0</v>
      </c>
      <c r="AK189" s="160">
        <f t="shared" si="42"/>
        <v>0</v>
      </c>
      <c r="AL189" s="87"/>
    </row>
    <row r="190" spans="1:38" ht="13.8" x14ac:dyDescent="0.25">
      <c r="A190" s="158" t="s">
        <v>447</v>
      </c>
      <c r="B190" s="81" t="str">
        <f t="shared" si="41"/>
        <v>INSTRUMENT_PRDCT</v>
      </c>
      <c r="C190" s="82" t="s">
        <v>414</v>
      </c>
      <c r="D190" s="92" t="s">
        <v>448</v>
      </c>
      <c r="E190" s="84" t="s">
        <v>449</v>
      </c>
      <c r="F190" s="85" t="s">
        <v>13</v>
      </c>
      <c r="G190" s="85" t="s">
        <v>11</v>
      </c>
      <c r="H190" s="85" t="s">
        <v>11</v>
      </c>
      <c r="I190" s="89" t="s">
        <v>13</v>
      </c>
      <c r="J190" s="85" t="s">
        <v>11</v>
      </c>
      <c r="K190" s="85" t="s">
        <v>11</v>
      </c>
      <c r="L190" s="86" t="str">
        <f>IFERROR(VLOOKUP($B190,'LISTA - Atual'!$B$1:$I$444,5,0),"Novo")</f>
        <v>Y</v>
      </c>
      <c r="M190" s="86" t="str">
        <f t="shared" si="34"/>
        <v>Igual</v>
      </c>
      <c r="N190" s="86" t="str">
        <f>IFERROR(VLOOKUP($B190,'LISTA - Atual'!$B$1:$I$444,6,0),"Novo")</f>
        <v>N</v>
      </c>
      <c r="O190" s="86" t="str">
        <f t="shared" si="35"/>
        <v>Igual</v>
      </c>
      <c r="P190" s="86" t="str">
        <f>IFERROR(VLOOKUP($B190,'LISTA - Atual'!$B$1:$I$444,7,0),"Novo")</f>
        <v>N</v>
      </c>
      <c r="Q190" s="86" t="str">
        <f t="shared" si="36"/>
        <v>Igual</v>
      </c>
      <c r="R190" s="86" t="s">
        <v>1563</v>
      </c>
      <c r="S190" s="86" t="str">
        <f>IFERROR(VLOOKUP($B190,'LISTA - Atual'!$B$1:$I$444,8,0),"Novo")</f>
        <v>N</v>
      </c>
      <c r="T190" s="86" t="str">
        <f t="shared" si="37"/>
        <v>Igual</v>
      </c>
      <c r="U190" s="86" t="s">
        <v>1563</v>
      </c>
      <c r="V190" s="86" t="s">
        <v>11</v>
      </c>
      <c r="W190" s="87" t="str">
        <f>IFERROR(VLOOKUP(B190,#REF!,11,0),"n/a")</f>
        <v>n/a</v>
      </c>
      <c r="X190" s="87" t="str">
        <f>IFERROR(VLOOKUP(B190,#REF!,8,0),"n/a")</f>
        <v>n/a</v>
      </c>
      <c r="Y190" s="87" t="str">
        <f>$F$2&amp;$Y$1&amp;$I$2</f>
        <v>ESTR &amp; GFINANCE</v>
      </c>
      <c r="Z190" s="131" t="s">
        <v>1605</v>
      </c>
      <c r="AA190" s="227" t="e">
        <f>VLOOKUP(Table1[[#This Row],[CONCAT]],'Campos Resumo Prop2.0'!A:H,8,0)</f>
        <v>#N/A</v>
      </c>
      <c r="AB190" s="87" t="s">
        <v>1652</v>
      </c>
      <c r="AC190" s="135" t="s">
        <v>1625</v>
      </c>
      <c r="AD190" s="91">
        <f>INDEX(Auxiliar!$D$5:$I$10,MATCH('LISTA - Setembro2024'!AD$3,Auxiliar!$B$5:$B$10,0),MATCH('LISTA - Setembro2024'!$AC190,Auxiliar!$D$4:$I$4,0))</f>
        <v>0</v>
      </c>
      <c r="AE190" s="91">
        <f>INDEX(Auxiliar!$D$5:$I$10,MATCH('LISTA - Setembro2024'!AE$3,Auxiliar!$B$5:$B$10,0),MATCH('LISTA - Setembro2024'!$AC190,Auxiliar!$D$4:$I$4,0))</f>
        <v>0</v>
      </c>
      <c r="AF190" s="87">
        <f>INDEX(Auxiliar!$D$5:$I$10,MATCH('LISTA - Setembro2024'!AF$3,Auxiliar!$B$5:$B$10,0),MATCH('LISTA - Setembro2024'!$AC190,Auxiliar!$D$4:$I$4,0))</f>
        <v>0</v>
      </c>
      <c r="AG190" s="87" t="str">
        <f t="shared" si="39"/>
        <v>n.a.</v>
      </c>
      <c r="AH190" s="87">
        <f>INDEX(Auxiliar!$D$5:$I$10,MATCH('LISTA - Setembro2024'!AH$3,Auxiliar!$B$5:$B$10,0),MATCH('LISTA - Setembro2024'!$AG190,Auxiliar!$D$4:$I$4,0))</f>
        <v>0</v>
      </c>
      <c r="AI190" s="87">
        <f>INDEX(Auxiliar!$D$5:$I$10,MATCH('LISTA - Setembro2024'!AI$3,Auxiliar!$B$5:$B$10,0),MATCH('LISTA - Setembro2024'!$AC190,Auxiliar!$D$4:$I$4,0))</f>
        <v>0</v>
      </c>
      <c r="AJ190" s="87">
        <f>INDEX(Auxiliar!$D$5:$I$10,MATCH('LISTA - Setembro2024'!AJ$3,Auxiliar!$B$5:$B$10,0),MATCH('LISTA - Setembro2024'!$AC190,Auxiliar!$D$4:$I$4,0))</f>
        <v>0</v>
      </c>
      <c r="AK190" s="160">
        <f t="shared" si="42"/>
        <v>0</v>
      </c>
      <c r="AL190" s="87"/>
    </row>
    <row r="191" spans="1:38" ht="13.8" x14ac:dyDescent="0.25">
      <c r="A191" s="158" t="s">
        <v>450</v>
      </c>
      <c r="B191" s="81" t="str">
        <f t="shared" si="41"/>
        <v>INSTRUMENT_BRCHD_CVNNTS</v>
      </c>
      <c r="C191" s="82" t="s">
        <v>414</v>
      </c>
      <c r="D191" s="83" t="s">
        <v>451</v>
      </c>
      <c r="E191" s="84" t="s">
        <v>452</v>
      </c>
      <c r="F191" s="85" t="s">
        <v>13</v>
      </c>
      <c r="G191" s="85" t="s">
        <v>11</v>
      </c>
      <c r="H191" s="85" t="s">
        <v>11</v>
      </c>
      <c r="I191" s="85" t="s">
        <v>11</v>
      </c>
      <c r="J191" s="85" t="s">
        <v>11</v>
      </c>
      <c r="K191" s="85" t="s">
        <v>13</v>
      </c>
      <c r="L191" s="86" t="str">
        <f>IFERROR(VLOOKUP($B191,'LISTA - Atual'!$B$1:$I$444,5,0),"Novo")</f>
        <v>Y</v>
      </c>
      <c r="M191" s="86" t="str">
        <f t="shared" si="34"/>
        <v>Igual</v>
      </c>
      <c r="N191" s="86" t="str">
        <f>IFERROR(VLOOKUP($B191,'LISTA - Atual'!$B$1:$I$444,6,0),"Novo")</f>
        <v>N</v>
      </c>
      <c r="O191" s="86" t="str">
        <f t="shared" si="35"/>
        <v>Igual</v>
      </c>
      <c r="P191" s="86" t="str">
        <f>IFERROR(VLOOKUP($B191,'LISTA - Atual'!$B$1:$I$444,7,0),"Novo")</f>
        <v>N</v>
      </c>
      <c r="Q191" s="86" t="str">
        <f t="shared" si="36"/>
        <v>Igual</v>
      </c>
      <c r="R191" s="86" t="s">
        <v>1563</v>
      </c>
      <c r="S191" s="86" t="str">
        <f>IFERROR(VLOOKUP($B191,'LISTA - Atual'!$B$1:$I$444,8,0),"Novo")</f>
        <v>N</v>
      </c>
      <c r="T191" s="86" t="str">
        <f t="shared" si="37"/>
        <v>Igual</v>
      </c>
      <c r="U191" s="86" t="s">
        <v>1563</v>
      </c>
      <c r="V191" s="86" t="s">
        <v>11</v>
      </c>
      <c r="W191" s="87" t="str">
        <f>IFERROR(VLOOKUP(B191,#REF!,11,0),"n/a")</f>
        <v>n/a</v>
      </c>
      <c r="X191" s="87" t="str">
        <f>IFERROR(VLOOKUP(B191,#REF!,8,0),"n/a")</f>
        <v>n/a</v>
      </c>
      <c r="Y191" s="87" t="str">
        <f t="shared" si="48"/>
        <v>ESTR</v>
      </c>
      <c r="Z191" s="131" t="s">
        <v>1605</v>
      </c>
      <c r="AA191" s="227" t="e">
        <f>VLOOKUP(Table1[[#This Row],[CONCAT]],'Campos Resumo Prop2.0'!A:H,8,0)</f>
        <v>#N/A</v>
      </c>
      <c r="AB191" s="87" t="s">
        <v>1652</v>
      </c>
      <c r="AC191" s="135" t="s">
        <v>1625</v>
      </c>
      <c r="AD191" s="91">
        <f>INDEX(Auxiliar!$D$5:$I$10,MATCH('LISTA - Setembro2024'!AD$3,Auxiliar!$B$5:$B$10,0),MATCH('LISTA - Setembro2024'!$AC191,Auxiliar!$D$4:$I$4,0))</f>
        <v>0</v>
      </c>
      <c r="AE191" s="91">
        <f>INDEX(Auxiliar!$D$5:$I$10,MATCH('LISTA - Setembro2024'!AE$3,Auxiliar!$B$5:$B$10,0),MATCH('LISTA - Setembro2024'!$AC191,Auxiliar!$D$4:$I$4,0))</f>
        <v>0</v>
      </c>
      <c r="AF191" s="87">
        <f>INDEX(Auxiliar!$D$5:$I$10,MATCH('LISTA - Setembro2024'!AF$3,Auxiliar!$B$5:$B$10,0),MATCH('LISTA - Setembro2024'!$AC191,Auxiliar!$D$4:$I$4,0))</f>
        <v>0</v>
      </c>
      <c r="AG191" s="87" t="str">
        <f t="shared" si="39"/>
        <v>n.a.</v>
      </c>
      <c r="AH191" s="87">
        <f>INDEX(Auxiliar!$D$5:$I$10,MATCH('LISTA - Setembro2024'!AH$3,Auxiliar!$B$5:$B$10,0),MATCH('LISTA - Setembro2024'!$AG191,Auxiliar!$D$4:$I$4,0))</f>
        <v>0</v>
      </c>
      <c r="AI191" s="87">
        <f>INDEX(Auxiliar!$D$5:$I$10,MATCH('LISTA - Setembro2024'!AI$3,Auxiliar!$B$5:$B$10,0),MATCH('LISTA - Setembro2024'!$AC191,Auxiliar!$D$4:$I$4,0))</f>
        <v>0</v>
      </c>
      <c r="AJ191" s="87">
        <f>INDEX(Auxiliar!$D$5:$I$10,MATCH('LISTA - Setembro2024'!AJ$3,Auxiliar!$B$5:$B$10,0),MATCH('LISTA - Setembro2024'!$AC191,Auxiliar!$D$4:$I$4,0))</f>
        <v>0</v>
      </c>
      <c r="AK191" s="160">
        <f t="shared" si="42"/>
        <v>0</v>
      </c>
      <c r="AL191" s="87"/>
    </row>
    <row r="192" spans="1:38" ht="13.8" x14ac:dyDescent="0.25">
      <c r="A192" s="158" t="s">
        <v>453</v>
      </c>
      <c r="B192" s="81" t="str">
        <f t="shared" si="41"/>
        <v>INSTRUMENT_CHNNL_ORGNTN</v>
      </c>
      <c r="C192" s="82" t="s">
        <v>414</v>
      </c>
      <c r="D192" s="83" t="s">
        <v>454</v>
      </c>
      <c r="E192" s="84" t="s">
        <v>455</v>
      </c>
      <c r="F192" s="85" t="s">
        <v>13</v>
      </c>
      <c r="G192" s="85" t="s">
        <v>11</v>
      </c>
      <c r="H192" s="85" t="s">
        <v>11</v>
      </c>
      <c r="I192" s="85" t="s">
        <v>11</v>
      </c>
      <c r="J192" s="85" t="s">
        <v>11</v>
      </c>
      <c r="K192" s="85" t="s">
        <v>11</v>
      </c>
      <c r="L192" s="86" t="str">
        <f>IFERROR(VLOOKUP($B192,'LISTA - Atual'!$B$1:$I$444,5,0),"Novo")</f>
        <v>Y</v>
      </c>
      <c r="M192" s="86" t="str">
        <f t="shared" ref="M192:M255" si="49">IF(L192="Novo","Novo Campo",IF(L192=F192,"Igual","Diferente"))</f>
        <v>Igual</v>
      </c>
      <c r="N192" s="86" t="str">
        <f>IFERROR(VLOOKUP($B192,'LISTA - Atual'!$B$1:$I$444,6,0),"Novo")</f>
        <v>N</v>
      </c>
      <c r="O192" s="86" t="str">
        <f t="shared" ref="O192:O255" si="50">IF(N192="Novo","Novo Campo",IF(N192=G192,"Igual","Diferente"))</f>
        <v>Igual</v>
      </c>
      <c r="P192" s="86" t="str">
        <f>IFERROR(VLOOKUP($B192,'LISTA - Atual'!$B$1:$I$444,7,0),"Novo")</f>
        <v>N</v>
      </c>
      <c r="Q192" s="86" t="str">
        <f t="shared" ref="Q192:Q255" si="51">IF(P192="Novo","Novo Campo",IF(P192=H192,"Igual","Diferente"))</f>
        <v>Igual</v>
      </c>
      <c r="R192" s="86" t="s">
        <v>1563</v>
      </c>
      <c r="S192" s="86" t="str">
        <f>IFERROR(VLOOKUP($B192,'LISTA - Atual'!$B$1:$I$444,8,0),"Novo")</f>
        <v>N</v>
      </c>
      <c r="T192" s="86" t="str">
        <f t="shared" ref="T192:T255" si="52">IF(S192="Novo","Novo Campo",IF(S192=J192,"Igual","Diferente"))</f>
        <v>Igual</v>
      </c>
      <c r="U192" s="86" t="s">
        <v>1563</v>
      </c>
      <c r="V192" s="86" t="s">
        <v>11</v>
      </c>
      <c r="W192" s="87" t="str">
        <f>IFERROR(VLOOKUP(B192,#REF!,11,0),"n/a")</f>
        <v>n/a</v>
      </c>
      <c r="X192" s="87" t="str">
        <f>IFERROR(VLOOKUP(B192,#REF!,8,0),"n/a")</f>
        <v>n/a</v>
      </c>
      <c r="Y192" s="87" t="str">
        <f t="shared" si="48"/>
        <v>ESTR</v>
      </c>
      <c r="Z192" s="131" t="s">
        <v>1605</v>
      </c>
      <c r="AA192" s="227" t="e">
        <f>VLOOKUP(Table1[[#This Row],[CONCAT]],'Campos Resumo Prop2.0'!A:H,8,0)</f>
        <v>#N/A</v>
      </c>
      <c r="AB192" s="87" t="s">
        <v>1650</v>
      </c>
      <c r="AC192" s="135" t="s">
        <v>1625</v>
      </c>
      <c r="AD192" s="91">
        <f>INDEX(Auxiliar!$D$5:$I$10,MATCH('LISTA - Setembro2024'!AD$3,Auxiliar!$B$5:$B$10,0),MATCH('LISTA - Setembro2024'!$AC192,Auxiliar!$D$4:$I$4,0))</f>
        <v>0</v>
      </c>
      <c r="AE192" s="91">
        <f>INDEX(Auxiliar!$D$5:$I$10,MATCH('LISTA - Setembro2024'!AE$3,Auxiliar!$B$5:$B$10,0),MATCH('LISTA - Setembro2024'!$AC192,Auxiliar!$D$4:$I$4,0))</f>
        <v>0</v>
      </c>
      <c r="AF192" s="87">
        <f>INDEX(Auxiliar!$D$5:$I$10,MATCH('LISTA - Setembro2024'!AF$3,Auxiliar!$B$5:$B$10,0),MATCH('LISTA - Setembro2024'!$AC192,Auxiliar!$D$4:$I$4,0))</f>
        <v>0</v>
      </c>
      <c r="AG192" s="87" t="str">
        <f t="shared" si="39"/>
        <v>n.a.</v>
      </c>
      <c r="AH192" s="87">
        <f>INDEX(Auxiliar!$D$5:$I$10,MATCH('LISTA - Setembro2024'!AH$3,Auxiliar!$B$5:$B$10,0),MATCH('LISTA - Setembro2024'!$AG192,Auxiliar!$D$4:$I$4,0))</f>
        <v>0</v>
      </c>
      <c r="AI192" s="87">
        <f>INDEX(Auxiliar!$D$5:$I$10,MATCH('LISTA - Setembro2024'!AI$3,Auxiliar!$B$5:$B$10,0),MATCH('LISTA - Setembro2024'!$AC192,Auxiliar!$D$4:$I$4,0))</f>
        <v>0</v>
      </c>
      <c r="AJ192" s="87">
        <f>INDEX(Auxiliar!$D$5:$I$10,MATCH('LISTA - Setembro2024'!AJ$3,Auxiliar!$B$5:$B$10,0),MATCH('LISTA - Setembro2024'!$AC192,Auxiliar!$D$4:$I$4,0))</f>
        <v>0</v>
      </c>
      <c r="AK192" s="160">
        <f t="shared" si="42"/>
        <v>0</v>
      </c>
      <c r="AL192" s="87"/>
    </row>
    <row r="193" spans="1:38" ht="13.8" x14ac:dyDescent="0.25">
      <c r="A193" s="158" t="s">
        <v>456</v>
      </c>
      <c r="B193" s="81" t="str">
        <f t="shared" si="41"/>
        <v>INSTRUMENT_CSH_SWP_TRP</v>
      </c>
      <c r="C193" s="82" t="s">
        <v>414</v>
      </c>
      <c r="D193" s="83" t="s">
        <v>457</v>
      </c>
      <c r="E193" s="84" t="s">
        <v>458</v>
      </c>
      <c r="F193" s="85" t="s">
        <v>13</v>
      </c>
      <c r="G193" s="85" t="s">
        <v>11</v>
      </c>
      <c r="H193" s="85" t="s">
        <v>11</v>
      </c>
      <c r="I193" s="85" t="s">
        <v>11</v>
      </c>
      <c r="J193" s="85" t="s">
        <v>11</v>
      </c>
      <c r="K193" s="85" t="s">
        <v>13</v>
      </c>
      <c r="L193" s="86" t="str">
        <f>IFERROR(VLOOKUP($B193,'LISTA - Atual'!$B$1:$I$444,5,0),"Novo")</f>
        <v>Y</v>
      </c>
      <c r="M193" s="86" t="str">
        <f t="shared" si="49"/>
        <v>Igual</v>
      </c>
      <c r="N193" s="86" t="str">
        <f>IFERROR(VLOOKUP($B193,'LISTA - Atual'!$B$1:$I$444,6,0),"Novo")</f>
        <v>N</v>
      </c>
      <c r="O193" s="86" t="str">
        <f t="shared" si="50"/>
        <v>Igual</v>
      </c>
      <c r="P193" s="86" t="str">
        <f>IFERROR(VLOOKUP($B193,'LISTA - Atual'!$B$1:$I$444,7,0),"Novo")</f>
        <v>N</v>
      </c>
      <c r="Q193" s="86" t="str">
        <f t="shared" si="51"/>
        <v>Igual</v>
      </c>
      <c r="R193" s="86" t="s">
        <v>1563</v>
      </c>
      <c r="S193" s="86" t="str">
        <f>IFERROR(VLOOKUP($B193,'LISTA - Atual'!$B$1:$I$444,8,0),"Novo")</f>
        <v>N</v>
      </c>
      <c r="T193" s="86" t="str">
        <f t="shared" si="52"/>
        <v>Igual</v>
      </c>
      <c r="U193" s="86" t="s">
        <v>1563</v>
      </c>
      <c r="V193" s="86" t="s">
        <v>11</v>
      </c>
      <c r="W193" s="87" t="str">
        <f>IFERROR(VLOOKUP(B193,#REF!,11,0),"n/a")</f>
        <v>n/a</v>
      </c>
      <c r="X193" s="87" t="str">
        <f>IFERROR(VLOOKUP(B193,#REF!,8,0),"n/a")</f>
        <v>n/a</v>
      </c>
      <c r="Y193" s="87" t="str">
        <f t="shared" si="48"/>
        <v>ESTR</v>
      </c>
      <c r="Z193" s="131" t="s">
        <v>1605</v>
      </c>
      <c r="AA193" s="227" t="e">
        <f>VLOOKUP(Table1[[#This Row],[CONCAT]],'Campos Resumo Prop2.0'!A:H,8,0)</f>
        <v>#N/A</v>
      </c>
      <c r="AB193" s="87" t="s">
        <v>1654</v>
      </c>
      <c r="AC193" s="135" t="s">
        <v>1625</v>
      </c>
      <c r="AD193" s="91">
        <f>INDEX(Auxiliar!$D$5:$I$10,MATCH('LISTA - Setembro2024'!AD$3,Auxiliar!$B$5:$B$10,0),MATCH('LISTA - Setembro2024'!$AC193,Auxiliar!$D$4:$I$4,0))</f>
        <v>0</v>
      </c>
      <c r="AE193" s="91">
        <f>INDEX(Auxiliar!$D$5:$I$10,MATCH('LISTA - Setembro2024'!AE$3,Auxiliar!$B$5:$B$10,0),MATCH('LISTA - Setembro2024'!$AC193,Auxiliar!$D$4:$I$4,0))</f>
        <v>0</v>
      </c>
      <c r="AF193" s="87">
        <f>INDEX(Auxiliar!$D$5:$I$10,MATCH('LISTA - Setembro2024'!AF$3,Auxiliar!$B$5:$B$10,0),MATCH('LISTA - Setembro2024'!$AC193,Auxiliar!$D$4:$I$4,0))</f>
        <v>0</v>
      </c>
      <c r="AG193" s="87" t="str">
        <f t="shared" si="39"/>
        <v>n.a.</v>
      </c>
      <c r="AH193" s="87">
        <f>INDEX(Auxiliar!$D$5:$I$10,MATCH('LISTA - Setembro2024'!AH$3,Auxiliar!$B$5:$B$10,0),MATCH('LISTA - Setembro2024'!$AG193,Auxiliar!$D$4:$I$4,0))</f>
        <v>0</v>
      </c>
      <c r="AI193" s="87">
        <f>INDEX(Auxiliar!$D$5:$I$10,MATCH('LISTA - Setembro2024'!AI$3,Auxiliar!$B$5:$B$10,0),MATCH('LISTA - Setembro2024'!$AC193,Auxiliar!$D$4:$I$4,0))</f>
        <v>0</v>
      </c>
      <c r="AJ193" s="87">
        <f>INDEX(Auxiliar!$D$5:$I$10,MATCH('LISTA - Setembro2024'!AJ$3,Auxiliar!$B$5:$B$10,0),MATCH('LISTA - Setembro2024'!$AC193,Auxiliar!$D$4:$I$4,0))</f>
        <v>0</v>
      </c>
      <c r="AK193" s="160">
        <f t="shared" si="42"/>
        <v>0</v>
      </c>
      <c r="AL193" s="87"/>
    </row>
    <row r="194" spans="1:38" ht="13.8" x14ac:dyDescent="0.25">
      <c r="A194" s="158" t="s">
        <v>459</v>
      </c>
      <c r="B194" s="81" t="str">
        <f t="shared" si="41"/>
        <v>INSTRUMENT_CVNNT_STTS</v>
      </c>
      <c r="C194" s="82" t="s">
        <v>414</v>
      </c>
      <c r="D194" s="83" t="s">
        <v>460</v>
      </c>
      <c r="E194" s="84" t="s">
        <v>461</v>
      </c>
      <c r="F194" s="85" t="s">
        <v>13</v>
      </c>
      <c r="G194" s="85" t="s">
        <v>11</v>
      </c>
      <c r="H194" s="85" t="s">
        <v>11</v>
      </c>
      <c r="I194" s="85" t="s">
        <v>11</v>
      </c>
      <c r="J194" s="85" t="s">
        <v>11</v>
      </c>
      <c r="K194" s="85" t="s">
        <v>13</v>
      </c>
      <c r="L194" s="86" t="str">
        <f>IFERROR(VLOOKUP($B194,'LISTA - Atual'!$B$1:$I$444,5,0),"Novo")</f>
        <v>Y</v>
      </c>
      <c r="M194" s="86" t="str">
        <f t="shared" si="49"/>
        <v>Igual</v>
      </c>
      <c r="N194" s="86" t="str">
        <f>IFERROR(VLOOKUP($B194,'LISTA - Atual'!$B$1:$I$444,6,0),"Novo")</f>
        <v>N</v>
      </c>
      <c r="O194" s="86" t="str">
        <f t="shared" si="50"/>
        <v>Igual</v>
      </c>
      <c r="P194" s="86" t="str">
        <f>IFERROR(VLOOKUP($B194,'LISTA - Atual'!$B$1:$I$444,7,0),"Novo")</f>
        <v>N</v>
      </c>
      <c r="Q194" s="86" t="str">
        <f t="shared" si="51"/>
        <v>Igual</v>
      </c>
      <c r="R194" s="86" t="s">
        <v>1563</v>
      </c>
      <c r="S194" s="86" t="str">
        <f>IFERROR(VLOOKUP($B194,'LISTA - Atual'!$B$1:$I$444,8,0),"Novo")</f>
        <v>N</v>
      </c>
      <c r="T194" s="86" t="str">
        <f t="shared" si="52"/>
        <v>Igual</v>
      </c>
      <c r="U194" s="86" t="s">
        <v>1563</v>
      </c>
      <c r="V194" s="90" t="s">
        <v>13</v>
      </c>
      <c r="W194" s="87" t="str">
        <f>IFERROR(VLOOKUP(B194,#REF!,11,0),"n/a")</f>
        <v>n/a</v>
      </c>
      <c r="X194" s="91" t="str">
        <f>IFERROR(VLOOKUP(B194,#REF!,8,0),"n/a")</f>
        <v>n/a</v>
      </c>
      <c r="Y194" s="87" t="str">
        <f t="shared" si="48"/>
        <v>ESTR</v>
      </c>
      <c r="Z194" s="131" t="s">
        <v>1605</v>
      </c>
      <c r="AA194" s="227" t="e">
        <f>VLOOKUP(Table1[[#This Row],[CONCAT]],'Campos Resumo Prop2.0'!A:H,8,0)</f>
        <v>#N/A</v>
      </c>
      <c r="AB194" s="87" t="s">
        <v>1650</v>
      </c>
      <c r="AC194" s="135" t="s">
        <v>1625</v>
      </c>
      <c r="AD194" s="135">
        <v>10</v>
      </c>
      <c r="AE194" s="135">
        <v>8</v>
      </c>
      <c r="AF194" s="87">
        <f>INDEX(Auxiliar!$D$5:$I$10,MATCH('LISTA - Setembro2024'!AF$3,Auxiliar!$B$5:$B$10,0),MATCH('LISTA - Setembro2024'!$AC194,Auxiliar!$D$4:$I$4,0))</f>
        <v>0</v>
      </c>
      <c r="AG194" s="87" t="str">
        <f t="shared" si="39"/>
        <v>n.a.</v>
      </c>
      <c r="AH194" s="87">
        <f>INDEX(Auxiliar!$D$5:$I$10,MATCH('LISTA - Setembro2024'!AH$3,Auxiliar!$B$5:$B$10,0),MATCH('LISTA - Setembro2024'!$AG194,Auxiliar!$D$4:$I$4,0))</f>
        <v>0</v>
      </c>
      <c r="AI194" s="87">
        <f>INDEX(Auxiliar!$D$5:$I$10,MATCH('LISTA - Setembro2024'!AI$3,Auxiliar!$B$5:$B$10,0),MATCH('LISTA - Setembro2024'!$AC194,Auxiliar!$D$4:$I$4,0))</f>
        <v>0</v>
      </c>
      <c r="AJ194" s="87">
        <f>INDEX(Auxiliar!$D$5:$I$10,MATCH('LISTA - Setembro2024'!AJ$3,Auxiliar!$B$5:$B$10,0),MATCH('LISTA - Setembro2024'!$AC194,Auxiliar!$D$4:$I$4,0))</f>
        <v>0</v>
      </c>
      <c r="AK194" s="160">
        <f t="shared" si="42"/>
        <v>0</v>
      </c>
      <c r="AL194" s="87" t="s">
        <v>1697</v>
      </c>
    </row>
    <row r="195" spans="1:38" ht="13.8" x14ac:dyDescent="0.25">
      <c r="A195" s="158" t="s">
        <v>462</v>
      </c>
      <c r="B195" s="81" t="str">
        <f t="shared" si="41"/>
        <v>INSTRUMENT_CVNNT_TYP</v>
      </c>
      <c r="C195" s="82" t="s">
        <v>414</v>
      </c>
      <c r="D195" s="83" t="s">
        <v>463</v>
      </c>
      <c r="E195" s="84" t="s">
        <v>464</v>
      </c>
      <c r="F195" s="85" t="s">
        <v>13</v>
      </c>
      <c r="G195" s="85" t="s">
        <v>11</v>
      </c>
      <c r="H195" s="85" t="s">
        <v>11</v>
      </c>
      <c r="I195" s="85" t="s">
        <v>11</v>
      </c>
      <c r="J195" s="85" t="s">
        <v>11</v>
      </c>
      <c r="K195" s="85" t="s">
        <v>13</v>
      </c>
      <c r="L195" s="86" t="str">
        <f>IFERROR(VLOOKUP($B195,'LISTA - Atual'!$B$1:$I$444,5,0),"Novo")</f>
        <v>Y</v>
      </c>
      <c r="M195" s="86" t="str">
        <f t="shared" si="49"/>
        <v>Igual</v>
      </c>
      <c r="N195" s="86" t="str">
        <f>IFERROR(VLOOKUP($B195,'LISTA - Atual'!$B$1:$I$444,6,0),"Novo")</f>
        <v>N</v>
      </c>
      <c r="O195" s="86" t="str">
        <f t="shared" si="50"/>
        <v>Igual</v>
      </c>
      <c r="P195" s="86" t="str">
        <f>IFERROR(VLOOKUP($B195,'LISTA - Atual'!$B$1:$I$444,7,0),"Novo")</f>
        <v>N</v>
      </c>
      <c r="Q195" s="86" t="str">
        <f t="shared" si="51"/>
        <v>Igual</v>
      </c>
      <c r="R195" s="86" t="s">
        <v>1563</v>
      </c>
      <c r="S195" s="86" t="str">
        <f>IFERROR(VLOOKUP($B195,'LISTA - Atual'!$B$1:$I$444,8,0),"Novo")</f>
        <v>N</v>
      </c>
      <c r="T195" s="86" t="str">
        <f t="shared" si="52"/>
        <v>Igual</v>
      </c>
      <c r="U195" s="86" t="s">
        <v>1563</v>
      </c>
      <c r="V195" s="90" t="s">
        <v>13</v>
      </c>
      <c r="W195" s="87" t="str">
        <f>IFERROR(VLOOKUP(B195,#REF!,11,0),"n/a")</f>
        <v>n/a</v>
      </c>
      <c r="X195" s="91" t="str">
        <f>IFERROR(VLOOKUP(B195,#REF!,8,0),"n/a")</f>
        <v>n/a</v>
      </c>
      <c r="Y195" s="87" t="str">
        <f t="shared" si="48"/>
        <v>ESTR</v>
      </c>
      <c r="Z195" s="131" t="s">
        <v>1605</v>
      </c>
      <c r="AA195" s="227" t="e">
        <f>VLOOKUP(Table1[[#This Row],[CONCAT]],'Campos Resumo Prop2.0'!A:H,8,0)</f>
        <v>#N/A</v>
      </c>
      <c r="AB195" s="87" t="s">
        <v>1650</v>
      </c>
      <c r="AC195" s="135" t="s">
        <v>1625</v>
      </c>
      <c r="AD195" s="135">
        <v>10</v>
      </c>
      <c r="AE195" s="135">
        <v>8</v>
      </c>
      <c r="AF195" s="87">
        <f>INDEX(Auxiliar!$D$5:$I$10,MATCH('LISTA - Setembro2024'!AF$3,Auxiliar!$B$5:$B$10,0),MATCH('LISTA - Setembro2024'!$AC195,Auxiliar!$D$4:$I$4,0))</f>
        <v>0</v>
      </c>
      <c r="AG195" s="87" t="str">
        <f t="shared" si="39"/>
        <v>n.a.</v>
      </c>
      <c r="AH195" s="87">
        <f>INDEX(Auxiliar!$D$5:$I$10,MATCH('LISTA - Setembro2024'!AH$3,Auxiliar!$B$5:$B$10,0),MATCH('LISTA - Setembro2024'!$AG195,Auxiliar!$D$4:$I$4,0))</f>
        <v>0</v>
      </c>
      <c r="AI195" s="87">
        <f>INDEX(Auxiliar!$D$5:$I$10,MATCH('LISTA - Setembro2024'!AI$3,Auxiliar!$B$5:$B$10,0),MATCH('LISTA - Setembro2024'!$AC195,Auxiliar!$D$4:$I$4,0))</f>
        <v>0</v>
      </c>
      <c r="AJ195" s="87">
        <f>INDEX(Auxiliar!$D$5:$I$10,MATCH('LISTA - Setembro2024'!AJ$3,Auxiliar!$B$5:$B$10,0),MATCH('LISTA - Setembro2024'!$AC195,Auxiliar!$D$4:$I$4,0))</f>
        <v>0</v>
      </c>
      <c r="AK195" s="160">
        <f t="shared" si="42"/>
        <v>0</v>
      </c>
      <c r="AL195" s="87" t="s">
        <v>1697</v>
      </c>
    </row>
    <row r="196" spans="1:38" ht="13.8" x14ac:dyDescent="0.25">
      <c r="A196" s="158" t="s">
        <v>465</v>
      </c>
      <c r="B196" s="81" t="str">
        <f t="shared" si="41"/>
        <v>INSTRUMENT_DFLT_STTS_INSTRMNT</v>
      </c>
      <c r="C196" s="82" t="s">
        <v>414</v>
      </c>
      <c r="D196" s="97" t="s">
        <v>466</v>
      </c>
      <c r="E196" s="98" t="s">
        <v>467</v>
      </c>
      <c r="F196" s="85" t="s">
        <v>13</v>
      </c>
      <c r="G196" s="85" t="s">
        <v>13</v>
      </c>
      <c r="H196" s="85" t="s">
        <v>13</v>
      </c>
      <c r="I196" s="85" t="s">
        <v>11</v>
      </c>
      <c r="J196" s="85" t="s">
        <v>11</v>
      </c>
      <c r="K196" s="85" t="s">
        <v>13</v>
      </c>
      <c r="L196" s="86" t="str">
        <f>IFERROR(VLOOKUP($B196,'LISTA - Atual'!$B$1:$I$444,5,0),"Novo")</f>
        <v>Y</v>
      </c>
      <c r="M196" s="86" t="str">
        <f t="shared" si="49"/>
        <v>Igual</v>
      </c>
      <c r="N196" s="86" t="str">
        <f>IFERROR(VLOOKUP($B196,'LISTA - Atual'!$B$1:$I$444,6,0),"Novo")</f>
        <v>Y</v>
      </c>
      <c r="O196" s="86" t="str">
        <f t="shared" si="50"/>
        <v>Igual</v>
      </c>
      <c r="P196" s="86" t="str">
        <f>IFERROR(VLOOKUP($B196,'LISTA - Atual'!$B$1:$I$444,7,0),"Novo")</f>
        <v>Y</v>
      </c>
      <c r="Q196" s="86" t="str">
        <f t="shared" si="51"/>
        <v>Igual</v>
      </c>
      <c r="R196" s="86" t="s">
        <v>1563</v>
      </c>
      <c r="S196" s="86" t="str">
        <f>IFERROR(VLOOKUP($B196,'LISTA - Atual'!$B$1:$I$444,8,0),"Novo")</f>
        <v>N</v>
      </c>
      <c r="T196" s="86" t="str">
        <f t="shared" si="52"/>
        <v>Igual</v>
      </c>
      <c r="U196" s="86" t="s">
        <v>1563</v>
      </c>
      <c r="V196" s="86" t="s">
        <v>11</v>
      </c>
      <c r="W196" s="87" t="str">
        <f>IFERROR(VLOOKUP(B196,#REF!,11,0),"n/a")</f>
        <v>n/a</v>
      </c>
      <c r="X196" s="88" t="str">
        <f>IFERROR(VLOOKUP(B196,#REF!,8,0),"n/a")</f>
        <v>n/a</v>
      </c>
      <c r="Y196" s="87" t="str">
        <f>$F$2&amp;$Y$1&amp;$G$2&amp;$Y$1&amp;$H$2</f>
        <v>ESTR &amp; GD &amp; PILAR3</v>
      </c>
      <c r="Z196" s="131" t="s">
        <v>1605</v>
      </c>
      <c r="AA196" s="227" t="e">
        <f>VLOOKUP(Table1[[#This Row],[CONCAT]],'Campos Resumo Prop2.0'!A:H,8,0)</f>
        <v>#N/A</v>
      </c>
      <c r="AB196" s="87" t="s">
        <v>1650</v>
      </c>
      <c r="AC196" s="135" t="s">
        <v>1625</v>
      </c>
      <c r="AD196" s="91">
        <f>INDEX(Auxiliar!$D$5:$I$10,MATCH('LISTA - Setembro2024'!AD$3,Auxiliar!$B$5:$B$10,0),MATCH('LISTA - Setembro2024'!$AC196,Auxiliar!$D$4:$I$4,0))</f>
        <v>0</v>
      </c>
      <c r="AE196" s="91">
        <f>INDEX(Auxiliar!$D$5:$I$10,MATCH('LISTA - Setembro2024'!AE$3,Auxiliar!$B$5:$B$10,0),MATCH('LISTA - Setembro2024'!$AC196,Auxiliar!$D$4:$I$4,0))</f>
        <v>0</v>
      </c>
      <c r="AF196" s="87">
        <f>INDEX(Auxiliar!$D$5:$I$10,MATCH('LISTA - Setembro2024'!AF$3,Auxiliar!$B$5:$B$10,0),MATCH('LISTA - Setembro2024'!$AC196,Auxiliar!$D$4:$I$4,0))</f>
        <v>0</v>
      </c>
      <c r="AG196" s="87" t="str">
        <f t="shared" ref="AG196:AG259" si="53">IF(OR(AB196="Code List",AB196="Y, N"),AC196,"n.a.")</f>
        <v>n.a.</v>
      </c>
      <c r="AH196" s="87">
        <f>INDEX(Auxiliar!$D$5:$I$10,MATCH('LISTA - Setembro2024'!AH$3,Auxiliar!$B$5:$B$10,0),MATCH('LISTA - Setembro2024'!$AG196,Auxiliar!$D$4:$I$4,0))</f>
        <v>0</v>
      </c>
      <c r="AI196" s="87">
        <f>INDEX(Auxiliar!$D$5:$I$10,MATCH('LISTA - Setembro2024'!AI$3,Auxiliar!$B$5:$B$10,0),MATCH('LISTA - Setembro2024'!$AC196,Auxiliar!$D$4:$I$4,0))</f>
        <v>0</v>
      </c>
      <c r="AJ196" s="87">
        <f>INDEX(Auxiliar!$D$5:$I$10,MATCH('LISTA - Setembro2024'!AJ$3,Auxiliar!$B$5:$B$10,0),MATCH('LISTA - Setembro2024'!$AC196,Auxiliar!$D$4:$I$4,0))</f>
        <v>0</v>
      </c>
      <c r="AK196" s="160">
        <f t="shared" si="42"/>
        <v>0</v>
      </c>
      <c r="AL196" s="87" t="s">
        <v>1681</v>
      </c>
    </row>
    <row r="197" spans="1:38" ht="13.8" x14ac:dyDescent="0.25">
      <c r="A197" s="158" t="s">
        <v>468</v>
      </c>
      <c r="B197" s="81" t="str">
        <f t="shared" ref="B197:B260" si="54">C197&amp;"_"&amp;D197</f>
        <v>INSTRUMENT_DT_DFLT_STTS_INSTRMNT</v>
      </c>
      <c r="C197" s="82" t="s">
        <v>414</v>
      </c>
      <c r="D197" s="83" t="s">
        <v>469</v>
      </c>
      <c r="E197" s="84" t="s">
        <v>24</v>
      </c>
      <c r="F197" s="85" t="s">
        <v>13</v>
      </c>
      <c r="G197" s="85" t="s">
        <v>11</v>
      </c>
      <c r="H197" s="85" t="s">
        <v>11</v>
      </c>
      <c r="I197" s="85" t="s">
        <v>11</v>
      </c>
      <c r="J197" s="85" t="s">
        <v>11</v>
      </c>
      <c r="K197" s="85" t="s">
        <v>13</v>
      </c>
      <c r="L197" s="86" t="str">
        <f>IFERROR(VLOOKUP($B197,'LISTA - Atual'!$B$1:$I$444,5,0),"Novo")</f>
        <v>Y</v>
      </c>
      <c r="M197" s="86" t="str">
        <f t="shared" si="49"/>
        <v>Igual</v>
      </c>
      <c r="N197" s="86" t="str">
        <f>IFERROR(VLOOKUP($B197,'LISTA - Atual'!$B$1:$I$444,6,0),"Novo")</f>
        <v>N</v>
      </c>
      <c r="O197" s="86" t="str">
        <f t="shared" si="50"/>
        <v>Igual</v>
      </c>
      <c r="P197" s="86" t="str">
        <f>IFERROR(VLOOKUP($B197,'LISTA - Atual'!$B$1:$I$444,7,0),"Novo")</f>
        <v>N</v>
      </c>
      <c r="Q197" s="86" t="str">
        <f t="shared" si="51"/>
        <v>Igual</v>
      </c>
      <c r="R197" s="86" t="s">
        <v>1563</v>
      </c>
      <c r="S197" s="86" t="str">
        <f>IFERROR(VLOOKUP($B197,'LISTA - Atual'!$B$1:$I$444,8,0),"Novo")</f>
        <v>N</v>
      </c>
      <c r="T197" s="86" t="str">
        <f t="shared" si="52"/>
        <v>Igual</v>
      </c>
      <c r="U197" s="86" t="s">
        <v>1563</v>
      </c>
      <c r="V197" s="86" t="s">
        <v>11</v>
      </c>
      <c r="W197" s="87" t="str">
        <f>IFERROR(VLOOKUP(B197,#REF!,11,0),"n/a")</f>
        <v>n/a</v>
      </c>
      <c r="X197" s="87" t="str">
        <f>IFERROR(VLOOKUP(B197,#REF!,8,0),"n/a")</f>
        <v>n/a</v>
      </c>
      <c r="Y197" s="87" t="str">
        <f t="shared" ref="Y197:Y208" si="55">$F$2</f>
        <v>ESTR</v>
      </c>
      <c r="Z197" s="131" t="s">
        <v>1605</v>
      </c>
      <c r="AA197" s="227" t="e">
        <f>VLOOKUP(Table1[[#This Row],[CONCAT]],'Campos Resumo Prop2.0'!A:H,8,0)</f>
        <v>#N/A</v>
      </c>
      <c r="AB197" s="87" t="s">
        <v>1651</v>
      </c>
      <c r="AC197" s="135" t="s">
        <v>1625</v>
      </c>
      <c r="AD197" s="135">
        <v>1</v>
      </c>
      <c r="AE197" s="91">
        <f>INDEX(Auxiliar!$D$5:$I$10,MATCH('LISTA - Setembro2024'!AE$3,Auxiliar!$B$5:$B$10,0),MATCH('LISTA - Setembro2024'!$AC197,Auxiliar!$D$4:$I$4,0))</f>
        <v>0</v>
      </c>
      <c r="AF197" s="87">
        <f>INDEX(Auxiliar!$D$5:$I$10,MATCH('LISTA - Setembro2024'!AF$3,Auxiliar!$B$5:$B$10,0),MATCH('LISTA - Setembro2024'!$AC197,Auxiliar!$D$4:$I$4,0))</f>
        <v>0</v>
      </c>
      <c r="AG197" s="87" t="str">
        <f t="shared" si="53"/>
        <v>n.a.</v>
      </c>
      <c r="AH197" s="87">
        <f>INDEX(Auxiliar!$D$5:$I$10,MATCH('LISTA - Setembro2024'!AH$3,Auxiliar!$B$5:$B$10,0),MATCH('LISTA - Setembro2024'!$AG197,Auxiliar!$D$4:$I$4,0))</f>
        <v>0</v>
      </c>
      <c r="AI197" s="87">
        <f>INDEX(Auxiliar!$D$5:$I$10,MATCH('LISTA - Setembro2024'!AI$3,Auxiliar!$B$5:$B$10,0),MATCH('LISTA - Setembro2024'!$AC197,Auxiliar!$D$4:$I$4,0))</f>
        <v>0</v>
      </c>
      <c r="AJ197" s="87">
        <f>INDEX(Auxiliar!$D$5:$I$10,MATCH('LISTA - Setembro2024'!AJ$3,Auxiliar!$B$5:$B$10,0),MATCH('LISTA - Setembro2024'!$AC197,Auxiliar!$D$4:$I$4,0))</f>
        <v>0</v>
      </c>
      <c r="AK197" s="160">
        <f t="shared" si="42"/>
        <v>0</v>
      </c>
      <c r="AL197" s="87" t="s">
        <v>1667</v>
      </c>
    </row>
    <row r="198" spans="1:38" ht="13.8" x14ac:dyDescent="0.25">
      <c r="A198" s="158" t="s">
        <v>470</v>
      </c>
      <c r="B198" s="81" t="str">
        <f t="shared" si="54"/>
        <v>INSTRUMENT_DT_END_GP_PPAL</v>
      </c>
      <c r="C198" s="82" t="s">
        <v>414</v>
      </c>
      <c r="D198" s="83" t="s">
        <v>471</v>
      </c>
      <c r="E198" s="84" t="s">
        <v>472</v>
      </c>
      <c r="F198" s="85" t="s">
        <v>13</v>
      </c>
      <c r="G198" s="85" t="s">
        <v>11</v>
      </c>
      <c r="H198" s="85" t="s">
        <v>11</v>
      </c>
      <c r="I198" s="85" t="s">
        <v>11</v>
      </c>
      <c r="J198" s="85" t="s">
        <v>11</v>
      </c>
      <c r="K198" s="85" t="s">
        <v>11</v>
      </c>
      <c r="L198" s="86" t="str">
        <f>IFERROR(VLOOKUP($B198,'LISTA - Atual'!$B$1:$I$444,5,0),"Novo")</f>
        <v>Y</v>
      </c>
      <c r="M198" s="86" t="str">
        <f t="shared" si="49"/>
        <v>Igual</v>
      </c>
      <c r="N198" s="86" t="str">
        <f>IFERROR(VLOOKUP($B198,'LISTA - Atual'!$B$1:$I$444,6,0),"Novo")</f>
        <v>N</v>
      </c>
      <c r="O198" s="86" t="str">
        <f t="shared" si="50"/>
        <v>Igual</v>
      </c>
      <c r="P198" s="86" t="str">
        <f>IFERROR(VLOOKUP($B198,'LISTA - Atual'!$B$1:$I$444,7,0),"Novo")</f>
        <v>N</v>
      </c>
      <c r="Q198" s="86" t="str">
        <f t="shared" si="51"/>
        <v>Igual</v>
      </c>
      <c r="R198" s="86" t="s">
        <v>1563</v>
      </c>
      <c r="S198" s="86" t="str">
        <f>IFERROR(VLOOKUP($B198,'LISTA - Atual'!$B$1:$I$444,8,0),"Novo")</f>
        <v>N</v>
      </c>
      <c r="T198" s="86" t="str">
        <f t="shared" si="52"/>
        <v>Igual</v>
      </c>
      <c r="U198" s="86" t="s">
        <v>1563</v>
      </c>
      <c r="V198" s="86" t="s">
        <v>11</v>
      </c>
      <c r="W198" s="87" t="str">
        <f>IFERROR(VLOOKUP(B198,#REF!,11,0),"n/a")</f>
        <v>n/a</v>
      </c>
      <c r="X198" s="87" t="str">
        <f>IFERROR(VLOOKUP(B198,#REF!,8,0),"n/a")</f>
        <v>n/a</v>
      </c>
      <c r="Y198" s="87" t="str">
        <f t="shared" si="55"/>
        <v>ESTR</v>
      </c>
      <c r="Z198" s="131" t="s">
        <v>1605</v>
      </c>
      <c r="AA198" s="227" t="e">
        <f>VLOOKUP(Table1[[#This Row],[CONCAT]],'Campos Resumo Prop2.0'!A:H,8,0)</f>
        <v>#N/A</v>
      </c>
      <c r="AB198" s="87" t="s">
        <v>1651</v>
      </c>
      <c r="AC198" s="135" t="s">
        <v>1625</v>
      </c>
      <c r="AD198" s="91">
        <f>INDEX(Auxiliar!$D$5:$I$10,MATCH('LISTA - Setembro2024'!AD$3,Auxiliar!$B$5:$B$10,0),MATCH('LISTA - Setembro2024'!$AC198,Auxiliar!$D$4:$I$4,0))</f>
        <v>0</v>
      </c>
      <c r="AE198" s="91">
        <f>INDEX(Auxiliar!$D$5:$I$10,MATCH('LISTA - Setembro2024'!AE$3,Auxiliar!$B$5:$B$10,0),MATCH('LISTA - Setembro2024'!$AC198,Auxiliar!$D$4:$I$4,0))</f>
        <v>0</v>
      </c>
      <c r="AF198" s="87">
        <f>INDEX(Auxiliar!$D$5:$I$10,MATCH('LISTA - Setembro2024'!AF$3,Auxiliar!$B$5:$B$10,0),MATCH('LISTA - Setembro2024'!$AC198,Auxiliar!$D$4:$I$4,0))</f>
        <v>0</v>
      </c>
      <c r="AG198" s="87" t="str">
        <f t="shared" si="53"/>
        <v>n.a.</v>
      </c>
      <c r="AH198" s="87">
        <f>INDEX(Auxiliar!$D$5:$I$10,MATCH('LISTA - Setembro2024'!AH$3,Auxiliar!$B$5:$B$10,0),MATCH('LISTA - Setembro2024'!$AG198,Auxiliar!$D$4:$I$4,0))</f>
        <v>0</v>
      </c>
      <c r="AI198" s="87">
        <f>INDEX(Auxiliar!$D$5:$I$10,MATCH('LISTA - Setembro2024'!AI$3,Auxiliar!$B$5:$B$10,0),MATCH('LISTA - Setembro2024'!$AC198,Auxiliar!$D$4:$I$4,0))</f>
        <v>0</v>
      </c>
      <c r="AJ198" s="87">
        <f>INDEX(Auxiliar!$D$5:$I$10,MATCH('LISTA - Setembro2024'!AJ$3,Auxiliar!$B$5:$B$10,0),MATCH('LISTA - Setembro2024'!$AC198,Auxiliar!$D$4:$I$4,0))</f>
        <v>0</v>
      </c>
      <c r="AK198" s="160">
        <f t="shared" ref="AK198:AK261" si="56">SUM(AF198,AH198:AJ198)</f>
        <v>0</v>
      </c>
      <c r="AL198" s="87"/>
    </row>
    <row r="199" spans="1:38" ht="13.8" x14ac:dyDescent="0.25">
      <c r="A199" s="158" t="s">
        <v>473</v>
      </c>
      <c r="B199" s="81" t="str">
        <f t="shared" si="54"/>
        <v>INSTRUMENT_DT_END_INTRST_ONLY</v>
      </c>
      <c r="C199" s="82" t="s">
        <v>414</v>
      </c>
      <c r="D199" s="83" t="s">
        <v>474</v>
      </c>
      <c r="E199" s="84" t="s">
        <v>475</v>
      </c>
      <c r="F199" s="85" t="s">
        <v>13</v>
      </c>
      <c r="G199" s="85" t="s">
        <v>11</v>
      </c>
      <c r="H199" s="85" t="s">
        <v>11</v>
      </c>
      <c r="I199" s="85" t="s">
        <v>11</v>
      </c>
      <c r="J199" s="85" t="s">
        <v>11</v>
      </c>
      <c r="K199" s="85" t="s">
        <v>11</v>
      </c>
      <c r="L199" s="86" t="str">
        <f>IFERROR(VLOOKUP($B199,'LISTA - Atual'!$B$1:$I$444,5,0),"Novo")</f>
        <v>Y</v>
      </c>
      <c r="M199" s="86" t="str">
        <f t="shared" si="49"/>
        <v>Igual</v>
      </c>
      <c r="N199" s="86" t="str">
        <f>IFERROR(VLOOKUP($B199,'LISTA - Atual'!$B$1:$I$444,6,0),"Novo")</f>
        <v>N</v>
      </c>
      <c r="O199" s="86" t="str">
        <f t="shared" si="50"/>
        <v>Igual</v>
      </c>
      <c r="P199" s="86" t="str">
        <f>IFERROR(VLOOKUP($B199,'LISTA - Atual'!$B$1:$I$444,7,0),"Novo")</f>
        <v>N</v>
      </c>
      <c r="Q199" s="86" t="str">
        <f t="shared" si="51"/>
        <v>Igual</v>
      </c>
      <c r="R199" s="86" t="s">
        <v>1563</v>
      </c>
      <c r="S199" s="86" t="str">
        <f>IFERROR(VLOOKUP($B199,'LISTA - Atual'!$B$1:$I$444,8,0),"Novo")</f>
        <v>N</v>
      </c>
      <c r="T199" s="86" t="str">
        <f t="shared" si="52"/>
        <v>Igual</v>
      </c>
      <c r="U199" s="86" t="s">
        <v>1563</v>
      </c>
      <c r="V199" s="86" t="s">
        <v>11</v>
      </c>
      <c r="W199" s="87" t="str">
        <f>IFERROR(VLOOKUP(B199,#REF!,11,0),"n/a")</f>
        <v>n/a</v>
      </c>
      <c r="X199" s="87" t="str">
        <f>IFERROR(VLOOKUP(B199,#REF!,8,0),"n/a")</f>
        <v>n/a</v>
      </c>
      <c r="Y199" s="87" t="str">
        <f t="shared" si="55"/>
        <v>ESTR</v>
      </c>
      <c r="Z199" s="131" t="s">
        <v>1605</v>
      </c>
      <c r="AA199" s="227" t="e">
        <f>VLOOKUP(Table1[[#This Row],[CONCAT]],'Campos Resumo Prop2.0'!A:H,8,0)</f>
        <v>#N/A</v>
      </c>
      <c r="AB199" s="87" t="s">
        <v>1651</v>
      </c>
      <c r="AC199" s="135" t="s">
        <v>1625</v>
      </c>
      <c r="AD199" s="91">
        <f>INDEX(Auxiliar!$D$5:$I$10,MATCH('LISTA - Setembro2024'!AD$3,Auxiliar!$B$5:$B$10,0),MATCH('LISTA - Setembro2024'!$AC199,Auxiliar!$D$4:$I$4,0))</f>
        <v>0</v>
      </c>
      <c r="AE199" s="91">
        <f>INDEX(Auxiliar!$D$5:$I$10,MATCH('LISTA - Setembro2024'!AE$3,Auxiliar!$B$5:$B$10,0),MATCH('LISTA - Setembro2024'!$AC199,Auxiliar!$D$4:$I$4,0))</f>
        <v>0</v>
      </c>
      <c r="AF199" s="87">
        <f>INDEX(Auxiliar!$D$5:$I$10,MATCH('LISTA - Setembro2024'!AF$3,Auxiliar!$B$5:$B$10,0),MATCH('LISTA - Setembro2024'!$AC199,Auxiliar!$D$4:$I$4,0))</f>
        <v>0</v>
      </c>
      <c r="AG199" s="87" t="str">
        <f t="shared" si="53"/>
        <v>n.a.</v>
      </c>
      <c r="AH199" s="87">
        <f>INDEX(Auxiliar!$D$5:$I$10,MATCH('LISTA - Setembro2024'!AH$3,Auxiliar!$B$5:$B$10,0),MATCH('LISTA - Setembro2024'!$AG199,Auxiliar!$D$4:$I$4,0))</f>
        <v>0</v>
      </c>
      <c r="AI199" s="87">
        <f>INDEX(Auxiliar!$D$5:$I$10,MATCH('LISTA - Setembro2024'!AI$3,Auxiliar!$B$5:$B$10,0),MATCH('LISTA - Setembro2024'!$AC199,Auxiliar!$D$4:$I$4,0))</f>
        <v>0</v>
      </c>
      <c r="AJ199" s="87">
        <f>INDEX(Auxiliar!$D$5:$I$10,MATCH('LISTA - Setembro2024'!AJ$3,Auxiliar!$B$5:$B$10,0),MATCH('LISTA - Setembro2024'!$AC199,Auxiliar!$D$4:$I$4,0))</f>
        <v>0</v>
      </c>
      <c r="AK199" s="160">
        <f t="shared" si="56"/>
        <v>0</v>
      </c>
      <c r="AL199" s="87"/>
    </row>
    <row r="200" spans="1:38" ht="13.8" x14ac:dyDescent="0.25">
      <c r="A200" s="158" t="s">
        <v>476</v>
      </c>
      <c r="B200" s="81" t="str">
        <f t="shared" si="54"/>
        <v>INSTRUMENT_DT_FRBRNC_STTS</v>
      </c>
      <c r="C200" s="82" t="s">
        <v>414</v>
      </c>
      <c r="D200" s="83" t="s">
        <v>477</v>
      </c>
      <c r="E200" s="84" t="s">
        <v>478</v>
      </c>
      <c r="F200" s="85" t="s">
        <v>13</v>
      </c>
      <c r="G200" s="85" t="s">
        <v>11</v>
      </c>
      <c r="H200" s="85" t="s">
        <v>11</v>
      </c>
      <c r="I200" s="85" t="s">
        <v>11</v>
      </c>
      <c r="J200" s="85" t="s">
        <v>11</v>
      </c>
      <c r="K200" s="85" t="s">
        <v>13</v>
      </c>
      <c r="L200" s="86" t="str">
        <f>IFERROR(VLOOKUP($B200,'LISTA - Atual'!$B$1:$I$444,5,0),"Novo")</f>
        <v>Y</v>
      </c>
      <c r="M200" s="86" t="str">
        <f t="shared" si="49"/>
        <v>Igual</v>
      </c>
      <c r="N200" s="86" t="str">
        <f>IFERROR(VLOOKUP($B200,'LISTA - Atual'!$B$1:$I$444,6,0),"Novo")</f>
        <v>N</v>
      </c>
      <c r="O200" s="86" t="str">
        <f t="shared" si="50"/>
        <v>Igual</v>
      </c>
      <c r="P200" s="86" t="str">
        <f>IFERROR(VLOOKUP($B200,'LISTA - Atual'!$B$1:$I$444,7,0),"Novo")</f>
        <v>N</v>
      </c>
      <c r="Q200" s="86" t="str">
        <f t="shared" si="51"/>
        <v>Igual</v>
      </c>
      <c r="R200" s="86" t="s">
        <v>1563</v>
      </c>
      <c r="S200" s="86" t="str">
        <f>IFERROR(VLOOKUP($B200,'LISTA - Atual'!$B$1:$I$444,8,0),"Novo")</f>
        <v>N</v>
      </c>
      <c r="T200" s="86" t="str">
        <f t="shared" si="52"/>
        <v>Igual</v>
      </c>
      <c r="U200" s="86" t="s">
        <v>1563</v>
      </c>
      <c r="V200" s="86" t="s">
        <v>11</v>
      </c>
      <c r="W200" s="87" t="str">
        <f>IFERROR(VLOOKUP(B200,#REF!,11,0),"n/a")</f>
        <v>n/a</v>
      </c>
      <c r="X200" s="88" t="str">
        <f>IFERROR(VLOOKUP(B200,#REF!,8,0),"n/a")</f>
        <v>n/a</v>
      </c>
      <c r="Y200" s="87" t="str">
        <f t="shared" si="55"/>
        <v>ESTR</v>
      </c>
      <c r="Z200" s="131" t="s">
        <v>1605</v>
      </c>
      <c r="AA200" s="227" t="e">
        <f>VLOOKUP(Table1[[#This Row],[CONCAT]],'Campos Resumo Prop2.0'!A:H,8,0)</f>
        <v>#N/A</v>
      </c>
      <c r="AB200" s="87" t="s">
        <v>1651</v>
      </c>
      <c r="AC200" s="135" t="s">
        <v>1625</v>
      </c>
      <c r="AD200" s="91">
        <f>INDEX(Auxiliar!$D$5:$I$10,MATCH('LISTA - Setembro2024'!AD$3,Auxiliar!$B$5:$B$10,0),MATCH('LISTA - Setembro2024'!$AC200,Auxiliar!$D$4:$I$4,0))</f>
        <v>0</v>
      </c>
      <c r="AE200" s="91">
        <f>INDEX(Auxiliar!$D$5:$I$10,MATCH('LISTA - Setembro2024'!AE$3,Auxiliar!$B$5:$B$10,0),MATCH('LISTA - Setembro2024'!$AC200,Auxiliar!$D$4:$I$4,0))</f>
        <v>0</v>
      </c>
      <c r="AF200" s="87">
        <f>INDEX(Auxiliar!$D$5:$I$10,MATCH('LISTA - Setembro2024'!AF$3,Auxiliar!$B$5:$B$10,0),MATCH('LISTA - Setembro2024'!$AC200,Auxiliar!$D$4:$I$4,0))</f>
        <v>0</v>
      </c>
      <c r="AG200" s="87" t="str">
        <f t="shared" si="53"/>
        <v>n.a.</v>
      </c>
      <c r="AH200" s="87">
        <f>INDEX(Auxiliar!$D$5:$I$10,MATCH('LISTA - Setembro2024'!AH$3,Auxiliar!$B$5:$B$10,0),MATCH('LISTA - Setembro2024'!$AG200,Auxiliar!$D$4:$I$4,0))</f>
        <v>0</v>
      </c>
      <c r="AI200" s="87">
        <f>INDEX(Auxiliar!$D$5:$I$10,MATCH('LISTA - Setembro2024'!AI$3,Auxiliar!$B$5:$B$10,0),MATCH('LISTA - Setembro2024'!$AC200,Auxiliar!$D$4:$I$4,0))</f>
        <v>0</v>
      </c>
      <c r="AJ200" s="87">
        <f>INDEX(Auxiliar!$D$5:$I$10,MATCH('LISTA - Setembro2024'!AJ$3,Auxiliar!$B$5:$B$10,0),MATCH('LISTA - Setembro2024'!$AC200,Auxiliar!$D$4:$I$4,0))</f>
        <v>0</v>
      </c>
      <c r="AK200" s="160">
        <f t="shared" si="56"/>
        <v>0</v>
      </c>
      <c r="AL200" s="87" t="s">
        <v>1682</v>
      </c>
    </row>
    <row r="201" spans="1:38" ht="13.8" x14ac:dyDescent="0.25">
      <c r="A201" s="158" t="s">
        <v>479</v>
      </c>
      <c r="B201" s="81" t="str">
        <f t="shared" si="54"/>
        <v>INSTRUMENT_DT_FRBRNC_STTS_PRVS</v>
      </c>
      <c r="C201" s="82" t="s">
        <v>414</v>
      </c>
      <c r="D201" s="83" t="s">
        <v>480</v>
      </c>
      <c r="E201" s="84" t="s">
        <v>481</v>
      </c>
      <c r="F201" s="85" t="s">
        <v>13</v>
      </c>
      <c r="G201" s="85" t="s">
        <v>11</v>
      </c>
      <c r="H201" s="85" t="s">
        <v>11</v>
      </c>
      <c r="I201" s="85" t="s">
        <v>11</v>
      </c>
      <c r="J201" s="85" t="s">
        <v>11</v>
      </c>
      <c r="K201" s="85" t="s">
        <v>11</v>
      </c>
      <c r="L201" s="86" t="str">
        <f>IFERROR(VLOOKUP($B201,'LISTA - Atual'!$B$1:$I$444,5,0),"Novo")</f>
        <v>Y</v>
      </c>
      <c r="M201" s="86" t="str">
        <f t="shared" si="49"/>
        <v>Igual</v>
      </c>
      <c r="N201" s="86" t="str">
        <f>IFERROR(VLOOKUP($B201,'LISTA - Atual'!$B$1:$I$444,6,0),"Novo")</f>
        <v>N</v>
      </c>
      <c r="O201" s="86" t="str">
        <f t="shared" si="50"/>
        <v>Igual</v>
      </c>
      <c r="P201" s="86" t="str">
        <f>IFERROR(VLOOKUP($B201,'LISTA - Atual'!$B$1:$I$444,7,0),"Novo")</f>
        <v>N</v>
      </c>
      <c r="Q201" s="86" t="str">
        <f t="shared" si="51"/>
        <v>Igual</v>
      </c>
      <c r="R201" s="86" t="s">
        <v>1563</v>
      </c>
      <c r="S201" s="86" t="str">
        <f>IFERROR(VLOOKUP($B201,'LISTA - Atual'!$B$1:$I$444,8,0),"Novo")</f>
        <v>N</v>
      </c>
      <c r="T201" s="86" t="str">
        <f t="shared" si="52"/>
        <v>Igual</v>
      </c>
      <c r="U201" s="86" t="s">
        <v>1563</v>
      </c>
      <c r="V201" s="86" t="s">
        <v>11</v>
      </c>
      <c r="W201" s="87" t="str">
        <f>IFERROR(VLOOKUP(B201,#REF!,11,0),"n/a")</f>
        <v>n/a</v>
      </c>
      <c r="X201" s="87" t="str">
        <f>IFERROR(VLOOKUP(B201,#REF!,8,0),"n/a")</f>
        <v>n/a</v>
      </c>
      <c r="Y201" s="87" t="str">
        <f t="shared" si="55"/>
        <v>ESTR</v>
      </c>
      <c r="Z201" s="131" t="s">
        <v>1605</v>
      </c>
      <c r="AA201" s="227" t="e">
        <f>VLOOKUP(Table1[[#This Row],[CONCAT]],'Campos Resumo Prop2.0'!A:H,8,0)</f>
        <v>#N/A</v>
      </c>
      <c r="AB201" s="87" t="s">
        <v>1651</v>
      </c>
      <c r="AC201" s="135" t="s">
        <v>1625</v>
      </c>
      <c r="AD201" s="91">
        <f>INDEX(Auxiliar!$D$5:$I$10,MATCH('LISTA - Setembro2024'!AD$3,Auxiliar!$B$5:$B$10,0),MATCH('LISTA - Setembro2024'!$AC201,Auxiliar!$D$4:$I$4,0))</f>
        <v>0</v>
      </c>
      <c r="AE201" s="91">
        <f>INDEX(Auxiliar!$D$5:$I$10,MATCH('LISTA - Setembro2024'!AE$3,Auxiliar!$B$5:$B$10,0),MATCH('LISTA - Setembro2024'!$AC201,Auxiliar!$D$4:$I$4,0))</f>
        <v>0</v>
      </c>
      <c r="AF201" s="87">
        <f>INDEX(Auxiliar!$D$5:$I$10,MATCH('LISTA - Setembro2024'!AF$3,Auxiliar!$B$5:$B$10,0),MATCH('LISTA - Setembro2024'!$AC201,Auxiliar!$D$4:$I$4,0))</f>
        <v>0</v>
      </c>
      <c r="AG201" s="87" t="str">
        <f t="shared" si="53"/>
        <v>n.a.</v>
      </c>
      <c r="AH201" s="87">
        <f>INDEX(Auxiliar!$D$5:$I$10,MATCH('LISTA - Setembro2024'!AH$3,Auxiliar!$B$5:$B$10,0),MATCH('LISTA - Setembro2024'!$AG201,Auxiliar!$D$4:$I$4,0))</f>
        <v>0</v>
      </c>
      <c r="AI201" s="87">
        <f>INDEX(Auxiliar!$D$5:$I$10,MATCH('LISTA - Setembro2024'!AI$3,Auxiliar!$B$5:$B$10,0),MATCH('LISTA - Setembro2024'!$AC201,Auxiliar!$D$4:$I$4,0))</f>
        <v>0</v>
      </c>
      <c r="AJ201" s="87">
        <f>INDEX(Auxiliar!$D$5:$I$10,MATCH('LISTA - Setembro2024'!AJ$3,Auxiliar!$B$5:$B$10,0),MATCH('LISTA - Setembro2024'!$AC201,Auxiliar!$D$4:$I$4,0))</f>
        <v>0</v>
      </c>
      <c r="AK201" s="160">
        <f t="shared" si="56"/>
        <v>0</v>
      </c>
      <c r="AL201" s="87"/>
    </row>
    <row r="202" spans="1:38" ht="13.8" x14ac:dyDescent="0.25">
      <c r="A202" s="158" t="s">
        <v>482</v>
      </c>
      <c r="B202" s="81" t="str">
        <f t="shared" si="54"/>
        <v>INSTRUMENT_DT_INTRNL_RTNG</v>
      </c>
      <c r="C202" s="82" t="s">
        <v>414</v>
      </c>
      <c r="D202" s="83" t="s">
        <v>80</v>
      </c>
      <c r="E202" s="84" t="s">
        <v>81</v>
      </c>
      <c r="F202" s="85" t="s">
        <v>13</v>
      </c>
      <c r="G202" s="85" t="s">
        <v>11</v>
      </c>
      <c r="H202" s="85" t="s">
        <v>11</v>
      </c>
      <c r="I202" s="85" t="s">
        <v>11</v>
      </c>
      <c r="J202" s="85" t="s">
        <v>11</v>
      </c>
      <c r="K202" s="85" t="s">
        <v>13</v>
      </c>
      <c r="L202" s="86" t="str">
        <f>IFERROR(VLOOKUP($B202,'LISTA - Atual'!$B$1:$I$444,5,0),"Novo")</f>
        <v>Y</v>
      </c>
      <c r="M202" s="86" t="str">
        <f t="shared" si="49"/>
        <v>Igual</v>
      </c>
      <c r="N202" s="86" t="str">
        <f>IFERROR(VLOOKUP($B202,'LISTA - Atual'!$B$1:$I$444,6,0),"Novo")</f>
        <v>N</v>
      </c>
      <c r="O202" s="86" t="str">
        <f t="shared" si="50"/>
        <v>Igual</v>
      </c>
      <c r="P202" s="86" t="str">
        <f>IFERROR(VLOOKUP($B202,'LISTA - Atual'!$B$1:$I$444,7,0),"Novo")</f>
        <v>N</v>
      </c>
      <c r="Q202" s="86" t="str">
        <f t="shared" si="51"/>
        <v>Igual</v>
      </c>
      <c r="R202" s="86" t="s">
        <v>1563</v>
      </c>
      <c r="S202" s="86" t="str">
        <f>IFERROR(VLOOKUP($B202,'LISTA - Atual'!$B$1:$I$444,8,0),"Novo")</f>
        <v>N</v>
      </c>
      <c r="T202" s="86" t="str">
        <f t="shared" si="52"/>
        <v>Igual</v>
      </c>
      <c r="U202" s="86" t="s">
        <v>1563</v>
      </c>
      <c r="V202" s="86" t="s">
        <v>11</v>
      </c>
      <c r="W202" s="87" t="str">
        <f>IFERROR(VLOOKUP(B202,#REF!,11,0),"n/a")</f>
        <v>n/a</v>
      </c>
      <c r="X202" s="87" t="str">
        <f>IFERROR(VLOOKUP(B202,#REF!,8,0),"n/a")</f>
        <v>n/a</v>
      </c>
      <c r="Y202" s="87" t="str">
        <f t="shared" si="55"/>
        <v>ESTR</v>
      </c>
      <c r="Z202" s="131" t="s">
        <v>1605</v>
      </c>
      <c r="AA202" s="227" t="e">
        <f>VLOOKUP(Table1[[#This Row],[CONCAT]],'Campos Resumo Prop2.0'!A:H,8,0)</f>
        <v>#N/A</v>
      </c>
      <c r="AB202" s="87" t="s">
        <v>1651</v>
      </c>
      <c r="AC202" s="135" t="s">
        <v>1625</v>
      </c>
      <c r="AD202" s="135">
        <v>1</v>
      </c>
      <c r="AE202" s="91">
        <f>INDEX(Auxiliar!$D$5:$I$10,MATCH('LISTA - Setembro2024'!AE$3,Auxiliar!$B$5:$B$10,0),MATCH('LISTA - Setembro2024'!$AC202,Auxiliar!$D$4:$I$4,0))</f>
        <v>0</v>
      </c>
      <c r="AF202" s="87">
        <f>INDEX(Auxiliar!$D$5:$I$10,MATCH('LISTA - Setembro2024'!AF$3,Auxiliar!$B$5:$B$10,0),MATCH('LISTA - Setembro2024'!$AC202,Auxiliar!$D$4:$I$4,0))</f>
        <v>0</v>
      </c>
      <c r="AG202" s="87" t="str">
        <f t="shared" si="53"/>
        <v>n.a.</v>
      </c>
      <c r="AH202" s="87">
        <f>INDEX(Auxiliar!$D$5:$I$10,MATCH('LISTA - Setembro2024'!AH$3,Auxiliar!$B$5:$B$10,0),MATCH('LISTA - Setembro2024'!$AG202,Auxiliar!$D$4:$I$4,0))</f>
        <v>0</v>
      </c>
      <c r="AI202" s="87">
        <f>INDEX(Auxiliar!$D$5:$I$10,MATCH('LISTA - Setembro2024'!AI$3,Auxiliar!$B$5:$B$10,0),MATCH('LISTA - Setembro2024'!$AC202,Auxiliar!$D$4:$I$4,0))</f>
        <v>0</v>
      </c>
      <c r="AJ202" s="87">
        <f>INDEX(Auxiliar!$D$5:$I$10,MATCH('LISTA - Setembro2024'!AJ$3,Auxiliar!$B$5:$B$10,0),MATCH('LISTA - Setembro2024'!$AC202,Auxiliar!$D$4:$I$4,0))</f>
        <v>0</v>
      </c>
      <c r="AK202" s="160">
        <f t="shared" si="56"/>
        <v>0</v>
      </c>
      <c r="AL202" s="87" t="s">
        <v>1685</v>
      </c>
    </row>
    <row r="203" spans="1:38" ht="13.8" x14ac:dyDescent="0.25">
      <c r="A203" s="158" t="s">
        <v>483</v>
      </c>
      <c r="B203" s="81" t="str">
        <f t="shared" si="54"/>
        <v>INSTRUMENT_DT_PRFRMNG_STTS</v>
      </c>
      <c r="C203" s="82" t="s">
        <v>414</v>
      </c>
      <c r="D203" s="83" t="s">
        <v>484</v>
      </c>
      <c r="E203" s="84" t="s">
        <v>36</v>
      </c>
      <c r="F203" s="85" t="s">
        <v>13</v>
      </c>
      <c r="G203" s="85" t="s">
        <v>11</v>
      </c>
      <c r="H203" s="85" t="s">
        <v>11</v>
      </c>
      <c r="I203" s="85" t="s">
        <v>11</v>
      </c>
      <c r="J203" s="85" t="s">
        <v>11</v>
      </c>
      <c r="K203" s="85" t="s">
        <v>13</v>
      </c>
      <c r="L203" s="86" t="str">
        <f>IFERROR(VLOOKUP($B203,'LISTA - Atual'!$B$1:$I$444,5,0),"Novo")</f>
        <v>Y</v>
      </c>
      <c r="M203" s="86" t="str">
        <f t="shared" si="49"/>
        <v>Igual</v>
      </c>
      <c r="N203" s="86" t="str">
        <f>IFERROR(VLOOKUP($B203,'LISTA - Atual'!$B$1:$I$444,6,0),"Novo")</f>
        <v>N</v>
      </c>
      <c r="O203" s="86" t="str">
        <f t="shared" si="50"/>
        <v>Igual</v>
      </c>
      <c r="P203" s="86" t="str">
        <f>IFERROR(VLOOKUP($B203,'LISTA - Atual'!$B$1:$I$444,7,0),"Novo")</f>
        <v>N</v>
      </c>
      <c r="Q203" s="86" t="str">
        <f t="shared" si="51"/>
        <v>Igual</v>
      </c>
      <c r="R203" s="86" t="s">
        <v>1563</v>
      </c>
      <c r="S203" s="86" t="str">
        <f>IFERROR(VLOOKUP($B203,'LISTA - Atual'!$B$1:$I$444,8,0),"Novo")</f>
        <v>N</v>
      </c>
      <c r="T203" s="86" t="str">
        <f t="shared" si="52"/>
        <v>Igual</v>
      </c>
      <c r="U203" s="86" t="s">
        <v>1563</v>
      </c>
      <c r="V203" s="86" t="s">
        <v>11</v>
      </c>
      <c r="W203" s="87" t="str">
        <f>IFERROR(VLOOKUP(B203,#REF!,11,0),"n/a")</f>
        <v>n/a</v>
      </c>
      <c r="X203" s="87" t="str">
        <f>IFERROR(VLOOKUP(B203,#REF!,8,0),"n/a")</f>
        <v>n/a</v>
      </c>
      <c r="Y203" s="87" t="str">
        <f t="shared" si="55"/>
        <v>ESTR</v>
      </c>
      <c r="Z203" s="131" t="s">
        <v>1605</v>
      </c>
      <c r="AA203" s="227" t="e">
        <f>VLOOKUP(Table1[[#This Row],[CONCAT]],'Campos Resumo Prop2.0'!A:H,8,0)</f>
        <v>#N/A</v>
      </c>
      <c r="AB203" s="87" t="s">
        <v>1651</v>
      </c>
      <c r="AC203" s="135" t="s">
        <v>1625</v>
      </c>
      <c r="AD203" s="135">
        <v>1</v>
      </c>
      <c r="AE203" s="91">
        <f>INDEX(Auxiliar!$D$5:$I$10,MATCH('LISTA - Setembro2024'!AE$3,Auxiliar!$B$5:$B$10,0),MATCH('LISTA - Setembro2024'!$AC203,Auxiliar!$D$4:$I$4,0))</f>
        <v>0</v>
      </c>
      <c r="AF203" s="87">
        <f>INDEX(Auxiliar!$D$5:$I$10,MATCH('LISTA - Setembro2024'!AF$3,Auxiliar!$B$5:$B$10,0),MATCH('LISTA - Setembro2024'!$AC203,Auxiliar!$D$4:$I$4,0))</f>
        <v>0</v>
      </c>
      <c r="AG203" s="87" t="str">
        <f t="shared" si="53"/>
        <v>n.a.</v>
      </c>
      <c r="AH203" s="87">
        <f>INDEX(Auxiliar!$D$5:$I$10,MATCH('LISTA - Setembro2024'!AH$3,Auxiliar!$B$5:$B$10,0),MATCH('LISTA - Setembro2024'!$AG203,Auxiliar!$D$4:$I$4,0))</f>
        <v>0</v>
      </c>
      <c r="AI203" s="87">
        <f>INDEX(Auxiliar!$D$5:$I$10,MATCH('LISTA - Setembro2024'!AI$3,Auxiliar!$B$5:$B$10,0),MATCH('LISTA - Setembro2024'!$AC203,Auxiliar!$D$4:$I$4,0))</f>
        <v>0</v>
      </c>
      <c r="AJ203" s="87">
        <f>INDEX(Auxiliar!$D$5:$I$10,MATCH('LISTA - Setembro2024'!AJ$3,Auxiliar!$B$5:$B$10,0),MATCH('LISTA - Setembro2024'!$AC203,Auxiliar!$D$4:$I$4,0))</f>
        <v>0</v>
      </c>
      <c r="AK203" s="160">
        <f t="shared" si="56"/>
        <v>0</v>
      </c>
      <c r="AL203" s="87" t="s">
        <v>1684</v>
      </c>
    </row>
    <row r="204" spans="1:38" ht="13.8" x14ac:dyDescent="0.25">
      <c r="A204" s="158" t="s">
        <v>485</v>
      </c>
      <c r="B204" s="81" t="str">
        <f t="shared" si="54"/>
        <v>INSTRUMENT_DT_PRFRMNG_STTS_PRVS</v>
      </c>
      <c r="C204" s="82" t="s">
        <v>414</v>
      </c>
      <c r="D204" s="83" t="s">
        <v>486</v>
      </c>
      <c r="E204" s="84" t="s">
        <v>487</v>
      </c>
      <c r="F204" s="85" t="s">
        <v>13</v>
      </c>
      <c r="G204" s="85" t="s">
        <v>11</v>
      </c>
      <c r="H204" s="85" t="s">
        <v>11</v>
      </c>
      <c r="I204" s="85" t="s">
        <v>11</v>
      </c>
      <c r="J204" s="85" t="s">
        <v>11</v>
      </c>
      <c r="K204" s="85" t="s">
        <v>13</v>
      </c>
      <c r="L204" s="86" t="str">
        <f>IFERROR(VLOOKUP($B204,'LISTA - Atual'!$B$1:$I$444,5,0),"Novo")</f>
        <v>Y</v>
      </c>
      <c r="M204" s="86" t="str">
        <f t="shared" si="49"/>
        <v>Igual</v>
      </c>
      <c r="N204" s="86" t="str">
        <f>IFERROR(VLOOKUP($B204,'LISTA - Atual'!$B$1:$I$444,6,0),"Novo")</f>
        <v>N</v>
      </c>
      <c r="O204" s="86" t="str">
        <f t="shared" si="50"/>
        <v>Igual</v>
      </c>
      <c r="P204" s="86" t="str">
        <f>IFERROR(VLOOKUP($B204,'LISTA - Atual'!$B$1:$I$444,7,0),"Novo")</f>
        <v>N</v>
      </c>
      <c r="Q204" s="86" t="str">
        <f t="shared" si="51"/>
        <v>Igual</v>
      </c>
      <c r="R204" s="86" t="s">
        <v>1563</v>
      </c>
      <c r="S204" s="86" t="str">
        <f>IFERROR(VLOOKUP($B204,'LISTA - Atual'!$B$1:$I$444,8,0),"Novo")</f>
        <v>N</v>
      </c>
      <c r="T204" s="86" t="str">
        <f t="shared" si="52"/>
        <v>Igual</v>
      </c>
      <c r="U204" s="86" t="s">
        <v>1563</v>
      </c>
      <c r="V204" s="86" t="s">
        <v>11</v>
      </c>
      <c r="W204" s="87" t="str">
        <f>IFERROR(VLOOKUP(B204,#REF!,11,0),"n/a")</f>
        <v>n/a</v>
      </c>
      <c r="X204" s="87" t="str">
        <f>IFERROR(VLOOKUP(B204,#REF!,8,0),"n/a")</f>
        <v>n/a</v>
      </c>
      <c r="Y204" s="87" t="str">
        <f t="shared" si="55"/>
        <v>ESTR</v>
      </c>
      <c r="Z204" s="131" t="s">
        <v>1605</v>
      </c>
      <c r="AA204" s="227" t="e">
        <f>VLOOKUP(Table1[[#This Row],[CONCAT]],'Campos Resumo Prop2.0'!A:H,8,0)</f>
        <v>#N/A</v>
      </c>
      <c r="AB204" s="87" t="s">
        <v>1651</v>
      </c>
      <c r="AC204" s="135" t="s">
        <v>1625</v>
      </c>
      <c r="AD204" s="135">
        <v>1</v>
      </c>
      <c r="AE204" s="91">
        <f>INDEX(Auxiliar!$D$5:$I$10,MATCH('LISTA - Setembro2024'!AE$3,Auxiliar!$B$5:$B$10,0),MATCH('LISTA - Setembro2024'!$AC204,Auxiliar!$D$4:$I$4,0))</f>
        <v>0</v>
      </c>
      <c r="AF204" s="87">
        <f>INDEX(Auxiliar!$D$5:$I$10,MATCH('LISTA - Setembro2024'!AF$3,Auxiliar!$B$5:$B$10,0),MATCH('LISTA - Setembro2024'!$AC204,Auxiliar!$D$4:$I$4,0))</f>
        <v>0</v>
      </c>
      <c r="AG204" s="87" t="str">
        <f t="shared" si="53"/>
        <v>n.a.</v>
      </c>
      <c r="AH204" s="87">
        <f>INDEX(Auxiliar!$D$5:$I$10,MATCH('LISTA - Setembro2024'!AH$3,Auxiliar!$B$5:$B$10,0),MATCH('LISTA - Setembro2024'!$AG204,Auxiliar!$D$4:$I$4,0))</f>
        <v>0</v>
      </c>
      <c r="AI204" s="87">
        <f>INDEX(Auxiliar!$D$5:$I$10,MATCH('LISTA - Setembro2024'!AI$3,Auxiliar!$B$5:$B$10,0),MATCH('LISTA - Setembro2024'!$AC204,Auxiliar!$D$4:$I$4,0))</f>
        <v>0</v>
      </c>
      <c r="AJ204" s="87">
        <f>INDEX(Auxiliar!$D$5:$I$10,MATCH('LISTA - Setembro2024'!AJ$3,Auxiliar!$B$5:$B$10,0),MATCH('LISTA - Setembro2024'!$AC204,Auxiliar!$D$4:$I$4,0))</f>
        <v>0</v>
      </c>
      <c r="AK204" s="160">
        <f t="shared" si="56"/>
        <v>0</v>
      </c>
      <c r="AL204" s="87" t="s">
        <v>1684</v>
      </c>
    </row>
    <row r="205" spans="1:38" ht="13.8" x14ac:dyDescent="0.25">
      <c r="A205" s="158" t="s">
        <v>488</v>
      </c>
      <c r="B205" s="81" t="str">
        <f t="shared" si="54"/>
        <v>INSTRUMENT_DT_STRT_INTRST_ONLY</v>
      </c>
      <c r="C205" s="82" t="s">
        <v>414</v>
      </c>
      <c r="D205" s="83" t="s">
        <v>489</v>
      </c>
      <c r="E205" s="84" t="s">
        <v>490</v>
      </c>
      <c r="F205" s="85" t="s">
        <v>13</v>
      </c>
      <c r="G205" s="85" t="s">
        <v>11</v>
      </c>
      <c r="H205" s="85" t="s">
        <v>11</v>
      </c>
      <c r="I205" s="85" t="s">
        <v>11</v>
      </c>
      <c r="J205" s="85" t="s">
        <v>11</v>
      </c>
      <c r="K205" s="85" t="s">
        <v>11</v>
      </c>
      <c r="L205" s="86" t="str">
        <f>IFERROR(VLOOKUP($B205,'LISTA - Atual'!$B$1:$I$444,5,0),"Novo")</f>
        <v>Y</v>
      </c>
      <c r="M205" s="86" t="str">
        <f t="shared" si="49"/>
        <v>Igual</v>
      </c>
      <c r="N205" s="86" t="str">
        <f>IFERROR(VLOOKUP($B205,'LISTA - Atual'!$B$1:$I$444,6,0),"Novo")</f>
        <v>N</v>
      </c>
      <c r="O205" s="86" t="str">
        <f t="shared" si="50"/>
        <v>Igual</v>
      </c>
      <c r="P205" s="86" t="str">
        <f>IFERROR(VLOOKUP($B205,'LISTA - Atual'!$B$1:$I$444,7,0),"Novo")</f>
        <v>N</v>
      </c>
      <c r="Q205" s="86" t="str">
        <f t="shared" si="51"/>
        <v>Igual</v>
      </c>
      <c r="R205" s="86" t="s">
        <v>1563</v>
      </c>
      <c r="S205" s="86" t="str">
        <f>IFERROR(VLOOKUP($B205,'LISTA - Atual'!$B$1:$I$444,8,0),"Novo")</f>
        <v>N</v>
      </c>
      <c r="T205" s="86" t="str">
        <f t="shared" si="52"/>
        <v>Igual</v>
      </c>
      <c r="U205" s="86" t="s">
        <v>1563</v>
      </c>
      <c r="V205" s="86" t="s">
        <v>11</v>
      </c>
      <c r="W205" s="87" t="str">
        <f>IFERROR(VLOOKUP(B205,#REF!,11,0),"n/a")</f>
        <v>n/a</v>
      </c>
      <c r="X205" s="87" t="str">
        <f>IFERROR(VLOOKUP(B205,#REF!,8,0),"n/a")</f>
        <v>n/a</v>
      </c>
      <c r="Y205" s="87" t="str">
        <f t="shared" si="55"/>
        <v>ESTR</v>
      </c>
      <c r="Z205" s="131" t="s">
        <v>1605</v>
      </c>
      <c r="AA205" s="227" t="e">
        <f>VLOOKUP(Table1[[#This Row],[CONCAT]],'Campos Resumo Prop2.0'!A:H,8,0)</f>
        <v>#N/A</v>
      </c>
      <c r="AB205" s="87" t="s">
        <v>1651</v>
      </c>
      <c r="AC205" s="135" t="s">
        <v>1625</v>
      </c>
      <c r="AD205" s="91">
        <f>INDEX(Auxiliar!$D$5:$I$10,MATCH('LISTA - Setembro2024'!AD$3,Auxiliar!$B$5:$B$10,0),MATCH('LISTA - Setembro2024'!$AC205,Auxiliar!$D$4:$I$4,0))</f>
        <v>0</v>
      </c>
      <c r="AE205" s="91">
        <f>INDEX(Auxiliar!$D$5:$I$10,MATCH('LISTA - Setembro2024'!AE$3,Auxiliar!$B$5:$B$10,0),MATCH('LISTA - Setembro2024'!$AC205,Auxiliar!$D$4:$I$4,0))</f>
        <v>0</v>
      </c>
      <c r="AF205" s="87">
        <f>INDEX(Auxiliar!$D$5:$I$10,MATCH('LISTA - Setembro2024'!AF$3,Auxiliar!$B$5:$B$10,0),MATCH('LISTA - Setembro2024'!$AC205,Auxiliar!$D$4:$I$4,0))</f>
        <v>0</v>
      </c>
      <c r="AG205" s="87" t="str">
        <f t="shared" si="53"/>
        <v>n.a.</v>
      </c>
      <c r="AH205" s="87">
        <f>INDEX(Auxiliar!$D$5:$I$10,MATCH('LISTA - Setembro2024'!AH$3,Auxiliar!$B$5:$B$10,0),MATCH('LISTA - Setembro2024'!$AG205,Auxiliar!$D$4:$I$4,0))</f>
        <v>0</v>
      </c>
      <c r="AI205" s="87">
        <f>INDEX(Auxiliar!$D$5:$I$10,MATCH('LISTA - Setembro2024'!AI$3,Auxiliar!$B$5:$B$10,0),MATCH('LISTA - Setembro2024'!$AC205,Auxiliar!$D$4:$I$4,0))</f>
        <v>0</v>
      </c>
      <c r="AJ205" s="87">
        <f>INDEX(Auxiliar!$D$5:$I$10,MATCH('LISTA - Setembro2024'!AJ$3,Auxiliar!$B$5:$B$10,0),MATCH('LISTA - Setembro2024'!$AC205,Auxiliar!$D$4:$I$4,0))</f>
        <v>0</v>
      </c>
      <c r="AK205" s="160">
        <f t="shared" si="56"/>
        <v>0</v>
      </c>
      <c r="AL205" s="87"/>
    </row>
    <row r="206" spans="1:38" ht="13.8" x14ac:dyDescent="0.25">
      <c r="A206" s="158" t="s">
        <v>491</v>
      </c>
      <c r="B206" s="81" t="str">
        <f t="shared" si="54"/>
        <v>INSTRUMENT_EXPSR_IN_SCP</v>
      </c>
      <c r="C206" s="82" t="s">
        <v>414</v>
      </c>
      <c r="D206" s="83" t="s">
        <v>492</v>
      </c>
      <c r="E206" s="84" t="s">
        <v>493</v>
      </c>
      <c r="F206" s="85" t="s">
        <v>13</v>
      </c>
      <c r="G206" s="85" t="s">
        <v>11</v>
      </c>
      <c r="H206" s="85" t="s">
        <v>11</v>
      </c>
      <c r="I206" s="85" t="s">
        <v>11</v>
      </c>
      <c r="J206" s="85" t="s">
        <v>11</v>
      </c>
      <c r="K206" s="85" t="s">
        <v>13</v>
      </c>
      <c r="L206" s="86" t="str">
        <f>IFERROR(VLOOKUP($B206,'LISTA - Atual'!$B$1:$I$444,5,0),"Novo")</f>
        <v>Y</v>
      </c>
      <c r="M206" s="86" t="str">
        <f t="shared" si="49"/>
        <v>Igual</v>
      </c>
      <c r="N206" s="86" t="str">
        <f>IFERROR(VLOOKUP($B206,'LISTA - Atual'!$B$1:$I$444,6,0),"Novo")</f>
        <v>N</v>
      </c>
      <c r="O206" s="86" t="str">
        <f t="shared" si="50"/>
        <v>Igual</v>
      </c>
      <c r="P206" s="86" t="str">
        <f>IFERROR(VLOOKUP($B206,'LISTA - Atual'!$B$1:$I$444,7,0),"Novo")</f>
        <v>N</v>
      </c>
      <c r="Q206" s="86" t="str">
        <f t="shared" si="51"/>
        <v>Igual</v>
      </c>
      <c r="R206" s="86" t="s">
        <v>1563</v>
      </c>
      <c r="S206" s="86" t="str">
        <f>IFERROR(VLOOKUP($B206,'LISTA - Atual'!$B$1:$I$444,8,0),"Novo")</f>
        <v>N</v>
      </c>
      <c r="T206" s="86" t="str">
        <f t="shared" si="52"/>
        <v>Igual</v>
      </c>
      <c r="U206" s="86" t="s">
        <v>1563</v>
      </c>
      <c r="V206" s="86" t="s">
        <v>11</v>
      </c>
      <c r="W206" s="87" t="str">
        <f>IFERROR(VLOOKUP(B206,#REF!,11,0),"n/a")</f>
        <v>n/a</v>
      </c>
      <c r="X206" s="87" t="str">
        <f>IFERROR(VLOOKUP(B206,#REF!,8,0),"n/a")</f>
        <v>n/a</v>
      </c>
      <c r="Y206" s="87" t="str">
        <f t="shared" si="55"/>
        <v>ESTR</v>
      </c>
      <c r="Z206" s="131" t="s">
        <v>1605</v>
      </c>
      <c r="AA206" s="227" t="e">
        <f>VLOOKUP(Table1[[#This Row],[CONCAT]],'Campos Resumo Prop2.0'!A:H,8,0)</f>
        <v>#N/A</v>
      </c>
      <c r="AB206" s="87" t="s">
        <v>1661</v>
      </c>
      <c r="AC206" s="135" t="s">
        <v>1625</v>
      </c>
      <c r="AD206" s="91">
        <f>INDEX(Auxiliar!$D$5:$I$10,MATCH('LISTA - Setembro2024'!AD$3,Auxiliar!$B$5:$B$10,0),MATCH('LISTA - Setembro2024'!$AC206,Auxiliar!$D$4:$I$4,0))</f>
        <v>0</v>
      </c>
      <c r="AE206" s="91">
        <f>INDEX(Auxiliar!$D$5:$I$10,MATCH('LISTA - Setembro2024'!AE$3,Auxiliar!$B$5:$B$10,0),MATCH('LISTA - Setembro2024'!$AC206,Auxiliar!$D$4:$I$4,0))</f>
        <v>0</v>
      </c>
      <c r="AF206" s="87">
        <f>INDEX(Auxiliar!$D$5:$I$10,MATCH('LISTA - Setembro2024'!AF$3,Auxiliar!$B$5:$B$10,0),MATCH('LISTA - Setembro2024'!$AC206,Auxiliar!$D$4:$I$4,0))</f>
        <v>0</v>
      </c>
      <c r="AG206" s="87" t="str">
        <f t="shared" si="53"/>
        <v>n.a.</v>
      </c>
      <c r="AH206" s="87">
        <f>INDEX(Auxiliar!$D$5:$I$10,MATCH('LISTA - Setembro2024'!AH$3,Auxiliar!$B$5:$B$10,0),MATCH('LISTA - Setembro2024'!$AG206,Auxiliar!$D$4:$I$4,0))</f>
        <v>0</v>
      </c>
      <c r="AI206" s="87">
        <f>INDEX(Auxiliar!$D$5:$I$10,MATCH('LISTA - Setembro2024'!AI$3,Auxiliar!$B$5:$B$10,0),MATCH('LISTA - Setembro2024'!$AC206,Auxiliar!$D$4:$I$4,0))</f>
        <v>0</v>
      </c>
      <c r="AJ206" s="87">
        <f>INDEX(Auxiliar!$D$5:$I$10,MATCH('LISTA - Setembro2024'!AJ$3,Auxiliar!$B$5:$B$10,0),MATCH('LISTA - Setembro2024'!$AC206,Auxiliar!$D$4:$I$4,0))</f>
        <v>0</v>
      </c>
      <c r="AK206" s="160">
        <f t="shared" si="56"/>
        <v>0</v>
      </c>
      <c r="AL206" s="87"/>
    </row>
    <row r="207" spans="1:38" ht="13.8" x14ac:dyDescent="0.25">
      <c r="A207" s="158" t="s">
        <v>494</v>
      </c>
      <c r="B207" s="81" t="str">
        <f t="shared" si="54"/>
        <v>INSTRUMENT_FLD_SYNDCTN</v>
      </c>
      <c r="C207" s="82" t="s">
        <v>414</v>
      </c>
      <c r="D207" s="83" t="s">
        <v>495</v>
      </c>
      <c r="E207" s="84" t="s">
        <v>496</v>
      </c>
      <c r="F207" s="85" t="s">
        <v>13</v>
      </c>
      <c r="G207" s="85" t="s">
        <v>11</v>
      </c>
      <c r="H207" s="85" t="s">
        <v>11</v>
      </c>
      <c r="I207" s="85" t="s">
        <v>11</v>
      </c>
      <c r="J207" s="85" t="s">
        <v>11</v>
      </c>
      <c r="K207" s="85" t="s">
        <v>13</v>
      </c>
      <c r="L207" s="86" t="str">
        <f>IFERROR(VLOOKUP($B207,'LISTA - Atual'!$B$1:$I$444,5,0),"Novo")</f>
        <v>Y</v>
      </c>
      <c r="M207" s="86" t="str">
        <f t="shared" si="49"/>
        <v>Igual</v>
      </c>
      <c r="N207" s="86" t="str">
        <f>IFERROR(VLOOKUP($B207,'LISTA - Atual'!$B$1:$I$444,6,0),"Novo")</f>
        <v>N</v>
      </c>
      <c r="O207" s="86" t="str">
        <f t="shared" si="50"/>
        <v>Igual</v>
      </c>
      <c r="P207" s="86" t="str">
        <f>IFERROR(VLOOKUP($B207,'LISTA - Atual'!$B$1:$I$444,7,0),"Novo")</f>
        <v>N</v>
      </c>
      <c r="Q207" s="86" t="str">
        <f t="shared" si="51"/>
        <v>Igual</v>
      </c>
      <c r="R207" s="86" t="s">
        <v>1563</v>
      </c>
      <c r="S207" s="86" t="str">
        <f>IFERROR(VLOOKUP($B207,'LISTA - Atual'!$B$1:$I$444,8,0),"Novo")</f>
        <v>N</v>
      </c>
      <c r="T207" s="86" t="str">
        <f t="shared" si="52"/>
        <v>Igual</v>
      </c>
      <c r="U207" s="86" t="s">
        <v>1563</v>
      </c>
      <c r="V207" s="86" t="s">
        <v>11</v>
      </c>
      <c r="W207" s="87" t="str">
        <f>IFERROR(VLOOKUP(B207,#REF!,11,0),"n/a")</f>
        <v>n/a</v>
      </c>
      <c r="X207" s="88" t="str">
        <f>IFERROR(VLOOKUP(B207,#REF!,8,0),"n/a")</f>
        <v>n/a</v>
      </c>
      <c r="Y207" s="87" t="str">
        <f t="shared" si="55"/>
        <v>ESTR</v>
      </c>
      <c r="Z207" s="131" t="s">
        <v>1605</v>
      </c>
      <c r="AA207" s="227" t="e">
        <f>VLOOKUP(Table1[[#This Row],[CONCAT]],'Campos Resumo Prop2.0'!A:H,8,0)</f>
        <v>#N/A</v>
      </c>
      <c r="AB207" s="87" t="s">
        <v>1654</v>
      </c>
      <c r="AC207" s="135" t="s">
        <v>1625</v>
      </c>
      <c r="AD207" s="91">
        <f>INDEX(Auxiliar!$D$5:$I$10,MATCH('LISTA - Setembro2024'!AD$3,Auxiliar!$B$5:$B$10,0),MATCH('LISTA - Setembro2024'!$AC207,Auxiliar!$D$4:$I$4,0))</f>
        <v>0</v>
      </c>
      <c r="AE207" s="91">
        <f>INDEX(Auxiliar!$D$5:$I$10,MATCH('LISTA - Setembro2024'!AE$3,Auxiliar!$B$5:$B$10,0),MATCH('LISTA - Setembro2024'!$AC207,Auxiliar!$D$4:$I$4,0))</f>
        <v>0</v>
      </c>
      <c r="AF207" s="87">
        <f>INDEX(Auxiliar!$D$5:$I$10,MATCH('LISTA - Setembro2024'!AF$3,Auxiliar!$B$5:$B$10,0),MATCH('LISTA - Setembro2024'!$AC207,Auxiliar!$D$4:$I$4,0))</f>
        <v>0</v>
      </c>
      <c r="AG207" s="87" t="str">
        <f t="shared" si="53"/>
        <v>n.a.</v>
      </c>
      <c r="AH207" s="87">
        <f>INDEX(Auxiliar!$D$5:$I$10,MATCH('LISTA - Setembro2024'!AH$3,Auxiliar!$B$5:$B$10,0),MATCH('LISTA - Setembro2024'!$AG207,Auxiliar!$D$4:$I$4,0))</f>
        <v>0</v>
      </c>
      <c r="AI207" s="87">
        <f>INDEX(Auxiliar!$D$5:$I$10,MATCH('LISTA - Setembro2024'!AI$3,Auxiliar!$B$5:$B$10,0),MATCH('LISTA - Setembro2024'!$AC207,Auxiliar!$D$4:$I$4,0))</f>
        <v>0</v>
      </c>
      <c r="AJ207" s="87">
        <f>INDEX(Auxiliar!$D$5:$I$10,MATCH('LISTA - Setembro2024'!AJ$3,Auxiliar!$B$5:$B$10,0),MATCH('LISTA - Setembro2024'!$AC207,Auxiliar!$D$4:$I$4,0))</f>
        <v>0</v>
      </c>
      <c r="AK207" s="160">
        <f t="shared" si="56"/>
        <v>0</v>
      </c>
      <c r="AL207" s="87" t="s">
        <v>1696</v>
      </c>
    </row>
    <row r="208" spans="1:38" ht="13.8" x14ac:dyDescent="0.25">
      <c r="A208" s="158" t="s">
        <v>497</v>
      </c>
      <c r="B208" s="81" t="str">
        <f t="shared" si="54"/>
        <v>INSTRUMENT_FLG_LBO</v>
      </c>
      <c r="C208" s="82" t="s">
        <v>414</v>
      </c>
      <c r="D208" s="83" t="s">
        <v>498</v>
      </c>
      <c r="E208" s="84" t="s">
        <v>499</v>
      </c>
      <c r="F208" s="85" t="s">
        <v>13</v>
      </c>
      <c r="G208" s="85" t="s">
        <v>11</v>
      </c>
      <c r="H208" s="85" t="s">
        <v>11</v>
      </c>
      <c r="I208" s="85" t="s">
        <v>11</v>
      </c>
      <c r="J208" s="85" t="s">
        <v>11</v>
      </c>
      <c r="K208" s="85" t="s">
        <v>13</v>
      </c>
      <c r="L208" s="86" t="str">
        <f>IFERROR(VLOOKUP($B208,'LISTA - Atual'!$B$1:$I$444,5,0),"Novo")</f>
        <v>Y</v>
      </c>
      <c r="M208" s="86" t="str">
        <f t="shared" si="49"/>
        <v>Igual</v>
      </c>
      <c r="N208" s="86" t="str">
        <f>IFERROR(VLOOKUP($B208,'LISTA - Atual'!$B$1:$I$444,6,0),"Novo")</f>
        <v>N</v>
      </c>
      <c r="O208" s="86" t="str">
        <f t="shared" si="50"/>
        <v>Igual</v>
      </c>
      <c r="P208" s="86" t="str">
        <f>IFERROR(VLOOKUP($B208,'LISTA - Atual'!$B$1:$I$444,7,0),"Novo")</f>
        <v>N</v>
      </c>
      <c r="Q208" s="86" t="str">
        <f t="shared" si="51"/>
        <v>Igual</v>
      </c>
      <c r="R208" s="86" t="s">
        <v>1563</v>
      </c>
      <c r="S208" s="86" t="str">
        <f>IFERROR(VLOOKUP($B208,'LISTA - Atual'!$B$1:$I$444,8,0),"Novo")</f>
        <v>N</v>
      </c>
      <c r="T208" s="86" t="str">
        <f t="shared" si="52"/>
        <v>Igual</v>
      </c>
      <c r="U208" s="86" t="s">
        <v>1563</v>
      </c>
      <c r="V208" s="90" t="s">
        <v>13</v>
      </c>
      <c r="W208" s="87" t="str">
        <f>IFERROR(VLOOKUP(B208,#REF!,11,0),"n/a")</f>
        <v>n/a</v>
      </c>
      <c r="X208" s="91" t="str">
        <f>IFERROR(VLOOKUP(B208,#REF!,8,0),"n/a")</f>
        <v>n/a</v>
      </c>
      <c r="Y208" s="87" t="str">
        <f t="shared" si="55"/>
        <v>ESTR</v>
      </c>
      <c r="Z208" s="131" t="s">
        <v>1605</v>
      </c>
      <c r="AA208" s="227" t="e">
        <f>VLOOKUP(Table1[[#This Row],[CONCAT]],'Campos Resumo Prop2.0'!A:H,8,0)</f>
        <v>#N/A</v>
      </c>
      <c r="AB208" s="87" t="s">
        <v>1654</v>
      </c>
      <c r="AC208" s="135" t="s">
        <v>1625</v>
      </c>
      <c r="AD208" s="135">
        <v>10</v>
      </c>
      <c r="AE208" s="135">
        <v>8</v>
      </c>
      <c r="AF208" s="87">
        <f>INDEX(Auxiliar!$D$5:$I$10,MATCH('LISTA - Setembro2024'!AF$3,Auxiliar!$B$5:$B$10,0),MATCH('LISTA - Setembro2024'!$AC208,Auxiliar!$D$4:$I$4,0))</f>
        <v>0</v>
      </c>
      <c r="AG208" s="87" t="str">
        <f t="shared" si="53"/>
        <v>n.a.</v>
      </c>
      <c r="AH208" s="87">
        <f>INDEX(Auxiliar!$D$5:$I$10,MATCH('LISTA - Setembro2024'!AH$3,Auxiliar!$B$5:$B$10,0),MATCH('LISTA - Setembro2024'!$AG208,Auxiliar!$D$4:$I$4,0))</f>
        <v>0</v>
      </c>
      <c r="AI208" s="87">
        <f>INDEX(Auxiliar!$D$5:$I$10,MATCH('LISTA - Setembro2024'!AI$3,Auxiliar!$B$5:$B$10,0),MATCH('LISTA - Setembro2024'!$AC208,Auxiliar!$D$4:$I$4,0))</f>
        <v>0</v>
      </c>
      <c r="AJ208" s="87">
        <f>INDEX(Auxiliar!$D$5:$I$10,MATCH('LISTA - Setembro2024'!AJ$3,Auxiliar!$B$5:$B$10,0),MATCH('LISTA - Setembro2024'!$AC208,Auxiliar!$D$4:$I$4,0))</f>
        <v>0</v>
      </c>
      <c r="AK208" s="160">
        <f t="shared" si="56"/>
        <v>0</v>
      </c>
      <c r="AL208" s="87" t="s">
        <v>1697</v>
      </c>
    </row>
    <row r="209" spans="1:38" ht="13.8" x14ac:dyDescent="0.25">
      <c r="A209" s="158" t="s">
        <v>500</v>
      </c>
      <c r="B209" s="81" t="str">
        <f t="shared" si="54"/>
        <v>INSTRUMENT_FRBRNC_STTS_INSTRMNT</v>
      </c>
      <c r="C209" s="82" t="s">
        <v>414</v>
      </c>
      <c r="D209" s="83" t="s">
        <v>501</v>
      </c>
      <c r="E209" s="84" t="s">
        <v>502</v>
      </c>
      <c r="F209" s="85" t="s">
        <v>13</v>
      </c>
      <c r="G209" s="85" t="s">
        <v>11</v>
      </c>
      <c r="H209" s="89" t="s">
        <v>13</v>
      </c>
      <c r="I209" s="85" t="s">
        <v>11</v>
      </c>
      <c r="J209" s="85" t="s">
        <v>11</v>
      </c>
      <c r="K209" s="85" t="s">
        <v>13</v>
      </c>
      <c r="L209" s="86" t="str">
        <f>IFERROR(VLOOKUP($B209,'LISTA - Atual'!$B$1:$I$444,5,0),"Novo")</f>
        <v>Y</v>
      </c>
      <c r="M209" s="86" t="str">
        <f t="shared" si="49"/>
        <v>Igual</v>
      </c>
      <c r="N209" s="86" t="str">
        <f>IFERROR(VLOOKUP($B209,'LISTA - Atual'!$B$1:$I$444,6,0),"Novo")</f>
        <v>N</v>
      </c>
      <c r="O209" s="86" t="str">
        <f t="shared" si="50"/>
        <v>Igual</v>
      </c>
      <c r="P209" s="86" t="str">
        <f>IFERROR(VLOOKUP($B209,'LISTA - Atual'!$B$1:$I$444,7,0),"Novo")</f>
        <v>N</v>
      </c>
      <c r="Q209" s="86" t="str">
        <f t="shared" si="51"/>
        <v>Diferente</v>
      </c>
      <c r="R209" s="86" t="s">
        <v>1563</v>
      </c>
      <c r="S209" s="86" t="str">
        <f>IFERROR(VLOOKUP($B209,'LISTA - Atual'!$B$1:$I$444,8,0),"Novo")</f>
        <v>N</v>
      </c>
      <c r="T209" s="86" t="str">
        <f t="shared" si="52"/>
        <v>Igual</v>
      </c>
      <c r="U209" s="86" t="s">
        <v>1563</v>
      </c>
      <c r="V209" s="86" t="s">
        <v>11</v>
      </c>
      <c r="W209" s="87" t="str">
        <f>IFERROR(VLOOKUP(B209,#REF!,11,0),"n/a")</f>
        <v>n/a</v>
      </c>
      <c r="X209" s="88" t="str">
        <f>IFERROR(VLOOKUP(B209,#REF!,8,0),"n/a")</f>
        <v>n/a</v>
      </c>
      <c r="Y209" s="87" t="str">
        <f>$F$2&amp;$Y$1&amp;$H$2</f>
        <v>ESTR &amp; PILAR3</v>
      </c>
      <c r="Z209" s="213" t="s">
        <v>1570</v>
      </c>
      <c r="AA209" s="227" t="str">
        <f>VLOOKUP(Table1[[#This Row],[CONCAT]],'Campos Resumo Prop2.0'!A:H,8,0)</f>
        <v>Não será contemplado no âmbito da proposta - Campos do LT ESTR</v>
      </c>
      <c r="AB209" s="87" t="s">
        <v>1650</v>
      </c>
      <c r="AC209" s="135" t="s">
        <v>1674</v>
      </c>
      <c r="AD209" s="91">
        <f>INDEX(Auxiliar!$D$5:$I$10,MATCH('LISTA - Setembro2024'!AD$3,Auxiliar!$B$5:$B$10,0),MATCH('LISTA - Setembro2024'!$AC209,Auxiliar!$D$4:$I$4,0))</f>
        <v>1</v>
      </c>
      <c r="AE209" s="88">
        <v>0</v>
      </c>
      <c r="AF209" s="87">
        <f>INDEX(Auxiliar!$D$5:$I$10,MATCH('LISTA - Setembro2024'!AF$3,Auxiliar!$B$5:$B$10,0),MATCH('LISTA - Setembro2024'!$AC209,Auxiliar!$D$4:$I$4,0))</f>
        <v>1</v>
      </c>
      <c r="AG209" s="87" t="str">
        <f>IF(OR(AB209="Code List",AB209="Y, N"),AC209,"n.a.")</f>
        <v>M. Baixa</v>
      </c>
      <c r="AH209" s="87">
        <f>INDEX(Auxiliar!$D$5:$I$10,MATCH('LISTA - Setembro2024'!AH$3,Auxiliar!$B$5:$B$10,0),MATCH('LISTA - Setembro2024'!$AG209,Auxiliar!$D$4:$I$4,0))</f>
        <v>0.5</v>
      </c>
      <c r="AI209" s="87">
        <f>INDEX(Auxiliar!$D$5:$I$10,MATCH('LISTA - Setembro2024'!AI$3,Auxiliar!$B$5:$B$10,0),MATCH('LISTA - Setembro2024'!$AC209,Auxiliar!$D$4:$I$4,0))</f>
        <v>0.5</v>
      </c>
      <c r="AJ209" s="87">
        <f>INDEX(Auxiliar!$D$5:$I$10,MATCH('LISTA - Setembro2024'!AJ$3,Auxiliar!$B$5:$B$10,0),MATCH('LISTA - Setembro2024'!$AC209,Auxiliar!$D$4:$I$4,0))</f>
        <v>1</v>
      </c>
      <c r="AK209" s="242">
        <v>0</v>
      </c>
      <c r="AL209" s="87" t="s">
        <v>1682</v>
      </c>
    </row>
    <row r="210" spans="1:38" ht="13.8" x14ac:dyDescent="0.25">
      <c r="A210" s="158" t="s">
        <v>503</v>
      </c>
      <c r="B210" s="81" t="str">
        <f t="shared" si="54"/>
        <v>INSTRUMENT_IMPRMNT_STTS</v>
      </c>
      <c r="C210" s="82" t="s">
        <v>414</v>
      </c>
      <c r="D210" s="83" t="s">
        <v>504</v>
      </c>
      <c r="E210" s="84" t="s">
        <v>505</v>
      </c>
      <c r="F210" s="85" t="s">
        <v>13</v>
      </c>
      <c r="G210" s="85" t="s">
        <v>13</v>
      </c>
      <c r="H210" s="85" t="s">
        <v>13</v>
      </c>
      <c r="I210" s="85" t="s">
        <v>11</v>
      </c>
      <c r="J210" s="85" t="s">
        <v>11</v>
      </c>
      <c r="K210" s="85" t="s">
        <v>13</v>
      </c>
      <c r="L210" s="86" t="str">
        <f>IFERROR(VLOOKUP($B210,'LISTA - Atual'!$B$1:$I$444,5,0),"Novo")</f>
        <v>Y</v>
      </c>
      <c r="M210" s="86" t="str">
        <f t="shared" si="49"/>
        <v>Igual</v>
      </c>
      <c r="N210" s="86" t="str">
        <f>IFERROR(VLOOKUP($B210,'LISTA - Atual'!$B$1:$I$444,6,0),"Novo")</f>
        <v>Y</v>
      </c>
      <c r="O210" s="86" t="str">
        <f t="shared" si="50"/>
        <v>Igual</v>
      </c>
      <c r="P210" s="86" t="str">
        <f>IFERROR(VLOOKUP($B210,'LISTA - Atual'!$B$1:$I$444,7,0),"Novo")</f>
        <v>Y</v>
      </c>
      <c r="Q210" s="86" t="str">
        <f t="shared" si="51"/>
        <v>Igual</v>
      </c>
      <c r="R210" s="86" t="s">
        <v>1563</v>
      </c>
      <c r="S210" s="86" t="str">
        <f>IFERROR(VLOOKUP($B210,'LISTA - Atual'!$B$1:$I$444,8,0),"Novo")</f>
        <v>N</v>
      </c>
      <c r="T210" s="86" t="str">
        <f t="shared" si="52"/>
        <v>Igual</v>
      </c>
      <c r="U210" s="86" t="s">
        <v>1563</v>
      </c>
      <c r="V210" s="86" t="s">
        <v>11</v>
      </c>
      <c r="W210" s="87" t="str">
        <f>IFERROR(VLOOKUP(B210,#REF!,11,0),"n/a")</f>
        <v>n/a</v>
      </c>
      <c r="X210" s="87" t="str">
        <f>IFERROR(VLOOKUP(B210,#REF!,8,0),"n/a")</f>
        <v>n/a</v>
      </c>
      <c r="Y210" s="87" t="str">
        <f>$F$2&amp;$Y$1&amp;$G$2&amp;$Y$1&amp;$H$2</f>
        <v>ESTR &amp; GD &amp; PILAR3</v>
      </c>
      <c r="Z210" s="131" t="s">
        <v>1605</v>
      </c>
      <c r="AA210" s="227" t="e">
        <f>VLOOKUP(Table1[[#This Row],[CONCAT]],'Campos Resumo Prop2.0'!A:H,8,0)</f>
        <v>#N/A</v>
      </c>
      <c r="AB210" s="87" t="s">
        <v>1650</v>
      </c>
      <c r="AC210" s="135" t="s">
        <v>1625</v>
      </c>
      <c r="AD210" s="135">
        <v>1</v>
      </c>
      <c r="AE210" s="91">
        <f>INDEX(Auxiliar!$D$5:$I$10,MATCH('LISTA - Setembro2024'!AE$3,Auxiliar!$B$5:$B$10,0),MATCH('LISTA - Setembro2024'!$AC210,Auxiliar!$D$4:$I$4,0))</f>
        <v>0</v>
      </c>
      <c r="AF210" s="87">
        <f>INDEX(Auxiliar!$D$5:$I$10,MATCH('LISTA - Setembro2024'!AF$3,Auxiliar!$B$5:$B$10,0),MATCH('LISTA - Setembro2024'!$AC210,Auxiliar!$D$4:$I$4,0))</f>
        <v>0</v>
      </c>
      <c r="AG210" s="87" t="str">
        <f t="shared" si="53"/>
        <v>n.a.</v>
      </c>
      <c r="AH210" s="87">
        <f>INDEX(Auxiliar!$D$5:$I$10,MATCH('LISTA - Setembro2024'!AH$3,Auxiliar!$B$5:$B$10,0),MATCH('LISTA - Setembro2024'!$AG210,Auxiliar!$D$4:$I$4,0))</f>
        <v>0</v>
      </c>
      <c r="AI210" s="87">
        <f>INDEX(Auxiliar!$D$5:$I$10,MATCH('LISTA - Setembro2024'!AI$3,Auxiliar!$B$5:$B$10,0),MATCH('LISTA - Setembro2024'!$AC210,Auxiliar!$D$4:$I$4,0))</f>
        <v>0</v>
      </c>
      <c r="AJ210" s="87">
        <f>INDEX(Auxiliar!$D$5:$I$10,MATCH('LISTA - Setembro2024'!AJ$3,Auxiliar!$B$5:$B$10,0),MATCH('LISTA - Setembro2024'!$AC210,Auxiliar!$D$4:$I$4,0))</f>
        <v>0</v>
      </c>
      <c r="AK210" s="160">
        <f t="shared" si="56"/>
        <v>0</v>
      </c>
      <c r="AL210" s="87" t="s">
        <v>1684</v>
      </c>
    </row>
    <row r="211" spans="1:38" ht="13.8" x14ac:dyDescent="0.25">
      <c r="A211" s="158" t="s">
        <v>506</v>
      </c>
      <c r="B211" s="81" t="str">
        <f t="shared" si="54"/>
        <v>INSTRUMENT_IMPRMNT_STTS_PRVS</v>
      </c>
      <c r="C211" s="82" t="s">
        <v>414</v>
      </c>
      <c r="D211" s="83" t="s">
        <v>507</v>
      </c>
      <c r="E211" s="84" t="s">
        <v>508</v>
      </c>
      <c r="F211" s="85" t="s">
        <v>13</v>
      </c>
      <c r="G211" s="85" t="s">
        <v>11</v>
      </c>
      <c r="H211" s="85" t="s">
        <v>11</v>
      </c>
      <c r="I211" s="85" t="s">
        <v>11</v>
      </c>
      <c r="J211" s="85" t="s">
        <v>11</v>
      </c>
      <c r="K211" s="85" t="s">
        <v>13</v>
      </c>
      <c r="L211" s="86" t="str">
        <f>IFERROR(VLOOKUP($B211,'LISTA - Atual'!$B$1:$I$444,5,0),"Novo")</f>
        <v>Y</v>
      </c>
      <c r="M211" s="86" t="str">
        <f t="shared" si="49"/>
        <v>Igual</v>
      </c>
      <c r="N211" s="86" t="str">
        <f>IFERROR(VLOOKUP($B211,'LISTA - Atual'!$B$1:$I$444,6,0),"Novo")</f>
        <v>N</v>
      </c>
      <c r="O211" s="86" t="str">
        <f t="shared" si="50"/>
        <v>Igual</v>
      </c>
      <c r="P211" s="86" t="str">
        <f>IFERROR(VLOOKUP($B211,'LISTA - Atual'!$B$1:$I$444,7,0),"Novo")</f>
        <v>N</v>
      </c>
      <c r="Q211" s="86" t="str">
        <f t="shared" si="51"/>
        <v>Igual</v>
      </c>
      <c r="R211" s="86" t="s">
        <v>1563</v>
      </c>
      <c r="S211" s="86" t="str">
        <f>IFERROR(VLOOKUP($B211,'LISTA - Atual'!$B$1:$I$444,8,0),"Novo")</f>
        <v>N</v>
      </c>
      <c r="T211" s="86" t="str">
        <f t="shared" si="52"/>
        <v>Igual</v>
      </c>
      <c r="U211" s="86" t="s">
        <v>1563</v>
      </c>
      <c r="V211" s="86" t="s">
        <v>11</v>
      </c>
      <c r="W211" s="87" t="str">
        <f>IFERROR(VLOOKUP(B211,#REF!,11,0),"n/a")</f>
        <v>n/a</v>
      </c>
      <c r="X211" s="87" t="str">
        <f>IFERROR(VLOOKUP(B211,#REF!,8,0),"n/a")</f>
        <v>n/a</v>
      </c>
      <c r="Y211" s="87" t="str">
        <f t="shared" ref="Y211:Y219" si="57">$F$2</f>
        <v>ESTR</v>
      </c>
      <c r="Z211" s="131" t="s">
        <v>1605</v>
      </c>
      <c r="AA211" s="227" t="e">
        <f>VLOOKUP(Table1[[#This Row],[CONCAT]],'Campos Resumo Prop2.0'!A:H,8,0)</f>
        <v>#N/A</v>
      </c>
      <c r="AB211" s="87" t="s">
        <v>1650</v>
      </c>
      <c r="AC211" s="135" t="s">
        <v>1625</v>
      </c>
      <c r="AD211" s="135">
        <v>1</v>
      </c>
      <c r="AE211" s="91">
        <f>INDEX(Auxiliar!$D$5:$I$10,MATCH('LISTA - Setembro2024'!AE$3,Auxiliar!$B$5:$B$10,0),MATCH('LISTA - Setembro2024'!$AC211,Auxiliar!$D$4:$I$4,0))</f>
        <v>0</v>
      </c>
      <c r="AF211" s="87">
        <f>INDEX(Auxiliar!$D$5:$I$10,MATCH('LISTA - Setembro2024'!AF$3,Auxiliar!$B$5:$B$10,0),MATCH('LISTA - Setembro2024'!$AC211,Auxiliar!$D$4:$I$4,0))</f>
        <v>0</v>
      </c>
      <c r="AG211" s="87" t="str">
        <f t="shared" si="53"/>
        <v>n.a.</v>
      </c>
      <c r="AH211" s="87">
        <f>INDEX(Auxiliar!$D$5:$I$10,MATCH('LISTA - Setembro2024'!AH$3,Auxiliar!$B$5:$B$10,0),MATCH('LISTA - Setembro2024'!$AG211,Auxiliar!$D$4:$I$4,0))</f>
        <v>0</v>
      </c>
      <c r="AI211" s="87">
        <f>INDEX(Auxiliar!$D$5:$I$10,MATCH('LISTA - Setembro2024'!AI$3,Auxiliar!$B$5:$B$10,0),MATCH('LISTA - Setembro2024'!$AC211,Auxiliar!$D$4:$I$4,0))</f>
        <v>0</v>
      </c>
      <c r="AJ211" s="87">
        <f>INDEX(Auxiliar!$D$5:$I$10,MATCH('LISTA - Setembro2024'!AJ$3,Auxiliar!$B$5:$B$10,0),MATCH('LISTA - Setembro2024'!$AC211,Auxiliar!$D$4:$I$4,0))</f>
        <v>0</v>
      </c>
      <c r="AK211" s="160">
        <f t="shared" si="56"/>
        <v>0</v>
      </c>
      <c r="AL211" s="87" t="s">
        <v>1684</v>
      </c>
    </row>
    <row r="212" spans="1:38" ht="13.8" x14ac:dyDescent="0.25">
      <c r="A212" s="158" t="s">
        <v>509</v>
      </c>
      <c r="B212" s="81" t="str">
        <f t="shared" si="54"/>
        <v>INSTRUMENT_INTRNL_RTNG</v>
      </c>
      <c r="C212" s="82" t="s">
        <v>414</v>
      </c>
      <c r="D212" s="83" t="s">
        <v>128</v>
      </c>
      <c r="E212" s="84" t="s">
        <v>129</v>
      </c>
      <c r="F212" s="85" t="s">
        <v>13</v>
      </c>
      <c r="G212" s="85" t="s">
        <v>11</v>
      </c>
      <c r="H212" s="85" t="s">
        <v>11</v>
      </c>
      <c r="I212" s="85" t="s">
        <v>11</v>
      </c>
      <c r="J212" s="85" t="s">
        <v>11</v>
      </c>
      <c r="K212" s="85" t="s">
        <v>13</v>
      </c>
      <c r="L212" s="86" t="str">
        <f>IFERROR(VLOOKUP($B212,'LISTA - Atual'!$B$1:$I$444,5,0),"Novo")</f>
        <v>Y</v>
      </c>
      <c r="M212" s="86" t="str">
        <f t="shared" si="49"/>
        <v>Igual</v>
      </c>
      <c r="N212" s="86" t="str">
        <f>IFERROR(VLOOKUP($B212,'LISTA - Atual'!$B$1:$I$444,6,0),"Novo")</f>
        <v>N</v>
      </c>
      <c r="O212" s="86" t="str">
        <f t="shared" si="50"/>
        <v>Igual</v>
      </c>
      <c r="P212" s="86" t="str">
        <f>IFERROR(VLOOKUP($B212,'LISTA - Atual'!$B$1:$I$444,7,0),"Novo")</f>
        <v>N</v>
      </c>
      <c r="Q212" s="86" t="str">
        <f t="shared" si="51"/>
        <v>Igual</v>
      </c>
      <c r="R212" s="86" t="s">
        <v>1563</v>
      </c>
      <c r="S212" s="86" t="str">
        <f>IFERROR(VLOOKUP($B212,'LISTA - Atual'!$B$1:$I$444,8,0),"Novo")</f>
        <v>N</v>
      </c>
      <c r="T212" s="86" t="str">
        <f t="shared" si="52"/>
        <v>Igual</v>
      </c>
      <c r="U212" s="86" t="s">
        <v>1563</v>
      </c>
      <c r="V212" s="86" t="s">
        <v>11</v>
      </c>
      <c r="W212" s="87" t="str">
        <f>IFERROR(VLOOKUP(B212,#REF!,11,0),"n/a")</f>
        <v>n/a</v>
      </c>
      <c r="X212" s="87" t="str">
        <f>IFERROR(VLOOKUP(B212,#REF!,8,0),"n/a")</f>
        <v>n/a</v>
      </c>
      <c r="Y212" s="87" t="str">
        <f t="shared" si="57"/>
        <v>ESTR</v>
      </c>
      <c r="Z212" s="131" t="s">
        <v>1605</v>
      </c>
      <c r="AA212" s="227" t="e">
        <f>VLOOKUP(Table1[[#This Row],[CONCAT]],'Campos Resumo Prop2.0'!A:H,8,0)</f>
        <v>#N/A</v>
      </c>
      <c r="AB212" s="87" t="s">
        <v>1650</v>
      </c>
      <c r="AC212" s="135" t="s">
        <v>1625</v>
      </c>
      <c r="AD212" s="135">
        <v>1</v>
      </c>
      <c r="AE212" s="91">
        <f>INDEX(Auxiliar!$D$5:$I$10,MATCH('LISTA - Setembro2024'!AE$3,Auxiliar!$B$5:$B$10,0),MATCH('LISTA - Setembro2024'!$AC212,Auxiliar!$D$4:$I$4,0))</f>
        <v>0</v>
      </c>
      <c r="AF212" s="87">
        <f>INDEX(Auxiliar!$D$5:$I$10,MATCH('LISTA - Setembro2024'!AF$3,Auxiliar!$B$5:$B$10,0),MATCH('LISTA - Setembro2024'!$AC212,Auxiliar!$D$4:$I$4,0))</f>
        <v>0</v>
      </c>
      <c r="AG212" s="87" t="str">
        <f t="shared" si="53"/>
        <v>n.a.</v>
      </c>
      <c r="AH212" s="87">
        <f>INDEX(Auxiliar!$D$5:$I$10,MATCH('LISTA - Setembro2024'!AH$3,Auxiliar!$B$5:$B$10,0),MATCH('LISTA - Setembro2024'!$AG212,Auxiliar!$D$4:$I$4,0))</f>
        <v>0</v>
      </c>
      <c r="AI212" s="87">
        <f>INDEX(Auxiliar!$D$5:$I$10,MATCH('LISTA - Setembro2024'!AI$3,Auxiliar!$B$5:$B$10,0),MATCH('LISTA - Setembro2024'!$AC212,Auxiliar!$D$4:$I$4,0))</f>
        <v>0</v>
      </c>
      <c r="AJ212" s="87">
        <f>INDEX(Auxiliar!$D$5:$I$10,MATCH('LISTA - Setembro2024'!AJ$3,Auxiliar!$B$5:$B$10,0),MATCH('LISTA - Setembro2024'!$AC212,Auxiliar!$D$4:$I$4,0))</f>
        <v>0</v>
      </c>
      <c r="AK212" s="160">
        <f t="shared" si="56"/>
        <v>0</v>
      </c>
      <c r="AL212" s="87" t="s">
        <v>1685</v>
      </c>
    </row>
    <row r="213" spans="1:38" ht="13.8" x14ac:dyDescent="0.25">
      <c r="A213" s="158" t="s">
        <v>510</v>
      </c>
      <c r="B213" s="81" t="str">
        <f t="shared" si="54"/>
        <v>INSTRUMENT_INTRNL_RTNG_INCPTN</v>
      </c>
      <c r="C213" s="82" t="s">
        <v>414</v>
      </c>
      <c r="D213" s="83" t="s">
        <v>511</v>
      </c>
      <c r="E213" s="84" t="s">
        <v>512</v>
      </c>
      <c r="F213" s="85" t="s">
        <v>13</v>
      </c>
      <c r="G213" s="85" t="s">
        <v>11</v>
      </c>
      <c r="H213" s="85" t="s">
        <v>11</v>
      </c>
      <c r="I213" s="85" t="s">
        <v>11</v>
      </c>
      <c r="J213" s="85" t="s">
        <v>11</v>
      </c>
      <c r="K213" s="85" t="s">
        <v>13</v>
      </c>
      <c r="L213" s="86" t="str">
        <f>IFERROR(VLOOKUP($B213,'LISTA - Atual'!$B$1:$I$444,5,0),"Novo")</f>
        <v>Y</v>
      </c>
      <c r="M213" s="86" t="str">
        <f t="shared" si="49"/>
        <v>Igual</v>
      </c>
      <c r="N213" s="86" t="str">
        <f>IFERROR(VLOOKUP($B213,'LISTA - Atual'!$B$1:$I$444,6,0),"Novo")</f>
        <v>N</v>
      </c>
      <c r="O213" s="86" t="str">
        <f t="shared" si="50"/>
        <v>Igual</v>
      </c>
      <c r="P213" s="86" t="str">
        <f>IFERROR(VLOOKUP($B213,'LISTA - Atual'!$B$1:$I$444,7,0),"Novo")</f>
        <v>N</v>
      </c>
      <c r="Q213" s="86" t="str">
        <f t="shared" si="51"/>
        <v>Igual</v>
      </c>
      <c r="R213" s="86" t="s">
        <v>1563</v>
      </c>
      <c r="S213" s="86" t="str">
        <f>IFERROR(VLOOKUP($B213,'LISTA - Atual'!$B$1:$I$444,8,0),"Novo")</f>
        <v>N</v>
      </c>
      <c r="T213" s="86" t="str">
        <f t="shared" si="52"/>
        <v>Igual</v>
      </c>
      <c r="U213" s="86" t="s">
        <v>1563</v>
      </c>
      <c r="V213" s="86" t="s">
        <v>11</v>
      </c>
      <c r="W213" s="87" t="str">
        <f>IFERROR(VLOOKUP(B213,#REF!,11,0),"n/a")</f>
        <v>n/a</v>
      </c>
      <c r="X213" s="87" t="str">
        <f>IFERROR(VLOOKUP(B213,#REF!,8,0),"n/a")</f>
        <v>n/a</v>
      </c>
      <c r="Y213" s="87" t="str">
        <f t="shared" si="57"/>
        <v>ESTR</v>
      </c>
      <c r="Z213" s="131" t="s">
        <v>1605</v>
      </c>
      <c r="AA213" s="227" t="e">
        <f>VLOOKUP(Table1[[#This Row],[CONCAT]],'Campos Resumo Prop2.0'!A:H,8,0)</f>
        <v>#N/A</v>
      </c>
      <c r="AB213" s="87" t="s">
        <v>1650</v>
      </c>
      <c r="AC213" s="135" t="s">
        <v>1625</v>
      </c>
      <c r="AD213" s="135">
        <v>1</v>
      </c>
      <c r="AE213" s="91">
        <f>INDEX(Auxiliar!$D$5:$I$10,MATCH('LISTA - Setembro2024'!AE$3,Auxiliar!$B$5:$B$10,0),MATCH('LISTA - Setembro2024'!$AC213,Auxiliar!$D$4:$I$4,0))</f>
        <v>0</v>
      </c>
      <c r="AF213" s="87">
        <f>INDEX(Auxiliar!$D$5:$I$10,MATCH('LISTA - Setembro2024'!AF$3,Auxiliar!$B$5:$B$10,0),MATCH('LISTA - Setembro2024'!$AC213,Auxiliar!$D$4:$I$4,0))</f>
        <v>0</v>
      </c>
      <c r="AG213" s="87" t="str">
        <f t="shared" si="53"/>
        <v>n.a.</v>
      </c>
      <c r="AH213" s="87">
        <f>INDEX(Auxiliar!$D$5:$I$10,MATCH('LISTA - Setembro2024'!AH$3,Auxiliar!$B$5:$B$10,0),MATCH('LISTA - Setembro2024'!$AG213,Auxiliar!$D$4:$I$4,0))</f>
        <v>0</v>
      </c>
      <c r="AI213" s="87">
        <f>INDEX(Auxiliar!$D$5:$I$10,MATCH('LISTA - Setembro2024'!AI$3,Auxiliar!$B$5:$B$10,0),MATCH('LISTA - Setembro2024'!$AC213,Auxiliar!$D$4:$I$4,0))</f>
        <v>0</v>
      </c>
      <c r="AJ213" s="87">
        <f>INDEX(Auxiliar!$D$5:$I$10,MATCH('LISTA - Setembro2024'!AJ$3,Auxiliar!$B$5:$B$10,0),MATCH('LISTA - Setembro2024'!$AC213,Auxiliar!$D$4:$I$4,0))</f>
        <v>0</v>
      </c>
      <c r="AK213" s="160">
        <f t="shared" si="56"/>
        <v>0</v>
      </c>
      <c r="AL213" s="87" t="s">
        <v>1685</v>
      </c>
    </row>
    <row r="214" spans="1:38" ht="13.8" x14ac:dyDescent="0.25">
      <c r="A214" s="158" t="s">
        <v>513</v>
      </c>
      <c r="B214" s="81" t="str">
        <f t="shared" si="54"/>
        <v>INSTRUMENT_INTRNL_SGMNT</v>
      </c>
      <c r="C214" s="82" t="s">
        <v>414</v>
      </c>
      <c r="D214" s="83" t="s">
        <v>50</v>
      </c>
      <c r="E214" s="84" t="s">
        <v>51</v>
      </c>
      <c r="F214" s="85" t="s">
        <v>13</v>
      </c>
      <c r="G214" s="85" t="s">
        <v>11</v>
      </c>
      <c r="H214" s="85" t="s">
        <v>11</v>
      </c>
      <c r="I214" s="85" t="s">
        <v>11</v>
      </c>
      <c r="J214" s="85" t="s">
        <v>13</v>
      </c>
      <c r="K214" s="85" t="s">
        <v>13</v>
      </c>
      <c r="L214" s="86" t="str">
        <f>IFERROR(VLOOKUP($B214,'LISTA - Atual'!$B$1:$I$444,5,0),"Novo")</f>
        <v>Y</v>
      </c>
      <c r="M214" s="86" t="str">
        <f t="shared" si="49"/>
        <v>Igual</v>
      </c>
      <c r="N214" s="86" t="str">
        <f>IFERROR(VLOOKUP($B214,'LISTA - Atual'!$B$1:$I$444,6,0),"Novo")</f>
        <v>N</v>
      </c>
      <c r="O214" s="86" t="str">
        <f t="shared" si="50"/>
        <v>Igual</v>
      </c>
      <c r="P214" s="86" t="str">
        <f>IFERROR(VLOOKUP($B214,'LISTA - Atual'!$B$1:$I$444,7,0),"Novo")</f>
        <v>N</v>
      </c>
      <c r="Q214" s="86" t="str">
        <f t="shared" si="51"/>
        <v>Igual</v>
      </c>
      <c r="R214" s="86" t="s">
        <v>1563</v>
      </c>
      <c r="S214" s="86" t="str">
        <f>IFERROR(VLOOKUP($B214,'LISTA - Atual'!$B$1:$I$444,8,0),"Novo")</f>
        <v>Y</v>
      </c>
      <c r="T214" s="86" t="str">
        <f t="shared" si="52"/>
        <v>Igual</v>
      </c>
      <c r="U214" s="86" t="s">
        <v>1563</v>
      </c>
      <c r="V214" s="86" t="s">
        <v>11</v>
      </c>
      <c r="W214" s="87" t="str">
        <f>IFERROR(VLOOKUP(B214,#REF!,11,0),"n/a")</f>
        <v>n/a</v>
      </c>
      <c r="X214" s="87" t="str">
        <f>IFERROR(VLOOKUP(B214,#REF!,8,0),"n/a")</f>
        <v>n/a</v>
      </c>
      <c r="Y214" s="87" t="str">
        <f>"ESG_RISKS &amp; "&amp;$F$2</f>
        <v>ESG_RISKS &amp; ESTR</v>
      </c>
      <c r="Z214" s="213" t="s">
        <v>1570</v>
      </c>
      <c r="AA214" s="227" t="str">
        <f>VLOOKUP(Table1[[#This Row],[CONCAT]],'Campos Resumo Prop2.0'!A:H,8,0)</f>
        <v>Âmbito de proposta - Especificação</v>
      </c>
      <c r="AB214" s="87" t="s">
        <v>1652</v>
      </c>
      <c r="AC214" s="135" t="s">
        <v>1636</v>
      </c>
      <c r="AD214" s="91">
        <f>INDEX(Auxiliar!$D$5:$I$10,MATCH('LISTA - Setembro2024'!AD$3,Auxiliar!$B$5:$B$10,0),MATCH('LISTA - Setembro2024'!$AC214,Auxiliar!$D$4:$I$4,0))</f>
        <v>2</v>
      </c>
      <c r="AE214" s="242">
        <v>0</v>
      </c>
      <c r="AF214" s="87">
        <f>INDEX(Auxiliar!$D$5:$I$10,MATCH('LISTA - Setembro2024'!AF$3,Auxiliar!$B$5:$B$10,0),MATCH('LISTA - Setembro2024'!$AC214,Auxiliar!$D$4:$I$4,0))</f>
        <v>1.5</v>
      </c>
      <c r="AG214" s="87" t="str">
        <f t="shared" si="53"/>
        <v>n.a.</v>
      </c>
      <c r="AH214" s="87">
        <f>INDEX(Auxiliar!$D$5:$I$10,MATCH('LISTA - Setembro2024'!AH$3,Auxiliar!$B$5:$B$10,0),MATCH('LISTA - Setembro2024'!$AG214,Auxiliar!$D$4:$I$4,0))</f>
        <v>0</v>
      </c>
      <c r="AI214" s="87">
        <f>INDEX(Auxiliar!$D$5:$I$10,MATCH('LISTA - Setembro2024'!AI$3,Auxiliar!$B$5:$B$10,0),MATCH('LISTA - Setembro2024'!$AC214,Auxiliar!$D$4:$I$4,0))</f>
        <v>0.5</v>
      </c>
      <c r="AJ214" s="87">
        <f>INDEX(Auxiliar!$D$5:$I$10,MATCH('LISTA - Setembro2024'!AJ$3,Auxiliar!$B$5:$B$10,0),MATCH('LISTA - Setembro2024'!$AC214,Auxiliar!$D$4:$I$4,0))</f>
        <v>1</v>
      </c>
      <c r="AK214" s="242">
        <v>0</v>
      </c>
      <c r="AL214" s="87"/>
    </row>
    <row r="215" spans="1:38" s="20" customFormat="1" ht="13.8" x14ac:dyDescent="0.25">
      <c r="A215" s="158" t="s">
        <v>514</v>
      </c>
      <c r="B215" s="81" t="str">
        <f t="shared" si="54"/>
        <v>INSTRUMENT_INTRNL_UNT</v>
      </c>
      <c r="C215" s="82" t="s">
        <v>414</v>
      </c>
      <c r="D215" s="83" t="s">
        <v>53</v>
      </c>
      <c r="E215" s="84" t="s">
        <v>54</v>
      </c>
      <c r="F215" s="85" t="s">
        <v>13</v>
      </c>
      <c r="G215" s="85" t="s">
        <v>11</v>
      </c>
      <c r="H215" s="85" t="s">
        <v>11</v>
      </c>
      <c r="I215" s="85" t="s">
        <v>11</v>
      </c>
      <c r="J215" s="85" t="s">
        <v>11</v>
      </c>
      <c r="K215" s="85" t="s">
        <v>13</v>
      </c>
      <c r="L215" s="86" t="str">
        <f>IFERROR(VLOOKUP($B215,'LISTA - Atual'!$B$1:$I$444,5,0),"Novo")</f>
        <v>Y</v>
      </c>
      <c r="M215" s="86" t="str">
        <f t="shared" si="49"/>
        <v>Igual</v>
      </c>
      <c r="N215" s="86" t="str">
        <f>IFERROR(VLOOKUP($B215,'LISTA - Atual'!$B$1:$I$444,6,0),"Novo")</f>
        <v>N</v>
      </c>
      <c r="O215" s="86" t="str">
        <f t="shared" si="50"/>
        <v>Igual</v>
      </c>
      <c r="P215" s="86" t="str">
        <f>IFERROR(VLOOKUP($B215,'LISTA - Atual'!$B$1:$I$444,7,0),"Novo")</f>
        <v>N</v>
      </c>
      <c r="Q215" s="86" t="str">
        <f t="shared" si="51"/>
        <v>Igual</v>
      </c>
      <c r="R215" s="86" t="s">
        <v>1563</v>
      </c>
      <c r="S215" s="86" t="str">
        <f>IFERROR(VLOOKUP($B215,'LISTA - Atual'!$B$1:$I$444,8,0),"Novo")</f>
        <v>N</v>
      </c>
      <c r="T215" s="86" t="str">
        <f t="shared" si="52"/>
        <v>Igual</v>
      </c>
      <c r="U215" s="86" t="s">
        <v>1563</v>
      </c>
      <c r="V215" s="86" t="s">
        <v>11</v>
      </c>
      <c r="W215" s="87" t="str">
        <f>IFERROR(VLOOKUP(B215,#REF!,11,0),"n/a")</f>
        <v>n/a</v>
      </c>
      <c r="X215" s="87" t="str">
        <f>IFERROR(VLOOKUP(B215,#REF!,8,0),"n/a")</f>
        <v>n/a</v>
      </c>
      <c r="Y215" s="87" t="str">
        <f t="shared" si="57"/>
        <v>ESTR</v>
      </c>
      <c r="Z215" s="131" t="s">
        <v>1605</v>
      </c>
      <c r="AA215" s="227" t="e">
        <f>VLOOKUP(Table1[[#This Row],[CONCAT]],'Campos Resumo Prop2.0'!A:H,8,0)</f>
        <v>#N/A</v>
      </c>
      <c r="AB215" s="87" t="s">
        <v>1652</v>
      </c>
      <c r="AC215" s="135" t="s">
        <v>1625</v>
      </c>
      <c r="AD215" s="91">
        <f>INDEX(Auxiliar!$D$5:$I$10,MATCH('LISTA - Setembro2024'!AD$3,Auxiliar!$B$5:$B$10,0),MATCH('LISTA - Setembro2024'!$AC215,Auxiliar!$D$4:$I$4,0))</f>
        <v>0</v>
      </c>
      <c r="AE215" s="91">
        <f>INDEX(Auxiliar!$D$5:$I$10,MATCH('LISTA - Setembro2024'!AE$3,Auxiliar!$B$5:$B$10,0),MATCH('LISTA - Setembro2024'!$AC215,Auxiliar!$D$4:$I$4,0))</f>
        <v>0</v>
      </c>
      <c r="AF215" s="87">
        <f>INDEX(Auxiliar!$D$5:$I$10,MATCH('LISTA - Setembro2024'!AF$3,Auxiliar!$B$5:$B$10,0),MATCH('LISTA - Setembro2024'!$AC215,Auxiliar!$D$4:$I$4,0))</f>
        <v>0</v>
      </c>
      <c r="AG215" s="87" t="str">
        <f t="shared" si="53"/>
        <v>n.a.</v>
      </c>
      <c r="AH215" s="87">
        <f>INDEX(Auxiliar!$D$5:$I$10,MATCH('LISTA - Setembro2024'!AH$3,Auxiliar!$B$5:$B$10,0),MATCH('LISTA - Setembro2024'!$AG215,Auxiliar!$D$4:$I$4,0))</f>
        <v>0</v>
      </c>
      <c r="AI215" s="87">
        <f>INDEX(Auxiliar!$D$5:$I$10,MATCH('LISTA - Setembro2024'!AI$3,Auxiliar!$B$5:$B$10,0),MATCH('LISTA - Setembro2024'!$AC215,Auxiliar!$D$4:$I$4,0))</f>
        <v>0</v>
      </c>
      <c r="AJ215" s="87">
        <f>INDEX(Auxiliar!$D$5:$I$10,MATCH('LISTA - Setembro2024'!AJ$3,Auxiliar!$B$5:$B$10,0),MATCH('LISTA - Setembro2024'!$AC215,Auxiliar!$D$4:$I$4,0))</f>
        <v>0</v>
      </c>
      <c r="AK215" s="160">
        <f t="shared" si="56"/>
        <v>0</v>
      </c>
      <c r="AL215" s="161"/>
    </row>
    <row r="216" spans="1:38" ht="13.8" x14ac:dyDescent="0.25">
      <c r="A216" s="158" t="s">
        <v>515</v>
      </c>
      <c r="B216" s="81" t="str">
        <f t="shared" si="54"/>
        <v>INSTRUMENT_LCRE</v>
      </c>
      <c r="C216" s="82" t="s">
        <v>414</v>
      </c>
      <c r="D216" s="83" t="s">
        <v>516</v>
      </c>
      <c r="E216" s="84" t="s">
        <v>517</v>
      </c>
      <c r="F216" s="85" t="s">
        <v>13</v>
      </c>
      <c r="G216" s="85" t="s">
        <v>11</v>
      </c>
      <c r="H216" s="85" t="s">
        <v>11</v>
      </c>
      <c r="I216" s="85" t="s">
        <v>11</v>
      </c>
      <c r="J216" s="85" t="s">
        <v>11</v>
      </c>
      <c r="K216" s="85" t="s">
        <v>11</v>
      </c>
      <c r="L216" s="86" t="str">
        <f>IFERROR(VLOOKUP($B216,'LISTA - Atual'!$B$1:$I$444,5,0),"Novo")</f>
        <v>Y</v>
      </c>
      <c r="M216" s="86" t="str">
        <f t="shared" si="49"/>
        <v>Igual</v>
      </c>
      <c r="N216" s="86" t="str">
        <f>IFERROR(VLOOKUP($B216,'LISTA - Atual'!$B$1:$I$444,6,0),"Novo")</f>
        <v>N</v>
      </c>
      <c r="O216" s="86" t="str">
        <f t="shared" si="50"/>
        <v>Igual</v>
      </c>
      <c r="P216" s="86" t="str">
        <f>IFERROR(VLOOKUP($B216,'LISTA - Atual'!$B$1:$I$444,7,0),"Novo")</f>
        <v>N</v>
      </c>
      <c r="Q216" s="86" t="str">
        <f t="shared" si="51"/>
        <v>Igual</v>
      </c>
      <c r="R216" s="86" t="s">
        <v>1563</v>
      </c>
      <c r="S216" s="86" t="str">
        <f>IFERROR(VLOOKUP($B216,'LISTA - Atual'!$B$1:$I$444,8,0),"Novo")</f>
        <v>N</v>
      </c>
      <c r="T216" s="86" t="str">
        <f t="shared" si="52"/>
        <v>Igual</v>
      </c>
      <c r="U216" s="86" t="s">
        <v>1563</v>
      </c>
      <c r="V216" s="86" t="s">
        <v>11</v>
      </c>
      <c r="W216" s="87" t="str">
        <f>IFERROR(VLOOKUP(B216,#REF!,11,0),"n/a")</f>
        <v>n/a</v>
      </c>
      <c r="X216" s="87" t="str">
        <f>IFERROR(VLOOKUP(B216,#REF!,8,0),"n/a")</f>
        <v>n/a</v>
      </c>
      <c r="Y216" s="87" t="str">
        <f t="shared" si="57"/>
        <v>ESTR</v>
      </c>
      <c r="Z216" s="131" t="s">
        <v>1605</v>
      </c>
      <c r="AA216" s="227" t="e">
        <f>VLOOKUP(Table1[[#This Row],[CONCAT]],'Campos Resumo Prop2.0'!A:H,8,0)</f>
        <v>#N/A</v>
      </c>
      <c r="AB216" s="87" t="s">
        <v>1654</v>
      </c>
      <c r="AC216" s="135" t="s">
        <v>1625</v>
      </c>
      <c r="AD216" s="91">
        <f>INDEX(Auxiliar!$D$5:$I$10,MATCH('LISTA - Setembro2024'!AD$3,Auxiliar!$B$5:$B$10,0),MATCH('LISTA - Setembro2024'!$AC216,Auxiliar!$D$4:$I$4,0))</f>
        <v>0</v>
      </c>
      <c r="AE216" s="91">
        <f>INDEX(Auxiliar!$D$5:$I$10,MATCH('LISTA - Setembro2024'!AE$3,Auxiliar!$B$5:$B$10,0),MATCH('LISTA - Setembro2024'!$AC216,Auxiliar!$D$4:$I$4,0))</f>
        <v>0</v>
      </c>
      <c r="AF216" s="87">
        <f>INDEX(Auxiliar!$D$5:$I$10,MATCH('LISTA - Setembro2024'!AF$3,Auxiliar!$B$5:$B$10,0),MATCH('LISTA - Setembro2024'!$AC216,Auxiliar!$D$4:$I$4,0))</f>
        <v>0</v>
      </c>
      <c r="AG216" s="87" t="str">
        <f t="shared" si="53"/>
        <v>n.a.</v>
      </c>
      <c r="AH216" s="87">
        <f>INDEX(Auxiliar!$D$5:$I$10,MATCH('LISTA - Setembro2024'!AH$3,Auxiliar!$B$5:$B$10,0),MATCH('LISTA - Setembro2024'!$AG216,Auxiliar!$D$4:$I$4,0))</f>
        <v>0</v>
      </c>
      <c r="AI216" s="87">
        <f>INDEX(Auxiliar!$D$5:$I$10,MATCH('LISTA - Setembro2024'!AI$3,Auxiliar!$B$5:$B$10,0),MATCH('LISTA - Setembro2024'!$AC216,Auxiliar!$D$4:$I$4,0))</f>
        <v>0</v>
      </c>
      <c r="AJ216" s="87">
        <f>INDEX(Auxiliar!$D$5:$I$10,MATCH('LISTA - Setembro2024'!AJ$3,Auxiliar!$B$5:$B$10,0),MATCH('LISTA - Setembro2024'!$AC216,Auxiliar!$D$4:$I$4,0))</f>
        <v>0</v>
      </c>
      <c r="AK216" s="160">
        <f t="shared" si="56"/>
        <v>0</v>
      </c>
      <c r="AL216" s="87"/>
    </row>
    <row r="217" spans="1:38" ht="13.8" x14ac:dyDescent="0.25">
      <c r="A217" s="158" t="s">
        <v>518</v>
      </c>
      <c r="B217" s="81" t="str">
        <f t="shared" si="54"/>
        <v>INSTRUMENT_LGL_PRCDNG_STTS</v>
      </c>
      <c r="C217" s="82" t="s">
        <v>414</v>
      </c>
      <c r="D217" s="83" t="s">
        <v>519</v>
      </c>
      <c r="E217" s="84" t="s">
        <v>520</v>
      </c>
      <c r="F217" s="85" t="s">
        <v>13</v>
      </c>
      <c r="G217" s="85" t="s">
        <v>11</v>
      </c>
      <c r="H217" s="85" t="s">
        <v>11</v>
      </c>
      <c r="I217" s="85" t="s">
        <v>11</v>
      </c>
      <c r="J217" s="85" t="s">
        <v>11</v>
      </c>
      <c r="K217" s="85" t="s">
        <v>11</v>
      </c>
      <c r="L217" s="86" t="str">
        <f>IFERROR(VLOOKUP($B217,'LISTA - Atual'!$B$1:$I$444,5,0),"Novo")</f>
        <v>Y</v>
      </c>
      <c r="M217" s="86" t="str">
        <f t="shared" si="49"/>
        <v>Igual</v>
      </c>
      <c r="N217" s="86" t="str">
        <f>IFERROR(VLOOKUP($B217,'LISTA - Atual'!$B$1:$I$444,6,0),"Novo")</f>
        <v>N</v>
      </c>
      <c r="O217" s="86" t="str">
        <f t="shared" si="50"/>
        <v>Igual</v>
      </c>
      <c r="P217" s="86" t="str">
        <f>IFERROR(VLOOKUP($B217,'LISTA - Atual'!$B$1:$I$444,7,0),"Novo")</f>
        <v>N</v>
      </c>
      <c r="Q217" s="86" t="str">
        <f t="shared" si="51"/>
        <v>Igual</v>
      </c>
      <c r="R217" s="86" t="s">
        <v>1563</v>
      </c>
      <c r="S217" s="86" t="str">
        <f>IFERROR(VLOOKUP($B217,'LISTA - Atual'!$B$1:$I$444,8,0),"Novo")</f>
        <v>N</v>
      </c>
      <c r="T217" s="86" t="str">
        <f t="shared" si="52"/>
        <v>Igual</v>
      </c>
      <c r="U217" s="86" t="s">
        <v>1563</v>
      </c>
      <c r="V217" s="86" t="s">
        <v>11</v>
      </c>
      <c r="W217" s="87" t="str">
        <f>IFERROR(VLOOKUP(B217,#REF!,11,0),"n/a")</f>
        <v>n/a</v>
      </c>
      <c r="X217" s="87" t="str">
        <f>IFERROR(VLOOKUP(B217,#REF!,8,0),"n/a")</f>
        <v>n/a</v>
      </c>
      <c r="Y217" s="87" t="str">
        <f t="shared" si="57"/>
        <v>ESTR</v>
      </c>
      <c r="Z217" s="131" t="s">
        <v>1605</v>
      </c>
      <c r="AA217" s="227" t="e">
        <f>VLOOKUP(Table1[[#This Row],[CONCAT]],'Campos Resumo Prop2.0'!A:H,8,0)</f>
        <v>#N/A</v>
      </c>
      <c r="AB217" s="87" t="s">
        <v>1650</v>
      </c>
      <c r="AC217" s="135" t="s">
        <v>1625</v>
      </c>
      <c r="AD217" s="91">
        <f>INDEX(Auxiliar!$D$5:$I$10,MATCH('LISTA - Setembro2024'!AD$3,Auxiliar!$B$5:$B$10,0),MATCH('LISTA - Setembro2024'!$AC217,Auxiliar!$D$4:$I$4,0))</f>
        <v>0</v>
      </c>
      <c r="AE217" s="91">
        <f>INDEX(Auxiliar!$D$5:$I$10,MATCH('LISTA - Setembro2024'!AE$3,Auxiliar!$B$5:$B$10,0),MATCH('LISTA - Setembro2024'!$AC217,Auxiliar!$D$4:$I$4,0))</f>
        <v>0</v>
      </c>
      <c r="AF217" s="87">
        <f>INDEX(Auxiliar!$D$5:$I$10,MATCH('LISTA - Setembro2024'!AF$3,Auxiliar!$B$5:$B$10,0),MATCH('LISTA - Setembro2024'!$AC217,Auxiliar!$D$4:$I$4,0))</f>
        <v>0</v>
      </c>
      <c r="AG217" s="87" t="str">
        <f t="shared" si="53"/>
        <v>n.a.</v>
      </c>
      <c r="AH217" s="87">
        <f>INDEX(Auxiliar!$D$5:$I$10,MATCH('LISTA - Setembro2024'!AH$3,Auxiliar!$B$5:$B$10,0),MATCH('LISTA - Setembro2024'!$AG217,Auxiliar!$D$4:$I$4,0))</f>
        <v>0</v>
      </c>
      <c r="AI217" s="87">
        <f>INDEX(Auxiliar!$D$5:$I$10,MATCH('LISTA - Setembro2024'!AI$3,Auxiliar!$B$5:$B$10,0),MATCH('LISTA - Setembro2024'!$AC217,Auxiliar!$D$4:$I$4,0))</f>
        <v>0</v>
      </c>
      <c r="AJ217" s="87">
        <f>INDEX(Auxiliar!$D$5:$I$10,MATCH('LISTA - Setembro2024'!AJ$3,Auxiliar!$B$5:$B$10,0),MATCH('LISTA - Setembro2024'!$AC217,Auxiliar!$D$4:$I$4,0))</f>
        <v>0</v>
      </c>
      <c r="AK217" s="160">
        <f t="shared" si="56"/>
        <v>0</v>
      </c>
      <c r="AL217" s="87"/>
    </row>
    <row r="218" spans="1:38" ht="13.8" x14ac:dyDescent="0.25">
      <c r="A218" s="158" t="s">
        <v>521</v>
      </c>
      <c r="B218" s="81" t="str">
        <f t="shared" si="54"/>
        <v>INSTRUMENT_LND_DRGTN</v>
      </c>
      <c r="C218" s="82" t="s">
        <v>414</v>
      </c>
      <c r="D218" s="83" t="s">
        <v>522</v>
      </c>
      <c r="E218" s="84" t="s">
        <v>523</v>
      </c>
      <c r="F218" s="85" t="s">
        <v>13</v>
      </c>
      <c r="G218" s="85" t="s">
        <v>11</v>
      </c>
      <c r="H218" s="85" t="s">
        <v>11</v>
      </c>
      <c r="I218" s="85" t="s">
        <v>11</v>
      </c>
      <c r="J218" s="85" t="s">
        <v>11</v>
      </c>
      <c r="K218" s="85" t="s">
        <v>11</v>
      </c>
      <c r="L218" s="86" t="str">
        <f>IFERROR(VLOOKUP($B218,'LISTA - Atual'!$B$1:$I$444,5,0),"Novo")</f>
        <v>Y</v>
      </c>
      <c r="M218" s="86" t="str">
        <f t="shared" si="49"/>
        <v>Igual</v>
      </c>
      <c r="N218" s="86" t="str">
        <f>IFERROR(VLOOKUP($B218,'LISTA - Atual'!$B$1:$I$444,6,0),"Novo")</f>
        <v>N</v>
      </c>
      <c r="O218" s="86" t="str">
        <f t="shared" si="50"/>
        <v>Igual</v>
      </c>
      <c r="P218" s="86" t="str">
        <f>IFERROR(VLOOKUP($B218,'LISTA - Atual'!$B$1:$I$444,7,0),"Novo")</f>
        <v>N</v>
      </c>
      <c r="Q218" s="86" t="str">
        <f t="shared" si="51"/>
        <v>Igual</v>
      </c>
      <c r="R218" s="86" t="s">
        <v>1563</v>
      </c>
      <c r="S218" s="86" t="str">
        <f>IFERROR(VLOOKUP($B218,'LISTA - Atual'!$B$1:$I$444,8,0),"Novo")</f>
        <v>N</v>
      </c>
      <c r="T218" s="86" t="str">
        <f t="shared" si="52"/>
        <v>Igual</v>
      </c>
      <c r="U218" s="86" t="s">
        <v>1563</v>
      </c>
      <c r="V218" s="86" t="s">
        <v>11</v>
      </c>
      <c r="W218" s="87" t="str">
        <f>IFERROR(VLOOKUP(B218,#REF!,11,0),"n/a")</f>
        <v>n/a</v>
      </c>
      <c r="X218" s="87" t="str">
        <f>IFERROR(VLOOKUP(B218,#REF!,8,0),"n/a")</f>
        <v>n/a</v>
      </c>
      <c r="Y218" s="87" t="str">
        <f t="shared" si="57"/>
        <v>ESTR</v>
      </c>
      <c r="Z218" s="131" t="s">
        <v>1605</v>
      </c>
      <c r="AA218" s="227" t="e">
        <f>VLOOKUP(Table1[[#This Row],[CONCAT]],'Campos Resumo Prop2.0'!A:H,8,0)</f>
        <v>#N/A</v>
      </c>
      <c r="AB218" s="87" t="s">
        <v>1654</v>
      </c>
      <c r="AC218" s="135" t="s">
        <v>1625</v>
      </c>
      <c r="AD218" s="91">
        <f>INDEX(Auxiliar!$D$5:$I$10,MATCH('LISTA - Setembro2024'!AD$3,Auxiliar!$B$5:$B$10,0),MATCH('LISTA - Setembro2024'!$AC218,Auxiliar!$D$4:$I$4,0))</f>
        <v>0</v>
      </c>
      <c r="AE218" s="91">
        <f>INDEX(Auxiliar!$D$5:$I$10,MATCH('LISTA - Setembro2024'!AE$3,Auxiliar!$B$5:$B$10,0),MATCH('LISTA - Setembro2024'!$AC218,Auxiliar!$D$4:$I$4,0))</f>
        <v>0</v>
      </c>
      <c r="AF218" s="87">
        <f>INDEX(Auxiliar!$D$5:$I$10,MATCH('LISTA - Setembro2024'!AF$3,Auxiliar!$B$5:$B$10,0),MATCH('LISTA - Setembro2024'!$AC218,Auxiliar!$D$4:$I$4,0))</f>
        <v>0</v>
      </c>
      <c r="AG218" s="87" t="str">
        <f t="shared" si="53"/>
        <v>n.a.</v>
      </c>
      <c r="AH218" s="87">
        <f>INDEX(Auxiliar!$D$5:$I$10,MATCH('LISTA - Setembro2024'!AH$3,Auxiliar!$B$5:$B$10,0),MATCH('LISTA - Setembro2024'!$AG218,Auxiliar!$D$4:$I$4,0))</f>
        <v>0</v>
      </c>
      <c r="AI218" s="87">
        <f>INDEX(Auxiliar!$D$5:$I$10,MATCH('LISTA - Setembro2024'!AI$3,Auxiliar!$B$5:$B$10,0),MATCH('LISTA - Setembro2024'!$AC218,Auxiliar!$D$4:$I$4,0))</f>
        <v>0</v>
      </c>
      <c r="AJ218" s="87">
        <f>INDEX(Auxiliar!$D$5:$I$10,MATCH('LISTA - Setembro2024'!AJ$3,Auxiliar!$B$5:$B$10,0),MATCH('LISTA - Setembro2024'!$AC218,Auxiliar!$D$4:$I$4,0))</f>
        <v>0</v>
      </c>
      <c r="AK218" s="160">
        <f t="shared" si="56"/>
        <v>0</v>
      </c>
      <c r="AL218" s="87"/>
    </row>
    <row r="219" spans="1:38" ht="13.8" x14ac:dyDescent="0.25">
      <c r="A219" s="158" t="s">
        <v>524</v>
      </c>
      <c r="B219" s="81" t="str">
        <f t="shared" si="54"/>
        <v>INSTRUMENT_POCI</v>
      </c>
      <c r="C219" s="82" t="s">
        <v>414</v>
      </c>
      <c r="D219" s="83" t="s">
        <v>525</v>
      </c>
      <c r="E219" s="84" t="s">
        <v>526</v>
      </c>
      <c r="F219" s="85" t="s">
        <v>13</v>
      </c>
      <c r="G219" s="85" t="s">
        <v>11</v>
      </c>
      <c r="H219" s="85" t="s">
        <v>11</v>
      </c>
      <c r="I219" s="85" t="s">
        <v>11</v>
      </c>
      <c r="J219" s="85" t="s">
        <v>11</v>
      </c>
      <c r="K219" s="85" t="s">
        <v>11</v>
      </c>
      <c r="L219" s="86" t="str">
        <f>IFERROR(VLOOKUP($B219,'LISTA - Atual'!$B$1:$I$444,5,0),"Novo")</f>
        <v>Y</v>
      </c>
      <c r="M219" s="86" t="str">
        <f t="shared" si="49"/>
        <v>Igual</v>
      </c>
      <c r="N219" s="86" t="str">
        <f>IFERROR(VLOOKUP($B219,'LISTA - Atual'!$B$1:$I$444,6,0),"Novo")</f>
        <v>N</v>
      </c>
      <c r="O219" s="86" t="str">
        <f t="shared" si="50"/>
        <v>Igual</v>
      </c>
      <c r="P219" s="86" t="str">
        <f>IFERROR(VLOOKUP($B219,'LISTA - Atual'!$B$1:$I$444,7,0),"Novo")</f>
        <v>N</v>
      </c>
      <c r="Q219" s="86" t="str">
        <f t="shared" si="51"/>
        <v>Igual</v>
      </c>
      <c r="R219" s="86" t="s">
        <v>1563</v>
      </c>
      <c r="S219" s="86" t="str">
        <f>IFERROR(VLOOKUP($B219,'LISTA - Atual'!$B$1:$I$444,8,0),"Novo")</f>
        <v>N</v>
      </c>
      <c r="T219" s="86" t="str">
        <f t="shared" si="52"/>
        <v>Igual</v>
      </c>
      <c r="U219" s="86" t="s">
        <v>1563</v>
      </c>
      <c r="V219" s="86" t="s">
        <v>11</v>
      </c>
      <c r="W219" s="87" t="str">
        <f>IFERROR(VLOOKUP(B219,#REF!,11,0),"n/a")</f>
        <v>n/a</v>
      </c>
      <c r="X219" s="87" t="str">
        <f>IFERROR(VLOOKUP(B219,#REF!,8,0),"n/a")</f>
        <v>n/a</v>
      </c>
      <c r="Y219" s="87" t="str">
        <f t="shared" si="57"/>
        <v>ESTR</v>
      </c>
      <c r="Z219" s="131" t="s">
        <v>1605</v>
      </c>
      <c r="AA219" s="227" t="e">
        <f>VLOOKUP(Table1[[#This Row],[CONCAT]],'Campos Resumo Prop2.0'!A:H,8,0)</f>
        <v>#N/A</v>
      </c>
      <c r="AB219" s="87" t="s">
        <v>1654</v>
      </c>
      <c r="AC219" s="135" t="s">
        <v>1625</v>
      </c>
      <c r="AD219" s="91">
        <f>INDEX(Auxiliar!$D$5:$I$10,MATCH('LISTA - Setembro2024'!AD$3,Auxiliar!$B$5:$B$10,0),MATCH('LISTA - Setembro2024'!$AC219,Auxiliar!$D$4:$I$4,0))</f>
        <v>0</v>
      </c>
      <c r="AE219" s="91">
        <f>INDEX(Auxiliar!$D$5:$I$10,MATCH('LISTA - Setembro2024'!AE$3,Auxiliar!$B$5:$B$10,0),MATCH('LISTA - Setembro2024'!$AC219,Auxiliar!$D$4:$I$4,0))</f>
        <v>0</v>
      </c>
      <c r="AF219" s="87">
        <f>INDEX(Auxiliar!$D$5:$I$10,MATCH('LISTA - Setembro2024'!AF$3,Auxiliar!$B$5:$B$10,0),MATCH('LISTA - Setembro2024'!$AC219,Auxiliar!$D$4:$I$4,0))</f>
        <v>0</v>
      </c>
      <c r="AG219" s="87" t="str">
        <f t="shared" si="53"/>
        <v>n.a.</v>
      </c>
      <c r="AH219" s="87">
        <f>INDEX(Auxiliar!$D$5:$I$10,MATCH('LISTA - Setembro2024'!AH$3,Auxiliar!$B$5:$B$10,0),MATCH('LISTA - Setembro2024'!$AG219,Auxiliar!$D$4:$I$4,0))</f>
        <v>0</v>
      </c>
      <c r="AI219" s="87">
        <f>INDEX(Auxiliar!$D$5:$I$10,MATCH('LISTA - Setembro2024'!AI$3,Auxiliar!$B$5:$B$10,0),MATCH('LISTA - Setembro2024'!$AC219,Auxiliar!$D$4:$I$4,0))</f>
        <v>0</v>
      </c>
      <c r="AJ219" s="87">
        <f>INDEX(Auxiliar!$D$5:$I$10,MATCH('LISTA - Setembro2024'!AJ$3,Auxiliar!$B$5:$B$10,0),MATCH('LISTA - Setembro2024'!$AC219,Auxiliar!$D$4:$I$4,0))</f>
        <v>0</v>
      </c>
      <c r="AK219" s="160">
        <f t="shared" si="56"/>
        <v>0</v>
      </c>
      <c r="AL219" s="87"/>
    </row>
    <row r="220" spans="1:38" ht="13.8" x14ac:dyDescent="0.25">
      <c r="A220" s="158" t="s">
        <v>527</v>
      </c>
      <c r="B220" s="81" t="str">
        <f t="shared" si="54"/>
        <v>INSTRUMENT_PRFRMNG_STTS</v>
      </c>
      <c r="C220" s="82" t="s">
        <v>414</v>
      </c>
      <c r="D220" s="83" t="s">
        <v>528</v>
      </c>
      <c r="E220" s="84" t="s">
        <v>141</v>
      </c>
      <c r="F220" s="85" t="s">
        <v>13</v>
      </c>
      <c r="G220" s="85" t="s">
        <v>13</v>
      </c>
      <c r="H220" s="85" t="s">
        <v>13</v>
      </c>
      <c r="I220" s="85" t="s">
        <v>11</v>
      </c>
      <c r="J220" s="85" t="s">
        <v>11</v>
      </c>
      <c r="K220" s="85" t="s">
        <v>13</v>
      </c>
      <c r="L220" s="86" t="str">
        <f>IFERROR(VLOOKUP($B220,'LISTA - Atual'!$B$1:$I$444,5,0),"Novo")</f>
        <v>Y</v>
      </c>
      <c r="M220" s="86" t="str">
        <f t="shared" si="49"/>
        <v>Igual</v>
      </c>
      <c r="N220" s="86" t="str">
        <f>IFERROR(VLOOKUP($B220,'LISTA - Atual'!$B$1:$I$444,6,0),"Novo")</f>
        <v>Y</v>
      </c>
      <c r="O220" s="86" t="str">
        <f t="shared" si="50"/>
        <v>Igual</v>
      </c>
      <c r="P220" s="86" t="str">
        <f>IFERROR(VLOOKUP($B220,'LISTA - Atual'!$B$1:$I$444,7,0),"Novo")</f>
        <v>Y</v>
      </c>
      <c r="Q220" s="86" t="str">
        <f t="shared" si="51"/>
        <v>Igual</v>
      </c>
      <c r="R220" s="86" t="s">
        <v>1563</v>
      </c>
      <c r="S220" s="86" t="str">
        <f>IFERROR(VLOOKUP($B220,'LISTA - Atual'!$B$1:$I$444,8,0),"Novo")</f>
        <v>N</v>
      </c>
      <c r="T220" s="86" t="str">
        <f t="shared" si="52"/>
        <v>Igual</v>
      </c>
      <c r="U220" s="86" t="s">
        <v>1563</v>
      </c>
      <c r="V220" s="86" t="s">
        <v>11</v>
      </c>
      <c r="W220" s="87" t="str">
        <f>IFERROR(VLOOKUP(B220,#REF!,11,0),"n/a")</f>
        <v>n/a</v>
      </c>
      <c r="X220" s="87" t="str">
        <f>IFERROR(VLOOKUP(B220,#REF!,8,0),"n/a")</f>
        <v>n/a</v>
      </c>
      <c r="Y220" s="87" t="str">
        <f>$F$2&amp;$Y$1&amp;$G$2&amp;$Y$1&amp;$H$2</f>
        <v>ESTR &amp; GD &amp; PILAR3</v>
      </c>
      <c r="Z220" s="131" t="s">
        <v>1605</v>
      </c>
      <c r="AA220" s="227" t="e">
        <f>VLOOKUP(Table1[[#This Row],[CONCAT]],'Campos Resumo Prop2.0'!A:H,8,0)</f>
        <v>#N/A</v>
      </c>
      <c r="AB220" s="87" t="s">
        <v>1650</v>
      </c>
      <c r="AC220" s="135" t="s">
        <v>1625</v>
      </c>
      <c r="AD220" s="135">
        <v>1</v>
      </c>
      <c r="AE220" s="91">
        <f>INDEX(Auxiliar!$D$5:$I$10,MATCH('LISTA - Setembro2024'!AE$3,Auxiliar!$B$5:$B$10,0),MATCH('LISTA - Setembro2024'!$AC220,Auxiliar!$D$4:$I$4,0))</f>
        <v>0</v>
      </c>
      <c r="AF220" s="87">
        <f>INDEX(Auxiliar!$D$5:$I$10,MATCH('LISTA - Setembro2024'!AF$3,Auxiliar!$B$5:$B$10,0),MATCH('LISTA - Setembro2024'!$AC220,Auxiliar!$D$4:$I$4,0))</f>
        <v>0</v>
      </c>
      <c r="AG220" s="87" t="str">
        <f t="shared" si="53"/>
        <v>n.a.</v>
      </c>
      <c r="AH220" s="87">
        <f>INDEX(Auxiliar!$D$5:$I$10,MATCH('LISTA - Setembro2024'!AH$3,Auxiliar!$B$5:$B$10,0),MATCH('LISTA - Setembro2024'!$AG220,Auxiliar!$D$4:$I$4,0))</f>
        <v>0</v>
      </c>
      <c r="AI220" s="87">
        <f>INDEX(Auxiliar!$D$5:$I$10,MATCH('LISTA - Setembro2024'!AI$3,Auxiliar!$B$5:$B$10,0),MATCH('LISTA - Setembro2024'!$AC220,Auxiliar!$D$4:$I$4,0))</f>
        <v>0</v>
      </c>
      <c r="AJ220" s="87">
        <f>INDEX(Auxiliar!$D$5:$I$10,MATCH('LISTA - Setembro2024'!AJ$3,Auxiliar!$B$5:$B$10,0),MATCH('LISTA - Setembro2024'!$AC220,Auxiliar!$D$4:$I$4,0))</f>
        <v>0</v>
      </c>
      <c r="AK220" s="160">
        <f t="shared" si="56"/>
        <v>0</v>
      </c>
      <c r="AL220" s="87" t="s">
        <v>1684</v>
      </c>
    </row>
    <row r="221" spans="1:38" ht="13.8" x14ac:dyDescent="0.25">
      <c r="A221" s="158" t="s">
        <v>529</v>
      </c>
      <c r="B221" s="81" t="str">
        <f t="shared" si="54"/>
        <v>INSTRUMENT_PRFRMNG_STTS_PRVS</v>
      </c>
      <c r="C221" s="82" t="s">
        <v>414</v>
      </c>
      <c r="D221" s="83" t="s">
        <v>530</v>
      </c>
      <c r="E221" s="84" t="s">
        <v>531</v>
      </c>
      <c r="F221" s="85" t="s">
        <v>13</v>
      </c>
      <c r="G221" s="85" t="s">
        <v>11</v>
      </c>
      <c r="H221" s="85" t="s">
        <v>11</v>
      </c>
      <c r="I221" s="85" t="s">
        <v>11</v>
      </c>
      <c r="J221" s="85" t="s">
        <v>11</v>
      </c>
      <c r="K221" s="85" t="s">
        <v>13</v>
      </c>
      <c r="L221" s="86" t="str">
        <f>IFERROR(VLOOKUP($B221,'LISTA - Atual'!$B$1:$I$444,5,0),"Novo")</f>
        <v>Y</v>
      </c>
      <c r="M221" s="86" t="str">
        <f t="shared" si="49"/>
        <v>Igual</v>
      </c>
      <c r="N221" s="86" t="str">
        <f>IFERROR(VLOOKUP($B221,'LISTA - Atual'!$B$1:$I$444,6,0),"Novo")</f>
        <v>N</v>
      </c>
      <c r="O221" s="86" t="str">
        <f t="shared" si="50"/>
        <v>Igual</v>
      </c>
      <c r="P221" s="86" t="str">
        <f>IFERROR(VLOOKUP($B221,'LISTA - Atual'!$B$1:$I$444,7,0),"Novo")</f>
        <v>N</v>
      </c>
      <c r="Q221" s="86" t="str">
        <f t="shared" si="51"/>
        <v>Igual</v>
      </c>
      <c r="R221" s="86" t="s">
        <v>1563</v>
      </c>
      <c r="S221" s="86" t="str">
        <f>IFERROR(VLOOKUP($B221,'LISTA - Atual'!$B$1:$I$444,8,0),"Novo")</f>
        <v>N</v>
      </c>
      <c r="T221" s="86" t="str">
        <f t="shared" si="52"/>
        <v>Igual</v>
      </c>
      <c r="U221" s="86" t="s">
        <v>1563</v>
      </c>
      <c r="V221" s="86" t="s">
        <v>11</v>
      </c>
      <c r="W221" s="87" t="str">
        <f>IFERROR(VLOOKUP(B221,#REF!,11,0),"n/a")</f>
        <v>n/a</v>
      </c>
      <c r="X221" s="87" t="str">
        <f>IFERROR(VLOOKUP(B221,#REF!,8,0),"n/a")</f>
        <v>n/a</v>
      </c>
      <c r="Y221" s="87" t="str">
        <f>$F$2</f>
        <v>ESTR</v>
      </c>
      <c r="Z221" s="131" t="s">
        <v>1605</v>
      </c>
      <c r="AA221" s="227" t="e">
        <f>VLOOKUP(Table1[[#This Row],[CONCAT]],'Campos Resumo Prop2.0'!A:H,8,0)</f>
        <v>#N/A</v>
      </c>
      <c r="AB221" s="87" t="s">
        <v>1650</v>
      </c>
      <c r="AC221" s="135" t="s">
        <v>1625</v>
      </c>
      <c r="AD221" s="135">
        <v>1</v>
      </c>
      <c r="AE221" s="91">
        <f>INDEX(Auxiliar!$D$5:$I$10,MATCH('LISTA - Setembro2024'!AE$3,Auxiliar!$B$5:$B$10,0),MATCH('LISTA - Setembro2024'!$AC221,Auxiliar!$D$4:$I$4,0))</f>
        <v>0</v>
      </c>
      <c r="AF221" s="87">
        <f>INDEX(Auxiliar!$D$5:$I$10,MATCH('LISTA - Setembro2024'!AF$3,Auxiliar!$B$5:$B$10,0),MATCH('LISTA - Setembro2024'!$AC221,Auxiliar!$D$4:$I$4,0))</f>
        <v>0</v>
      </c>
      <c r="AG221" s="87" t="str">
        <f t="shared" si="53"/>
        <v>n.a.</v>
      </c>
      <c r="AH221" s="87">
        <f>INDEX(Auxiliar!$D$5:$I$10,MATCH('LISTA - Setembro2024'!AH$3,Auxiliar!$B$5:$B$10,0),MATCH('LISTA - Setembro2024'!$AG221,Auxiliar!$D$4:$I$4,0))</f>
        <v>0</v>
      </c>
      <c r="AI221" s="87">
        <f>INDEX(Auxiliar!$D$5:$I$10,MATCH('LISTA - Setembro2024'!AI$3,Auxiliar!$B$5:$B$10,0),MATCH('LISTA - Setembro2024'!$AC221,Auxiliar!$D$4:$I$4,0))</f>
        <v>0</v>
      </c>
      <c r="AJ221" s="87">
        <f>INDEX(Auxiliar!$D$5:$I$10,MATCH('LISTA - Setembro2024'!AJ$3,Auxiliar!$B$5:$B$10,0),MATCH('LISTA - Setembro2024'!$AC221,Auxiliar!$D$4:$I$4,0))</f>
        <v>0</v>
      </c>
      <c r="AK221" s="160">
        <f t="shared" si="56"/>
        <v>0</v>
      </c>
      <c r="AL221" s="87" t="s">
        <v>1684</v>
      </c>
    </row>
    <row r="222" spans="1:38" s="20" customFormat="1" ht="13.8" x14ac:dyDescent="0.25">
      <c r="A222" s="158" t="s">
        <v>532</v>
      </c>
      <c r="B222" s="81" t="str">
        <f t="shared" si="54"/>
        <v>INSTRUMENT_PRJCT_FNNC_LN</v>
      </c>
      <c r="C222" s="82" t="s">
        <v>414</v>
      </c>
      <c r="D222" s="83" t="s">
        <v>533</v>
      </c>
      <c r="E222" s="84" t="s">
        <v>534</v>
      </c>
      <c r="F222" s="85" t="s">
        <v>13</v>
      </c>
      <c r="G222" s="85" t="s">
        <v>11</v>
      </c>
      <c r="H222" s="85" t="s">
        <v>13</v>
      </c>
      <c r="I222" s="85" t="s">
        <v>11</v>
      </c>
      <c r="J222" s="85" t="s">
        <v>11</v>
      </c>
      <c r="K222" s="85" t="s">
        <v>11</v>
      </c>
      <c r="L222" s="86" t="str">
        <f>IFERROR(VLOOKUP($B222,'LISTA - Atual'!$B$1:$I$444,5,0),"Novo")</f>
        <v>Y</v>
      </c>
      <c r="M222" s="86" t="str">
        <f t="shared" si="49"/>
        <v>Igual</v>
      </c>
      <c r="N222" s="86" t="str">
        <f>IFERROR(VLOOKUP($B222,'LISTA - Atual'!$B$1:$I$444,6,0),"Novo")</f>
        <v>N</v>
      </c>
      <c r="O222" s="86" t="str">
        <f t="shared" si="50"/>
        <v>Igual</v>
      </c>
      <c r="P222" s="86" t="str">
        <f>IFERROR(VLOOKUP($B222,'LISTA - Atual'!$B$1:$I$444,7,0),"Novo")</f>
        <v>Y</v>
      </c>
      <c r="Q222" s="86" t="str">
        <f t="shared" si="51"/>
        <v>Igual</v>
      </c>
      <c r="R222" s="86" t="s">
        <v>1563</v>
      </c>
      <c r="S222" s="86" t="str">
        <f>IFERROR(VLOOKUP($B222,'LISTA - Atual'!$B$1:$I$444,8,0),"Novo")</f>
        <v>N</v>
      </c>
      <c r="T222" s="86" t="str">
        <f t="shared" si="52"/>
        <v>Igual</v>
      </c>
      <c r="U222" s="86" t="s">
        <v>1563</v>
      </c>
      <c r="V222" s="86" t="s">
        <v>11</v>
      </c>
      <c r="W222" s="87" t="str">
        <f>IFERROR(VLOOKUP(B222,#REF!,11,0),"n/a")</f>
        <v>n/a</v>
      </c>
      <c r="X222" s="87" t="str">
        <f>IFERROR(VLOOKUP(B222,#REF!,8,0),"n/a")</f>
        <v>n/a</v>
      </c>
      <c r="Y222" s="87" t="str">
        <f>$F$2&amp;$Y$1&amp;$H$2</f>
        <v>ESTR &amp; PILAR3</v>
      </c>
      <c r="Z222" s="131" t="s">
        <v>1605</v>
      </c>
      <c r="AA222" s="227" t="e">
        <f>VLOOKUP(Table1[[#This Row],[CONCAT]],'Campos Resumo Prop2.0'!A:H,8,0)</f>
        <v>#N/A</v>
      </c>
      <c r="AB222" s="87" t="s">
        <v>1650</v>
      </c>
      <c r="AC222" s="135" t="s">
        <v>1625</v>
      </c>
      <c r="AD222" s="91">
        <f>INDEX(Auxiliar!$D$5:$I$10,MATCH('LISTA - Setembro2024'!AD$3,Auxiliar!$B$5:$B$10,0),MATCH('LISTA - Setembro2024'!$AC222,Auxiliar!$D$4:$I$4,0))</f>
        <v>0</v>
      </c>
      <c r="AE222" s="91">
        <f>INDEX(Auxiliar!$D$5:$I$10,MATCH('LISTA - Setembro2024'!AE$3,Auxiliar!$B$5:$B$10,0),MATCH('LISTA - Setembro2024'!$AC222,Auxiliar!$D$4:$I$4,0))</f>
        <v>0</v>
      </c>
      <c r="AF222" s="87">
        <f>INDEX(Auxiliar!$D$5:$I$10,MATCH('LISTA - Setembro2024'!AF$3,Auxiliar!$B$5:$B$10,0),MATCH('LISTA - Setembro2024'!$AC222,Auxiliar!$D$4:$I$4,0))</f>
        <v>0</v>
      </c>
      <c r="AG222" s="87" t="str">
        <f t="shared" si="53"/>
        <v>n.a.</v>
      </c>
      <c r="AH222" s="87">
        <f>INDEX(Auxiliar!$D$5:$I$10,MATCH('LISTA - Setembro2024'!AH$3,Auxiliar!$B$5:$B$10,0),MATCH('LISTA - Setembro2024'!$AG222,Auxiliar!$D$4:$I$4,0))</f>
        <v>0</v>
      </c>
      <c r="AI222" s="87">
        <f>INDEX(Auxiliar!$D$5:$I$10,MATCH('LISTA - Setembro2024'!AI$3,Auxiliar!$B$5:$B$10,0),MATCH('LISTA - Setembro2024'!$AC222,Auxiliar!$D$4:$I$4,0))</f>
        <v>0</v>
      </c>
      <c r="AJ222" s="87">
        <f>INDEX(Auxiliar!$D$5:$I$10,MATCH('LISTA - Setembro2024'!AJ$3,Auxiliar!$B$5:$B$10,0),MATCH('LISTA - Setembro2024'!$AC222,Auxiliar!$D$4:$I$4,0))</f>
        <v>0</v>
      </c>
      <c r="AK222" s="160">
        <f t="shared" si="56"/>
        <v>0</v>
      </c>
      <c r="AL222" s="161"/>
    </row>
    <row r="223" spans="1:38" ht="13.8" x14ac:dyDescent="0.25">
      <c r="A223" s="158" t="s">
        <v>535</v>
      </c>
      <c r="B223" s="81" t="str">
        <f t="shared" si="54"/>
        <v>INSTRUMENT_PRPS</v>
      </c>
      <c r="C223" s="82" t="s">
        <v>414</v>
      </c>
      <c r="D223" s="83" t="s">
        <v>536</v>
      </c>
      <c r="E223" s="84" t="s">
        <v>537</v>
      </c>
      <c r="F223" s="85" t="s">
        <v>13</v>
      </c>
      <c r="G223" s="85" t="s">
        <v>11</v>
      </c>
      <c r="H223" s="85" t="s">
        <v>11</v>
      </c>
      <c r="I223" s="85" t="s">
        <v>11</v>
      </c>
      <c r="J223" s="85" t="s">
        <v>11</v>
      </c>
      <c r="K223" s="85" t="s">
        <v>13</v>
      </c>
      <c r="L223" s="86" t="str">
        <f>IFERROR(VLOOKUP($B223,'LISTA - Atual'!$B$1:$I$444,5,0),"Novo")</f>
        <v>Y</v>
      </c>
      <c r="M223" s="86" t="str">
        <f t="shared" si="49"/>
        <v>Igual</v>
      </c>
      <c r="N223" s="86" t="str">
        <f>IFERROR(VLOOKUP($B223,'LISTA - Atual'!$B$1:$I$444,6,0),"Novo")</f>
        <v>N</v>
      </c>
      <c r="O223" s="86" t="str">
        <f t="shared" si="50"/>
        <v>Igual</v>
      </c>
      <c r="P223" s="86" t="str">
        <f>IFERROR(VLOOKUP($B223,'LISTA - Atual'!$B$1:$I$444,7,0),"Novo")</f>
        <v>N</v>
      </c>
      <c r="Q223" s="86" t="str">
        <f t="shared" si="51"/>
        <v>Igual</v>
      </c>
      <c r="R223" s="86" t="s">
        <v>1563</v>
      </c>
      <c r="S223" s="86" t="str">
        <f>IFERROR(VLOOKUP($B223,'LISTA - Atual'!$B$1:$I$444,8,0),"Novo")</f>
        <v>N</v>
      </c>
      <c r="T223" s="86" t="str">
        <f t="shared" si="52"/>
        <v>Igual</v>
      </c>
      <c r="U223" s="86" t="s">
        <v>1563</v>
      </c>
      <c r="V223" s="86" t="s">
        <v>11</v>
      </c>
      <c r="W223" s="87" t="str">
        <f>IFERROR(VLOOKUP(B223,#REF!,11,0),"n/a")</f>
        <v>n/a</v>
      </c>
      <c r="X223" s="87" t="str">
        <f>IFERROR(VLOOKUP(B223,#REF!,8,0),"n/a")</f>
        <v>n/a</v>
      </c>
      <c r="Y223" s="87" t="str">
        <f t="shared" ref="Y223:Y230" si="58">$F$2</f>
        <v>ESTR</v>
      </c>
      <c r="Z223" s="131" t="s">
        <v>1605</v>
      </c>
      <c r="AA223" s="227" t="e">
        <f>VLOOKUP(Table1[[#This Row],[CONCAT]],'Campos Resumo Prop2.0'!A:H,8,0)</f>
        <v>#N/A</v>
      </c>
      <c r="AB223" s="87" t="s">
        <v>1650</v>
      </c>
      <c r="AC223" s="135" t="s">
        <v>1625</v>
      </c>
      <c r="AD223" s="91">
        <f>INDEX(Auxiliar!$D$5:$I$10,MATCH('LISTA - Setembro2024'!AD$3,Auxiliar!$B$5:$B$10,0),MATCH('LISTA - Setembro2024'!$AC223,Auxiliar!$D$4:$I$4,0))</f>
        <v>0</v>
      </c>
      <c r="AE223" s="91">
        <f>INDEX(Auxiliar!$D$5:$I$10,MATCH('LISTA - Setembro2024'!AE$3,Auxiliar!$B$5:$B$10,0),MATCH('LISTA - Setembro2024'!$AC223,Auxiliar!$D$4:$I$4,0))</f>
        <v>0</v>
      </c>
      <c r="AF223" s="87">
        <f>INDEX(Auxiliar!$D$5:$I$10,MATCH('LISTA - Setembro2024'!AF$3,Auxiliar!$B$5:$B$10,0),MATCH('LISTA - Setembro2024'!$AC223,Auxiliar!$D$4:$I$4,0))</f>
        <v>0</v>
      </c>
      <c r="AG223" s="87" t="str">
        <f t="shared" si="53"/>
        <v>n.a.</v>
      </c>
      <c r="AH223" s="87">
        <f>INDEX(Auxiliar!$D$5:$I$10,MATCH('LISTA - Setembro2024'!AH$3,Auxiliar!$B$5:$B$10,0),MATCH('LISTA - Setembro2024'!$AG223,Auxiliar!$D$4:$I$4,0))</f>
        <v>0</v>
      </c>
      <c r="AI223" s="87">
        <f>INDEX(Auxiliar!$D$5:$I$10,MATCH('LISTA - Setembro2024'!AI$3,Auxiliar!$B$5:$B$10,0),MATCH('LISTA - Setembro2024'!$AC223,Auxiliar!$D$4:$I$4,0))</f>
        <v>0</v>
      </c>
      <c r="AJ223" s="87">
        <f>INDEX(Auxiliar!$D$5:$I$10,MATCH('LISTA - Setembro2024'!AJ$3,Auxiliar!$B$5:$B$10,0),MATCH('LISTA - Setembro2024'!$AC223,Auxiliar!$D$4:$I$4,0))</f>
        <v>0</v>
      </c>
      <c r="AK223" s="160">
        <f t="shared" si="56"/>
        <v>0</v>
      </c>
      <c r="AL223" s="87"/>
    </row>
    <row r="224" spans="1:38" ht="13.8" x14ac:dyDescent="0.25">
      <c r="A224" s="158" t="s">
        <v>538</v>
      </c>
      <c r="B224" s="81" t="str">
        <f t="shared" si="54"/>
        <v>INSTRUMENT_PYMNT_INTRST_ONLY</v>
      </c>
      <c r="C224" s="82" t="s">
        <v>414</v>
      </c>
      <c r="D224" s="83" t="s">
        <v>539</v>
      </c>
      <c r="E224" s="84" t="s">
        <v>540</v>
      </c>
      <c r="F224" s="85" t="s">
        <v>13</v>
      </c>
      <c r="G224" s="85" t="s">
        <v>11</v>
      </c>
      <c r="H224" s="85" t="s">
        <v>11</v>
      </c>
      <c r="I224" s="85" t="s">
        <v>11</v>
      </c>
      <c r="J224" s="85" t="s">
        <v>11</v>
      </c>
      <c r="K224" s="85" t="s">
        <v>13</v>
      </c>
      <c r="L224" s="86" t="str">
        <f>IFERROR(VLOOKUP($B224,'LISTA - Atual'!$B$1:$I$444,5,0),"Novo")</f>
        <v>Y</v>
      </c>
      <c r="M224" s="86" t="str">
        <f t="shared" si="49"/>
        <v>Igual</v>
      </c>
      <c r="N224" s="86" t="str">
        <f>IFERROR(VLOOKUP($B224,'LISTA - Atual'!$B$1:$I$444,6,0),"Novo")</f>
        <v>N</v>
      </c>
      <c r="O224" s="86" t="str">
        <f t="shared" si="50"/>
        <v>Igual</v>
      </c>
      <c r="P224" s="86" t="str">
        <f>IFERROR(VLOOKUP($B224,'LISTA - Atual'!$B$1:$I$444,7,0),"Novo")</f>
        <v>N</v>
      </c>
      <c r="Q224" s="86" t="str">
        <f t="shared" si="51"/>
        <v>Igual</v>
      </c>
      <c r="R224" s="86" t="s">
        <v>1563</v>
      </c>
      <c r="S224" s="86" t="str">
        <f>IFERROR(VLOOKUP($B224,'LISTA - Atual'!$B$1:$I$444,8,0),"Novo")</f>
        <v>N</v>
      </c>
      <c r="T224" s="86" t="str">
        <f t="shared" si="52"/>
        <v>Igual</v>
      </c>
      <c r="U224" s="86" t="s">
        <v>1563</v>
      </c>
      <c r="V224" s="86" t="s">
        <v>11</v>
      </c>
      <c r="W224" s="87" t="str">
        <f>IFERROR(VLOOKUP(B224,#REF!,11,0),"n/a")</f>
        <v>n/a</v>
      </c>
      <c r="X224" s="87" t="str">
        <f>IFERROR(VLOOKUP(B224,#REF!,8,0),"n/a")</f>
        <v>n/a</v>
      </c>
      <c r="Y224" s="87" t="str">
        <f t="shared" si="58"/>
        <v>ESTR</v>
      </c>
      <c r="Z224" s="131" t="s">
        <v>1605</v>
      </c>
      <c r="AA224" s="227" t="e">
        <f>VLOOKUP(Table1[[#This Row],[CONCAT]],'Campos Resumo Prop2.0'!A:H,8,0)</f>
        <v>#N/A</v>
      </c>
      <c r="AB224" s="87" t="s">
        <v>1654</v>
      </c>
      <c r="AC224" s="135" t="s">
        <v>1625</v>
      </c>
      <c r="AD224" s="91">
        <f>INDEX(Auxiliar!$D$5:$I$10,MATCH('LISTA - Setembro2024'!AD$3,Auxiliar!$B$5:$B$10,0),MATCH('LISTA - Setembro2024'!$AC224,Auxiliar!$D$4:$I$4,0))</f>
        <v>0</v>
      </c>
      <c r="AE224" s="91">
        <f>INDEX(Auxiliar!$D$5:$I$10,MATCH('LISTA - Setembro2024'!AE$3,Auxiliar!$B$5:$B$10,0),MATCH('LISTA - Setembro2024'!$AC224,Auxiliar!$D$4:$I$4,0))</f>
        <v>0</v>
      </c>
      <c r="AF224" s="87">
        <f>INDEX(Auxiliar!$D$5:$I$10,MATCH('LISTA - Setembro2024'!AF$3,Auxiliar!$B$5:$B$10,0),MATCH('LISTA - Setembro2024'!$AC224,Auxiliar!$D$4:$I$4,0))</f>
        <v>0</v>
      </c>
      <c r="AG224" s="87" t="str">
        <f t="shared" si="53"/>
        <v>n.a.</v>
      </c>
      <c r="AH224" s="87">
        <f>INDEX(Auxiliar!$D$5:$I$10,MATCH('LISTA - Setembro2024'!AH$3,Auxiliar!$B$5:$B$10,0),MATCH('LISTA - Setembro2024'!$AG224,Auxiliar!$D$4:$I$4,0))</f>
        <v>0</v>
      </c>
      <c r="AI224" s="87">
        <f>INDEX(Auxiliar!$D$5:$I$10,MATCH('LISTA - Setembro2024'!AI$3,Auxiliar!$B$5:$B$10,0),MATCH('LISTA - Setembro2024'!$AC224,Auxiliar!$D$4:$I$4,0))</f>
        <v>0</v>
      </c>
      <c r="AJ224" s="87">
        <f>INDEX(Auxiliar!$D$5:$I$10,MATCH('LISTA - Setembro2024'!AJ$3,Auxiliar!$B$5:$B$10,0),MATCH('LISTA - Setembro2024'!$AC224,Auxiliar!$D$4:$I$4,0))</f>
        <v>0</v>
      </c>
      <c r="AK224" s="160">
        <f t="shared" si="56"/>
        <v>0</v>
      </c>
      <c r="AL224" s="87" t="s">
        <v>1692</v>
      </c>
    </row>
    <row r="225" spans="1:38" ht="13.8" x14ac:dyDescent="0.25">
      <c r="A225" s="158" t="s">
        <v>541</v>
      </c>
      <c r="B225" s="81" t="str">
        <f t="shared" si="54"/>
        <v>INSTRUMENT_RCRS</v>
      </c>
      <c r="C225" s="82" t="s">
        <v>414</v>
      </c>
      <c r="D225" s="83" t="s">
        <v>542</v>
      </c>
      <c r="E225" s="84" t="s">
        <v>543</v>
      </c>
      <c r="F225" s="85" t="s">
        <v>13</v>
      </c>
      <c r="G225" s="85" t="s">
        <v>11</v>
      </c>
      <c r="H225" s="85" t="s">
        <v>11</v>
      </c>
      <c r="I225" s="85" t="s">
        <v>11</v>
      </c>
      <c r="J225" s="85" t="s">
        <v>11</v>
      </c>
      <c r="K225" s="85" t="s">
        <v>11</v>
      </c>
      <c r="L225" s="86" t="str">
        <f>IFERROR(VLOOKUP($B225,'LISTA - Atual'!$B$1:$I$444,5,0),"Novo")</f>
        <v>Y</v>
      </c>
      <c r="M225" s="86" t="str">
        <f t="shared" si="49"/>
        <v>Igual</v>
      </c>
      <c r="N225" s="86" t="str">
        <f>IFERROR(VLOOKUP($B225,'LISTA - Atual'!$B$1:$I$444,6,0),"Novo")</f>
        <v>N</v>
      </c>
      <c r="O225" s="86" t="str">
        <f t="shared" si="50"/>
        <v>Igual</v>
      </c>
      <c r="P225" s="86" t="str">
        <f>IFERROR(VLOOKUP($B225,'LISTA - Atual'!$B$1:$I$444,7,0),"Novo")</f>
        <v>N</v>
      </c>
      <c r="Q225" s="86" t="str">
        <f t="shared" si="51"/>
        <v>Igual</v>
      </c>
      <c r="R225" s="86" t="s">
        <v>1563</v>
      </c>
      <c r="S225" s="86" t="str">
        <f>IFERROR(VLOOKUP($B225,'LISTA - Atual'!$B$1:$I$444,8,0),"Novo")</f>
        <v>N</v>
      </c>
      <c r="T225" s="86" t="str">
        <f t="shared" si="52"/>
        <v>Igual</v>
      </c>
      <c r="U225" s="86" t="s">
        <v>1563</v>
      </c>
      <c r="V225" s="86" t="s">
        <v>11</v>
      </c>
      <c r="W225" s="87" t="str">
        <f>IFERROR(VLOOKUP(B225,#REF!,11,0),"n/a")</f>
        <v>n/a</v>
      </c>
      <c r="X225" s="87" t="str">
        <f>IFERROR(VLOOKUP(B225,#REF!,8,0),"n/a")</f>
        <v>n/a</v>
      </c>
      <c r="Y225" s="87" t="str">
        <f t="shared" si="58"/>
        <v>ESTR</v>
      </c>
      <c r="Z225" s="131" t="s">
        <v>1605</v>
      </c>
      <c r="AA225" s="227" t="e">
        <f>VLOOKUP(Table1[[#This Row],[CONCAT]],'Campos Resumo Prop2.0'!A:H,8,0)</f>
        <v>#N/A</v>
      </c>
      <c r="AB225" s="87" t="s">
        <v>1650</v>
      </c>
      <c r="AC225" s="135" t="s">
        <v>1625</v>
      </c>
      <c r="AD225" s="91">
        <f>INDEX(Auxiliar!$D$5:$I$10,MATCH('LISTA - Setembro2024'!AD$3,Auxiliar!$B$5:$B$10,0),MATCH('LISTA - Setembro2024'!$AC225,Auxiliar!$D$4:$I$4,0))</f>
        <v>0</v>
      </c>
      <c r="AE225" s="91">
        <f>INDEX(Auxiliar!$D$5:$I$10,MATCH('LISTA - Setembro2024'!AE$3,Auxiliar!$B$5:$B$10,0),MATCH('LISTA - Setembro2024'!$AC225,Auxiliar!$D$4:$I$4,0))</f>
        <v>0</v>
      </c>
      <c r="AF225" s="87">
        <f>INDEX(Auxiliar!$D$5:$I$10,MATCH('LISTA - Setembro2024'!AF$3,Auxiliar!$B$5:$B$10,0),MATCH('LISTA - Setembro2024'!$AC225,Auxiliar!$D$4:$I$4,0))</f>
        <v>0</v>
      </c>
      <c r="AG225" s="87" t="str">
        <f t="shared" si="53"/>
        <v>n.a.</v>
      </c>
      <c r="AH225" s="87">
        <f>INDEX(Auxiliar!$D$5:$I$10,MATCH('LISTA - Setembro2024'!AH$3,Auxiliar!$B$5:$B$10,0),MATCH('LISTA - Setembro2024'!$AG225,Auxiliar!$D$4:$I$4,0))</f>
        <v>0</v>
      </c>
      <c r="AI225" s="87">
        <f>INDEX(Auxiliar!$D$5:$I$10,MATCH('LISTA - Setembro2024'!AI$3,Auxiliar!$B$5:$B$10,0),MATCH('LISTA - Setembro2024'!$AC225,Auxiliar!$D$4:$I$4,0))</f>
        <v>0</v>
      </c>
      <c r="AJ225" s="87">
        <f>INDEX(Auxiliar!$D$5:$I$10,MATCH('LISTA - Setembro2024'!AJ$3,Auxiliar!$B$5:$B$10,0),MATCH('LISTA - Setembro2024'!$AC225,Auxiliar!$D$4:$I$4,0))</f>
        <v>0</v>
      </c>
      <c r="AK225" s="160">
        <f t="shared" si="56"/>
        <v>0</v>
      </c>
      <c r="AL225" s="87"/>
    </row>
    <row r="226" spans="1:38" ht="13.8" x14ac:dyDescent="0.25">
      <c r="A226" s="158" t="s">
        <v>544</v>
      </c>
      <c r="B226" s="81" t="str">
        <f t="shared" si="54"/>
        <v>INSTRUMENT_RFNNC_PRPS</v>
      </c>
      <c r="C226" s="82" t="s">
        <v>414</v>
      </c>
      <c r="D226" s="83" t="s">
        <v>545</v>
      </c>
      <c r="E226" s="84" t="s">
        <v>546</v>
      </c>
      <c r="F226" s="85" t="s">
        <v>13</v>
      </c>
      <c r="G226" s="85" t="s">
        <v>11</v>
      </c>
      <c r="H226" s="85" t="s">
        <v>11</v>
      </c>
      <c r="I226" s="85" t="s">
        <v>11</v>
      </c>
      <c r="J226" s="85" t="s">
        <v>11</v>
      </c>
      <c r="K226" s="85" t="s">
        <v>11</v>
      </c>
      <c r="L226" s="86" t="str">
        <f>IFERROR(VLOOKUP($B226,'LISTA - Atual'!$B$1:$I$444,5,0),"Novo")</f>
        <v>Y</v>
      </c>
      <c r="M226" s="86" t="str">
        <f t="shared" si="49"/>
        <v>Igual</v>
      </c>
      <c r="N226" s="86" t="str">
        <f>IFERROR(VLOOKUP($B226,'LISTA - Atual'!$B$1:$I$444,6,0),"Novo")</f>
        <v>N</v>
      </c>
      <c r="O226" s="86" t="str">
        <f t="shared" si="50"/>
        <v>Igual</v>
      </c>
      <c r="P226" s="86" t="str">
        <f>IFERROR(VLOOKUP($B226,'LISTA - Atual'!$B$1:$I$444,7,0),"Novo")</f>
        <v>N</v>
      </c>
      <c r="Q226" s="86" t="str">
        <f t="shared" si="51"/>
        <v>Igual</v>
      </c>
      <c r="R226" s="86" t="s">
        <v>1563</v>
      </c>
      <c r="S226" s="86" t="str">
        <f>IFERROR(VLOOKUP($B226,'LISTA - Atual'!$B$1:$I$444,8,0),"Novo")</f>
        <v>N</v>
      </c>
      <c r="T226" s="86" t="str">
        <f t="shared" si="52"/>
        <v>Igual</v>
      </c>
      <c r="U226" s="86" t="s">
        <v>1563</v>
      </c>
      <c r="V226" s="86" t="s">
        <v>11</v>
      </c>
      <c r="W226" s="87" t="str">
        <f>IFERROR(VLOOKUP(B226,#REF!,11,0),"n/a")</f>
        <v>n/a</v>
      </c>
      <c r="X226" s="87" t="str">
        <f>IFERROR(VLOOKUP(B226,#REF!,8,0),"n/a")</f>
        <v>n/a</v>
      </c>
      <c r="Y226" s="87" t="str">
        <f t="shared" si="58"/>
        <v>ESTR</v>
      </c>
      <c r="Z226" s="131" t="s">
        <v>1605</v>
      </c>
      <c r="AA226" s="227" t="e">
        <f>VLOOKUP(Table1[[#This Row],[CONCAT]],'Campos Resumo Prop2.0'!A:H,8,0)</f>
        <v>#N/A</v>
      </c>
      <c r="AB226" s="87" t="s">
        <v>1654</v>
      </c>
      <c r="AC226" s="135" t="s">
        <v>1625</v>
      </c>
      <c r="AD226" s="91">
        <f>INDEX(Auxiliar!$D$5:$I$10,MATCH('LISTA - Setembro2024'!AD$3,Auxiliar!$B$5:$B$10,0),MATCH('LISTA - Setembro2024'!$AC226,Auxiliar!$D$4:$I$4,0))</f>
        <v>0</v>
      </c>
      <c r="AE226" s="91">
        <f>INDEX(Auxiliar!$D$5:$I$10,MATCH('LISTA - Setembro2024'!AE$3,Auxiliar!$B$5:$B$10,0),MATCH('LISTA - Setembro2024'!$AC226,Auxiliar!$D$4:$I$4,0))</f>
        <v>0</v>
      </c>
      <c r="AF226" s="87">
        <f>INDEX(Auxiliar!$D$5:$I$10,MATCH('LISTA - Setembro2024'!AF$3,Auxiliar!$B$5:$B$10,0),MATCH('LISTA - Setembro2024'!$AC226,Auxiliar!$D$4:$I$4,0))</f>
        <v>0</v>
      </c>
      <c r="AG226" s="87" t="str">
        <f t="shared" si="53"/>
        <v>n.a.</v>
      </c>
      <c r="AH226" s="87">
        <f>INDEX(Auxiliar!$D$5:$I$10,MATCH('LISTA - Setembro2024'!AH$3,Auxiliar!$B$5:$B$10,0),MATCH('LISTA - Setembro2024'!$AG226,Auxiliar!$D$4:$I$4,0))</f>
        <v>0</v>
      </c>
      <c r="AI226" s="87">
        <f>INDEX(Auxiliar!$D$5:$I$10,MATCH('LISTA - Setembro2024'!AI$3,Auxiliar!$B$5:$B$10,0),MATCH('LISTA - Setembro2024'!$AC226,Auxiliar!$D$4:$I$4,0))</f>
        <v>0</v>
      </c>
      <c r="AJ226" s="87">
        <f>INDEX(Auxiliar!$D$5:$I$10,MATCH('LISTA - Setembro2024'!AJ$3,Auxiliar!$B$5:$B$10,0),MATCH('LISTA - Setembro2024'!$AC226,Auxiliar!$D$4:$I$4,0))</f>
        <v>0</v>
      </c>
      <c r="AK226" s="160">
        <f t="shared" si="56"/>
        <v>0</v>
      </c>
      <c r="AL226" s="87"/>
    </row>
    <row r="227" spans="1:38" ht="13.8" x14ac:dyDescent="0.25">
      <c r="A227" s="158" t="s">
        <v>547</v>
      </c>
      <c r="B227" s="81" t="str">
        <f t="shared" si="54"/>
        <v>INSTRUMENT_SPCLTV_LNDNG</v>
      </c>
      <c r="C227" s="82" t="s">
        <v>414</v>
      </c>
      <c r="D227" s="83" t="s">
        <v>548</v>
      </c>
      <c r="E227" s="84" t="s">
        <v>549</v>
      </c>
      <c r="F227" s="85" t="s">
        <v>13</v>
      </c>
      <c r="G227" s="85" t="s">
        <v>11</v>
      </c>
      <c r="H227" s="85" t="s">
        <v>11</v>
      </c>
      <c r="I227" s="85" t="s">
        <v>11</v>
      </c>
      <c r="J227" s="85" t="s">
        <v>11</v>
      </c>
      <c r="K227" s="85" t="s">
        <v>11</v>
      </c>
      <c r="L227" s="86" t="str">
        <f>IFERROR(VLOOKUP($B227,'LISTA - Atual'!$B$1:$I$444,5,0),"Novo")</f>
        <v>Y</v>
      </c>
      <c r="M227" s="86" t="str">
        <f t="shared" si="49"/>
        <v>Igual</v>
      </c>
      <c r="N227" s="86" t="str">
        <f>IFERROR(VLOOKUP($B227,'LISTA - Atual'!$B$1:$I$444,6,0),"Novo")</f>
        <v>N</v>
      </c>
      <c r="O227" s="86" t="str">
        <f t="shared" si="50"/>
        <v>Igual</v>
      </c>
      <c r="P227" s="86" t="str">
        <f>IFERROR(VLOOKUP($B227,'LISTA - Atual'!$B$1:$I$444,7,0),"Novo")</f>
        <v>N</v>
      </c>
      <c r="Q227" s="86" t="str">
        <f t="shared" si="51"/>
        <v>Igual</v>
      </c>
      <c r="R227" s="86" t="s">
        <v>1563</v>
      </c>
      <c r="S227" s="86" t="str">
        <f>IFERROR(VLOOKUP($B227,'LISTA - Atual'!$B$1:$I$444,8,0),"Novo")</f>
        <v>N</v>
      </c>
      <c r="T227" s="86" t="str">
        <f t="shared" si="52"/>
        <v>Igual</v>
      </c>
      <c r="U227" s="86" t="s">
        <v>1563</v>
      </c>
      <c r="V227" s="86" t="s">
        <v>11</v>
      </c>
      <c r="W227" s="87" t="str">
        <f>IFERROR(VLOOKUP(B227,#REF!,11,0),"n/a")</f>
        <v>n/a</v>
      </c>
      <c r="X227" s="87" t="str">
        <f>IFERROR(VLOOKUP(B227,#REF!,8,0),"n/a")</f>
        <v>n/a</v>
      </c>
      <c r="Y227" s="87" t="str">
        <f t="shared" si="58"/>
        <v>ESTR</v>
      </c>
      <c r="Z227" s="131" t="s">
        <v>1605</v>
      </c>
      <c r="AA227" s="227" t="e">
        <f>VLOOKUP(Table1[[#This Row],[CONCAT]],'Campos Resumo Prop2.0'!A:H,8,0)</f>
        <v>#N/A</v>
      </c>
      <c r="AB227" s="87" t="s">
        <v>1654</v>
      </c>
      <c r="AC227" s="135" t="s">
        <v>1625</v>
      </c>
      <c r="AD227" s="91">
        <f>INDEX(Auxiliar!$D$5:$I$10,MATCH('LISTA - Setembro2024'!AD$3,Auxiliar!$B$5:$B$10,0),MATCH('LISTA - Setembro2024'!$AC227,Auxiliar!$D$4:$I$4,0))</f>
        <v>0</v>
      </c>
      <c r="AE227" s="91">
        <f>INDEX(Auxiliar!$D$5:$I$10,MATCH('LISTA - Setembro2024'!AE$3,Auxiliar!$B$5:$B$10,0),MATCH('LISTA - Setembro2024'!$AC227,Auxiliar!$D$4:$I$4,0))</f>
        <v>0</v>
      </c>
      <c r="AF227" s="87">
        <f>INDEX(Auxiliar!$D$5:$I$10,MATCH('LISTA - Setembro2024'!AF$3,Auxiliar!$B$5:$B$10,0),MATCH('LISTA - Setembro2024'!$AC227,Auxiliar!$D$4:$I$4,0))</f>
        <v>0</v>
      </c>
      <c r="AG227" s="87" t="str">
        <f t="shared" si="53"/>
        <v>n.a.</v>
      </c>
      <c r="AH227" s="87">
        <f>INDEX(Auxiliar!$D$5:$I$10,MATCH('LISTA - Setembro2024'!AH$3,Auxiliar!$B$5:$B$10,0),MATCH('LISTA - Setembro2024'!$AG227,Auxiliar!$D$4:$I$4,0))</f>
        <v>0</v>
      </c>
      <c r="AI227" s="87">
        <f>INDEX(Auxiliar!$D$5:$I$10,MATCH('LISTA - Setembro2024'!AI$3,Auxiliar!$B$5:$B$10,0),MATCH('LISTA - Setembro2024'!$AC227,Auxiliar!$D$4:$I$4,0))</f>
        <v>0</v>
      </c>
      <c r="AJ227" s="87">
        <f>INDEX(Auxiliar!$D$5:$I$10,MATCH('LISTA - Setembro2024'!AJ$3,Auxiliar!$B$5:$B$10,0),MATCH('LISTA - Setembro2024'!$AC227,Auxiliar!$D$4:$I$4,0))</f>
        <v>0</v>
      </c>
      <c r="AK227" s="160">
        <f t="shared" si="56"/>
        <v>0</v>
      </c>
      <c r="AL227" s="87"/>
    </row>
    <row r="228" spans="1:38" ht="13.8" x14ac:dyDescent="0.25">
      <c r="A228" s="158" t="s">
        <v>550</v>
      </c>
      <c r="B228" s="81" t="str">
        <f t="shared" si="54"/>
        <v>INSTRUMENT_STTS_UNDRWRTTN_TRNSCTN</v>
      </c>
      <c r="C228" s="82" t="s">
        <v>414</v>
      </c>
      <c r="D228" s="83" t="s">
        <v>551</v>
      </c>
      <c r="E228" s="84" t="s">
        <v>552</v>
      </c>
      <c r="F228" s="85" t="s">
        <v>13</v>
      </c>
      <c r="G228" s="85" t="s">
        <v>11</v>
      </c>
      <c r="H228" s="85" t="s">
        <v>11</v>
      </c>
      <c r="I228" s="85" t="s">
        <v>11</v>
      </c>
      <c r="J228" s="85" t="s">
        <v>11</v>
      </c>
      <c r="K228" s="85" t="s">
        <v>13</v>
      </c>
      <c r="L228" s="86" t="str">
        <f>IFERROR(VLOOKUP($B228,'LISTA - Atual'!$B$1:$I$444,5,0),"Novo")</f>
        <v>Y</v>
      </c>
      <c r="M228" s="86" t="str">
        <f t="shared" si="49"/>
        <v>Igual</v>
      </c>
      <c r="N228" s="86" t="str">
        <f>IFERROR(VLOOKUP($B228,'LISTA - Atual'!$B$1:$I$444,6,0),"Novo")</f>
        <v>N</v>
      </c>
      <c r="O228" s="86" t="str">
        <f t="shared" si="50"/>
        <v>Igual</v>
      </c>
      <c r="P228" s="86" t="str">
        <f>IFERROR(VLOOKUP($B228,'LISTA - Atual'!$B$1:$I$444,7,0),"Novo")</f>
        <v>N</v>
      </c>
      <c r="Q228" s="86" t="str">
        <f t="shared" si="51"/>
        <v>Igual</v>
      </c>
      <c r="R228" s="86" t="s">
        <v>1563</v>
      </c>
      <c r="S228" s="86" t="str">
        <f>IFERROR(VLOOKUP($B228,'LISTA - Atual'!$B$1:$I$444,8,0),"Novo")</f>
        <v>N</v>
      </c>
      <c r="T228" s="86" t="str">
        <f t="shared" si="52"/>
        <v>Igual</v>
      </c>
      <c r="U228" s="86" t="s">
        <v>1563</v>
      </c>
      <c r="V228" s="86" t="s">
        <v>11</v>
      </c>
      <c r="W228" s="87" t="str">
        <f>IFERROR(VLOOKUP(B228,#REF!,11,0),"n/a")</f>
        <v>n/a</v>
      </c>
      <c r="X228" s="88" t="str">
        <f>IFERROR(VLOOKUP(B228,#REF!,8,0),"n/a")</f>
        <v>n/a</v>
      </c>
      <c r="Y228" s="87" t="str">
        <f t="shared" si="58"/>
        <v>ESTR</v>
      </c>
      <c r="Z228" s="131" t="s">
        <v>1605</v>
      </c>
      <c r="AA228" s="227" t="e">
        <f>VLOOKUP(Table1[[#This Row],[CONCAT]],'Campos Resumo Prop2.0'!A:H,8,0)</f>
        <v>#N/A</v>
      </c>
      <c r="AB228" s="87" t="s">
        <v>1650</v>
      </c>
      <c r="AC228" s="135" t="s">
        <v>1625</v>
      </c>
      <c r="AD228" s="91">
        <f>INDEX(Auxiliar!$D$5:$I$10,MATCH('LISTA - Setembro2024'!AD$3,Auxiliar!$B$5:$B$10,0),MATCH('LISTA - Setembro2024'!$AC228,Auxiliar!$D$4:$I$4,0))</f>
        <v>0</v>
      </c>
      <c r="AE228" s="91">
        <f>INDEX(Auxiliar!$D$5:$I$10,MATCH('LISTA - Setembro2024'!AE$3,Auxiliar!$B$5:$B$10,0),MATCH('LISTA - Setembro2024'!$AC228,Auxiliar!$D$4:$I$4,0))</f>
        <v>0</v>
      </c>
      <c r="AF228" s="87">
        <f>INDEX(Auxiliar!$D$5:$I$10,MATCH('LISTA - Setembro2024'!AF$3,Auxiliar!$B$5:$B$10,0),MATCH('LISTA - Setembro2024'!$AC228,Auxiliar!$D$4:$I$4,0))</f>
        <v>0</v>
      </c>
      <c r="AG228" s="87" t="str">
        <f t="shared" si="53"/>
        <v>n.a.</v>
      </c>
      <c r="AH228" s="87">
        <f>INDEX(Auxiliar!$D$5:$I$10,MATCH('LISTA - Setembro2024'!AH$3,Auxiliar!$B$5:$B$10,0),MATCH('LISTA - Setembro2024'!$AG228,Auxiliar!$D$4:$I$4,0))</f>
        <v>0</v>
      </c>
      <c r="AI228" s="87">
        <f>INDEX(Auxiliar!$D$5:$I$10,MATCH('LISTA - Setembro2024'!AI$3,Auxiliar!$B$5:$B$10,0),MATCH('LISTA - Setembro2024'!$AC228,Auxiliar!$D$4:$I$4,0))</f>
        <v>0</v>
      </c>
      <c r="AJ228" s="87">
        <f>INDEX(Auxiliar!$D$5:$I$10,MATCH('LISTA - Setembro2024'!AJ$3,Auxiliar!$B$5:$B$10,0),MATCH('LISTA - Setembro2024'!$AC228,Auxiliar!$D$4:$I$4,0))</f>
        <v>0</v>
      </c>
      <c r="AK228" s="160">
        <f t="shared" si="56"/>
        <v>0</v>
      </c>
      <c r="AL228" s="87" t="s">
        <v>1696</v>
      </c>
    </row>
    <row r="229" spans="1:38" ht="13.8" x14ac:dyDescent="0.25">
      <c r="A229" s="158" t="s">
        <v>553</v>
      </c>
      <c r="B229" s="81" t="str">
        <f t="shared" si="54"/>
        <v>INSTRUMENT_TRNCH</v>
      </c>
      <c r="C229" s="82" t="s">
        <v>414</v>
      </c>
      <c r="D229" s="83" t="s">
        <v>554</v>
      </c>
      <c r="E229" s="84" t="s">
        <v>555</v>
      </c>
      <c r="F229" s="85" t="s">
        <v>13</v>
      </c>
      <c r="G229" s="85" t="s">
        <v>11</v>
      </c>
      <c r="H229" s="85" t="s">
        <v>11</v>
      </c>
      <c r="I229" s="85" t="s">
        <v>11</v>
      </c>
      <c r="J229" s="85" t="s">
        <v>11</v>
      </c>
      <c r="K229" s="85" t="s">
        <v>13</v>
      </c>
      <c r="L229" s="86" t="str">
        <f>IFERROR(VLOOKUP($B229,'LISTA - Atual'!$B$1:$I$444,5,0),"Novo")</f>
        <v>Y</v>
      </c>
      <c r="M229" s="86" t="str">
        <f t="shared" si="49"/>
        <v>Igual</v>
      </c>
      <c r="N229" s="86" t="str">
        <f>IFERROR(VLOOKUP($B229,'LISTA - Atual'!$B$1:$I$444,6,0),"Novo")</f>
        <v>N</v>
      </c>
      <c r="O229" s="86" t="str">
        <f t="shared" si="50"/>
        <v>Igual</v>
      </c>
      <c r="P229" s="86" t="str">
        <f>IFERROR(VLOOKUP($B229,'LISTA - Atual'!$B$1:$I$444,7,0),"Novo")</f>
        <v>N</v>
      </c>
      <c r="Q229" s="86" t="str">
        <f t="shared" si="51"/>
        <v>Igual</v>
      </c>
      <c r="R229" s="86" t="s">
        <v>1563</v>
      </c>
      <c r="S229" s="86" t="str">
        <f>IFERROR(VLOOKUP($B229,'LISTA - Atual'!$B$1:$I$444,8,0),"Novo")</f>
        <v>N</v>
      </c>
      <c r="T229" s="86" t="str">
        <f t="shared" si="52"/>
        <v>Igual</v>
      </c>
      <c r="U229" s="86" t="s">
        <v>1563</v>
      </c>
      <c r="V229" s="90" t="s">
        <v>13</v>
      </c>
      <c r="W229" s="87" t="str">
        <f>IFERROR(VLOOKUP(B229,#REF!,11,0),"n/a")</f>
        <v>n/a</v>
      </c>
      <c r="X229" s="91" t="str">
        <f>IFERROR(VLOOKUP(B229,#REF!,8,0),"n/a")</f>
        <v>n/a</v>
      </c>
      <c r="Y229" s="87" t="str">
        <f t="shared" si="58"/>
        <v>ESTR</v>
      </c>
      <c r="Z229" s="131" t="s">
        <v>1605</v>
      </c>
      <c r="AA229" s="227" t="e">
        <f>VLOOKUP(Table1[[#This Row],[CONCAT]],'Campos Resumo Prop2.0'!A:H,8,0)</f>
        <v>#N/A</v>
      </c>
      <c r="AB229" s="87" t="s">
        <v>1650</v>
      </c>
      <c r="AC229" s="135" t="s">
        <v>1625</v>
      </c>
      <c r="AD229" s="91">
        <f>INDEX(Auxiliar!$D$5:$I$10,MATCH('LISTA - Setembro2024'!AD$3,Auxiliar!$B$5:$B$10,0),MATCH('LISTA - Setembro2024'!$AC229,Auxiliar!$D$4:$I$4,0))</f>
        <v>0</v>
      </c>
      <c r="AE229" s="91">
        <f>INDEX(Auxiliar!$D$5:$I$10,MATCH('LISTA - Setembro2024'!AE$3,Auxiliar!$B$5:$B$10,0),MATCH('LISTA - Setembro2024'!$AC229,Auxiliar!$D$4:$I$4,0))</f>
        <v>0</v>
      </c>
      <c r="AF229" s="87">
        <f>INDEX(Auxiliar!$D$5:$I$10,MATCH('LISTA - Setembro2024'!AF$3,Auxiliar!$B$5:$B$10,0),MATCH('LISTA - Setembro2024'!$AC229,Auxiliar!$D$4:$I$4,0))</f>
        <v>0</v>
      </c>
      <c r="AG229" s="87" t="str">
        <f t="shared" si="53"/>
        <v>n.a.</v>
      </c>
      <c r="AH229" s="87">
        <f>INDEX(Auxiliar!$D$5:$I$10,MATCH('LISTA - Setembro2024'!AH$3,Auxiliar!$B$5:$B$10,0),MATCH('LISTA - Setembro2024'!$AG229,Auxiliar!$D$4:$I$4,0))</f>
        <v>0</v>
      </c>
      <c r="AI229" s="87">
        <f>INDEX(Auxiliar!$D$5:$I$10,MATCH('LISTA - Setembro2024'!AI$3,Auxiliar!$B$5:$B$10,0),MATCH('LISTA - Setembro2024'!$AC229,Auxiliar!$D$4:$I$4,0))</f>
        <v>0</v>
      </c>
      <c r="AJ229" s="87">
        <f>INDEX(Auxiliar!$D$5:$I$10,MATCH('LISTA - Setembro2024'!AJ$3,Auxiliar!$B$5:$B$10,0),MATCH('LISTA - Setembro2024'!$AC229,Auxiliar!$D$4:$I$4,0))</f>
        <v>0</v>
      </c>
      <c r="AK229" s="160">
        <f t="shared" si="56"/>
        <v>0</v>
      </c>
      <c r="AL229" s="87" t="s">
        <v>1696</v>
      </c>
    </row>
    <row r="230" spans="1:38" ht="13.8" x14ac:dyDescent="0.25">
      <c r="A230" s="158" t="s">
        <v>556</v>
      </c>
      <c r="B230" s="81" t="str">
        <f t="shared" si="54"/>
        <v>INSTRUMENT_TYP_AMRTSTN</v>
      </c>
      <c r="C230" s="82" t="s">
        <v>414</v>
      </c>
      <c r="D230" s="83" t="s">
        <v>557</v>
      </c>
      <c r="E230" s="84" t="s">
        <v>558</v>
      </c>
      <c r="F230" s="85" t="s">
        <v>13</v>
      </c>
      <c r="G230" s="85" t="s">
        <v>11</v>
      </c>
      <c r="H230" s="85" t="s">
        <v>11</v>
      </c>
      <c r="I230" s="85" t="s">
        <v>11</v>
      </c>
      <c r="J230" s="85" t="s">
        <v>11</v>
      </c>
      <c r="K230" s="85" t="s">
        <v>13</v>
      </c>
      <c r="L230" s="86" t="str">
        <f>IFERROR(VLOOKUP($B230,'LISTA - Atual'!$B$1:$I$444,5,0),"Novo")</f>
        <v>Y</v>
      </c>
      <c r="M230" s="86" t="str">
        <f t="shared" si="49"/>
        <v>Igual</v>
      </c>
      <c r="N230" s="86" t="str">
        <f>IFERROR(VLOOKUP($B230,'LISTA - Atual'!$B$1:$I$444,6,0),"Novo")</f>
        <v>N</v>
      </c>
      <c r="O230" s="86" t="str">
        <f t="shared" si="50"/>
        <v>Igual</v>
      </c>
      <c r="P230" s="86" t="str">
        <f>IFERROR(VLOOKUP($B230,'LISTA - Atual'!$B$1:$I$444,7,0),"Novo")</f>
        <v>N</v>
      </c>
      <c r="Q230" s="86" t="str">
        <f t="shared" si="51"/>
        <v>Igual</v>
      </c>
      <c r="R230" s="86" t="s">
        <v>1563</v>
      </c>
      <c r="S230" s="86" t="str">
        <f>IFERROR(VLOOKUP($B230,'LISTA - Atual'!$B$1:$I$444,8,0),"Novo")</f>
        <v>N</v>
      </c>
      <c r="T230" s="86" t="str">
        <f t="shared" si="52"/>
        <v>Igual</v>
      </c>
      <c r="U230" s="86" t="s">
        <v>1563</v>
      </c>
      <c r="V230" s="86" t="s">
        <v>11</v>
      </c>
      <c r="W230" s="87" t="str">
        <f>IFERROR(VLOOKUP(B230,#REF!,11,0),"n/a")</f>
        <v>n/a</v>
      </c>
      <c r="X230" s="87" t="str">
        <f>IFERROR(VLOOKUP(B230,#REF!,8,0),"n/a")</f>
        <v>n/a</v>
      </c>
      <c r="Y230" s="87" t="str">
        <f t="shared" si="58"/>
        <v>ESTR</v>
      </c>
      <c r="Z230" s="131" t="s">
        <v>1605</v>
      </c>
      <c r="AA230" s="227" t="e">
        <f>VLOOKUP(Table1[[#This Row],[CONCAT]],'Campos Resumo Prop2.0'!A:H,8,0)</f>
        <v>#N/A</v>
      </c>
      <c r="AB230" s="87" t="s">
        <v>1650</v>
      </c>
      <c r="AC230" s="135" t="s">
        <v>1625</v>
      </c>
      <c r="AD230" s="91">
        <f>INDEX(Auxiliar!$D$5:$I$10,MATCH('LISTA - Setembro2024'!AD$3,Auxiliar!$B$5:$B$10,0),MATCH('LISTA - Setembro2024'!$AC230,Auxiliar!$D$4:$I$4,0))</f>
        <v>0</v>
      </c>
      <c r="AE230" s="91">
        <f>INDEX(Auxiliar!$D$5:$I$10,MATCH('LISTA - Setembro2024'!AE$3,Auxiliar!$B$5:$B$10,0),MATCH('LISTA - Setembro2024'!$AC230,Auxiliar!$D$4:$I$4,0))</f>
        <v>0</v>
      </c>
      <c r="AF230" s="87">
        <f>INDEX(Auxiliar!$D$5:$I$10,MATCH('LISTA - Setembro2024'!AF$3,Auxiliar!$B$5:$B$10,0),MATCH('LISTA - Setembro2024'!$AC230,Auxiliar!$D$4:$I$4,0))</f>
        <v>0</v>
      </c>
      <c r="AG230" s="87" t="str">
        <f t="shared" si="53"/>
        <v>n.a.</v>
      </c>
      <c r="AH230" s="87">
        <f>INDEX(Auxiliar!$D$5:$I$10,MATCH('LISTA - Setembro2024'!AH$3,Auxiliar!$B$5:$B$10,0),MATCH('LISTA - Setembro2024'!$AG230,Auxiliar!$D$4:$I$4,0))</f>
        <v>0</v>
      </c>
      <c r="AI230" s="87">
        <f>INDEX(Auxiliar!$D$5:$I$10,MATCH('LISTA - Setembro2024'!AI$3,Auxiliar!$B$5:$B$10,0),MATCH('LISTA - Setembro2024'!$AC230,Auxiliar!$D$4:$I$4,0))</f>
        <v>0</v>
      </c>
      <c r="AJ230" s="87">
        <f>INDEX(Auxiliar!$D$5:$I$10,MATCH('LISTA - Setembro2024'!AJ$3,Auxiliar!$B$5:$B$10,0),MATCH('LISTA - Setembro2024'!$AC230,Auxiliar!$D$4:$I$4,0))</f>
        <v>0</v>
      </c>
      <c r="AK230" s="160">
        <f t="shared" si="56"/>
        <v>0</v>
      </c>
      <c r="AL230" s="87" t="s">
        <v>1692</v>
      </c>
    </row>
    <row r="231" spans="1:38" ht="13.8" x14ac:dyDescent="0.25">
      <c r="A231" s="158" t="s">
        <v>559</v>
      </c>
      <c r="B231" s="81" t="str">
        <f t="shared" si="54"/>
        <v>INSTRUMENT_TYP_INSTRMNT</v>
      </c>
      <c r="C231" s="82" t="s">
        <v>414</v>
      </c>
      <c r="D231" s="97" t="s">
        <v>560</v>
      </c>
      <c r="E231" s="98" t="s">
        <v>561</v>
      </c>
      <c r="F231" s="85" t="s">
        <v>13</v>
      </c>
      <c r="G231" s="85" t="s">
        <v>13</v>
      </c>
      <c r="H231" s="85" t="s">
        <v>13</v>
      </c>
      <c r="I231" s="85" t="s">
        <v>11</v>
      </c>
      <c r="J231" s="85" t="s">
        <v>11</v>
      </c>
      <c r="K231" s="85" t="s">
        <v>13</v>
      </c>
      <c r="L231" s="86" t="str">
        <f>IFERROR(VLOOKUP($B231,'LISTA - Atual'!$B$1:$I$444,5,0),"Novo")</f>
        <v>Y</v>
      </c>
      <c r="M231" s="86" t="str">
        <f t="shared" si="49"/>
        <v>Igual</v>
      </c>
      <c r="N231" s="86" t="str">
        <f>IFERROR(VLOOKUP($B231,'LISTA - Atual'!$B$1:$I$444,6,0),"Novo")</f>
        <v>Y</v>
      </c>
      <c r="O231" s="86" t="str">
        <f t="shared" si="50"/>
        <v>Igual</v>
      </c>
      <c r="P231" s="86" t="str">
        <f>IFERROR(VLOOKUP($B231,'LISTA - Atual'!$B$1:$I$444,7,0),"Novo")</f>
        <v>Y</v>
      </c>
      <c r="Q231" s="86" t="str">
        <f t="shared" si="51"/>
        <v>Igual</v>
      </c>
      <c r="R231" s="86" t="s">
        <v>1563</v>
      </c>
      <c r="S231" s="86" t="str">
        <f>IFERROR(VLOOKUP($B231,'LISTA - Atual'!$B$1:$I$444,8,0),"Novo")</f>
        <v>N</v>
      </c>
      <c r="T231" s="86" t="str">
        <f t="shared" si="52"/>
        <v>Igual</v>
      </c>
      <c r="U231" s="86" t="s">
        <v>1563</v>
      </c>
      <c r="V231" s="86" t="s">
        <v>11</v>
      </c>
      <c r="W231" s="87" t="str">
        <f>IFERROR(VLOOKUP(B231,#REF!,11,0),"n/a")</f>
        <v>n/a</v>
      </c>
      <c r="X231" s="87" t="str">
        <f>IFERROR(VLOOKUP(B231,#REF!,8,0),"n/a")</f>
        <v>n/a</v>
      </c>
      <c r="Y231" s="87" t="str">
        <f>$F$2&amp;$Y$1&amp;$G$2&amp;$Y$1&amp;$H$2</f>
        <v>ESTR &amp; GD &amp; PILAR3</v>
      </c>
      <c r="Z231" s="131" t="s">
        <v>1605</v>
      </c>
      <c r="AA231" s="227" t="e">
        <f>VLOOKUP(Table1[[#This Row],[CONCAT]],'Campos Resumo Prop2.0'!A:H,8,0)</f>
        <v>#N/A</v>
      </c>
      <c r="AB231" s="87" t="s">
        <v>1650</v>
      </c>
      <c r="AC231" s="135" t="s">
        <v>1625</v>
      </c>
      <c r="AD231" s="91">
        <f>INDEX(Auxiliar!$D$5:$I$10,MATCH('LISTA - Setembro2024'!AD$3,Auxiliar!$B$5:$B$10,0),MATCH('LISTA - Setembro2024'!$AC231,Auxiliar!$D$4:$I$4,0))</f>
        <v>0</v>
      </c>
      <c r="AE231" s="91">
        <f>INDEX(Auxiliar!$D$5:$I$10,MATCH('LISTA - Setembro2024'!AE$3,Auxiliar!$B$5:$B$10,0),MATCH('LISTA - Setembro2024'!$AC231,Auxiliar!$D$4:$I$4,0))</f>
        <v>0</v>
      </c>
      <c r="AF231" s="87">
        <f>INDEX(Auxiliar!$D$5:$I$10,MATCH('LISTA - Setembro2024'!AF$3,Auxiliar!$B$5:$B$10,0),MATCH('LISTA - Setembro2024'!$AC231,Auxiliar!$D$4:$I$4,0))</f>
        <v>0</v>
      </c>
      <c r="AG231" s="87" t="str">
        <f t="shared" si="53"/>
        <v>n.a.</v>
      </c>
      <c r="AH231" s="87">
        <f>INDEX(Auxiliar!$D$5:$I$10,MATCH('LISTA - Setembro2024'!AH$3,Auxiliar!$B$5:$B$10,0),MATCH('LISTA - Setembro2024'!$AG231,Auxiliar!$D$4:$I$4,0))</f>
        <v>0</v>
      </c>
      <c r="AI231" s="87">
        <f>INDEX(Auxiliar!$D$5:$I$10,MATCH('LISTA - Setembro2024'!AI$3,Auxiliar!$B$5:$B$10,0),MATCH('LISTA - Setembro2024'!$AC231,Auxiliar!$D$4:$I$4,0))</f>
        <v>0</v>
      </c>
      <c r="AJ231" s="87">
        <f>INDEX(Auxiliar!$D$5:$I$10,MATCH('LISTA - Setembro2024'!AJ$3,Auxiliar!$B$5:$B$10,0),MATCH('LISTA - Setembro2024'!$AC231,Auxiliar!$D$4:$I$4,0))</f>
        <v>0</v>
      </c>
      <c r="AK231" s="160">
        <f t="shared" si="56"/>
        <v>0</v>
      </c>
      <c r="AL231" s="87"/>
    </row>
    <row r="232" spans="1:38" ht="13.8" x14ac:dyDescent="0.25">
      <c r="A232" s="158" t="s">
        <v>562</v>
      </c>
      <c r="B232" s="81" t="str">
        <f t="shared" si="54"/>
        <v>INSTRUMENT_TYP_INTRST_RT</v>
      </c>
      <c r="C232" s="82" t="s">
        <v>414</v>
      </c>
      <c r="D232" s="83" t="s">
        <v>563</v>
      </c>
      <c r="E232" s="84" t="s">
        <v>564</v>
      </c>
      <c r="F232" s="85" t="s">
        <v>13</v>
      </c>
      <c r="G232" s="85" t="s">
        <v>11</v>
      </c>
      <c r="H232" s="85" t="s">
        <v>11</v>
      </c>
      <c r="I232" s="85" t="s">
        <v>11</v>
      </c>
      <c r="J232" s="85" t="s">
        <v>11</v>
      </c>
      <c r="K232" s="85" t="s">
        <v>11</v>
      </c>
      <c r="L232" s="86" t="str">
        <f>IFERROR(VLOOKUP($B232,'LISTA - Atual'!$B$1:$I$444,5,0),"Novo")</f>
        <v>Y</v>
      </c>
      <c r="M232" s="86" t="str">
        <f t="shared" si="49"/>
        <v>Igual</v>
      </c>
      <c r="N232" s="86" t="str">
        <f>IFERROR(VLOOKUP($B232,'LISTA - Atual'!$B$1:$I$444,6,0),"Novo")</f>
        <v>N</v>
      </c>
      <c r="O232" s="86" t="str">
        <f t="shared" si="50"/>
        <v>Igual</v>
      </c>
      <c r="P232" s="86" t="str">
        <f>IFERROR(VLOOKUP($B232,'LISTA - Atual'!$B$1:$I$444,7,0),"Novo")</f>
        <v>N</v>
      </c>
      <c r="Q232" s="86" t="str">
        <f t="shared" si="51"/>
        <v>Igual</v>
      </c>
      <c r="R232" s="86" t="s">
        <v>1563</v>
      </c>
      <c r="S232" s="86" t="str">
        <f>IFERROR(VLOOKUP($B232,'LISTA - Atual'!$B$1:$I$444,8,0),"Novo")</f>
        <v>N</v>
      </c>
      <c r="T232" s="86" t="str">
        <f t="shared" si="52"/>
        <v>Igual</v>
      </c>
      <c r="U232" s="86" t="s">
        <v>1563</v>
      </c>
      <c r="V232" s="86" t="s">
        <v>11</v>
      </c>
      <c r="W232" s="87" t="str">
        <f>IFERROR(VLOOKUP(B232,#REF!,11,0),"n/a")</f>
        <v>n/a</v>
      </c>
      <c r="X232" s="87" t="str">
        <f>IFERROR(VLOOKUP(B232,#REF!,8,0),"n/a")</f>
        <v>n/a</v>
      </c>
      <c r="Y232" s="87" t="str">
        <f t="shared" ref="Y232:Y235" si="59">$F$2</f>
        <v>ESTR</v>
      </c>
      <c r="Z232" s="131" t="s">
        <v>1605</v>
      </c>
      <c r="AA232" s="227" t="e">
        <f>VLOOKUP(Table1[[#This Row],[CONCAT]],'Campos Resumo Prop2.0'!A:H,8,0)</f>
        <v>#N/A</v>
      </c>
      <c r="AB232" s="87" t="s">
        <v>1650</v>
      </c>
      <c r="AC232" s="135" t="s">
        <v>1625</v>
      </c>
      <c r="AD232" s="91">
        <f>INDEX(Auxiliar!$D$5:$I$10,MATCH('LISTA - Setembro2024'!AD$3,Auxiliar!$B$5:$B$10,0),MATCH('LISTA - Setembro2024'!$AC232,Auxiliar!$D$4:$I$4,0))</f>
        <v>0</v>
      </c>
      <c r="AE232" s="91">
        <f>INDEX(Auxiliar!$D$5:$I$10,MATCH('LISTA - Setembro2024'!AE$3,Auxiliar!$B$5:$B$10,0),MATCH('LISTA - Setembro2024'!$AC232,Auxiliar!$D$4:$I$4,0))</f>
        <v>0</v>
      </c>
      <c r="AF232" s="87">
        <f>INDEX(Auxiliar!$D$5:$I$10,MATCH('LISTA - Setembro2024'!AF$3,Auxiliar!$B$5:$B$10,0),MATCH('LISTA - Setembro2024'!$AC232,Auxiliar!$D$4:$I$4,0))</f>
        <v>0</v>
      </c>
      <c r="AG232" s="87" t="str">
        <f t="shared" si="53"/>
        <v>n.a.</v>
      </c>
      <c r="AH232" s="87">
        <f>INDEX(Auxiliar!$D$5:$I$10,MATCH('LISTA - Setembro2024'!AH$3,Auxiliar!$B$5:$B$10,0),MATCH('LISTA - Setembro2024'!$AG232,Auxiliar!$D$4:$I$4,0))</f>
        <v>0</v>
      </c>
      <c r="AI232" s="87">
        <f>INDEX(Auxiliar!$D$5:$I$10,MATCH('LISTA - Setembro2024'!AI$3,Auxiliar!$B$5:$B$10,0),MATCH('LISTA - Setembro2024'!$AC232,Auxiliar!$D$4:$I$4,0))</f>
        <v>0</v>
      </c>
      <c r="AJ232" s="87">
        <f>INDEX(Auxiliar!$D$5:$I$10,MATCH('LISTA - Setembro2024'!AJ$3,Auxiliar!$B$5:$B$10,0),MATCH('LISTA - Setembro2024'!$AC232,Auxiliar!$D$4:$I$4,0))</f>
        <v>0</v>
      </c>
      <c r="AK232" s="160">
        <f t="shared" si="56"/>
        <v>0</v>
      </c>
      <c r="AL232" s="87"/>
    </row>
    <row r="233" spans="1:38" ht="13.8" x14ac:dyDescent="0.25">
      <c r="A233" s="158" t="s">
        <v>565</v>
      </c>
      <c r="B233" s="81" t="str">
        <f t="shared" si="54"/>
        <v>INSTRUMENT_TYP_MRTGG</v>
      </c>
      <c r="C233" s="82" t="s">
        <v>414</v>
      </c>
      <c r="D233" s="83" t="s">
        <v>566</v>
      </c>
      <c r="E233" s="84" t="s">
        <v>567</v>
      </c>
      <c r="F233" s="85" t="s">
        <v>13</v>
      </c>
      <c r="G233" s="85" t="s">
        <v>11</v>
      </c>
      <c r="H233" s="85" t="s">
        <v>11</v>
      </c>
      <c r="I233" s="85" t="s">
        <v>11</v>
      </c>
      <c r="J233" s="85" t="s">
        <v>11</v>
      </c>
      <c r="K233" s="85" t="s">
        <v>11</v>
      </c>
      <c r="L233" s="86" t="str">
        <f>IFERROR(VLOOKUP($B233,'LISTA - Atual'!$B$1:$I$444,5,0),"Novo")</f>
        <v>Y</v>
      </c>
      <c r="M233" s="86" t="str">
        <f t="shared" si="49"/>
        <v>Igual</v>
      </c>
      <c r="N233" s="86" t="str">
        <f>IFERROR(VLOOKUP($B233,'LISTA - Atual'!$B$1:$I$444,6,0),"Novo")</f>
        <v>N</v>
      </c>
      <c r="O233" s="86" t="str">
        <f t="shared" si="50"/>
        <v>Igual</v>
      </c>
      <c r="P233" s="86" t="str">
        <f>IFERROR(VLOOKUP($B233,'LISTA - Atual'!$B$1:$I$444,7,0),"Novo")</f>
        <v>N</v>
      </c>
      <c r="Q233" s="86" t="str">
        <f t="shared" si="51"/>
        <v>Igual</v>
      </c>
      <c r="R233" s="86" t="s">
        <v>1563</v>
      </c>
      <c r="S233" s="86" t="str">
        <f>IFERROR(VLOOKUP($B233,'LISTA - Atual'!$B$1:$I$444,8,0),"Novo")</f>
        <v>N</v>
      </c>
      <c r="T233" s="86" t="str">
        <f t="shared" si="52"/>
        <v>Igual</v>
      </c>
      <c r="U233" s="86" t="s">
        <v>1563</v>
      </c>
      <c r="V233" s="86" t="s">
        <v>11</v>
      </c>
      <c r="W233" s="87" t="str">
        <f>IFERROR(VLOOKUP(B233,#REF!,11,0),"n/a")</f>
        <v>n/a</v>
      </c>
      <c r="X233" s="87" t="str">
        <f>IFERROR(VLOOKUP(B233,#REF!,8,0),"n/a")</f>
        <v>n/a</v>
      </c>
      <c r="Y233" s="87" t="str">
        <f t="shared" si="59"/>
        <v>ESTR</v>
      </c>
      <c r="Z233" s="131" t="s">
        <v>1605</v>
      </c>
      <c r="AA233" s="227" t="e">
        <f>VLOOKUP(Table1[[#This Row],[CONCAT]],'Campos Resumo Prop2.0'!A:H,8,0)</f>
        <v>#N/A</v>
      </c>
      <c r="AB233" s="87" t="s">
        <v>1650</v>
      </c>
      <c r="AC233" s="135" t="s">
        <v>1625</v>
      </c>
      <c r="AD233" s="91">
        <f>INDEX(Auxiliar!$D$5:$I$10,MATCH('LISTA - Setembro2024'!AD$3,Auxiliar!$B$5:$B$10,0),MATCH('LISTA - Setembro2024'!$AC233,Auxiliar!$D$4:$I$4,0))</f>
        <v>0</v>
      </c>
      <c r="AE233" s="91">
        <f>INDEX(Auxiliar!$D$5:$I$10,MATCH('LISTA - Setembro2024'!AE$3,Auxiliar!$B$5:$B$10,0),MATCH('LISTA - Setembro2024'!$AC233,Auxiliar!$D$4:$I$4,0))</f>
        <v>0</v>
      </c>
      <c r="AF233" s="87">
        <f>INDEX(Auxiliar!$D$5:$I$10,MATCH('LISTA - Setembro2024'!AF$3,Auxiliar!$B$5:$B$10,0),MATCH('LISTA - Setembro2024'!$AC233,Auxiliar!$D$4:$I$4,0))</f>
        <v>0</v>
      </c>
      <c r="AG233" s="87" t="str">
        <f t="shared" si="53"/>
        <v>n.a.</v>
      </c>
      <c r="AH233" s="87">
        <f>INDEX(Auxiliar!$D$5:$I$10,MATCH('LISTA - Setembro2024'!AH$3,Auxiliar!$B$5:$B$10,0),MATCH('LISTA - Setembro2024'!$AG233,Auxiliar!$D$4:$I$4,0))</f>
        <v>0</v>
      </c>
      <c r="AI233" s="87">
        <f>INDEX(Auxiliar!$D$5:$I$10,MATCH('LISTA - Setembro2024'!AI$3,Auxiliar!$B$5:$B$10,0),MATCH('LISTA - Setembro2024'!$AC233,Auxiliar!$D$4:$I$4,0))</f>
        <v>0</v>
      </c>
      <c r="AJ233" s="87">
        <f>INDEX(Auxiliar!$D$5:$I$10,MATCH('LISTA - Setembro2024'!AJ$3,Auxiliar!$B$5:$B$10,0),MATCH('LISTA - Setembro2024'!$AC233,Auxiliar!$D$4:$I$4,0))</f>
        <v>0</v>
      </c>
      <c r="AK233" s="160">
        <f t="shared" si="56"/>
        <v>0</v>
      </c>
      <c r="AL233" s="87"/>
    </row>
    <row r="234" spans="1:38" ht="13.8" x14ac:dyDescent="0.25">
      <c r="A234" s="158" t="s">
        <v>568</v>
      </c>
      <c r="B234" s="81" t="str">
        <f t="shared" si="54"/>
        <v>INSTRUMENT_TYP_CRE_OPRTN</v>
      </c>
      <c r="C234" s="82" t="s">
        <v>414</v>
      </c>
      <c r="D234" s="83" t="s">
        <v>569</v>
      </c>
      <c r="E234" s="84" t="s">
        <v>570</v>
      </c>
      <c r="F234" s="85" t="s">
        <v>13</v>
      </c>
      <c r="G234" s="85" t="s">
        <v>11</v>
      </c>
      <c r="H234" s="85" t="s">
        <v>11</v>
      </c>
      <c r="I234" s="85" t="s">
        <v>11</v>
      </c>
      <c r="J234" s="85" t="s">
        <v>11</v>
      </c>
      <c r="K234" s="85" t="s">
        <v>11</v>
      </c>
      <c r="L234" s="86" t="str">
        <f>IFERROR(VLOOKUP($B234,'LISTA - Atual'!$B$1:$I$444,5,0),"Novo")</f>
        <v>Y</v>
      </c>
      <c r="M234" s="86" t="str">
        <f t="shared" si="49"/>
        <v>Igual</v>
      </c>
      <c r="N234" s="86" t="str">
        <f>IFERROR(VLOOKUP($B234,'LISTA - Atual'!$B$1:$I$444,6,0),"Novo")</f>
        <v>N</v>
      </c>
      <c r="O234" s="86" t="str">
        <f t="shared" si="50"/>
        <v>Igual</v>
      </c>
      <c r="P234" s="86" t="str">
        <f>IFERROR(VLOOKUP($B234,'LISTA - Atual'!$B$1:$I$444,7,0),"Novo")</f>
        <v>N</v>
      </c>
      <c r="Q234" s="86" t="str">
        <f t="shared" si="51"/>
        <v>Igual</v>
      </c>
      <c r="R234" s="86" t="s">
        <v>1563</v>
      </c>
      <c r="S234" s="86" t="str">
        <f>IFERROR(VLOOKUP($B234,'LISTA - Atual'!$B$1:$I$444,8,0),"Novo")</f>
        <v>N</v>
      </c>
      <c r="T234" s="86" t="str">
        <f t="shared" si="52"/>
        <v>Igual</v>
      </c>
      <c r="U234" s="86" t="s">
        <v>1563</v>
      </c>
      <c r="V234" s="86" t="s">
        <v>11</v>
      </c>
      <c r="W234" s="87" t="str">
        <f>IFERROR(VLOOKUP(B234,#REF!,11,0),"n/a")</f>
        <v>n/a</v>
      </c>
      <c r="X234" s="87" t="str">
        <f>IFERROR(VLOOKUP(B234,#REF!,8,0),"n/a")</f>
        <v>n/a</v>
      </c>
      <c r="Y234" s="87" t="str">
        <f t="shared" si="59"/>
        <v>ESTR</v>
      </c>
      <c r="Z234" s="131" t="s">
        <v>1605</v>
      </c>
      <c r="AA234" s="227" t="e">
        <f>VLOOKUP(Table1[[#This Row],[CONCAT]],'Campos Resumo Prop2.0'!A:H,8,0)</f>
        <v>#N/A</v>
      </c>
      <c r="AB234" s="87" t="s">
        <v>1650</v>
      </c>
      <c r="AC234" s="135" t="s">
        <v>1625</v>
      </c>
      <c r="AD234" s="91">
        <f>INDEX(Auxiliar!$D$5:$I$10,MATCH('LISTA - Setembro2024'!AD$3,Auxiliar!$B$5:$B$10,0),MATCH('LISTA - Setembro2024'!$AC234,Auxiliar!$D$4:$I$4,0))</f>
        <v>0</v>
      </c>
      <c r="AE234" s="91">
        <f>INDEX(Auxiliar!$D$5:$I$10,MATCH('LISTA - Setembro2024'!AE$3,Auxiliar!$B$5:$B$10,0),MATCH('LISTA - Setembro2024'!$AC234,Auxiliar!$D$4:$I$4,0))</f>
        <v>0</v>
      </c>
      <c r="AF234" s="87">
        <f>INDEX(Auxiliar!$D$5:$I$10,MATCH('LISTA - Setembro2024'!AF$3,Auxiliar!$B$5:$B$10,0),MATCH('LISTA - Setembro2024'!$AC234,Auxiliar!$D$4:$I$4,0))</f>
        <v>0</v>
      </c>
      <c r="AG234" s="87" t="str">
        <f t="shared" si="53"/>
        <v>n.a.</v>
      </c>
      <c r="AH234" s="87">
        <f>INDEX(Auxiliar!$D$5:$I$10,MATCH('LISTA - Setembro2024'!AH$3,Auxiliar!$B$5:$B$10,0),MATCH('LISTA - Setembro2024'!$AG234,Auxiliar!$D$4:$I$4,0))</f>
        <v>0</v>
      </c>
      <c r="AI234" s="87">
        <f>INDEX(Auxiliar!$D$5:$I$10,MATCH('LISTA - Setembro2024'!AI$3,Auxiliar!$B$5:$B$10,0),MATCH('LISTA - Setembro2024'!$AC234,Auxiliar!$D$4:$I$4,0))</f>
        <v>0</v>
      </c>
      <c r="AJ234" s="87">
        <f>INDEX(Auxiliar!$D$5:$I$10,MATCH('LISTA - Setembro2024'!AJ$3,Auxiliar!$B$5:$B$10,0),MATCH('LISTA - Setembro2024'!$AC234,Auxiliar!$D$4:$I$4,0))</f>
        <v>0</v>
      </c>
      <c r="AK234" s="160">
        <f t="shared" si="56"/>
        <v>0</v>
      </c>
      <c r="AL234" s="87"/>
    </row>
    <row r="235" spans="1:38" ht="13.8" x14ac:dyDescent="0.25">
      <c r="A235" s="158" t="s">
        <v>571</v>
      </c>
      <c r="B235" s="81" t="str">
        <f t="shared" si="54"/>
        <v>INSTRUMENT_DT_STRT_GP_PPAL</v>
      </c>
      <c r="C235" s="82" t="s">
        <v>414</v>
      </c>
      <c r="D235" s="83" t="s">
        <v>572</v>
      </c>
      <c r="E235" s="84" t="s">
        <v>573</v>
      </c>
      <c r="F235" s="85" t="s">
        <v>13</v>
      </c>
      <c r="G235" s="85" t="s">
        <v>11</v>
      </c>
      <c r="H235" s="85" t="s">
        <v>11</v>
      </c>
      <c r="I235" s="85" t="s">
        <v>11</v>
      </c>
      <c r="J235" s="85" t="s">
        <v>11</v>
      </c>
      <c r="K235" s="85" t="s">
        <v>11</v>
      </c>
      <c r="L235" s="86" t="str">
        <f>IFERROR(VLOOKUP($B235,'LISTA - Atual'!$B$1:$I$444,5,0),"Novo")</f>
        <v>Y</v>
      </c>
      <c r="M235" s="86" t="str">
        <f t="shared" si="49"/>
        <v>Igual</v>
      </c>
      <c r="N235" s="86" t="str">
        <f>IFERROR(VLOOKUP($B235,'LISTA - Atual'!$B$1:$I$444,6,0),"Novo")</f>
        <v>N</v>
      </c>
      <c r="O235" s="86" t="str">
        <f t="shared" si="50"/>
        <v>Igual</v>
      </c>
      <c r="P235" s="86" t="str">
        <f>IFERROR(VLOOKUP($B235,'LISTA - Atual'!$B$1:$I$444,7,0),"Novo")</f>
        <v>N</v>
      </c>
      <c r="Q235" s="86" t="str">
        <f t="shared" si="51"/>
        <v>Igual</v>
      </c>
      <c r="R235" s="86" t="s">
        <v>1563</v>
      </c>
      <c r="S235" s="86" t="str">
        <f>IFERROR(VLOOKUP($B235,'LISTA - Atual'!$B$1:$I$444,8,0),"Novo")</f>
        <v>N</v>
      </c>
      <c r="T235" s="86" t="str">
        <f t="shared" si="52"/>
        <v>Igual</v>
      </c>
      <c r="U235" s="86" t="s">
        <v>1563</v>
      </c>
      <c r="V235" s="86" t="s">
        <v>11</v>
      </c>
      <c r="W235" s="87" t="str">
        <f>IFERROR(VLOOKUP(B235,#REF!,11,0),"n/a")</f>
        <v>n/a</v>
      </c>
      <c r="X235" s="87" t="str">
        <f>IFERROR(VLOOKUP(B235,#REF!,8,0),"n/a")</f>
        <v>n/a</v>
      </c>
      <c r="Y235" s="87" t="str">
        <f t="shared" si="59"/>
        <v>ESTR</v>
      </c>
      <c r="Z235" s="131" t="s">
        <v>1605</v>
      </c>
      <c r="AA235" s="227" t="e">
        <f>VLOOKUP(Table1[[#This Row],[CONCAT]],'Campos Resumo Prop2.0'!A:H,8,0)</f>
        <v>#N/A</v>
      </c>
      <c r="AB235" s="87" t="s">
        <v>1651</v>
      </c>
      <c r="AC235" s="135" t="s">
        <v>1625</v>
      </c>
      <c r="AD235" s="91">
        <f>INDEX(Auxiliar!$D$5:$I$10,MATCH('LISTA - Setembro2024'!AD$3,Auxiliar!$B$5:$B$10,0),MATCH('LISTA - Setembro2024'!$AC235,Auxiliar!$D$4:$I$4,0))</f>
        <v>0</v>
      </c>
      <c r="AE235" s="91">
        <f>INDEX(Auxiliar!$D$5:$I$10,MATCH('LISTA - Setembro2024'!AE$3,Auxiliar!$B$5:$B$10,0),MATCH('LISTA - Setembro2024'!$AC235,Auxiliar!$D$4:$I$4,0))</f>
        <v>0</v>
      </c>
      <c r="AF235" s="87">
        <f>INDEX(Auxiliar!$D$5:$I$10,MATCH('LISTA - Setembro2024'!AF$3,Auxiliar!$B$5:$B$10,0),MATCH('LISTA - Setembro2024'!$AC235,Auxiliar!$D$4:$I$4,0))</f>
        <v>0</v>
      </c>
      <c r="AG235" s="87" t="str">
        <f t="shared" si="53"/>
        <v>n.a.</v>
      </c>
      <c r="AH235" s="87">
        <f>INDEX(Auxiliar!$D$5:$I$10,MATCH('LISTA - Setembro2024'!AH$3,Auxiliar!$B$5:$B$10,0),MATCH('LISTA - Setembro2024'!$AG235,Auxiliar!$D$4:$I$4,0))</f>
        <v>0</v>
      </c>
      <c r="AI235" s="87">
        <f>INDEX(Auxiliar!$D$5:$I$10,MATCH('LISTA - Setembro2024'!AI$3,Auxiliar!$B$5:$B$10,0),MATCH('LISTA - Setembro2024'!$AC235,Auxiliar!$D$4:$I$4,0))</f>
        <v>0</v>
      </c>
      <c r="AJ235" s="87">
        <f>INDEX(Auxiliar!$D$5:$I$10,MATCH('LISTA - Setembro2024'!AJ$3,Auxiliar!$B$5:$B$10,0),MATCH('LISTA - Setembro2024'!$AC235,Auxiliar!$D$4:$I$4,0))</f>
        <v>0</v>
      </c>
      <c r="AK235" s="160">
        <f t="shared" si="56"/>
        <v>0</v>
      </c>
      <c r="AL235" s="87"/>
    </row>
    <row r="236" spans="1:38" ht="13.8" x14ac:dyDescent="0.25">
      <c r="A236" s="158" t="s">
        <v>574</v>
      </c>
      <c r="B236" s="81" t="str">
        <f t="shared" si="54"/>
        <v>INSTRUMENT_GRSS_CRRYNG_AMNT_INSTRMNT</v>
      </c>
      <c r="C236" s="82" t="s">
        <v>414</v>
      </c>
      <c r="D236" s="83" t="s">
        <v>575</v>
      </c>
      <c r="E236" s="84" t="s">
        <v>576</v>
      </c>
      <c r="F236" s="85" t="s">
        <v>13</v>
      </c>
      <c r="G236" s="85" t="s">
        <v>13</v>
      </c>
      <c r="H236" s="85" t="s">
        <v>13</v>
      </c>
      <c r="I236" s="85" t="s">
        <v>11</v>
      </c>
      <c r="J236" s="85" t="s">
        <v>13</v>
      </c>
      <c r="K236" s="85" t="s">
        <v>13</v>
      </c>
      <c r="L236" s="86" t="str">
        <f>IFERROR(VLOOKUP($B236,'LISTA - Atual'!$B$1:$I$444,5,0),"Novo")</f>
        <v>Y</v>
      </c>
      <c r="M236" s="86" t="str">
        <f t="shared" si="49"/>
        <v>Igual</v>
      </c>
      <c r="N236" s="86" t="str">
        <f>IFERROR(VLOOKUP($B236,'LISTA - Atual'!$B$1:$I$444,6,0),"Novo")</f>
        <v>Y</v>
      </c>
      <c r="O236" s="86" t="str">
        <f t="shared" si="50"/>
        <v>Igual</v>
      </c>
      <c r="P236" s="86" t="str">
        <f>IFERROR(VLOOKUP($B236,'LISTA - Atual'!$B$1:$I$444,7,0),"Novo")</f>
        <v>Y</v>
      </c>
      <c r="Q236" s="86" t="str">
        <f t="shared" si="51"/>
        <v>Igual</v>
      </c>
      <c r="R236" s="86" t="s">
        <v>1563</v>
      </c>
      <c r="S236" s="86" t="str">
        <f>IFERROR(VLOOKUP($B236,'LISTA - Atual'!$B$1:$I$444,8,0),"Novo")</f>
        <v>Y</v>
      </c>
      <c r="T236" s="86" t="str">
        <f t="shared" si="52"/>
        <v>Igual</v>
      </c>
      <c r="U236" s="86" t="s">
        <v>1563</v>
      </c>
      <c r="V236" s="86" t="s">
        <v>11</v>
      </c>
      <c r="W236" s="87" t="str">
        <f>IFERROR(VLOOKUP(B236,#REF!,11,0),"n/a")</f>
        <v>n/a</v>
      </c>
      <c r="X236" s="87" t="str">
        <f>IFERROR(VLOOKUP(B236,#REF!,8,0),"n/a")</f>
        <v>n/a</v>
      </c>
      <c r="Y236" s="87" t="str">
        <f>$F$2&amp;$Y$1&amp;$G$2&amp;$Y$1&amp;$H$2</f>
        <v>ESTR &amp; GD &amp; PILAR3</v>
      </c>
      <c r="Z236" s="131" t="s">
        <v>1605</v>
      </c>
      <c r="AA236" s="227" t="e">
        <f>VLOOKUP(Table1[[#This Row],[CONCAT]],'Campos Resumo Prop2.0'!A:H,8,0)</f>
        <v>#N/A</v>
      </c>
      <c r="AB236" s="87" t="s">
        <v>1655</v>
      </c>
      <c r="AC236" s="135" t="s">
        <v>1625</v>
      </c>
      <c r="AD236" s="91">
        <f>INDEX(Auxiliar!$D$5:$I$10,MATCH('LISTA - Setembro2024'!AD$3,Auxiliar!$B$5:$B$10,0),MATCH('LISTA - Setembro2024'!$AC236,Auxiliar!$D$4:$I$4,0))</f>
        <v>0</v>
      </c>
      <c r="AE236" s="91">
        <f>INDEX(Auxiliar!$D$5:$I$10,MATCH('LISTA - Setembro2024'!AE$3,Auxiliar!$B$5:$B$10,0),MATCH('LISTA - Setembro2024'!$AC236,Auxiliar!$D$4:$I$4,0))</f>
        <v>0</v>
      </c>
      <c r="AF236" s="87">
        <f>INDEX(Auxiliar!$D$5:$I$10,MATCH('LISTA - Setembro2024'!AF$3,Auxiliar!$B$5:$B$10,0),MATCH('LISTA - Setembro2024'!$AC236,Auxiliar!$D$4:$I$4,0))</f>
        <v>0</v>
      </c>
      <c r="AG236" s="87" t="str">
        <f t="shared" si="53"/>
        <v>n.a.</v>
      </c>
      <c r="AH236" s="87">
        <f>INDEX(Auxiliar!$D$5:$I$10,MATCH('LISTA - Setembro2024'!AH$3,Auxiliar!$B$5:$B$10,0),MATCH('LISTA - Setembro2024'!$AG236,Auxiliar!$D$4:$I$4,0))</f>
        <v>0</v>
      </c>
      <c r="AI236" s="87">
        <f>INDEX(Auxiliar!$D$5:$I$10,MATCH('LISTA - Setembro2024'!AI$3,Auxiliar!$B$5:$B$10,0),MATCH('LISTA - Setembro2024'!$AC236,Auxiliar!$D$4:$I$4,0))</f>
        <v>0</v>
      </c>
      <c r="AJ236" s="87">
        <f>INDEX(Auxiliar!$D$5:$I$10,MATCH('LISTA - Setembro2024'!AJ$3,Auxiliar!$B$5:$B$10,0),MATCH('LISTA - Setembro2024'!$AC236,Auxiliar!$D$4:$I$4,0))</f>
        <v>0</v>
      </c>
      <c r="AK236" s="160">
        <f t="shared" si="56"/>
        <v>0</v>
      </c>
      <c r="AL236" s="87"/>
    </row>
    <row r="237" spans="1:38" ht="13.8" x14ac:dyDescent="0.25">
      <c r="A237" s="158" t="s">
        <v>577</v>
      </c>
      <c r="B237" s="81" t="str">
        <f t="shared" si="54"/>
        <v>INSTRUMENT_ACCMLTD_CHNGS_FV_CR_INSTRMNT</v>
      </c>
      <c r="C237" s="82" t="s">
        <v>414</v>
      </c>
      <c r="D237" s="83" t="s">
        <v>578</v>
      </c>
      <c r="E237" s="84" t="s">
        <v>579</v>
      </c>
      <c r="F237" s="85" t="s">
        <v>13</v>
      </c>
      <c r="G237" s="85" t="s">
        <v>13</v>
      </c>
      <c r="H237" s="85" t="s">
        <v>13</v>
      </c>
      <c r="I237" s="85" t="s">
        <v>11</v>
      </c>
      <c r="J237" s="85" t="s">
        <v>11</v>
      </c>
      <c r="K237" s="85" t="s">
        <v>11</v>
      </c>
      <c r="L237" s="86" t="str">
        <f>IFERROR(VLOOKUP($B237,'LISTA - Atual'!$B$1:$I$444,5,0),"Novo")</f>
        <v>Y</v>
      </c>
      <c r="M237" s="86" t="str">
        <f t="shared" si="49"/>
        <v>Igual</v>
      </c>
      <c r="N237" s="86" t="str">
        <f>IFERROR(VLOOKUP($B237,'LISTA - Atual'!$B$1:$I$444,6,0),"Novo")</f>
        <v>Y</v>
      </c>
      <c r="O237" s="86" t="str">
        <f t="shared" si="50"/>
        <v>Igual</v>
      </c>
      <c r="P237" s="86" t="str">
        <f>IFERROR(VLOOKUP($B237,'LISTA - Atual'!$B$1:$I$444,7,0),"Novo")</f>
        <v>Y</v>
      </c>
      <c r="Q237" s="86" t="str">
        <f t="shared" si="51"/>
        <v>Igual</v>
      </c>
      <c r="R237" s="86" t="s">
        <v>1563</v>
      </c>
      <c r="S237" s="86" t="str">
        <f>IFERROR(VLOOKUP($B237,'LISTA - Atual'!$B$1:$I$444,8,0),"Novo")</f>
        <v>N</v>
      </c>
      <c r="T237" s="86" t="str">
        <f t="shared" si="52"/>
        <v>Igual</v>
      </c>
      <c r="U237" s="86" t="s">
        <v>1563</v>
      </c>
      <c r="V237" s="86" t="s">
        <v>11</v>
      </c>
      <c r="W237" s="87" t="str">
        <f>IFERROR(VLOOKUP(B237,#REF!,11,0),"n/a")</f>
        <v>n/a</v>
      </c>
      <c r="X237" s="87" t="str">
        <f>IFERROR(VLOOKUP(B237,#REF!,8,0),"n/a")</f>
        <v>n/a</v>
      </c>
      <c r="Y237" s="87" t="str">
        <f>$F$2&amp;$Y$1&amp;$G$2&amp;$Y$1&amp;$H$2</f>
        <v>ESTR &amp; GD &amp; PILAR3</v>
      </c>
      <c r="Z237" s="131" t="s">
        <v>1605</v>
      </c>
      <c r="AA237" s="227" t="e">
        <f>VLOOKUP(Table1[[#This Row],[CONCAT]],'Campos Resumo Prop2.0'!A:H,8,0)</f>
        <v>#N/A</v>
      </c>
      <c r="AB237" s="87" t="s">
        <v>1655</v>
      </c>
      <c r="AC237" s="135" t="s">
        <v>1625</v>
      </c>
      <c r="AD237" s="91">
        <f>INDEX(Auxiliar!$D$5:$I$10,MATCH('LISTA - Setembro2024'!AD$3,Auxiliar!$B$5:$B$10,0),MATCH('LISTA - Setembro2024'!$AC237,Auxiliar!$D$4:$I$4,0))</f>
        <v>0</v>
      </c>
      <c r="AE237" s="91">
        <f>INDEX(Auxiliar!$D$5:$I$10,MATCH('LISTA - Setembro2024'!AE$3,Auxiliar!$B$5:$B$10,0),MATCH('LISTA - Setembro2024'!$AC237,Auxiliar!$D$4:$I$4,0))</f>
        <v>0</v>
      </c>
      <c r="AF237" s="87">
        <f>INDEX(Auxiliar!$D$5:$I$10,MATCH('LISTA - Setembro2024'!AF$3,Auxiliar!$B$5:$B$10,0),MATCH('LISTA - Setembro2024'!$AC237,Auxiliar!$D$4:$I$4,0))</f>
        <v>0</v>
      </c>
      <c r="AG237" s="87" t="str">
        <f t="shared" si="53"/>
        <v>n.a.</v>
      </c>
      <c r="AH237" s="87">
        <f>INDEX(Auxiliar!$D$5:$I$10,MATCH('LISTA - Setembro2024'!AH$3,Auxiliar!$B$5:$B$10,0),MATCH('LISTA - Setembro2024'!$AG237,Auxiliar!$D$4:$I$4,0))</f>
        <v>0</v>
      </c>
      <c r="AI237" s="87">
        <f>INDEX(Auxiliar!$D$5:$I$10,MATCH('LISTA - Setembro2024'!AI$3,Auxiliar!$B$5:$B$10,0),MATCH('LISTA - Setembro2024'!$AC237,Auxiliar!$D$4:$I$4,0))</f>
        <v>0</v>
      </c>
      <c r="AJ237" s="87">
        <f>INDEX(Auxiliar!$D$5:$I$10,MATCH('LISTA - Setembro2024'!AJ$3,Auxiliar!$B$5:$B$10,0),MATCH('LISTA - Setembro2024'!$AC237,Auxiliar!$D$4:$I$4,0))</f>
        <v>0</v>
      </c>
      <c r="AK237" s="160">
        <f t="shared" si="56"/>
        <v>0</v>
      </c>
      <c r="AL237" s="87"/>
    </row>
    <row r="238" spans="1:38" ht="13.8" x14ac:dyDescent="0.25">
      <c r="A238" s="158" t="s">
        <v>580</v>
      </c>
      <c r="B238" s="81" t="str">
        <f t="shared" si="54"/>
        <v>INSTRUMENT_ACCNTNG_CLSSFCTN</v>
      </c>
      <c r="C238" s="82" t="s">
        <v>414</v>
      </c>
      <c r="D238" s="97" t="s">
        <v>581</v>
      </c>
      <c r="E238" s="98" t="s">
        <v>582</v>
      </c>
      <c r="F238" s="85" t="s">
        <v>13</v>
      </c>
      <c r="G238" s="85" t="s">
        <v>13</v>
      </c>
      <c r="H238" s="85" t="s">
        <v>13</v>
      </c>
      <c r="I238" s="85" t="s">
        <v>11</v>
      </c>
      <c r="J238" s="85" t="s">
        <v>11</v>
      </c>
      <c r="K238" s="85" t="s">
        <v>13</v>
      </c>
      <c r="L238" s="86" t="str">
        <f>IFERROR(VLOOKUP($B238,'LISTA - Atual'!$B$1:$I$444,5,0),"Novo")</f>
        <v>Y</v>
      </c>
      <c r="M238" s="86" t="str">
        <f t="shared" si="49"/>
        <v>Igual</v>
      </c>
      <c r="N238" s="86" t="str">
        <f>IFERROR(VLOOKUP($B238,'LISTA - Atual'!$B$1:$I$444,6,0),"Novo")</f>
        <v>Y</v>
      </c>
      <c r="O238" s="86" t="str">
        <f t="shared" si="50"/>
        <v>Igual</v>
      </c>
      <c r="P238" s="86" t="str">
        <f>IFERROR(VLOOKUP($B238,'LISTA - Atual'!$B$1:$I$444,7,0),"Novo")</f>
        <v>Y</v>
      </c>
      <c r="Q238" s="86" t="str">
        <f t="shared" si="51"/>
        <v>Igual</v>
      </c>
      <c r="R238" s="86" t="s">
        <v>1563</v>
      </c>
      <c r="S238" s="86" t="str">
        <f>IFERROR(VLOOKUP($B238,'LISTA - Atual'!$B$1:$I$444,8,0),"Novo")</f>
        <v>N</v>
      </c>
      <c r="T238" s="86" t="str">
        <f t="shared" si="52"/>
        <v>Igual</v>
      </c>
      <c r="U238" s="86" t="s">
        <v>1563</v>
      </c>
      <c r="V238" s="86" t="s">
        <v>11</v>
      </c>
      <c r="W238" s="87" t="str">
        <f>IFERROR(VLOOKUP(B238,#REF!,11,0),"n/a")</f>
        <v>n/a</v>
      </c>
      <c r="X238" s="87" t="str">
        <f>IFERROR(VLOOKUP(B238,#REF!,8,0),"n/a")</f>
        <v>n/a</v>
      </c>
      <c r="Y238" s="87" t="str">
        <f>$F$2&amp;$Y$1&amp;$G$2&amp;$Y$1&amp;$H$2</f>
        <v>ESTR &amp; GD &amp; PILAR3</v>
      </c>
      <c r="Z238" s="131" t="s">
        <v>1605</v>
      </c>
      <c r="AA238" s="227" t="e">
        <f>VLOOKUP(Table1[[#This Row],[CONCAT]],'Campos Resumo Prop2.0'!A:H,8,0)</f>
        <v>#N/A</v>
      </c>
      <c r="AB238" s="87" t="s">
        <v>1650</v>
      </c>
      <c r="AC238" s="135" t="s">
        <v>1625</v>
      </c>
      <c r="AD238" s="91">
        <f>INDEX(Auxiliar!$D$5:$I$10,MATCH('LISTA - Setembro2024'!AD$3,Auxiliar!$B$5:$B$10,0),MATCH('LISTA - Setembro2024'!$AC238,Auxiliar!$D$4:$I$4,0))</f>
        <v>0</v>
      </c>
      <c r="AE238" s="91">
        <f>INDEX(Auxiliar!$D$5:$I$10,MATCH('LISTA - Setembro2024'!AE$3,Auxiliar!$B$5:$B$10,0),MATCH('LISTA - Setembro2024'!$AC238,Auxiliar!$D$4:$I$4,0))</f>
        <v>0</v>
      </c>
      <c r="AF238" s="87">
        <f>INDEX(Auxiliar!$D$5:$I$10,MATCH('LISTA - Setembro2024'!AF$3,Auxiliar!$B$5:$B$10,0),MATCH('LISTA - Setembro2024'!$AC238,Auxiliar!$D$4:$I$4,0))</f>
        <v>0</v>
      </c>
      <c r="AG238" s="87" t="str">
        <f t="shared" si="53"/>
        <v>n.a.</v>
      </c>
      <c r="AH238" s="87">
        <f>INDEX(Auxiliar!$D$5:$I$10,MATCH('LISTA - Setembro2024'!AH$3,Auxiliar!$B$5:$B$10,0),MATCH('LISTA - Setembro2024'!$AG238,Auxiliar!$D$4:$I$4,0))</f>
        <v>0</v>
      </c>
      <c r="AI238" s="87">
        <f>INDEX(Auxiliar!$D$5:$I$10,MATCH('LISTA - Setembro2024'!AI$3,Auxiliar!$B$5:$B$10,0),MATCH('LISTA - Setembro2024'!$AC238,Auxiliar!$D$4:$I$4,0))</f>
        <v>0</v>
      </c>
      <c r="AJ238" s="87">
        <f>INDEX(Auxiliar!$D$5:$I$10,MATCH('LISTA - Setembro2024'!AJ$3,Auxiliar!$B$5:$B$10,0),MATCH('LISTA - Setembro2024'!$AC238,Auxiliar!$D$4:$I$4,0))</f>
        <v>0</v>
      </c>
      <c r="AK238" s="160">
        <f t="shared" si="56"/>
        <v>0</v>
      </c>
      <c r="AL238" s="87"/>
    </row>
    <row r="239" spans="1:38" ht="13.8" x14ac:dyDescent="0.25">
      <c r="A239" s="158" t="s">
        <v>583</v>
      </c>
      <c r="B239" s="81" t="str">
        <f t="shared" si="54"/>
        <v>INSTRUMENT_ACCRD_INTRST_INSTRMNT</v>
      </c>
      <c r="C239" s="82" t="s">
        <v>414</v>
      </c>
      <c r="D239" s="83" t="s">
        <v>584</v>
      </c>
      <c r="E239" s="84" t="s">
        <v>585</v>
      </c>
      <c r="F239" s="85" t="s">
        <v>13</v>
      </c>
      <c r="G239" s="85" t="s">
        <v>11</v>
      </c>
      <c r="H239" s="85" t="s">
        <v>11</v>
      </c>
      <c r="I239" s="85" t="s">
        <v>11</v>
      </c>
      <c r="J239" s="85" t="s">
        <v>11</v>
      </c>
      <c r="K239" s="85" t="s">
        <v>13</v>
      </c>
      <c r="L239" s="86" t="str">
        <f>IFERROR(VLOOKUP($B239,'LISTA - Atual'!$B$1:$I$444,5,0),"Novo")</f>
        <v>Y</v>
      </c>
      <c r="M239" s="86" t="str">
        <f t="shared" si="49"/>
        <v>Igual</v>
      </c>
      <c r="N239" s="86" t="str">
        <f>IFERROR(VLOOKUP($B239,'LISTA - Atual'!$B$1:$I$444,6,0),"Novo")</f>
        <v>N</v>
      </c>
      <c r="O239" s="86" t="str">
        <f t="shared" si="50"/>
        <v>Igual</v>
      </c>
      <c r="P239" s="86" t="str">
        <f>IFERROR(VLOOKUP($B239,'LISTA - Atual'!$B$1:$I$444,7,0),"Novo")</f>
        <v>N</v>
      </c>
      <c r="Q239" s="86" t="str">
        <f t="shared" si="51"/>
        <v>Igual</v>
      </c>
      <c r="R239" s="86" t="s">
        <v>1563</v>
      </c>
      <c r="S239" s="86" t="str">
        <f>IFERROR(VLOOKUP($B239,'LISTA - Atual'!$B$1:$I$444,8,0),"Novo")</f>
        <v>N</v>
      </c>
      <c r="T239" s="86" t="str">
        <f t="shared" si="52"/>
        <v>Igual</v>
      </c>
      <c r="U239" s="86" t="s">
        <v>1563</v>
      </c>
      <c r="V239" s="86" t="s">
        <v>11</v>
      </c>
      <c r="W239" s="87" t="str">
        <f>IFERROR(VLOOKUP(B239,#REF!,11,0),"n/a")</f>
        <v>n/a</v>
      </c>
      <c r="X239" s="88" t="str">
        <f>IFERROR(VLOOKUP(B239,#REF!,8,0),"n/a")</f>
        <v>n/a</v>
      </c>
      <c r="Y239" s="87" t="str">
        <f t="shared" ref="Y239:Y240" si="60">$F$2</f>
        <v>ESTR</v>
      </c>
      <c r="Z239" s="131" t="s">
        <v>1605</v>
      </c>
      <c r="AA239" s="227" t="e">
        <f>VLOOKUP(Table1[[#This Row],[CONCAT]],'Campos Resumo Prop2.0'!A:H,8,0)</f>
        <v>#N/A</v>
      </c>
      <c r="AB239" s="87" t="s">
        <v>1655</v>
      </c>
      <c r="AC239" s="135" t="s">
        <v>1625</v>
      </c>
      <c r="AD239" s="91">
        <f>INDEX(Auxiliar!$D$5:$I$10,MATCH('LISTA - Setembro2024'!AD$3,Auxiliar!$B$5:$B$10,0),MATCH('LISTA - Setembro2024'!$AC239,Auxiliar!$D$4:$I$4,0))</f>
        <v>0</v>
      </c>
      <c r="AE239" s="91">
        <f>INDEX(Auxiliar!$D$5:$I$10,MATCH('LISTA - Setembro2024'!AE$3,Auxiliar!$B$5:$B$10,0),MATCH('LISTA - Setembro2024'!$AC239,Auxiliar!$D$4:$I$4,0))</f>
        <v>0</v>
      </c>
      <c r="AF239" s="87">
        <f>INDEX(Auxiliar!$D$5:$I$10,MATCH('LISTA - Setembro2024'!AF$3,Auxiliar!$B$5:$B$10,0),MATCH('LISTA - Setembro2024'!$AC239,Auxiliar!$D$4:$I$4,0))</f>
        <v>0</v>
      </c>
      <c r="AG239" s="87" t="str">
        <f t="shared" si="53"/>
        <v>n.a.</v>
      </c>
      <c r="AH239" s="87">
        <f>INDEX(Auxiliar!$D$5:$I$10,MATCH('LISTA - Setembro2024'!AH$3,Auxiliar!$B$5:$B$10,0),MATCH('LISTA - Setembro2024'!$AG239,Auxiliar!$D$4:$I$4,0))</f>
        <v>0</v>
      </c>
      <c r="AI239" s="87">
        <f>INDEX(Auxiliar!$D$5:$I$10,MATCH('LISTA - Setembro2024'!AI$3,Auxiliar!$B$5:$B$10,0),MATCH('LISTA - Setembro2024'!$AC239,Auxiliar!$D$4:$I$4,0))</f>
        <v>0</v>
      </c>
      <c r="AJ239" s="87">
        <f>INDEX(Auxiliar!$D$5:$I$10,MATCH('LISTA - Setembro2024'!AJ$3,Auxiliar!$B$5:$B$10,0),MATCH('LISTA - Setembro2024'!$AC239,Auxiliar!$D$4:$I$4,0))</f>
        <v>0</v>
      </c>
      <c r="AK239" s="160">
        <f t="shared" si="56"/>
        <v>0</v>
      </c>
      <c r="AL239" s="87"/>
    </row>
    <row r="240" spans="1:38" ht="13.8" x14ac:dyDescent="0.25">
      <c r="A240" s="158" t="s">
        <v>586</v>
      </c>
      <c r="B240" s="81" t="str">
        <f t="shared" si="54"/>
        <v>INSTRUMENT_AMNT_D_AT_MTRTY</v>
      </c>
      <c r="C240" s="82" t="s">
        <v>414</v>
      </c>
      <c r="D240" s="83" t="s">
        <v>587</v>
      </c>
      <c r="E240" s="84" t="s">
        <v>588</v>
      </c>
      <c r="F240" s="85" t="s">
        <v>13</v>
      </c>
      <c r="G240" s="85" t="s">
        <v>11</v>
      </c>
      <c r="H240" s="85" t="s">
        <v>11</v>
      </c>
      <c r="I240" s="85" t="s">
        <v>11</v>
      </c>
      <c r="J240" s="85" t="s">
        <v>11</v>
      </c>
      <c r="K240" s="85" t="s">
        <v>13</v>
      </c>
      <c r="L240" s="86" t="str">
        <f>IFERROR(VLOOKUP($B240,'LISTA - Atual'!$B$1:$I$444,5,0),"Novo")</f>
        <v>Y</v>
      </c>
      <c r="M240" s="86" t="str">
        <f t="shared" si="49"/>
        <v>Igual</v>
      </c>
      <c r="N240" s="86" t="str">
        <f>IFERROR(VLOOKUP($B240,'LISTA - Atual'!$B$1:$I$444,6,0),"Novo")</f>
        <v>N</v>
      </c>
      <c r="O240" s="86" t="str">
        <f t="shared" si="50"/>
        <v>Igual</v>
      </c>
      <c r="P240" s="86" t="str">
        <f>IFERROR(VLOOKUP($B240,'LISTA - Atual'!$B$1:$I$444,7,0),"Novo")</f>
        <v>N</v>
      </c>
      <c r="Q240" s="86" t="str">
        <f t="shared" si="51"/>
        <v>Igual</v>
      </c>
      <c r="R240" s="86" t="s">
        <v>1563</v>
      </c>
      <c r="S240" s="86" t="str">
        <f>IFERROR(VLOOKUP($B240,'LISTA - Atual'!$B$1:$I$444,8,0),"Novo")</f>
        <v>N</v>
      </c>
      <c r="T240" s="86" t="str">
        <f t="shared" si="52"/>
        <v>Igual</v>
      </c>
      <c r="U240" s="86" t="s">
        <v>1563</v>
      </c>
      <c r="V240" s="86" t="s">
        <v>11</v>
      </c>
      <c r="W240" s="87" t="str">
        <f>IFERROR(VLOOKUP(B240,#REF!,11,0),"n/a")</f>
        <v>n/a</v>
      </c>
      <c r="X240" s="88" t="str">
        <f>IFERROR(VLOOKUP(B240,#REF!,8,0),"n/a")</f>
        <v>n/a</v>
      </c>
      <c r="Y240" s="87" t="str">
        <f t="shared" si="60"/>
        <v>ESTR</v>
      </c>
      <c r="Z240" s="131" t="s">
        <v>1605</v>
      </c>
      <c r="AA240" s="227" t="e">
        <f>VLOOKUP(Table1[[#This Row],[CONCAT]],'Campos Resumo Prop2.0'!A:H,8,0)</f>
        <v>#N/A</v>
      </c>
      <c r="AB240" s="87" t="s">
        <v>1655</v>
      </c>
      <c r="AC240" s="135" t="s">
        <v>1625</v>
      </c>
      <c r="AD240" s="91">
        <f>INDEX(Auxiliar!$D$5:$I$10,MATCH('LISTA - Setembro2024'!AD$3,Auxiliar!$B$5:$B$10,0),MATCH('LISTA - Setembro2024'!$AC240,Auxiliar!$D$4:$I$4,0))</f>
        <v>0</v>
      </c>
      <c r="AE240" s="91">
        <f>INDEX(Auxiliar!$D$5:$I$10,MATCH('LISTA - Setembro2024'!AE$3,Auxiliar!$B$5:$B$10,0),MATCH('LISTA - Setembro2024'!$AC240,Auxiliar!$D$4:$I$4,0))</f>
        <v>0</v>
      </c>
      <c r="AF240" s="87">
        <f>INDEX(Auxiliar!$D$5:$I$10,MATCH('LISTA - Setembro2024'!AF$3,Auxiliar!$B$5:$B$10,0),MATCH('LISTA - Setembro2024'!$AC240,Auxiliar!$D$4:$I$4,0))</f>
        <v>0</v>
      </c>
      <c r="AG240" s="87" t="str">
        <f t="shared" si="53"/>
        <v>n.a.</v>
      </c>
      <c r="AH240" s="87">
        <f>INDEX(Auxiliar!$D$5:$I$10,MATCH('LISTA - Setembro2024'!AH$3,Auxiliar!$B$5:$B$10,0),MATCH('LISTA - Setembro2024'!$AG240,Auxiliar!$D$4:$I$4,0))</f>
        <v>0</v>
      </c>
      <c r="AI240" s="87">
        <f>INDEX(Auxiliar!$D$5:$I$10,MATCH('LISTA - Setembro2024'!AI$3,Auxiliar!$B$5:$B$10,0),MATCH('LISTA - Setembro2024'!$AC240,Auxiliar!$D$4:$I$4,0))</f>
        <v>0</v>
      </c>
      <c r="AJ240" s="87">
        <f>INDEX(Auxiliar!$D$5:$I$10,MATCH('LISTA - Setembro2024'!AJ$3,Auxiliar!$B$5:$B$10,0),MATCH('LISTA - Setembro2024'!$AC240,Auxiliar!$D$4:$I$4,0))</f>
        <v>0</v>
      </c>
      <c r="AK240" s="160">
        <f t="shared" si="56"/>
        <v>0</v>
      </c>
      <c r="AL240" s="87"/>
    </row>
    <row r="241" spans="1:38" ht="13.8" x14ac:dyDescent="0.25">
      <c r="A241" s="158" t="s">
        <v>589</v>
      </c>
      <c r="B241" s="81" t="str">
        <f t="shared" si="54"/>
        <v>INSTRUMENT_CCF</v>
      </c>
      <c r="C241" s="82" t="s">
        <v>414</v>
      </c>
      <c r="D241" s="83" t="s">
        <v>590</v>
      </c>
      <c r="E241" s="84" t="s">
        <v>591</v>
      </c>
      <c r="F241" s="85" t="s">
        <v>13</v>
      </c>
      <c r="G241" s="89" t="s">
        <v>13</v>
      </c>
      <c r="H241" s="85" t="s">
        <v>11</v>
      </c>
      <c r="I241" s="85" t="s">
        <v>11</v>
      </c>
      <c r="J241" s="85" t="s">
        <v>11</v>
      </c>
      <c r="K241" s="85" t="s">
        <v>13</v>
      </c>
      <c r="L241" s="86" t="str">
        <f>IFERROR(VLOOKUP($B241,'LISTA - Atual'!$B$1:$I$444,5,0),"Novo")</f>
        <v>Y</v>
      </c>
      <c r="M241" s="86" t="str">
        <f t="shared" si="49"/>
        <v>Igual</v>
      </c>
      <c r="N241" s="86" t="str">
        <f>IFERROR(VLOOKUP($B241,'LISTA - Atual'!$B$1:$I$444,6,0),"Novo")</f>
        <v>N</v>
      </c>
      <c r="O241" s="86" t="str">
        <f t="shared" si="50"/>
        <v>Diferente</v>
      </c>
      <c r="P241" s="86" t="str">
        <f>IFERROR(VLOOKUP($B241,'LISTA - Atual'!$B$1:$I$444,7,0),"Novo")</f>
        <v>N</v>
      </c>
      <c r="Q241" s="86" t="str">
        <f t="shared" si="51"/>
        <v>Igual</v>
      </c>
      <c r="R241" s="86" t="s">
        <v>1563</v>
      </c>
      <c r="S241" s="86" t="str">
        <f>IFERROR(VLOOKUP($B241,'LISTA - Atual'!$B$1:$I$444,8,0),"Novo")</f>
        <v>N</v>
      </c>
      <c r="T241" s="86" t="str">
        <f t="shared" si="52"/>
        <v>Igual</v>
      </c>
      <c r="U241" s="86" t="s">
        <v>1563</v>
      </c>
      <c r="V241" s="86" t="s">
        <v>11</v>
      </c>
      <c r="W241" s="87" t="str">
        <f>IFERROR(VLOOKUP(B241,#REF!,11,0),"n/a")</f>
        <v>n/a</v>
      </c>
      <c r="X241" s="87" t="str">
        <f>IFERROR(VLOOKUP(B241,#REF!,8,0),"n/a")</f>
        <v>n/a</v>
      </c>
      <c r="Y241" s="87" t="str">
        <f>$F$2&amp;$Y$1&amp;$G$2</f>
        <v>ESTR &amp; GD</v>
      </c>
      <c r="Z241" s="131" t="s">
        <v>1605</v>
      </c>
      <c r="AA241" s="227" t="e">
        <f>VLOOKUP(Table1[[#This Row],[CONCAT]],'Campos Resumo Prop2.0'!A:H,8,0)</f>
        <v>#N/A</v>
      </c>
      <c r="AB241" s="87" t="s">
        <v>1656</v>
      </c>
      <c r="AC241" s="135" t="s">
        <v>1625</v>
      </c>
      <c r="AD241" s="91">
        <f>INDEX(Auxiliar!$D$5:$I$10,MATCH('LISTA - Setembro2024'!AD$3,Auxiliar!$B$5:$B$10,0),MATCH('LISTA - Setembro2024'!$AC241,Auxiliar!$D$4:$I$4,0))</f>
        <v>0</v>
      </c>
      <c r="AE241" s="91">
        <f>INDEX(Auxiliar!$D$5:$I$10,MATCH('LISTA - Setembro2024'!AE$3,Auxiliar!$B$5:$B$10,0),MATCH('LISTA - Setembro2024'!$AC241,Auxiliar!$D$4:$I$4,0))</f>
        <v>0</v>
      </c>
      <c r="AF241" s="87">
        <f>INDEX(Auxiliar!$D$5:$I$10,MATCH('LISTA - Setembro2024'!AF$3,Auxiliar!$B$5:$B$10,0),MATCH('LISTA - Setembro2024'!$AC241,Auxiliar!$D$4:$I$4,0))</f>
        <v>0</v>
      </c>
      <c r="AG241" s="87" t="str">
        <f t="shared" si="53"/>
        <v>n.a.</v>
      </c>
      <c r="AH241" s="87">
        <f>INDEX(Auxiliar!$D$5:$I$10,MATCH('LISTA - Setembro2024'!AH$3,Auxiliar!$B$5:$B$10,0),MATCH('LISTA - Setembro2024'!$AG241,Auxiliar!$D$4:$I$4,0))</f>
        <v>0</v>
      </c>
      <c r="AI241" s="87">
        <f>INDEX(Auxiliar!$D$5:$I$10,MATCH('LISTA - Setembro2024'!AI$3,Auxiliar!$B$5:$B$10,0),MATCH('LISTA - Setembro2024'!$AC241,Auxiliar!$D$4:$I$4,0))</f>
        <v>0</v>
      </c>
      <c r="AJ241" s="87">
        <f>INDEX(Auxiliar!$D$5:$I$10,MATCH('LISTA - Setembro2024'!AJ$3,Auxiliar!$B$5:$B$10,0),MATCH('LISTA - Setembro2024'!$AC241,Auxiliar!$D$4:$I$4,0))</f>
        <v>0</v>
      </c>
      <c r="AK241" s="160">
        <f t="shared" si="56"/>
        <v>0</v>
      </c>
      <c r="AL241" s="87"/>
    </row>
    <row r="242" spans="1:38" ht="13.8" x14ac:dyDescent="0.25">
      <c r="A242" s="158" t="s">
        <v>592</v>
      </c>
      <c r="B242" s="81" t="str">
        <f t="shared" si="54"/>
        <v>INSTRUMENT_CMMTMNT_INCPTN_INSTRMNT</v>
      </c>
      <c r="C242" s="82" t="s">
        <v>414</v>
      </c>
      <c r="D242" s="83" t="s">
        <v>593</v>
      </c>
      <c r="E242" s="84" t="s">
        <v>594</v>
      </c>
      <c r="F242" s="85" t="s">
        <v>13</v>
      </c>
      <c r="G242" s="85" t="s">
        <v>11</v>
      </c>
      <c r="H242" s="85" t="s">
        <v>11</v>
      </c>
      <c r="I242" s="85" t="s">
        <v>11</v>
      </c>
      <c r="J242" s="85" t="s">
        <v>11</v>
      </c>
      <c r="K242" s="85" t="s">
        <v>11</v>
      </c>
      <c r="L242" s="86" t="str">
        <f>IFERROR(VLOOKUP($B242,'LISTA - Atual'!$B$1:$I$444,5,0),"Novo")</f>
        <v>Y</v>
      </c>
      <c r="M242" s="86" t="str">
        <f t="shared" si="49"/>
        <v>Igual</v>
      </c>
      <c r="N242" s="86" t="str">
        <f>IFERROR(VLOOKUP($B242,'LISTA - Atual'!$B$1:$I$444,6,0),"Novo")</f>
        <v>N</v>
      </c>
      <c r="O242" s="86" t="str">
        <f t="shared" si="50"/>
        <v>Igual</v>
      </c>
      <c r="P242" s="86" t="str">
        <f>IFERROR(VLOOKUP($B242,'LISTA - Atual'!$B$1:$I$444,7,0),"Novo")</f>
        <v>N</v>
      </c>
      <c r="Q242" s="86" t="str">
        <f t="shared" si="51"/>
        <v>Igual</v>
      </c>
      <c r="R242" s="86" t="s">
        <v>1563</v>
      </c>
      <c r="S242" s="86" t="str">
        <f>IFERROR(VLOOKUP($B242,'LISTA - Atual'!$B$1:$I$444,8,0),"Novo")</f>
        <v>N</v>
      </c>
      <c r="T242" s="86" t="str">
        <f t="shared" si="52"/>
        <v>Igual</v>
      </c>
      <c r="U242" s="86" t="s">
        <v>1563</v>
      </c>
      <c r="V242" s="86" t="s">
        <v>11</v>
      </c>
      <c r="W242" s="87" t="str">
        <f>IFERROR(VLOOKUP(B242,#REF!,11,0),"n/a")</f>
        <v>n/a</v>
      </c>
      <c r="X242" s="87" t="str">
        <f>IFERROR(VLOOKUP(B242,#REF!,8,0),"n/a")</f>
        <v>n/a</v>
      </c>
      <c r="Y242" s="87" t="str">
        <f t="shared" ref="Y242:Y245" si="61">$F$2</f>
        <v>ESTR</v>
      </c>
      <c r="Z242" s="131" t="s">
        <v>1605</v>
      </c>
      <c r="AA242" s="227" t="e">
        <f>VLOOKUP(Table1[[#This Row],[CONCAT]],'Campos Resumo Prop2.0'!A:H,8,0)</f>
        <v>#N/A</v>
      </c>
      <c r="AB242" s="87" t="s">
        <v>1655</v>
      </c>
      <c r="AC242" s="135" t="s">
        <v>1625</v>
      </c>
      <c r="AD242" s="91">
        <f>INDEX(Auxiliar!$D$5:$I$10,MATCH('LISTA - Setembro2024'!AD$3,Auxiliar!$B$5:$B$10,0),MATCH('LISTA - Setembro2024'!$AC242,Auxiliar!$D$4:$I$4,0))</f>
        <v>0</v>
      </c>
      <c r="AE242" s="91">
        <f>INDEX(Auxiliar!$D$5:$I$10,MATCH('LISTA - Setembro2024'!AE$3,Auxiliar!$B$5:$B$10,0),MATCH('LISTA - Setembro2024'!$AC242,Auxiliar!$D$4:$I$4,0))</f>
        <v>0</v>
      </c>
      <c r="AF242" s="87">
        <f>INDEX(Auxiliar!$D$5:$I$10,MATCH('LISTA - Setembro2024'!AF$3,Auxiliar!$B$5:$B$10,0),MATCH('LISTA - Setembro2024'!$AC242,Auxiliar!$D$4:$I$4,0))</f>
        <v>0</v>
      </c>
      <c r="AG242" s="87" t="str">
        <f t="shared" si="53"/>
        <v>n.a.</v>
      </c>
      <c r="AH242" s="87">
        <f>INDEX(Auxiliar!$D$5:$I$10,MATCH('LISTA - Setembro2024'!AH$3,Auxiliar!$B$5:$B$10,0),MATCH('LISTA - Setembro2024'!$AG242,Auxiliar!$D$4:$I$4,0))</f>
        <v>0</v>
      </c>
      <c r="AI242" s="87">
        <f>INDEX(Auxiliar!$D$5:$I$10,MATCH('LISTA - Setembro2024'!AI$3,Auxiliar!$B$5:$B$10,0),MATCH('LISTA - Setembro2024'!$AC242,Auxiliar!$D$4:$I$4,0))</f>
        <v>0</v>
      </c>
      <c r="AJ242" s="87">
        <f>INDEX(Auxiliar!$D$5:$I$10,MATCH('LISTA - Setembro2024'!AJ$3,Auxiliar!$B$5:$B$10,0),MATCH('LISTA - Setembro2024'!$AC242,Auxiliar!$D$4:$I$4,0))</f>
        <v>0</v>
      </c>
      <c r="AK242" s="160">
        <f t="shared" si="56"/>
        <v>0</v>
      </c>
      <c r="AL242" s="87"/>
    </row>
    <row r="243" spans="1:38" ht="13.8" x14ac:dyDescent="0.25">
      <c r="A243" s="158" t="s">
        <v>595</v>
      </c>
      <c r="B243" s="81" t="str">
        <f t="shared" si="54"/>
        <v>INSTRUMENT_CMMTMNT_INSTRMNT</v>
      </c>
      <c r="C243" s="82" t="s">
        <v>414</v>
      </c>
      <c r="D243" s="83" t="s">
        <v>596</v>
      </c>
      <c r="E243" s="84" t="s">
        <v>597</v>
      </c>
      <c r="F243" s="85" t="s">
        <v>13</v>
      </c>
      <c r="G243" s="85" t="s">
        <v>11</v>
      </c>
      <c r="H243" s="85" t="s">
        <v>11</v>
      </c>
      <c r="I243" s="85" t="s">
        <v>11</v>
      </c>
      <c r="J243" s="85" t="s">
        <v>11</v>
      </c>
      <c r="K243" s="85" t="s">
        <v>11</v>
      </c>
      <c r="L243" s="86" t="str">
        <f>IFERROR(VLOOKUP($B243,'LISTA - Atual'!$B$1:$I$444,5,0),"Novo")</f>
        <v>Y</v>
      </c>
      <c r="M243" s="86" t="str">
        <f t="shared" si="49"/>
        <v>Igual</v>
      </c>
      <c r="N243" s="86" t="str">
        <f>IFERROR(VLOOKUP($B243,'LISTA - Atual'!$B$1:$I$444,6,0),"Novo")</f>
        <v>N</v>
      </c>
      <c r="O243" s="86" t="str">
        <f t="shared" si="50"/>
        <v>Igual</v>
      </c>
      <c r="P243" s="86" t="str">
        <f>IFERROR(VLOOKUP($B243,'LISTA - Atual'!$B$1:$I$444,7,0),"Novo")</f>
        <v>N</v>
      </c>
      <c r="Q243" s="86" t="str">
        <f t="shared" si="51"/>
        <v>Igual</v>
      </c>
      <c r="R243" s="86" t="s">
        <v>1563</v>
      </c>
      <c r="S243" s="86" t="str">
        <f>IFERROR(VLOOKUP($B243,'LISTA - Atual'!$B$1:$I$444,8,0),"Novo")</f>
        <v>N</v>
      </c>
      <c r="T243" s="86" t="str">
        <f t="shared" si="52"/>
        <v>Igual</v>
      </c>
      <c r="U243" s="86" t="s">
        <v>1563</v>
      </c>
      <c r="V243" s="86" t="s">
        <v>11</v>
      </c>
      <c r="W243" s="87" t="str">
        <f>IFERROR(VLOOKUP(B243,#REF!,11,0),"n/a")</f>
        <v>n/a</v>
      </c>
      <c r="X243" s="87" t="str">
        <f>IFERROR(VLOOKUP(B243,#REF!,8,0),"n/a")</f>
        <v>n/a</v>
      </c>
      <c r="Y243" s="87" t="str">
        <f t="shared" si="61"/>
        <v>ESTR</v>
      </c>
      <c r="Z243" s="131" t="s">
        <v>1605</v>
      </c>
      <c r="AA243" s="227" t="e">
        <f>VLOOKUP(Table1[[#This Row],[CONCAT]],'Campos Resumo Prop2.0'!A:H,8,0)</f>
        <v>#N/A</v>
      </c>
      <c r="AB243" s="87" t="s">
        <v>1655</v>
      </c>
      <c r="AC243" s="135" t="s">
        <v>1625</v>
      </c>
      <c r="AD243" s="91">
        <f>INDEX(Auxiliar!$D$5:$I$10,MATCH('LISTA - Setembro2024'!AD$3,Auxiliar!$B$5:$B$10,0),MATCH('LISTA - Setembro2024'!$AC243,Auxiliar!$D$4:$I$4,0))</f>
        <v>0</v>
      </c>
      <c r="AE243" s="91">
        <f>INDEX(Auxiliar!$D$5:$I$10,MATCH('LISTA - Setembro2024'!AE$3,Auxiliar!$B$5:$B$10,0),MATCH('LISTA - Setembro2024'!$AC243,Auxiliar!$D$4:$I$4,0))</f>
        <v>0</v>
      </c>
      <c r="AF243" s="87">
        <f>INDEX(Auxiliar!$D$5:$I$10,MATCH('LISTA - Setembro2024'!AF$3,Auxiliar!$B$5:$B$10,0),MATCH('LISTA - Setembro2024'!$AC243,Auxiliar!$D$4:$I$4,0))</f>
        <v>0</v>
      </c>
      <c r="AG243" s="87" t="str">
        <f t="shared" si="53"/>
        <v>n.a.</v>
      </c>
      <c r="AH243" s="87">
        <f>INDEX(Auxiliar!$D$5:$I$10,MATCH('LISTA - Setembro2024'!AH$3,Auxiliar!$B$5:$B$10,0),MATCH('LISTA - Setembro2024'!$AG243,Auxiliar!$D$4:$I$4,0))</f>
        <v>0</v>
      </c>
      <c r="AI243" s="87">
        <f>INDEX(Auxiliar!$D$5:$I$10,MATCH('LISTA - Setembro2024'!AI$3,Auxiliar!$B$5:$B$10,0),MATCH('LISTA - Setembro2024'!$AC243,Auxiliar!$D$4:$I$4,0))</f>
        <v>0</v>
      </c>
      <c r="AJ243" s="87">
        <f>INDEX(Auxiliar!$D$5:$I$10,MATCH('LISTA - Setembro2024'!AJ$3,Auxiliar!$B$5:$B$10,0),MATCH('LISTA - Setembro2024'!$AC243,Auxiliar!$D$4:$I$4,0))</f>
        <v>0</v>
      </c>
      <c r="AK243" s="160">
        <f t="shared" si="56"/>
        <v>0</v>
      </c>
      <c r="AL243" s="87"/>
    </row>
    <row r="244" spans="1:38" ht="13.8" x14ac:dyDescent="0.25">
      <c r="A244" s="158" t="s">
        <v>598</v>
      </c>
      <c r="B244" s="81" t="str">
        <f t="shared" si="54"/>
        <v>INSTRUMENT_CRRYNG_AMNT_INSTRMNT</v>
      </c>
      <c r="C244" s="82" t="s">
        <v>414</v>
      </c>
      <c r="D244" s="83" t="s">
        <v>599</v>
      </c>
      <c r="E244" s="84" t="s">
        <v>600</v>
      </c>
      <c r="F244" s="85" t="s">
        <v>13</v>
      </c>
      <c r="G244" s="85" t="s">
        <v>11</v>
      </c>
      <c r="H244" s="85" t="s">
        <v>11</v>
      </c>
      <c r="I244" s="85" t="s">
        <v>11</v>
      </c>
      <c r="J244" s="85" t="s">
        <v>11</v>
      </c>
      <c r="K244" s="85" t="s">
        <v>13</v>
      </c>
      <c r="L244" s="86" t="str">
        <f>IFERROR(VLOOKUP($B244,'LISTA - Atual'!$B$1:$I$444,5,0),"Novo")</f>
        <v>Y</v>
      </c>
      <c r="M244" s="86" t="str">
        <f t="shared" si="49"/>
        <v>Igual</v>
      </c>
      <c r="N244" s="86" t="str">
        <f>IFERROR(VLOOKUP($B244,'LISTA - Atual'!$B$1:$I$444,6,0),"Novo")</f>
        <v>N</v>
      </c>
      <c r="O244" s="86" t="str">
        <f t="shared" si="50"/>
        <v>Igual</v>
      </c>
      <c r="P244" s="86" t="str">
        <f>IFERROR(VLOOKUP($B244,'LISTA - Atual'!$B$1:$I$444,7,0),"Novo")</f>
        <v>N</v>
      </c>
      <c r="Q244" s="86" t="str">
        <f t="shared" si="51"/>
        <v>Igual</v>
      </c>
      <c r="R244" s="86" t="s">
        <v>1563</v>
      </c>
      <c r="S244" s="86" t="str">
        <f>IFERROR(VLOOKUP($B244,'LISTA - Atual'!$B$1:$I$444,8,0),"Novo")</f>
        <v>N</v>
      </c>
      <c r="T244" s="86" t="str">
        <f t="shared" si="52"/>
        <v>Igual</v>
      </c>
      <c r="U244" s="86" t="s">
        <v>1563</v>
      </c>
      <c r="V244" s="86" t="s">
        <v>11</v>
      </c>
      <c r="W244" s="87" t="str">
        <f>IFERROR(VLOOKUP(B244,#REF!,11,0),"n/a")</f>
        <v>n/a</v>
      </c>
      <c r="X244" s="87" t="str">
        <f>IFERROR(VLOOKUP(B244,#REF!,8,0),"n/a")</f>
        <v>n/a</v>
      </c>
      <c r="Y244" s="87" t="str">
        <f t="shared" si="61"/>
        <v>ESTR</v>
      </c>
      <c r="Z244" s="131" t="s">
        <v>1605</v>
      </c>
      <c r="AA244" s="227" t="e">
        <f>VLOOKUP(Table1[[#This Row],[CONCAT]],'Campos Resumo Prop2.0'!A:H,8,0)</f>
        <v>#N/A</v>
      </c>
      <c r="AB244" s="87" t="s">
        <v>1655</v>
      </c>
      <c r="AC244" s="135" t="s">
        <v>1625</v>
      </c>
      <c r="AD244" s="91">
        <f>INDEX(Auxiliar!$D$5:$I$10,MATCH('LISTA - Setembro2024'!AD$3,Auxiliar!$B$5:$B$10,0),MATCH('LISTA - Setembro2024'!$AC244,Auxiliar!$D$4:$I$4,0))</f>
        <v>0</v>
      </c>
      <c r="AE244" s="91">
        <f>INDEX(Auxiliar!$D$5:$I$10,MATCH('LISTA - Setembro2024'!AE$3,Auxiliar!$B$5:$B$10,0),MATCH('LISTA - Setembro2024'!$AC244,Auxiliar!$D$4:$I$4,0))</f>
        <v>0</v>
      </c>
      <c r="AF244" s="87">
        <f>INDEX(Auxiliar!$D$5:$I$10,MATCH('LISTA - Setembro2024'!AF$3,Auxiliar!$B$5:$B$10,0),MATCH('LISTA - Setembro2024'!$AC244,Auxiliar!$D$4:$I$4,0))</f>
        <v>0</v>
      </c>
      <c r="AG244" s="87" t="str">
        <f t="shared" si="53"/>
        <v>n.a.</v>
      </c>
      <c r="AH244" s="87">
        <f>INDEX(Auxiliar!$D$5:$I$10,MATCH('LISTA - Setembro2024'!AH$3,Auxiliar!$B$5:$B$10,0),MATCH('LISTA - Setembro2024'!$AG244,Auxiliar!$D$4:$I$4,0))</f>
        <v>0</v>
      </c>
      <c r="AI244" s="87">
        <f>INDEX(Auxiliar!$D$5:$I$10,MATCH('LISTA - Setembro2024'!AI$3,Auxiliar!$B$5:$B$10,0),MATCH('LISTA - Setembro2024'!$AC244,Auxiliar!$D$4:$I$4,0))</f>
        <v>0</v>
      </c>
      <c r="AJ244" s="87">
        <f>INDEX(Auxiliar!$D$5:$I$10,MATCH('LISTA - Setembro2024'!AJ$3,Auxiliar!$B$5:$B$10,0),MATCH('LISTA - Setembro2024'!$AC244,Auxiliar!$D$4:$I$4,0))</f>
        <v>0</v>
      </c>
      <c r="AK244" s="160">
        <f t="shared" si="56"/>
        <v>0</v>
      </c>
      <c r="AL244" s="87"/>
    </row>
    <row r="245" spans="1:38" ht="13.8" x14ac:dyDescent="0.25">
      <c r="A245" s="158" t="s">
        <v>601</v>
      </c>
      <c r="B245" s="81" t="str">
        <f t="shared" si="54"/>
        <v>INSTRUMENT_DBT_YLD</v>
      </c>
      <c r="C245" s="82" t="s">
        <v>414</v>
      </c>
      <c r="D245" s="83" t="s">
        <v>602</v>
      </c>
      <c r="E245" s="84" t="s">
        <v>603</v>
      </c>
      <c r="F245" s="85" t="s">
        <v>13</v>
      </c>
      <c r="G245" s="85" t="s">
        <v>11</v>
      </c>
      <c r="H245" s="85" t="s">
        <v>11</v>
      </c>
      <c r="I245" s="85" t="s">
        <v>11</v>
      </c>
      <c r="J245" s="85" t="s">
        <v>11</v>
      </c>
      <c r="K245" s="85" t="s">
        <v>11</v>
      </c>
      <c r="L245" s="86" t="str">
        <f>IFERROR(VLOOKUP($B245,'LISTA - Atual'!$B$1:$I$444,5,0),"Novo")</f>
        <v>Y</v>
      </c>
      <c r="M245" s="86" t="str">
        <f t="shared" si="49"/>
        <v>Igual</v>
      </c>
      <c r="N245" s="86" t="str">
        <f>IFERROR(VLOOKUP($B245,'LISTA - Atual'!$B$1:$I$444,6,0),"Novo")</f>
        <v>N</v>
      </c>
      <c r="O245" s="86" t="str">
        <f t="shared" si="50"/>
        <v>Igual</v>
      </c>
      <c r="P245" s="86" t="str">
        <f>IFERROR(VLOOKUP($B245,'LISTA - Atual'!$B$1:$I$444,7,0),"Novo")</f>
        <v>N</v>
      </c>
      <c r="Q245" s="86" t="str">
        <f t="shared" si="51"/>
        <v>Igual</v>
      </c>
      <c r="R245" s="86" t="s">
        <v>1563</v>
      </c>
      <c r="S245" s="86" t="str">
        <f>IFERROR(VLOOKUP($B245,'LISTA - Atual'!$B$1:$I$444,8,0),"Novo")</f>
        <v>N</v>
      </c>
      <c r="T245" s="86" t="str">
        <f t="shared" si="52"/>
        <v>Igual</v>
      </c>
      <c r="U245" s="86" t="s">
        <v>1563</v>
      </c>
      <c r="V245" s="86" t="s">
        <v>11</v>
      </c>
      <c r="W245" s="87" t="str">
        <f>IFERROR(VLOOKUP(B245,#REF!,11,0),"n/a")</f>
        <v>n/a</v>
      </c>
      <c r="X245" s="87" t="str">
        <f>IFERROR(VLOOKUP(B245,#REF!,8,0),"n/a")</f>
        <v>n/a</v>
      </c>
      <c r="Y245" s="87" t="str">
        <f t="shared" si="61"/>
        <v>ESTR</v>
      </c>
      <c r="Z245" s="131" t="s">
        <v>1605</v>
      </c>
      <c r="AA245" s="227" t="e">
        <f>VLOOKUP(Table1[[#This Row],[CONCAT]],'Campos Resumo Prop2.0'!A:H,8,0)</f>
        <v>#N/A</v>
      </c>
      <c r="AB245" s="87" t="s">
        <v>1656</v>
      </c>
      <c r="AC245" s="135" t="s">
        <v>1625</v>
      </c>
      <c r="AD245" s="91">
        <f>INDEX(Auxiliar!$D$5:$I$10,MATCH('LISTA - Setembro2024'!AD$3,Auxiliar!$B$5:$B$10,0),MATCH('LISTA - Setembro2024'!$AC245,Auxiliar!$D$4:$I$4,0))</f>
        <v>0</v>
      </c>
      <c r="AE245" s="91">
        <f>INDEX(Auxiliar!$D$5:$I$10,MATCH('LISTA - Setembro2024'!AE$3,Auxiliar!$B$5:$B$10,0),MATCH('LISTA - Setembro2024'!$AC245,Auxiliar!$D$4:$I$4,0))</f>
        <v>0</v>
      </c>
      <c r="AF245" s="87">
        <f>INDEX(Auxiliar!$D$5:$I$10,MATCH('LISTA - Setembro2024'!AF$3,Auxiliar!$B$5:$B$10,0),MATCH('LISTA - Setembro2024'!$AC245,Auxiliar!$D$4:$I$4,0))</f>
        <v>0</v>
      </c>
      <c r="AG245" s="87" t="str">
        <f t="shared" si="53"/>
        <v>n.a.</v>
      </c>
      <c r="AH245" s="87">
        <f>INDEX(Auxiliar!$D$5:$I$10,MATCH('LISTA - Setembro2024'!AH$3,Auxiliar!$B$5:$B$10,0),MATCH('LISTA - Setembro2024'!$AG245,Auxiliar!$D$4:$I$4,0))</f>
        <v>0</v>
      </c>
      <c r="AI245" s="87">
        <f>INDEX(Auxiliar!$D$5:$I$10,MATCH('LISTA - Setembro2024'!AI$3,Auxiliar!$B$5:$B$10,0),MATCH('LISTA - Setembro2024'!$AC245,Auxiliar!$D$4:$I$4,0))</f>
        <v>0</v>
      </c>
      <c r="AJ245" s="87">
        <f>INDEX(Auxiliar!$D$5:$I$10,MATCH('LISTA - Setembro2024'!AJ$3,Auxiliar!$B$5:$B$10,0),MATCH('LISTA - Setembro2024'!$AC245,Auxiliar!$D$4:$I$4,0))</f>
        <v>0</v>
      </c>
      <c r="AK245" s="160">
        <f t="shared" si="56"/>
        <v>0</v>
      </c>
      <c r="AL245" s="87"/>
    </row>
    <row r="246" spans="1:38" ht="13.8" x14ac:dyDescent="0.25">
      <c r="A246" s="158" t="s">
        <v>604</v>
      </c>
      <c r="B246" s="81" t="str">
        <f t="shared" si="54"/>
        <v>INSTRUMENT_DT_LGL_FNL_MTRTY</v>
      </c>
      <c r="C246" s="82" t="s">
        <v>414</v>
      </c>
      <c r="D246" s="83" t="s">
        <v>605</v>
      </c>
      <c r="E246" s="84" t="s">
        <v>606</v>
      </c>
      <c r="F246" s="85" t="s">
        <v>13</v>
      </c>
      <c r="G246" s="85" t="s">
        <v>11</v>
      </c>
      <c r="H246" s="85" t="s">
        <v>13</v>
      </c>
      <c r="I246" s="85" t="s">
        <v>11</v>
      </c>
      <c r="J246" s="85" t="s">
        <v>11</v>
      </c>
      <c r="K246" s="85" t="s">
        <v>13</v>
      </c>
      <c r="L246" s="86" t="str">
        <f>IFERROR(VLOOKUP($B246,'LISTA - Atual'!$B$1:$I$444,5,0),"Novo")</f>
        <v>Y</v>
      </c>
      <c r="M246" s="86" t="str">
        <f t="shared" si="49"/>
        <v>Igual</v>
      </c>
      <c r="N246" s="86" t="str">
        <f>IFERROR(VLOOKUP($B246,'LISTA - Atual'!$B$1:$I$444,6,0),"Novo")</f>
        <v>N</v>
      </c>
      <c r="O246" s="86" t="str">
        <f t="shared" si="50"/>
        <v>Igual</v>
      </c>
      <c r="P246" s="86" t="str">
        <f>IFERROR(VLOOKUP($B246,'LISTA - Atual'!$B$1:$I$444,7,0),"Novo")</f>
        <v>Y</v>
      </c>
      <c r="Q246" s="86" t="str">
        <f t="shared" si="51"/>
        <v>Igual</v>
      </c>
      <c r="R246" s="86" t="s">
        <v>1563</v>
      </c>
      <c r="S246" s="86" t="str">
        <f>IFERROR(VLOOKUP($B246,'LISTA - Atual'!$B$1:$I$444,8,0),"Novo")</f>
        <v>N</v>
      </c>
      <c r="T246" s="86" t="str">
        <f t="shared" si="52"/>
        <v>Igual</v>
      </c>
      <c r="U246" s="86" t="s">
        <v>1563</v>
      </c>
      <c r="V246" s="86" t="s">
        <v>11</v>
      </c>
      <c r="W246" s="87" t="str">
        <f>IFERROR(VLOOKUP(B246,#REF!,11,0),"n/a")</f>
        <v>n/a</v>
      </c>
      <c r="X246" s="87" t="str">
        <f>IFERROR(VLOOKUP(B246,#REF!,8,0),"n/a")</f>
        <v>n/a</v>
      </c>
      <c r="Y246" s="87" t="str">
        <f>$F$2&amp;$Y$1&amp;$H$2</f>
        <v>ESTR &amp; PILAR3</v>
      </c>
      <c r="Z246" s="131" t="s">
        <v>1605</v>
      </c>
      <c r="AA246" s="227" t="e">
        <f>VLOOKUP(Table1[[#This Row],[CONCAT]],'Campos Resumo Prop2.0'!A:H,8,0)</f>
        <v>#N/A</v>
      </c>
      <c r="AB246" s="87" t="s">
        <v>1651</v>
      </c>
      <c r="AC246" s="135" t="s">
        <v>1625</v>
      </c>
      <c r="AD246" s="135">
        <v>1</v>
      </c>
      <c r="AE246" s="91">
        <f>INDEX(Auxiliar!$D$5:$I$10,MATCH('LISTA - Setembro2024'!AE$3,Auxiliar!$B$5:$B$10,0),MATCH('LISTA - Setembro2024'!$AC246,Auxiliar!$D$4:$I$4,0))</f>
        <v>0</v>
      </c>
      <c r="AF246" s="87">
        <f>INDEX(Auxiliar!$D$5:$I$10,MATCH('LISTA - Setembro2024'!AF$3,Auxiliar!$B$5:$B$10,0),MATCH('LISTA - Setembro2024'!$AC246,Auxiliar!$D$4:$I$4,0))</f>
        <v>0</v>
      </c>
      <c r="AG246" s="87" t="str">
        <f t="shared" si="53"/>
        <v>n.a.</v>
      </c>
      <c r="AH246" s="87">
        <f>INDEX(Auxiliar!$D$5:$I$10,MATCH('LISTA - Setembro2024'!AH$3,Auxiliar!$B$5:$B$10,0),MATCH('LISTA - Setembro2024'!$AG246,Auxiliar!$D$4:$I$4,0))</f>
        <v>0</v>
      </c>
      <c r="AI246" s="87">
        <f>INDEX(Auxiliar!$D$5:$I$10,MATCH('LISTA - Setembro2024'!AI$3,Auxiliar!$B$5:$B$10,0),MATCH('LISTA - Setembro2024'!$AC246,Auxiliar!$D$4:$I$4,0))</f>
        <v>0</v>
      </c>
      <c r="AJ246" s="87">
        <f>INDEX(Auxiliar!$D$5:$I$10,MATCH('LISTA - Setembro2024'!AJ$3,Auxiliar!$B$5:$B$10,0),MATCH('LISTA - Setembro2024'!$AC246,Auxiliar!$D$4:$I$4,0))</f>
        <v>0</v>
      </c>
      <c r="AK246" s="160">
        <f t="shared" si="56"/>
        <v>0</v>
      </c>
      <c r="AL246" s="87" t="s">
        <v>1694</v>
      </c>
    </row>
    <row r="247" spans="1:38" ht="13.8" x14ac:dyDescent="0.25">
      <c r="A247" s="158" t="s">
        <v>607</v>
      </c>
      <c r="B247" s="81" t="str">
        <f t="shared" si="54"/>
        <v>INSTRUMENT_DT_NXT_INTRST_RT_RST</v>
      </c>
      <c r="C247" s="82" t="s">
        <v>414</v>
      </c>
      <c r="D247" s="83" t="s">
        <v>608</v>
      </c>
      <c r="E247" s="84" t="s">
        <v>609</v>
      </c>
      <c r="F247" s="85" t="s">
        <v>13</v>
      </c>
      <c r="G247" s="85" t="s">
        <v>11</v>
      </c>
      <c r="H247" s="85" t="s">
        <v>11</v>
      </c>
      <c r="I247" s="85" t="s">
        <v>11</v>
      </c>
      <c r="J247" s="85" t="s">
        <v>11</v>
      </c>
      <c r="K247" s="85" t="s">
        <v>11</v>
      </c>
      <c r="L247" s="86" t="str">
        <f>IFERROR(VLOOKUP($B247,'LISTA - Atual'!$B$1:$I$444,5,0),"Novo")</f>
        <v>Y</v>
      </c>
      <c r="M247" s="86" t="str">
        <f t="shared" si="49"/>
        <v>Igual</v>
      </c>
      <c r="N247" s="86" t="str">
        <f>IFERROR(VLOOKUP($B247,'LISTA - Atual'!$B$1:$I$444,6,0),"Novo")</f>
        <v>N</v>
      </c>
      <c r="O247" s="86" t="str">
        <f t="shared" si="50"/>
        <v>Igual</v>
      </c>
      <c r="P247" s="86" t="str">
        <f>IFERROR(VLOOKUP($B247,'LISTA - Atual'!$B$1:$I$444,7,0),"Novo")</f>
        <v>N</v>
      </c>
      <c r="Q247" s="86" t="str">
        <f t="shared" si="51"/>
        <v>Igual</v>
      </c>
      <c r="R247" s="86" t="s">
        <v>1563</v>
      </c>
      <c r="S247" s="86" t="str">
        <f>IFERROR(VLOOKUP($B247,'LISTA - Atual'!$B$1:$I$444,8,0),"Novo")</f>
        <v>N</v>
      </c>
      <c r="T247" s="86" t="str">
        <f t="shared" si="52"/>
        <v>Igual</v>
      </c>
      <c r="U247" s="86" t="s">
        <v>1563</v>
      </c>
      <c r="V247" s="86" t="s">
        <v>11</v>
      </c>
      <c r="W247" s="87" t="str">
        <f>IFERROR(VLOOKUP(B247,#REF!,11,0),"n/a")</f>
        <v>n/a</v>
      </c>
      <c r="X247" s="87" t="str">
        <f>IFERROR(VLOOKUP(B247,#REF!,8,0),"n/a")</f>
        <v>n/a</v>
      </c>
      <c r="Y247" s="87" t="str">
        <f t="shared" ref="Y247:Y248" si="62">$F$2</f>
        <v>ESTR</v>
      </c>
      <c r="Z247" s="131" t="s">
        <v>1605</v>
      </c>
      <c r="AA247" s="227" t="e">
        <f>VLOOKUP(Table1[[#This Row],[CONCAT]],'Campos Resumo Prop2.0'!A:H,8,0)</f>
        <v>#N/A</v>
      </c>
      <c r="AB247" s="87" t="s">
        <v>1651</v>
      </c>
      <c r="AC247" s="135" t="s">
        <v>1625</v>
      </c>
      <c r="AD247" s="91">
        <f>INDEX(Auxiliar!$D$5:$I$10,MATCH('LISTA - Setembro2024'!AD$3,Auxiliar!$B$5:$B$10,0),MATCH('LISTA - Setembro2024'!$AC247,Auxiliar!$D$4:$I$4,0))</f>
        <v>0</v>
      </c>
      <c r="AE247" s="91">
        <f>INDEX(Auxiliar!$D$5:$I$10,MATCH('LISTA - Setembro2024'!AE$3,Auxiliar!$B$5:$B$10,0),MATCH('LISTA - Setembro2024'!$AC247,Auxiliar!$D$4:$I$4,0))</f>
        <v>0</v>
      </c>
      <c r="AF247" s="87">
        <f>INDEX(Auxiliar!$D$5:$I$10,MATCH('LISTA - Setembro2024'!AF$3,Auxiliar!$B$5:$B$10,0),MATCH('LISTA - Setembro2024'!$AC247,Auxiliar!$D$4:$I$4,0))</f>
        <v>0</v>
      </c>
      <c r="AG247" s="87" t="str">
        <f t="shared" si="53"/>
        <v>n.a.</v>
      </c>
      <c r="AH247" s="87">
        <f>INDEX(Auxiliar!$D$5:$I$10,MATCH('LISTA - Setembro2024'!AH$3,Auxiliar!$B$5:$B$10,0),MATCH('LISTA - Setembro2024'!$AG247,Auxiliar!$D$4:$I$4,0))</f>
        <v>0</v>
      </c>
      <c r="AI247" s="87">
        <f>INDEX(Auxiliar!$D$5:$I$10,MATCH('LISTA - Setembro2024'!AI$3,Auxiliar!$B$5:$B$10,0),MATCH('LISTA - Setembro2024'!$AC247,Auxiliar!$D$4:$I$4,0))</f>
        <v>0</v>
      </c>
      <c r="AJ247" s="87">
        <f>INDEX(Auxiliar!$D$5:$I$10,MATCH('LISTA - Setembro2024'!AJ$3,Auxiliar!$B$5:$B$10,0),MATCH('LISTA - Setembro2024'!$AC247,Auxiliar!$D$4:$I$4,0))</f>
        <v>0</v>
      </c>
      <c r="AK247" s="160">
        <f t="shared" si="56"/>
        <v>0</v>
      </c>
      <c r="AL247" s="87"/>
    </row>
    <row r="248" spans="1:38" ht="13.8" x14ac:dyDescent="0.25">
      <c r="A248" s="158" t="s">
        <v>610</v>
      </c>
      <c r="B248" s="81" t="str">
        <f t="shared" si="54"/>
        <v>INSTRUMENT_DT_ORGNL_MTRTY</v>
      </c>
      <c r="C248" s="82" t="s">
        <v>414</v>
      </c>
      <c r="D248" s="83" t="s">
        <v>611</v>
      </c>
      <c r="E248" s="84" t="s">
        <v>612</v>
      </c>
      <c r="F248" s="85" t="s">
        <v>13</v>
      </c>
      <c r="G248" s="85" t="s">
        <v>11</v>
      </c>
      <c r="H248" s="85" t="s">
        <v>11</v>
      </c>
      <c r="I248" s="85" t="s">
        <v>11</v>
      </c>
      <c r="J248" s="85" t="s">
        <v>11</v>
      </c>
      <c r="K248" s="85" t="s">
        <v>13</v>
      </c>
      <c r="L248" s="86" t="str">
        <f>IFERROR(VLOOKUP($B248,'LISTA - Atual'!$B$1:$I$444,5,0),"Novo")</f>
        <v>Y</v>
      </c>
      <c r="M248" s="86" t="str">
        <f t="shared" si="49"/>
        <v>Igual</v>
      </c>
      <c r="N248" s="86" t="str">
        <f>IFERROR(VLOOKUP($B248,'LISTA - Atual'!$B$1:$I$444,6,0),"Novo")</f>
        <v>N</v>
      </c>
      <c r="O248" s="86" t="str">
        <f t="shared" si="50"/>
        <v>Igual</v>
      </c>
      <c r="P248" s="86" t="str">
        <f>IFERROR(VLOOKUP($B248,'LISTA - Atual'!$B$1:$I$444,7,0),"Novo")</f>
        <v>N</v>
      </c>
      <c r="Q248" s="86" t="str">
        <f t="shared" si="51"/>
        <v>Igual</v>
      </c>
      <c r="R248" s="86" t="s">
        <v>1563</v>
      </c>
      <c r="S248" s="86" t="str">
        <f>IFERROR(VLOOKUP($B248,'LISTA - Atual'!$B$1:$I$444,8,0),"Novo")</f>
        <v>N</v>
      </c>
      <c r="T248" s="86" t="str">
        <f t="shared" si="52"/>
        <v>Igual</v>
      </c>
      <c r="U248" s="86" t="s">
        <v>1563</v>
      </c>
      <c r="V248" s="86" t="s">
        <v>11</v>
      </c>
      <c r="W248" s="87" t="str">
        <f>IFERROR(VLOOKUP(B248,#REF!,11,0),"n/a")</f>
        <v>n/a</v>
      </c>
      <c r="X248" s="87" t="str">
        <f>IFERROR(VLOOKUP(B248,#REF!,8,0),"n/a")</f>
        <v>n/a</v>
      </c>
      <c r="Y248" s="87" t="str">
        <f t="shared" si="62"/>
        <v>ESTR</v>
      </c>
      <c r="Z248" s="131" t="s">
        <v>1605</v>
      </c>
      <c r="AA248" s="227" t="e">
        <f>VLOOKUP(Table1[[#This Row],[CONCAT]],'Campos Resumo Prop2.0'!A:H,8,0)</f>
        <v>#N/A</v>
      </c>
      <c r="AB248" s="87" t="s">
        <v>1651</v>
      </c>
      <c r="AC248" s="135" t="s">
        <v>1625</v>
      </c>
      <c r="AD248" s="91">
        <f>INDEX(Auxiliar!$D$5:$I$10,MATCH('LISTA - Setembro2024'!AD$3,Auxiliar!$B$5:$B$10,0),MATCH('LISTA - Setembro2024'!$AC248,Auxiliar!$D$4:$I$4,0))</f>
        <v>0</v>
      </c>
      <c r="AE248" s="91">
        <f>INDEX(Auxiliar!$D$5:$I$10,MATCH('LISTA - Setembro2024'!AE$3,Auxiliar!$B$5:$B$10,0),MATCH('LISTA - Setembro2024'!$AC248,Auxiliar!$D$4:$I$4,0))</f>
        <v>0</v>
      </c>
      <c r="AF248" s="87">
        <f>INDEX(Auxiliar!$D$5:$I$10,MATCH('LISTA - Setembro2024'!AF$3,Auxiliar!$B$5:$B$10,0),MATCH('LISTA - Setembro2024'!$AC248,Auxiliar!$D$4:$I$4,0))</f>
        <v>0</v>
      </c>
      <c r="AG248" s="87" t="str">
        <f t="shared" si="53"/>
        <v>n.a.</v>
      </c>
      <c r="AH248" s="87">
        <f>INDEX(Auxiliar!$D$5:$I$10,MATCH('LISTA - Setembro2024'!AH$3,Auxiliar!$B$5:$B$10,0),MATCH('LISTA - Setembro2024'!$AG248,Auxiliar!$D$4:$I$4,0))</f>
        <v>0</v>
      </c>
      <c r="AI248" s="87">
        <f>INDEX(Auxiliar!$D$5:$I$10,MATCH('LISTA - Setembro2024'!AI$3,Auxiliar!$B$5:$B$10,0),MATCH('LISTA - Setembro2024'!$AC248,Auxiliar!$D$4:$I$4,0))</f>
        <v>0</v>
      </c>
      <c r="AJ248" s="87">
        <f>INDEX(Auxiliar!$D$5:$I$10,MATCH('LISTA - Setembro2024'!AJ$3,Auxiliar!$B$5:$B$10,0),MATCH('LISTA - Setembro2024'!$AC248,Auxiliar!$D$4:$I$4,0))</f>
        <v>0</v>
      </c>
      <c r="AK248" s="160">
        <f t="shared" si="56"/>
        <v>0</v>
      </c>
      <c r="AL248" s="87"/>
    </row>
    <row r="249" spans="1:38" ht="13.8" x14ac:dyDescent="0.25">
      <c r="A249" s="158" t="s">
        <v>613</v>
      </c>
      <c r="B249" s="81" t="str">
        <f t="shared" si="54"/>
        <v>INSTRUMENT_IFRS9_BHVRL_MTRTY</v>
      </c>
      <c r="C249" s="82" t="s">
        <v>414</v>
      </c>
      <c r="D249" s="83" t="s">
        <v>614</v>
      </c>
      <c r="E249" s="84" t="s">
        <v>615</v>
      </c>
      <c r="F249" s="85" t="s">
        <v>13</v>
      </c>
      <c r="G249" s="85" t="s">
        <v>11</v>
      </c>
      <c r="H249" s="89" t="s">
        <v>13</v>
      </c>
      <c r="I249" s="85" t="s">
        <v>11</v>
      </c>
      <c r="J249" s="85" t="s">
        <v>11</v>
      </c>
      <c r="K249" s="85" t="s">
        <v>13</v>
      </c>
      <c r="L249" s="86" t="str">
        <f>IFERROR(VLOOKUP($B249,'LISTA - Atual'!$B$1:$I$444,5,0),"Novo")</f>
        <v>Y</v>
      </c>
      <c r="M249" s="86" t="str">
        <f t="shared" si="49"/>
        <v>Igual</v>
      </c>
      <c r="N249" s="86" t="str">
        <f>IFERROR(VLOOKUP($B249,'LISTA - Atual'!$B$1:$I$444,6,0),"Novo")</f>
        <v>N</v>
      </c>
      <c r="O249" s="86" t="str">
        <f t="shared" si="50"/>
        <v>Igual</v>
      </c>
      <c r="P249" s="86" t="str">
        <f>IFERROR(VLOOKUP($B249,'LISTA - Atual'!$B$1:$I$444,7,0),"Novo")</f>
        <v>N</v>
      </c>
      <c r="Q249" s="86" t="str">
        <f t="shared" si="51"/>
        <v>Diferente</v>
      </c>
      <c r="R249" s="86" t="s">
        <v>1563</v>
      </c>
      <c r="S249" s="86" t="str">
        <f>IFERROR(VLOOKUP($B249,'LISTA - Atual'!$B$1:$I$444,8,0),"Novo")</f>
        <v>N</v>
      </c>
      <c r="T249" s="86" t="str">
        <f t="shared" si="52"/>
        <v>Igual</v>
      </c>
      <c r="U249" s="86" t="s">
        <v>1563</v>
      </c>
      <c r="V249" s="86" t="s">
        <v>11</v>
      </c>
      <c r="W249" s="87" t="str">
        <f>IFERROR(VLOOKUP(B249,#REF!,11,0),"n/a")</f>
        <v>n/a</v>
      </c>
      <c r="X249" s="87" t="str">
        <f>IFERROR(VLOOKUP(B249,#REF!,8,0),"n/a")</f>
        <v>n/a</v>
      </c>
      <c r="Y249" s="87" t="str">
        <f>$F$2&amp;$Y$1&amp;$H$2</f>
        <v>ESTR &amp; PILAR3</v>
      </c>
      <c r="Z249" s="213" t="s">
        <v>1570</v>
      </c>
      <c r="AA249" s="227" t="str">
        <f>VLOOKUP(Table1[[#This Row],[CONCAT]],'Campos Resumo Prop2.0'!A:H,8,0)</f>
        <v>Não será contemplado no âmbito da proposta - Campos do LT ESTR</v>
      </c>
      <c r="AB249" s="87" t="s">
        <v>1658</v>
      </c>
      <c r="AC249" s="135" t="s">
        <v>1674</v>
      </c>
      <c r="AD249" s="91">
        <f>INDEX(Auxiliar!$D$5:$I$10,MATCH('LISTA - Setembro2024'!AD$3,Auxiliar!$B$5:$B$10,0),MATCH('LISTA - Setembro2024'!$AC249,Auxiliar!$D$4:$I$4,0))</f>
        <v>1</v>
      </c>
      <c r="AE249" s="88">
        <v>0</v>
      </c>
      <c r="AF249" s="87">
        <f>INDEX(Auxiliar!$D$5:$I$10,MATCH('LISTA - Setembro2024'!AF$3,Auxiliar!$B$5:$B$10,0),MATCH('LISTA - Setembro2024'!$AC249,Auxiliar!$D$4:$I$4,0))</f>
        <v>1</v>
      </c>
      <c r="AG249" s="87" t="str">
        <f t="shared" si="53"/>
        <v>n.a.</v>
      </c>
      <c r="AH249" s="87">
        <f>INDEX(Auxiliar!$D$5:$I$10,MATCH('LISTA - Setembro2024'!AH$3,Auxiliar!$B$5:$B$10,0),MATCH('LISTA - Setembro2024'!$AG249,Auxiliar!$D$4:$I$4,0))</f>
        <v>0</v>
      </c>
      <c r="AI249" s="87">
        <f>INDEX(Auxiliar!$D$5:$I$10,MATCH('LISTA - Setembro2024'!AI$3,Auxiliar!$B$5:$B$10,0),MATCH('LISTA - Setembro2024'!$AC249,Auxiliar!$D$4:$I$4,0))</f>
        <v>0.5</v>
      </c>
      <c r="AJ249" s="87">
        <f>INDEX(Auxiliar!$D$5:$I$10,MATCH('LISTA - Setembro2024'!AJ$3,Auxiliar!$B$5:$B$10,0),MATCH('LISTA - Setembro2024'!$AC249,Auxiliar!$D$4:$I$4,0))</f>
        <v>1</v>
      </c>
      <c r="AK249" s="242">
        <v>0</v>
      </c>
      <c r="AL249" s="87" t="s">
        <v>1684</v>
      </c>
    </row>
    <row r="250" spans="1:38" ht="13.8" x14ac:dyDescent="0.25">
      <c r="A250" s="158" t="s">
        <v>616</v>
      </c>
      <c r="B250" s="81" t="str">
        <f t="shared" si="54"/>
        <v>INSTRUMENT_EAD</v>
      </c>
      <c r="C250" s="82" t="s">
        <v>414</v>
      </c>
      <c r="D250" s="83" t="s">
        <v>617</v>
      </c>
      <c r="E250" s="84" t="s">
        <v>618</v>
      </c>
      <c r="F250" s="85" t="s">
        <v>13</v>
      </c>
      <c r="G250" s="89" t="s">
        <v>13</v>
      </c>
      <c r="H250" s="85" t="s">
        <v>11</v>
      </c>
      <c r="I250" s="85" t="s">
        <v>11</v>
      </c>
      <c r="J250" s="85" t="s">
        <v>13</v>
      </c>
      <c r="K250" s="85" t="s">
        <v>13</v>
      </c>
      <c r="L250" s="86" t="str">
        <f>IFERROR(VLOOKUP($B250,'LISTA - Atual'!$B$1:$I$444,5,0),"Novo")</f>
        <v>Y</v>
      </c>
      <c r="M250" s="86" t="str">
        <f t="shared" si="49"/>
        <v>Igual</v>
      </c>
      <c r="N250" s="86" t="str">
        <f>IFERROR(VLOOKUP($B250,'LISTA - Atual'!$B$1:$I$444,6,0),"Novo")</f>
        <v>N</v>
      </c>
      <c r="O250" s="86" t="str">
        <f t="shared" si="50"/>
        <v>Diferente</v>
      </c>
      <c r="P250" s="86" t="str">
        <f>IFERROR(VLOOKUP($B250,'LISTA - Atual'!$B$1:$I$444,7,0),"Novo")</f>
        <v>N</v>
      </c>
      <c r="Q250" s="86" t="str">
        <f t="shared" si="51"/>
        <v>Igual</v>
      </c>
      <c r="R250" s="86" t="s">
        <v>1563</v>
      </c>
      <c r="S250" s="86" t="str">
        <f>IFERROR(VLOOKUP($B250,'LISTA - Atual'!$B$1:$I$444,8,0),"Novo")</f>
        <v>Y</v>
      </c>
      <c r="T250" s="86" t="str">
        <f t="shared" si="52"/>
        <v>Igual</v>
      </c>
      <c r="U250" s="86" t="s">
        <v>1563</v>
      </c>
      <c r="V250" s="86" t="s">
        <v>11</v>
      </c>
      <c r="W250" s="87" t="str">
        <f>IFERROR(VLOOKUP(B250,#REF!,11,0),"n/a")</f>
        <v>n/a</v>
      </c>
      <c r="X250" s="87" t="str">
        <f>IFERROR(VLOOKUP(B250,#REF!,8,0),"n/a")</f>
        <v>n/a</v>
      </c>
      <c r="Y250" s="87" t="str">
        <f>"ESG_RISKS &amp; "&amp;$F$2&amp;$Y$1&amp;$G$2</f>
        <v>ESG_RISKS &amp; ESTR &amp; GD</v>
      </c>
      <c r="Z250" s="213" t="s">
        <v>1570</v>
      </c>
      <c r="AA250" s="227" t="str">
        <f>VLOOKUP(Table1[[#This Row],[CONCAT]],'Campos Resumo Prop2.0'!A:H,8,0)</f>
        <v>Âmbito de proposta - Especificação</v>
      </c>
      <c r="AB250" s="87" t="s">
        <v>1655</v>
      </c>
      <c r="AC250" s="135" t="s">
        <v>1636</v>
      </c>
      <c r="AD250" s="135">
        <v>1</v>
      </c>
      <c r="AE250" s="242">
        <v>0</v>
      </c>
      <c r="AF250" s="87">
        <f>INDEX(Auxiliar!$D$5:$I$10,MATCH('LISTA - Setembro2024'!AF$3,Auxiliar!$B$5:$B$10,0),MATCH('LISTA - Setembro2024'!$AC250,Auxiliar!$D$4:$I$4,0))</f>
        <v>1.5</v>
      </c>
      <c r="AG250" s="87" t="str">
        <f t="shared" si="53"/>
        <v>n.a.</v>
      </c>
      <c r="AH250" s="87">
        <f>INDEX(Auxiliar!$D$5:$I$10,MATCH('LISTA - Setembro2024'!AH$3,Auxiliar!$B$5:$B$10,0),MATCH('LISTA - Setembro2024'!$AG250,Auxiliar!$D$4:$I$4,0))</f>
        <v>0</v>
      </c>
      <c r="AI250" s="87">
        <f>INDEX(Auxiliar!$D$5:$I$10,MATCH('LISTA - Setembro2024'!AI$3,Auxiliar!$B$5:$B$10,0),MATCH('LISTA - Setembro2024'!$AC250,Auxiliar!$D$4:$I$4,0))</f>
        <v>0.5</v>
      </c>
      <c r="AJ250" s="87">
        <f>INDEX(Auxiliar!$D$5:$I$10,MATCH('LISTA - Setembro2024'!AJ$3,Auxiliar!$B$5:$B$10,0),MATCH('LISTA - Setembro2024'!$AC250,Auxiliar!$D$4:$I$4,0))</f>
        <v>1</v>
      </c>
      <c r="AK250" s="242">
        <v>0</v>
      </c>
      <c r="AL250" s="87" t="s">
        <v>1667</v>
      </c>
    </row>
    <row r="251" spans="1:38" ht="13.8" x14ac:dyDescent="0.25">
      <c r="A251" s="158" t="s">
        <v>619</v>
      </c>
      <c r="B251" s="81" t="str">
        <f t="shared" si="54"/>
        <v>INSTRUMENT_IFRS9_CCF</v>
      </c>
      <c r="C251" s="82" t="s">
        <v>414</v>
      </c>
      <c r="D251" s="83" t="s">
        <v>620</v>
      </c>
      <c r="E251" s="84" t="s">
        <v>621</v>
      </c>
      <c r="F251" s="85" t="s">
        <v>13</v>
      </c>
      <c r="G251" s="85" t="s">
        <v>11</v>
      </c>
      <c r="H251" s="85" t="s">
        <v>11</v>
      </c>
      <c r="I251" s="85" t="s">
        <v>11</v>
      </c>
      <c r="J251" s="85" t="s">
        <v>11</v>
      </c>
      <c r="K251" s="85" t="s">
        <v>11</v>
      </c>
      <c r="L251" s="86" t="str">
        <f>IFERROR(VLOOKUP($B251,'LISTA - Atual'!$B$1:$I$444,5,0),"Novo")</f>
        <v>Y</v>
      </c>
      <c r="M251" s="86" t="str">
        <f t="shared" si="49"/>
        <v>Igual</v>
      </c>
      <c r="N251" s="86" t="str">
        <f>IFERROR(VLOOKUP($B251,'LISTA - Atual'!$B$1:$I$444,6,0),"Novo")</f>
        <v>N</v>
      </c>
      <c r="O251" s="86" t="str">
        <f t="shared" si="50"/>
        <v>Igual</v>
      </c>
      <c r="P251" s="86" t="str">
        <f>IFERROR(VLOOKUP($B251,'LISTA - Atual'!$B$1:$I$444,7,0),"Novo")</f>
        <v>N</v>
      </c>
      <c r="Q251" s="86" t="str">
        <f t="shared" si="51"/>
        <v>Igual</v>
      </c>
      <c r="R251" s="86" t="s">
        <v>1563</v>
      </c>
      <c r="S251" s="86" t="str">
        <f>IFERROR(VLOOKUP($B251,'LISTA - Atual'!$B$1:$I$444,8,0),"Novo")</f>
        <v>N</v>
      </c>
      <c r="T251" s="86" t="str">
        <f t="shared" si="52"/>
        <v>Igual</v>
      </c>
      <c r="U251" s="86" t="s">
        <v>1563</v>
      </c>
      <c r="V251" s="86" t="s">
        <v>11</v>
      </c>
      <c r="W251" s="87" t="str">
        <f>IFERROR(VLOOKUP(B251,#REF!,11,0),"n/a")</f>
        <v>n/a</v>
      </c>
      <c r="X251" s="87" t="str">
        <f>IFERROR(VLOOKUP(B251,#REF!,8,0),"n/a")</f>
        <v>n/a</v>
      </c>
      <c r="Y251" s="87" t="str">
        <f t="shared" ref="Y251:Y253" si="63">$F$2</f>
        <v>ESTR</v>
      </c>
      <c r="Z251" s="131" t="s">
        <v>1605</v>
      </c>
      <c r="AA251" s="227" t="e">
        <f>VLOOKUP(Table1[[#This Row],[CONCAT]],'Campos Resumo Prop2.0'!A:H,8,0)</f>
        <v>#N/A</v>
      </c>
      <c r="AB251" s="87" t="s">
        <v>1656</v>
      </c>
      <c r="AC251" s="135" t="s">
        <v>1625</v>
      </c>
      <c r="AD251" s="91">
        <f>INDEX(Auxiliar!$D$5:$I$10,MATCH('LISTA - Setembro2024'!AD$3,Auxiliar!$B$5:$B$10,0),MATCH('LISTA - Setembro2024'!$AC251,Auxiliar!$D$4:$I$4,0))</f>
        <v>0</v>
      </c>
      <c r="AE251" s="91">
        <f>INDEX(Auxiliar!$D$5:$I$10,MATCH('LISTA - Setembro2024'!AE$3,Auxiliar!$B$5:$B$10,0),MATCH('LISTA - Setembro2024'!$AC251,Auxiliar!$D$4:$I$4,0))</f>
        <v>0</v>
      </c>
      <c r="AF251" s="87">
        <f>INDEX(Auxiliar!$D$5:$I$10,MATCH('LISTA - Setembro2024'!AF$3,Auxiliar!$B$5:$B$10,0),MATCH('LISTA - Setembro2024'!$AC251,Auxiliar!$D$4:$I$4,0))</f>
        <v>0</v>
      </c>
      <c r="AG251" s="87" t="str">
        <f t="shared" si="53"/>
        <v>n.a.</v>
      </c>
      <c r="AH251" s="87">
        <f>INDEX(Auxiliar!$D$5:$I$10,MATCH('LISTA - Setembro2024'!AH$3,Auxiliar!$B$5:$B$10,0),MATCH('LISTA - Setembro2024'!$AG251,Auxiliar!$D$4:$I$4,0))</f>
        <v>0</v>
      </c>
      <c r="AI251" s="87">
        <f>INDEX(Auxiliar!$D$5:$I$10,MATCH('LISTA - Setembro2024'!AI$3,Auxiliar!$B$5:$B$10,0),MATCH('LISTA - Setembro2024'!$AC251,Auxiliar!$D$4:$I$4,0))</f>
        <v>0</v>
      </c>
      <c r="AJ251" s="87">
        <f>INDEX(Auxiliar!$D$5:$I$10,MATCH('LISTA - Setembro2024'!AJ$3,Auxiliar!$B$5:$B$10,0),MATCH('LISTA - Setembro2024'!$AC251,Auxiliar!$D$4:$I$4,0))</f>
        <v>0</v>
      </c>
      <c r="AK251" s="160">
        <f t="shared" si="56"/>
        <v>0</v>
      </c>
      <c r="AL251" s="87"/>
    </row>
    <row r="252" spans="1:38" ht="13.8" x14ac:dyDescent="0.25">
      <c r="A252" s="158" t="s">
        <v>622</v>
      </c>
      <c r="B252" s="81" t="str">
        <f t="shared" si="54"/>
        <v>INSTRUMENT_IFRS9_EAD</v>
      </c>
      <c r="C252" s="82" t="s">
        <v>414</v>
      </c>
      <c r="D252" s="83" t="s">
        <v>623</v>
      </c>
      <c r="E252" s="84" t="s">
        <v>624</v>
      </c>
      <c r="F252" s="85" t="s">
        <v>13</v>
      </c>
      <c r="G252" s="85" t="s">
        <v>11</v>
      </c>
      <c r="H252" s="85" t="s">
        <v>11</v>
      </c>
      <c r="I252" s="85" t="s">
        <v>11</v>
      </c>
      <c r="J252" s="85" t="s">
        <v>11</v>
      </c>
      <c r="K252" s="85" t="s">
        <v>11</v>
      </c>
      <c r="L252" s="86" t="str">
        <f>IFERROR(VLOOKUP($B252,'LISTA - Atual'!$B$1:$I$444,5,0),"Novo")</f>
        <v>Y</v>
      </c>
      <c r="M252" s="86" t="str">
        <f t="shared" si="49"/>
        <v>Igual</v>
      </c>
      <c r="N252" s="86" t="str">
        <f>IFERROR(VLOOKUP($B252,'LISTA - Atual'!$B$1:$I$444,6,0),"Novo")</f>
        <v>N</v>
      </c>
      <c r="O252" s="86" t="str">
        <f t="shared" si="50"/>
        <v>Igual</v>
      </c>
      <c r="P252" s="86" t="str">
        <f>IFERROR(VLOOKUP($B252,'LISTA - Atual'!$B$1:$I$444,7,0),"Novo")</f>
        <v>N</v>
      </c>
      <c r="Q252" s="86" t="str">
        <f t="shared" si="51"/>
        <v>Igual</v>
      </c>
      <c r="R252" s="86" t="s">
        <v>1563</v>
      </c>
      <c r="S252" s="86" t="str">
        <f>IFERROR(VLOOKUP($B252,'LISTA - Atual'!$B$1:$I$444,8,0),"Novo")</f>
        <v>N</v>
      </c>
      <c r="T252" s="86" t="str">
        <f t="shared" si="52"/>
        <v>Igual</v>
      </c>
      <c r="U252" s="86" t="s">
        <v>1563</v>
      </c>
      <c r="V252" s="86" t="s">
        <v>11</v>
      </c>
      <c r="W252" s="87" t="str">
        <f>IFERROR(VLOOKUP(B252,#REF!,11,0),"n/a")</f>
        <v>n/a</v>
      </c>
      <c r="X252" s="87" t="str">
        <f>IFERROR(VLOOKUP(B252,#REF!,8,0),"n/a")</f>
        <v>n/a</v>
      </c>
      <c r="Y252" s="87" t="str">
        <f t="shared" si="63"/>
        <v>ESTR</v>
      </c>
      <c r="Z252" s="131" t="s">
        <v>1605</v>
      </c>
      <c r="AA252" s="227" t="e">
        <f>VLOOKUP(Table1[[#This Row],[CONCAT]],'Campos Resumo Prop2.0'!A:H,8,0)</f>
        <v>#N/A</v>
      </c>
      <c r="AB252" s="87" t="s">
        <v>1655</v>
      </c>
      <c r="AC252" s="135" t="s">
        <v>1625</v>
      </c>
      <c r="AD252" s="91">
        <f>INDEX(Auxiliar!$D$5:$I$10,MATCH('LISTA - Setembro2024'!AD$3,Auxiliar!$B$5:$B$10,0),MATCH('LISTA - Setembro2024'!$AC252,Auxiliar!$D$4:$I$4,0))</f>
        <v>0</v>
      </c>
      <c r="AE252" s="91">
        <f>INDEX(Auxiliar!$D$5:$I$10,MATCH('LISTA - Setembro2024'!AE$3,Auxiliar!$B$5:$B$10,0),MATCH('LISTA - Setembro2024'!$AC252,Auxiliar!$D$4:$I$4,0))</f>
        <v>0</v>
      </c>
      <c r="AF252" s="87">
        <f>INDEX(Auxiliar!$D$5:$I$10,MATCH('LISTA - Setembro2024'!AF$3,Auxiliar!$B$5:$B$10,0),MATCH('LISTA - Setembro2024'!$AC252,Auxiliar!$D$4:$I$4,0))</f>
        <v>0</v>
      </c>
      <c r="AG252" s="87" t="str">
        <f t="shared" si="53"/>
        <v>n.a.</v>
      </c>
      <c r="AH252" s="87">
        <f>INDEX(Auxiliar!$D$5:$I$10,MATCH('LISTA - Setembro2024'!AH$3,Auxiliar!$B$5:$B$10,0),MATCH('LISTA - Setembro2024'!$AG252,Auxiliar!$D$4:$I$4,0))</f>
        <v>0</v>
      </c>
      <c r="AI252" s="87">
        <f>INDEX(Auxiliar!$D$5:$I$10,MATCH('LISTA - Setembro2024'!AI$3,Auxiliar!$B$5:$B$10,0),MATCH('LISTA - Setembro2024'!$AC252,Auxiliar!$D$4:$I$4,0))</f>
        <v>0</v>
      </c>
      <c r="AJ252" s="87">
        <f>INDEX(Auxiliar!$D$5:$I$10,MATCH('LISTA - Setembro2024'!AJ$3,Auxiliar!$B$5:$B$10,0),MATCH('LISTA - Setembro2024'!$AC252,Auxiliar!$D$4:$I$4,0))</f>
        <v>0</v>
      </c>
      <c r="AK252" s="160">
        <f t="shared" si="56"/>
        <v>0</v>
      </c>
      <c r="AL252" s="87"/>
    </row>
    <row r="253" spans="1:38" ht="13.8" x14ac:dyDescent="0.25">
      <c r="A253" s="158" t="s">
        <v>625</v>
      </c>
      <c r="B253" s="81" t="str">
        <f t="shared" si="54"/>
        <v>INSTRUMENT_INSTLMNT_PAY</v>
      </c>
      <c r="C253" s="82" t="s">
        <v>414</v>
      </c>
      <c r="D253" s="83" t="s">
        <v>626</v>
      </c>
      <c r="E253" s="84" t="s">
        <v>627</v>
      </c>
      <c r="F253" s="85" t="s">
        <v>13</v>
      </c>
      <c r="G253" s="85" t="s">
        <v>11</v>
      </c>
      <c r="H253" s="85" t="s">
        <v>11</v>
      </c>
      <c r="I253" s="85" t="s">
        <v>11</v>
      </c>
      <c r="J253" s="85" t="s">
        <v>11</v>
      </c>
      <c r="K253" s="85" t="s">
        <v>11</v>
      </c>
      <c r="L253" s="86" t="str">
        <f>IFERROR(VLOOKUP($B253,'LISTA - Atual'!$B$1:$I$444,5,0),"Novo")</f>
        <v>Y</v>
      </c>
      <c r="M253" s="86" t="str">
        <f t="shared" si="49"/>
        <v>Igual</v>
      </c>
      <c r="N253" s="86" t="str">
        <f>IFERROR(VLOOKUP($B253,'LISTA - Atual'!$B$1:$I$444,6,0),"Novo")</f>
        <v>N</v>
      </c>
      <c r="O253" s="86" t="str">
        <f t="shared" si="50"/>
        <v>Igual</v>
      </c>
      <c r="P253" s="86" t="str">
        <f>IFERROR(VLOOKUP($B253,'LISTA - Atual'!$B$1:$I$444,7,0),"Novo")</f>
        <v>N</v>
      </c>
      <c r="Q253" s="86" t="str">
        <f t="shared" si="51"/>
        <v>Igual</v>
      </c>
      <c r="R253" s="86" t="s">
        <v>1563</v>
      </c>
      <c r="S253" s="86" t="str">
        <f>IFERROR(VLOOKUP($B253,'LISTA - Atual'!$B$1:$I$444,8,0),"Novo")</f>
        <v>N</v>
      </c>
      <c r="T253" s="86" t="str">
        <f t="shared" si="52"/>
        <v>Igual</v>
      </c>
      <c r="U253" s="86" t="s">
        <v>1563</v>
      </c>
      <c r="V253" s="86" t="s">
        <v>11</v>
      </c>
      <c r="W253" s="87" t="str">
        <f>IFERROR(VLOOKUP(B253,#REF!,11,0),"n/a")</f>
        <v>n/a</v>
      </c>
      <c r="X253" s="87" t="str">
        <f>IFERROR(VLOOKUP(B253,#REF!,8,0),"n/a")</f>
        <v>n/a</v>
      </c>
      <c r="Y253" s="87" t="str">
        <f t="shared" si="63"/>
        <v>ESTR</v>
      </c>
      <c r="Z253" s="131" t="s">
        <v>1605</v>
      </c>
      <c r="AA253" s="227" t="e">
        <f>VLOOKUP(Table1[[#This Row],[CONCAT]],'Campos Resumo Prop2.0'!A:H,8,0)</f>
        <v>#N/A</v>
      </c>
      <c r="AB253" s="87" t="s">
        <v>1655</v>
      </c>
      <c r="AC253" s="135" t="s">
        <v>1625</v>
      </c>
      <c r="AD253" s="91">
        <f>INDEX(Auxiliar!$D$5:$I$10,MATCH('LISTA - Setembro2024'!AD$3,Auxiliar!$B$5:$B$10,0),MATCH('LISTA - Setembro2024'!$AC253,Auxiliar!$D$4:$I$4,0))</f>
        <v>0</v>
      </c>
      <c r="AE253" s="91">
        <f>INDEX(Auxiliar!$D$5:$I$10,MATCH('LISTA - Setembro2024'!AE$3,Auxiliar!$B$5:$B$10,0),MATCH('LISTA - Setembro2024'!$AC253,Auxiliar!$D$4:$I$4,0))</f>
        <v>0</v>
      </c>
      <c r="AF253" s="87">
        <f>INDEX(Auxiliar!$D$5:$I$10,MATCH('LISTA - Setembro2024'!AF$3,Auxiliar!$B$5:$B$10,0),MATCH('LISTA - Setembro2024'!$AC253,Auxiliar!$D$4:$I$4,0))</f>
        <v>0</v>
      </c>
      <c r="AG253" s="87" t="str">
        <f t="shared" si="53"/>
        <v>n.a.</v>
      </c>
      <c r="AH253" s="87">
        <f>INDEX(Auxiliar!$D$5:$I$10,MATCH('LISTA - Setembro2024'!AH$3,Auxiliar!$B$5:$B$10,0),MATCH('LISTA - Setembro2024'!$AG253,Auxiliar!$D$4:$I$4,0))</f>
        <v>0</v>
      </c>
      <c r="AI253" s="87">
        <f>INDEX(Auxiliar!$D$5:$I$10,MATCH('LISTA - Setembro2024'!AI$3,Auxiliar!$B$5:$B$10,0),MATCH('LISTA - Setembro2024'!$AC253,Auxiliar!$D$4:$I$4,0))</f>
        <v>0</v>
      </c>
      <c r="AJ253" s="87">
        <f>INDEX(Auxiliar!$D$5:$I$10,MATCH('LISTA - Setembro2024'!AJ$3,Auxiliar!$B$5:$B$10,0),MATCH('LISTA - Setembro2024'!$AC253,Auxiliar!$D$4:$I$4,0))</f>
        <v>0</v>
      </c>
      <c r="AK253" s="160">
        <f t="shared" si="56"/>
        <v>0</v>
      </c>
      <c r="AL253" s="87"/>
    </row>
    <row r="254" spans="1:38" ht="13.8" x14ac:dyDescent="0.25">
      <c r="A254" s="158" t="s">
        <v>628</v>
      </c>
      <c r="B254" s="81" t="str">
        <f t="shared" si="54"/>
        <v>INSTRUMENT_OFF_BLNC_SHT_AMNT_INSTRMNT</v>
      </c>
      <c r="C254" s="82" t="s">
        <v>414</v>
      </c>
      <c r="D254" s="83" t="s">
        <v>629</v>
      </c>
      <c r="E254" s="84" t="s">
        <v>630</v>
      </c>
      <c r="F254" s="85" t="s">
        <v>13</v>
      </c>
      <c r="G254" s="85" t="s">
        <v>13</v>
      </c>
      <c r="H254" s="85" t="s">
        <v>11</v>
      </c>
      <c r="I254" s="85" t="s">
        <v>11</v>
      </c>
      <c r="J254" s="85" t="s">
        <v>13</v>
      </c>
      <c r="K254" s="85" t="s">
        <v>13</v>
      </c>
      <c r="L254" s="86" t="str">
        <f>IFERROR(VLOOKUP($B254,'LISTA - Atual'!$B$1:$I$444,5,0),"Novo")</f>
        <v>Y</v>
      </c>
      <c r="M254" s="86" t="str">
        <f t="shared" si="49"/>
        <v>Igual</v>
      </c>
      <c r="N254" s="86" t="str">
        <f>IFERROR(VLOOKUP($B254,'LISTA - Atual'!$B$1:$I$444,6,0),"Novo")</f>
        <v>Y</v>
      </c>
      <c r="O254" s="86" t="str">
        <f t="shared" si="50"/>
        <v>Igual</v>
      </c>
      <c r="P254" s="86" t="str">
        <f>IFERROR(VLOOKUP($B254,'LISTA - Atual'!$B$1:$I$444,7,0),"Novo")</f>
        <v>N</v>
      </c>
      <c r="Q254" s="86" t="str">
        <f t="shared" si="51"/>
        <v>Igual</v>
      </c>
      <c r="R254" s="86" t="s">
        <v>1563</v>
      </c>
      <c r="S254" s="86" t="str">
        <f>IFERROR(VLOOKUP($B254,'LISTA - Atual'!$B$1:$I$444,8,0),"Novo")</f>
        <v>Y</v>
      </c>
      <c r="T254" s="86" t="str">
        <f t="shared" si="52"/>
        <v>Igual</v>
      </c>
      <c r="U254" s="86" t="s">
        <v>1563</v>
      </c>
      <c r="V254" s="86" t="s">
        <v>11</v>
      </c>
      <c r="W254" s="87" t="str">
        <f>IFERROR(VLOOKUP(B254,#REF!,11,0),"n/a")</f>
        <v>n/a</v>
      </c>
      <c r="X254" s="87" t="str">
        <f>IFERROR(VLOOKUP(B254,#REF!,8,0),"n/a")</f>
        <v>n/a</v>
      </c>
      <c r="Y254" s="87" t="str">
        <f>"ESG_RISKS &amp; "&amp;$F$2&amp;$Y$1&amp;$G$2</f>
        <v>ESG_RISKS &amp; ESTR &amp; GD</v>
      </c>
      <c r="Z254" s="213" t="s">
        <v>1570</v>
      </c>
      <c r="AA254" s="227" t="str">
        <f>VLOOKUP(Table1[[#This Row],[CONCAT]],'Campos Resumo Prop2.0'!A:H,8,0)</f>
        <v>Âmbito de proposta - Especificação</v>
      </c>
      <c r="AB254" s="87" t="s">
        <v>1655</v>
      </c>
      <c r="AC254" s="135" t="s">
        <v>1636</v>
      </c>
      <c r="AD254" s="91">
        <f>INDEX(Auxiliar!$D$5:$I$10,MATCH('LISTA - Setembro2024'!AD$3,Auxiliar!$B$5:$B$10,0),MATCH('LISTA - Setembro2024'!$AC254,Auxiliar!$D$4:$I$4,0))</f>
        <v>2</v>
      </c>
      <c r="AE254" s="242">
        <v>0</v>
      </c>
      <c r="AF254" s="87">
        <f>INDEX(Auxiliar!$D$5:$I$10,MATCH('LISTA - Setembro2024'!AF$3,Auxiliar!$B$5:$B$10,0),MATCH('LISTA - Setembro2024'!$AC254,Auxiliar!$D$4:$I$4,0))</f>
        <v>1.5</v>
      </c>
      <c r="AG254" s="87" t="str">
        <f t="shared" si="53"/>
        <v>n.a.</v>
      </c>
      <c r="AH254" s="87">
        <f>INDEX(Auxiliar!$D$5:$I$10,MATCH('LISTA - Setembro2024'!AH$3,Auxiliar!$B$5:$B$10,0),MATCH('LISTA - Setembro2024'!$AG254,Auxiliar!$D$4:$I$4,0))</f>
        <v>0</v>
      </c>
      <c r="AI254" s="87">
        <f>INDEX(Auxiliar!$D$5:$I$10,MATCH('LISTA - Setembro2024'!AI$3,Auxiliar!$B$5:$B$10,0),MATCH('LISTA - Setembro2024'!$AC254,Auxiliar!$D$4:$I$4,0))</f>
        <v>0.5</v>
      </c>
      <c r="AJ254" s="87">
        <f>INDEX(Auxiliar!$D$5:$I$10,MATCH('LISTA - Setembro2024'!AJ$3,Auxiliar!$B$5:$B$10,0),MATCH('LISTA - Setembro2024'!$AC254,Auxiliar!$D$4:$I$4,0))</f>
        <v>1</v>
      </c>
      <c r="AK254" s="242">
        <v>0</v>
      </c>
      <c r="AL254" s="87"/>
    </row>
    <row r="255" spans="1:38" ht="13.8" x14ac:dyDescent="0.25">
      <c r="A255" s="158" t="s">
        <v>631</v>
      </c>
      <c r="B255" s="81" t="str">
        <f t="shared" si="54"/>
        <v>INSTRUMENT_OFF_BLNC_SHT_AMNT_INSTRMNT_PRVS</v>
      </c>
      <c r="C255" s="82" t="s">
        <v>414</v>
      </c>
      <c r="D255" s="83" t="s">
        <v>632</v>
      </c>
      <c r="E255" s="84" t="s">
        <v>633</v>
      </c>
      <c r="F255" s="85" t="s">
        <v>13</v>
      </c>
      <c r="G255" s="85" t="s">
        <v>11</v>
      </c>
      <c r="H255" s="85" t="s">
        <v>11</v>
      </c>
      <c r="I255" s="85" t="s">
        <v>11</v>
      </c>
      <c r="J255" s="85" t="s">
        <v>11</v>
      </c>
      <c r="K255" s="85" t="s">
        <v>11</v>
      </c>
      <c r="L255" s="86" t="str">
        <f>IFERROR(VLOOKUP($B255,'LISTA - Atual'!$B$1:$I$444,5,0),"Novo")</f>
        <v>Y</v>
      </c>
      <c r="M255" s="86" t="str">
        <f t="shared" si="49"/>
        <v>Igual</v>
      </c>
      <c r="N255" s="86" t="str">
        <f>IFERROR(VLOOKUP($B255,'LISTA - Atual'!$B$1:$I$444,6,0),"Novo")</f>
        <v>N</v>
      </c>
      <c r="O255" s="86" t="str">
        <f t="shared" si="50"/>
        <v>Igual</v>
      </c>
      <c r="P255" s="86" t="str">
        <f>IFERROR(VLOOKUP($B255,'LISTA - Atual'!$B$1:$I$444,7,0),"Novo")</f>
        <v>N</v>
      </c>
      <c r="Q255" s="86" t="str">
        <f t="shared" si="51"/>
        <v>Igual</v>
      </c>
      <c r="R255" s="86" t="s">
        <v>1563</v>
      </c>
      <c r="S255" s="86" t="str">
        <f>IFERROR(VLOOKUP($B255,'LISTA - Atual'!$B$1:$I$444,8,0),"Novo")</f>
        <v>N</v>
      </c>
      <c r="T255" s="86" t="str">
        <f t="shared" si="52"/>
        <v>Igual</v>
      </c>
      <c r="U255" s="86" t="s">
        <v>1563</v>
      </c>
      <c r="V255" s="86" t="s">
        <v>11</v>
      </c>
      <c r="W255" s="87" t="str">
        <f>IFERROR(VLOOKUP(B255,#REF!,11,0),"n/a")</f>
        <v>n/a</v>
      </c>
      <c r="X255" s="87" t="str">
        <f>IFERROR(VLOOKUP(B255,#REF!,8,0),"n/a")</f>
        <v>n/a</v>
      </c>
      <c r="Y255" s="87" t="str">
        <f t="shared" ref="Y255:Y257" si="64">$F$2</f>
        <v>ESTR</v>
      </c>
      <c r="Z255" s="131" t="s">
        <v>1605</v>
      </c>
      <c r="AA255" s="227" t="e">
        <f>VLOOKUP(Table1[[#This Row],[CONCAT]],'Campos Resumo Prop2.0'!A:H,8,0)</f>
        <v>#N/A</v>
      </c>
      <c r="AB255" s="87" t="s">
        <v>1655</v>
      </c>
      <c r="AC255" s="135" t="s">
        <v>1625</v>
      </c>
      <c r="AD255" s="91">
        <f>INDEX(Auxiliar!$D$5:$I$10,MATCH('LISTA - Setembro2024'!AD$3,Auxiliar!$B$5:$B$10,0),MATCH('LISTA - Setembro2024'!$AC255,Auxiliar!$D$4:$I$4,0))</f>
        <v>0</v>
      </c>
      <c r="AE255" s="91">
        <f>INDEX(Auxiliar!$D$5:$I$10,MATCH('LISTA - Setembro2024'!AE$3,Auxiliar!$B$5:$B$10,0),MATCH('LISTA - Setembro2024'!$AC255,Auxiliar!$D$4:$I$4,0))</f>
        <v>0</v>
      </c>
      <c r="AF255" s="87">
        <f>INDEX(Auxiliar!$D$5:$I$10,MATCH('LISTA - Setembro2024'!AF$3,Auxiliar!$B$5:$B$10,0),MATCH('LISTA - Setembro2024'!$AC255,Auxiliar!$D$4:$I$4,0))</f>
        <v>0</v>
      </c>
      <c r="AG255" s="87" t="str">
        <f t="shared" si="53"/>
        <v>n.a.</v>
      </c>
      <c r="AH255" s="87">
        <f>INDEX(Auxiliar!$D$5:$I$10,MATCH('LISTA - Setembro2024'!AH$3,Auxiliar!$B$5:$B$10,0),MATCH('LISTA - Setembro2024'!$AG255,Auxiliar!$D$4:$I$4,0))</f>
        <v>0</v>
      </c>
      <c r="AI255" s="87">
        <f>INDEX(Auxiliar!$D$5:$I$10,MATCH('LISTA - Setembro2024'!AI$3,Auxiliar!$B$5:$B$10,0),MATCH('LISTA - Setembro2024'!$AC255,Auxiliar!$D$4:$I$4,0))</f>
        <v>0</v>
      </c>
      <c r="AJ255" s="87">
        <f>INDEX(Auxiliar!$D$5:$I$10,MATCH('LISTA - Setembro2024'!AJ$3,Auxiliar!$B$5:$B$10,0),MATCH('LISTA - Setembro2024'!$AC255,Auxiliar!$D$4:$I$4,0))</f>
        <v>0</v>
      </c>
      <c r="AK255" s="160">
        <f t="shared" si="56"/>
        <v>0</v>
      </c>
      <c r="AL255" s="87"/>
    </row>
    <row r="256" spans="1:38" ht="13.8" x14ac:dyDescent="0.25">
      <c r="A256" s="158" t="s">
        <v>634</v>
      </c>
      <c r="B256" s="81" t="str">
        <f t="shared" si="54"/>
        <v>INSTRUMENT_OTSTNDNG_NMNL_AMNT_INSTRMNT</v>
      </c>
      <c r="C256" s="82" t="s">
        <v>414</v>
      </c>
      <c r="D256" s="83" t="s">
        <v>635</v>
      </c>
      <c r="E256" s="84" t="s">
        <v>636</v>
      </c>
      <c r="F256" s="85" t="s">
        <v>13</v>
      </c>
      <c r="G256" s="85" t="s">
        <v>11</v>
      </c>
      <c r="H256" s="85" t="s">
        <v>11</v>
      </c>
      <c r="I256" s="85" t="s">
        <v>11</v>
      </c>
      <c r="J256" s="85" t="s">
        <v>11</v>
      </c>
      <c r="K256" s="85" t="s">
        <v>13</v>
      </c>
      <c r="L256" s="86" t="str">
        <f>IFERROR(VLOOKUP($B256,'LISTA - Atual'!$B$1:$I$444,5,0),"Novo")</f>
        <v>Y</v>
      </c>
      <c r="M256" s="86" t="str">
        <f t="shared" ref="M256:M319" si="65">IF(L256="Novo","Novo Campo",IF(L256=F256,"Igual","Diferente"))</f>
        <v>Igual</v>
      </c>
      <c r="N256" s="86" t="str">
        <f>IFERROR(VLOOKUP($B256,'LISTA - Atual'!$B$1:$I$444,6,0),"Novo")</f>
        <v>N</v>
      </c>
      <c r="O256" s="86" t="str">
        <f t="shared" ref="O256:O319" si="66">IF(N256="Novo","Novo Campo",IF(N256=G256,"Igual","Diferente"))</f>
        <v>Igual</v>
      </c>
      <c r="P256" s="86" t="str">
        <f>IFERROR(VLOOKUP($B256,'LISTA - Atual'!$B$1:$I$444,7,0),"Novo")</f>
        <v>N</v>
      </c>
      <c r="Q256" s="86" t="str">
        <f t="shared" ref="Q256:Q319" si="67">IF(P256="Novo","Novo Campo",IF(P256=H256,"Igual","Diferente"))</f>
        <v>Igual</v>
      </c>
      <c r="R256" s="86" t="s">
        <v>1563</v>
      </c>
      <c r="S256" s="86" t="str">
        <f>IFERROR(VLOOKUP($B256,'LISTA - Atual'!$B$1:$I$444,8,0),"Novo")</f>
        <v>N</v>
      </c>
      <c r="T256" s="86" t="str">
        <f t="shared" ref="T256:T319" si="68">IF(S256="Novo","Novo Campo",IF(S256=J256,"Igual","Diferente"))</f>
        <v>Igual</v>
      </c>
      <c r="U256" s="86" t="s">
        <v>1563</v>
      </c>
      <c r="V256" s="86" t="s">
        <v>11</v>
      </c>
      <c r="W256" s="87" t="str">
        <f>IFERROR(VLOOKUP(B256,#REF!,11,0),"n/a")</f>
        <v>n/a</v>
      </c>
      <c r="X256" s="87" t="str">
        <f>IFERROR(VLOOKUP(B256,#REF!,8,0),"n/a")</f>
        <v>n/a</v>
      </c>
      <c r="Y256" s="87" t="str">
        <f t="shared" si="64"/>
        <v>ESTR</v>
      </c>
      <c r="Z256" s="131" t="s">
        <v>1605</v>
      </c>
      <c r="AA256" s="227" t="e">
        <f>VLOOKUP(Table1[[#This Row],[CONCAT]],'Campos Resumo Prop2.0'!A:H,8,0)</f>
        <v>#N/A</v>
      </c>
      <c r="AB256" s="87" t="s">
        <v>1655</v>
      </c>
      <c r="AC256" s="135" t="s">
        <v>1625</v>
      </c>
      <c r="AD256" s="91">
        <f>INDEX(Auxiliar!$D$5:$I$10,MATCH('LISTA - Setembro2024'!AD$3,Auxiliar!$B$5:$B$10,0),MATCH('LISTA - Setembro2024'!$AC256,Auxiliar!$D$4:$I$4,0))</f>
        <v>0</v>
      </c>
      <c r="AE256" s="91">
        <f>INDEX(Auxiliar!$D$5:$I$10,MATCH('LISTA - Setembro2024'!AE$3,Auxiliar!$B$5:$B$10,0),MATCH('LISTA - Setembro2024'!$AC256,Auxiliar!$D$4:$I$4,0))</f>
        <v>0</v>
      </c>
      <c r="AF256" s="87">
        <f>INDEX(Auxiliar!$D$5:$I$10,MATCH('LISTA - Setembro2024'!AF$3,Auxiliar!$B$5:$B$10,0),MATCH('LISTA - Setembro2024'!$AC256,Auxiliar!$D$4:$I$4,0))</f>
        <v>0</v>
      </c>
      <c r="AG256" s="87" t="str">
        <f t="shared" si="53"/>
        <v>n.a.</v>
      </c>
      <c r="AH256" s="87">
        <f>INDEX(Auxiliar!$D$5:$I$10,MATCH('LISTA - Setembro2024'!AH$3,Auxiliar!$B$5:$B$10,0),MATCH('LISTA - Setembro2024'!$AG256,Auxiliar!$D$4:$I$4,0))</f>
        <v>0</v>
      </c>
      <c r="AI256" s="87">
        <f>INDEX(Auxiliar!$D$5:$I$10,MATCH('LISTA - Setembro2024'!AI$3,Auxiliar!$B$5:$B$10,0),MATCH('LISTA - Setembro2024'!$AC256,Auxiliar!$D$4:$I$4,0))</f>
        <v>0</v>
      </c>
      <c r="AJ256" s="87">
        <f>INDEX(Auxiliar!$D$5:$I$10,MATCH('LISTA - Setembro2024'!AJ$3,Auxiliar!$B$5:$B$10,0),MATCH('LISTA - Setembro2024'!$AC256,Auxiliar!$D$4:$I$4,0))</f>
        <v>0</v>
      </c>
      <c r="AK256" s="160">
        <f t="shared" si="56"/>
        <v>0</v>
      </c>
      <c r="AL256" s="87"/>
    </row>
    <row r="257" spans="1:38" ht="13.8" x14ac:dyDescent="0.25">
      <c r="A257" s="158" t="s">
        <v>637</v>
      </c>
      <c r="B257" s="81" t="str">
        <f t="shared" si="54"/>
        <v>INSTRUMENT_OTSTNDNG_NMNL_AMNT_INSTRMNT_PRVS</v>
      </c>
      <c r="C257" s="82" t="s">
        <v>414</v>
      </c>
      <c r="D257" s="83" t="s">
        <v>638</v>
      </c>
      <c r="E257" s="84" t="s">
        <v>639</v>
      </c>
      <c r="F257" s="85" t="s">
        <v>13</v>
      </c>
      <c r="G257" s="85" t="s">
        <v>11</v>
      </c>
      <c r="H257" s="85" t="s">
        <v>11</v>
      </c>
      <c r="I257" s="85" t="s">
        <v>11</v>
      </c>
      <c r="J257" s="85" t="s">
        <v>11</v>
      </c>
      <c r="K257" s="85" t="s">
        <v>11</v>
      </c>
      <c r="L257" s="86" t="str">
        <f>IFERROR(VLOOKUP($B257,'LISTA - Atual'!$B$1:$I$444,5,0),"Novo")</f>
        <v>Y</v>
      </c>
      <c r="M257" s="86" t="str">
        <f t="shared" si="65"/>
        <v>Igual</v>
      </c>
      <c r="N257" s="86" t="str">
        <f>IFERROR(VLOOKUP($B257,'LISTA - Atual'!$B$1:$I$444,6,0),"Novo")</f>
        <v>N</v>
      </c>
      <c r="O257" s="86" t="str">
        <f t="shared" si="66"/>
        <v>Igual</v>
      </c>
      <c r="P257" s="86" t="str">
        <f>IFERROR(VLOOKUP($B257,'LISTA - Atual'!$B$1:$I$444,7,0),"Novo")</f>
        <v>N</v>
      </c>
      <c r="Q257" s="86" t="str">
        <f t="shared" si="67"/>
        <v>Igual</v>
      </c>
      <c r="R257" s="86" t="s">
        <v>1563</v>
      </c>
      <c r="S257" s="86" t="str">
        <f>IFERROR(VLOOKUP($B257,'LISTA - Atual'!$B$1:$I$444,8,0),"Novo")</f>
        <v>N</v>
      </c>
      <c r="T257" s="86" t="str">
        <f t="shared" si="68"/>
        <v>Igual</v>
      </c>
      <c r="U257" s="86" t="s">
        <v>1563</v>
      </c>
      <c r="V257" s="86" t="s">
        <v>11</v>
      </c>
      <c r="W257" s="87" t="str">
        <f>IFERROR(VLOOKUP(B257,#REF!,11,0),"n/a")</f>
        <v>n/a</v>
      </c>
      <c r="X257" s="87" t="str">
        <f>IFERROR(VLOOKUP(B257,#REF!,8,0),"n/a")</f>
        <v>n/a</v>
      </c>
      <c r="Y257" s="87" t="str">
        <f t="shared" si="64"/>
        <v>ESTR</v>
      </c>
      <c r="Z257" s="131" t="s">
        <v>1605</v>
      </c>
      <c r="AA257" s="227" t="e">
        <f>VLOOKUP(Table1[[#This Row],[CONCAT]],'Campos Resumo Prop2.0'!A:H,8,0)</f>
        <v>#N/A</v>
      </c>
      <c r="AB257" s="87" t="s">
        <v>1655</v>
      </c>
      <c r="AC257" s="135" t="s">
        <v>1625</v>
      </c>
      <c r="AD257" s="91">
        <f>INDEX(Auxiliar!$D$5:$I$10,MATCH('LISTA - Setembro2024'!AD$3,Auxiliar!$B$5:$B$10,0),MATCH('LISTA - Setembro2024'!$AC257,Auxiliar!$D$4:$I$4,0))</f>
        <v>0</v>
      </c>
      <c r="AE257" s="91">
        <f>INDEX(Auxiliar!$D$5:$I$10,MATCH('LISTA - Setembro2024'!AE$3,Auxiliar!$B$5:$B$10,0),MATCH('LISTA - Setembro2024'!$AC257,Auxiliar!$D$4:$I$4,0))</f>
        <v>0</v>
      </c>
      <c r="AF257" s="87">
        <f>INDEX(Auxiliar!$D$5:$I$10,MATCH('LISTA - Setembro2024'!AF$3,Auxiliar!$B$5:$B$10,0),MATCH('LISTA - Setembro2024'!$AC257,Auxiliar!$D$4:$I$4,0))</f>
        <v>0</v>
      </c>
      <c r="AG257" s="87" t="str">
        <f t="shared" si="53"/>
        <v>n.a.</v>
      </c>
      <c r="AH257" s="87">
        <f>INDEX(Auxiliar!$D$5:$I$10,MATCH('LISTA - Setembro2024'!AH$3,Auxiliar!$B$5:$B$10,0),MATCH('LISTA - Setembro2024'!$AG257,Auxiliar!$D$4:$I$4,0))</f>
        <v>0</v>
      </c>
      <c r="AI257" s="87">
        <f>INDEX(Auxiliar!$D$5:$I$10,MATCH('LISTA - Setembro2024'!AI$3,Auxiliar!$B$5:$B$10,0),MATCH('LISTA - Setembro2024'!$AC257,Auxiliar!$D$4:$I$4,0))</f>
        <v>0</v>
      </c>
      <c r="AJ257" s="87">
        <f>INDEX(Auxiliar!$D$5:$I$10,MATCH('LISTA - Setembro2024'!AJ$3,Auxiliar!$B$5:$B$10,0),MATCH('LISTA - Setembro2024'!$AC257,Auxiliar!$D$4:$I$4,0))</f>
        <v>0</v>
      </c>
      <c r="AK257" s="160">
        <f t="shared" si="56"/>
        <v>0</v>
      </c>
      <c r="AL257" s="87"/>
    </row>
    <row r="258" spans="1:38" ht="13.8" x14ac:dyDescent="0.25">
      <c r="A258" s="158" t="s">
        <v>640</v>
      </c>
      <c r="B258" s="81" t="str">
        <f t="shared" si="54"/>
        <v>INSTRUMENT_PRVSNS_OFF_BLNC_SHT</v>
      </c>
      <c r="C258" s="82" t="s">
        <v>414</v>
      </c>
      <c r="D258" s="83" t="s">
        <v>641</v>
      </c>
      <c r="E258" s="84" t="s">
        <v>642</v>
      </c>
      <c r="F258" s="85" t="s">
        <v>13</v>
      </c>
      <c r="G258" s="85" t="s">
        <v>13</v>
      </c>
      <c r="H258" s="85" t="s">
        <v>11</v>
      </c>
      <c r="I258" s="85" t="s">
        <v>11</v>
      </c>
      <c r="J258" s="85" t="s">
        <v>11</v>
      </c>
      <c r="K258" s="85" t="s">
        <v>11</v>
      </c>
      <c r="L258" s="86" t="str">
        <f>IFERROR(VLOOKUP($B258,'LISTA - Atual'!$B$1:$I$444,5,0),"Novo")</f>
        <v>Y</v>
      </c>
      <c r="M258" s="86" t="str">
        <f t="shared" si="65"/>
        <v>Igual</v>
      </c>
      <c r="N258" s="86" t="str">
        <f>IFERROR(VLOOKUP($B258,'LISTA - Atual'!$B$1:$I$444,6,0),"Novo")</f>
        <v>Y</v>
      </c>
      <c r="O258" s="86" t="str">
        <f t="shared" si="66"/>
        <v>Igual</v>
      </c>
      <c r="P258" s="86" t="str">
        <f>IFERROR(VLOOKUP($B258,'LISTA - Atual'!$B$1:$I$444,7,0),"Novo")</f>
        <v>N</v>
      </c>
      <c r="Q258" s="86" t="str">
        <f t="shared" si="67"/>
        <v>Igual</v>
      </c>
      <c r="R258" s="86" t="s">
        <v>1563</v>
      </c>
      <c r="S258" s="86" t="str">
        <f>IFERROR(VLOOKUP($B258,'LISTA - Atual'!$B$1:$I$444,8,0),"Novo")</f>
        <v>N</v>
      </c>
      <c r="T258" s="86" t="str">
        <f t="shared" si="68"/>
        <v>Igual</v>
      </c>
      <c r="U258" s="86" t="s">
        <v>1563</v>
      </c>
      <c r="V258" s="86" t="s">
        <v>11</v>
      </c>
      <c r="W258" s="87" t="str">
        <f>IFERROR(VLOOKUP(B258,#REF!,11,0),"n/a")</f>
        <v>n/a</v>
      </c>
      <c r="X258" s="87" t="str">
        <f>IFERROR(VLOOKUP(B258,#REF!,8,0),"n/a")</f>
        <v>n/a</v>
      </c>
      <c r="Y258" s="87" t="str">
        <f>$F$2&amp;$Y$1&amp;$G$2</f>
        <v>ESTR &amp; GD</v>
      </c>
      <c r="Z258" s="131" t="s">
        <v>1605</v>
      </c>
      <c r="AA258" s="227" t="e">
        <f>VLOOKUP(Table1[[#This Row],[CONCAT]],'Campos Resumo Prop2.0'!A:H,8,0)</f>
        <v>#N/A</v>
      </c>
      <c r="AB258" s="87" t="s">
        <v>1655</v>
      </c>
      <c r="AC258" s="135" t="s">
        <v>1625</v>
      </c>
      <c r="AD258" s="91">
        <f>INDEX(Auxiliar!$D$5:$I$10,MATCH('LISTA - Setembro2024'!AD$3,Auxiliar!$B$5:$B$10,0),MATCH('LISTA - Setembro2024'!$AC258,Auxiliar!$D$4:$I$4,0))</f>
        <v>0</v>
      </c>
      <c r="AE258" s="91">
        <f>INDEX(Auxiliar!$D$5:$I$10,MATCH('LISTA - Setembro2024'!AE$3,Auxiliar!$B$5:$B$10,0),MATCH('LISTA - Setembro2024'!$AC258,Auxiliar!$D$4:$I$4,0))</f>
        <v>0</v>
      </c>
      <c r="AF258" s="87">
        <f>INDEX(Auxiliar!$D$5:$I$10,MATCH('LISTA - Setembro2024'!AF$3,Auxiliar!$B$5:$B$10,0),MATCH('LISTA - Setembro2024'!$AC258,Auxiliar!$D$4:$I$4,0))</f>
        <v>0</v>
      </c>
      <c r="AG258" s="87" t="str">
        <f t="shared" si="53"/>
        <v>n.a.</v>
      </c>
      <c r="AH258" s="87">
        <f>INDEX(Auxiliar!$D$5:$I$10,MATCH('LISTA - Setembro2024'!AH$3,Auxiliar!$B$5:$B$10,0),MATCH('LISTA - Setembro2024'!$AG258,Auxiliar!$D$4:$I$4,0))</f>
        <v>0</v>
      </c>
      <c r="AI258" s="87">
        <f>INDEX(Auxiliar!$D$5:$I$10,MATCH('LISTA - Setembro2024'!AI$3,Auxiliar!$B$5:$B$10,0),MATCH('LISTA - Setembro2024'!$AC258,Auxiliar!$D$4:$I$4,0))</f>
        <v>0</v>
      </c>
      <c r="AJ258" s="87">
        <f>INDEX(Auxiliar!$D$5:$I$10,MATCH('LISTA - Setembro2024'!AJ$3,Auxiliar!$B$5:$B$10,0),MATCH('LISTA - Setembro2024'!$AC258,Auxiliar!$D$4:$I$4,0))</f>
        <v>0</v>
      </c>
      <c r="AK258" s="160">
        <f t="shared" si="56"/>
        <v>0</v>
      </c>
      <c r="AL258" s="87"/>
    </row>
    <row r="259" spans="1:38" ht="13.8" x14ac:dyDescent="0.25">
      <c r="A259" s="158" t="s">
        <v>643</v>
      </c>
      <c r="B259" s="81" t="str">
        <f t="shared" si="54"/>
        <v>INSTRUMENT_PYMNT_FRQNCY</v>
      </c>
      <c r="C259" s="82" t="s">
        <v>414</v>
      </c>
      <c r="D259" s="83" t="s">
        <v>644</v>
      </c>
      <c r="E259" s="84" t="s">
        <v>645</v>
      </c>
      <c r="F259" s="85" t="s">
        <v>13</v>
      </c>
      <c r="G259" s="85" t="s">
        <v>11</v>
      </c>
      <c r="H259" s="85" t="s">
        <v>11</v>
      </c>
      <c r="I259" s="85" t="s">
        <v>11</v>
      </c>
      <c r="J259" s="85" t="s">
        <v>11</v>
      </c>
      <c r="K259" s="85" t="s">
        <v>11</v>
      </c>
      <c r="L259" s="86" t="str">
        <f>IFERROR(VLOOKUP($B259,'LISTA - Atual'!$B$1:$I$444,5,0),"Novo")</f>
        <v>Y</v>
      </c>
      <c r="M259" s="86" t="str">
        <f t="shared" si="65"/>
        <v>Igual</v>
      </c>
      <c r="N259" s="86" t="str">
        <f>IFERROR(VLOOKUP($B259,'LISTA - Atual'!$B$1:$I$444,6,0),"Novo")</f>
        <v>N</v>
      </c>
      <c r="O259" s="86" t="str">
        <f t="shared" si="66"/>
        <v>Igual</v>
      </c>
      <c r="P259" s="86" t="str">
        <f>IFERROR(VLOOKUP($B259,'LISTA - Atual'!$B$1:$I$444,7,0),"Novo")</f>
        <v>N</v>
      </c>
      <c r="Q259" s="86" t="str">
        <f t="shared" si="67"/>
        <v>Igual</v>
      </c>
      <c r="R259" s="86" t="s">
        <v>1563</v>
      </c>
      <c r="S259" s="86" t="str">
        <f>IFERROR(VLOOKUP($B259,'LISTA - Atual'!$B$1:$I$444,8,0),"Novo")</f>
        <v>N</v>
      </c>
      <c r="T259" s="86" t="str">
        <f t="shared" si="68"/>
        <v>Igual</v>
      </c>
      <c r="U259" s="86" t="s">
        <v>1563</v>
      </c>
      <c r="V259" s="86" t="s">
        <v>11</v>
      </c>
      <c r="W259" s="87" t="str">
        <f>IFERROR(VLOOKUP(B259,#REF!,11,0),"n/a")</f>
        <v>n/a</v>
      </c>
      <c r="X259" s="87" t="str">
        <f>IFERROR(VLOOKUP(B259,#REF!,8,0),"n/a")</f>
        <v>n/a</v>
      </c>
      <c r="Y259" s="87" t="str">
        <f t="shared" ref="Y259:Y260" si="69">$F$2</f>
        <v>ESTR</v>
      </c>
      <c r="Z259" s="131" t="s">
        <v>1605</v>
      </c>
      <c r="AA259" s="227" t="e">
        <f>VLOOKUP(Table1[[#This Row],[CONCAT]],'Campos Resumo Prop2.0'!A:H,8,0)</f>
        <v>#N/A</v>
      </c>
      <c r="AB259" s="87" t="s">
        <v>1650</v>
      </c>
      <c r="AC259" s="135" t="s">
        <v>1625</v>
      </c>
      <c r="AD259" s="91">
        <f>INDEX(Auxiliar!$D$5:$I$10,MATCH('LISTA - Setembro2024'!AD$3,Auxiliar!$B$5:$B$10,0),MATCH('LISTA - Setembro2024'!$AC259,Auxiliar!$D$4:$I$4,0))</f>
        <v>0</v>
      </c>
      <c r="AE259" s="91">
        <f>INDEX(Auxiliar!$D$5:$I$10,MATCH('LISTA - Setembro2024'!AE$3,Auxiliar!$B$5:$B$10,0),MATCH('LISTA - Setembro2024'!$AC259,Auxiliar!$D$4:$I$4,0))</f>
        <v>0</v>
      </c>
      <c r="AF259" s="87">
        <f>INDEX(Auxiliar!$D$5:$I$10,MATCH('LISTA - Setembro2024'!AF$3,Auxiliar!$B$5:$B$10,0),MATCH('LISTA - Setembro2024'!$AC259,Auxiliar!$D$4:$I$4,0))</f>
        <v>0</v>
      </c>
      <c r="AG259" s="87" t="str">
        <f t="shared" si="53"/>
        <v>n.a.</v>
      </c>
      <c r="AH259" s="87">
        <f>INDEX(Auxiliar!$D$5:$I$10,MATCH('LISTA - Setembro2024'!AH$3,Auxiliar!$B$5:$B$10,0),MATCH('LISTA - Setembro2024'!$AG259,Auxiliar!$D$4:$I$4,0))</f>
        <v>0</v>
      </c>
      <c r="AI259" s="87">
        <f>INDEX(Auxiliar!$D$5:$I$10,MATCH('LISTA - Setembro2024'!AI$3,Auxiliar!$B$5:$B$10,0),MATCH('LISTA - Setembro2024'!$AC259,Auxiliar!$D$4:$I$4,0))</f>
        <v>0</v>
      </c>
      <c r="AJ259" s="87">
        <f>INDEX(Auxiliar!$D$5:$I$10,MATCH('LISTA - Setembro2024'!AJ$3,Auxiliar!$B$5:$B$10,0),MATCH('LISTA - Setembro2024'!$AC259,Auxiliar!$D$4:$I$4,0))</f>
        <v>0</v>
      </c>
      <c r="AK259" s="160">
        <f t="shared" si="56"/>
        <v>0</v>
      </c>
      <c r="AL259" s="87"/>
    </row>
    <row r="260" spans="1:38" ht="13.8" x14ac:dyDescent="0.25">
      <c r="A260" s="158" t="s">
        <v>646</v>
      </c>
      <c r="B260" s="81" t="str">
        <f t="shared" si="54"/>
        <v>INSTRUMENT_RTNTN_SHR</v>
      </c>
      <c r="C260" s="82" t="s">
        <v>414</v>
      </c>
      <c r="D260" s="83" t="s">
        <v>647</v>
      </c>
      <c r="E260" s="84" t="s">
        <v>648</v>
      </c>
      <c r="F260" s="85" t="s">
        <v>13</v>
      </c>
      <c r="G260" s="85" t="s">
        <v>11</v>
      </c>
      <c r="H260" s="85" t="s">
        <v>11</v>
      </c>
      <c r="I260" s="85" t="s">
        <v>11</v>
      </c>
      <c r="J260" s="85" t="s">
        <v>11</v>
      </c>
      <c r="K260" s="85" t="s">
        <v>13</v>
      </c>
      <c r="L260" s="86" t="str">
        <f>IFERROR(VLOOKUP($B260,'LISTA - Atual'!$B$1:$I$444,5,0),"Novo")</f>
        <v>Y</v>
      </c>
      <c r="M260" s="86" t="str">
        <f t="shared" si="65"/>
        <v>Igual</v>
      </c>
      <c r="N260" s="86" t="str">
        <f>IFERROR(VLOOKUP($B260,'LISTA - Atual'!$B$1:$I$444,6,0),"Novo")</f>
        <v>N</v>
      </c>
      <c r="O260" s="86" t="str">
        <f t="shared" si="66"/>
        <v>Igual</v>
      </c>
      <c r="P260" s="86" t="str">
        <f>IFERROR(VLOOKUP($B260,'LISTA - Atual'!$B$1:$I$444,7,0),"Novo")</f>
        <v>N</v>
      </c>
      <c r="Q260" s="86" t="str">
        <f t="shared" si="67"/>
        <v>Igual</v>
      </c>
      <c r="R260" s="86" t="s">
        <v>1563</v>
      </c>
      <c r="S260" s="86" t="str">
        <f>IFERROR(VLOOKUP($B260,'LISTA - Atual'!$B$1:$I$444,8,0),"Novo")</f>
        <v>N</v>
      </c>
      <c r="T260" s="86" t="str">
        <f t="shared" si="68"/>
        <v>Igual</v>
      </c>
      <c r="U260" s="86" t="s">
        <v>1563</v>
      </c>
      <c r="V260" s="90" t="s">
        <v>13</v>
      </c>
      <c r="W260" s="87" t="str">
        <f>IFERROR(VLOOKUP(B260,#REF!,11,0),"n/a")</f>
        <v>n/a</v>
      </c>
      <c r="X260" s="91" t="str">
        <f>IFERROR(VLOOKUP(B260,#REF!,8,0),"n/a")</f>
        <v>n/a</v>
      </c>
      <c r="Y260" s="87" t="str">
        <f t="shared" si="69"/>
        <v>ESTR</v>
      </c>
      <c r="Z260" s="131" t="s">
        <v>1605</v>
      </c>
      <c r="AA260" s="227" t="e">
        <f>VLOOKUP(Table1[[#This Row],[CONCAT]],'Campos Resumo Prop2.0'!A:H,8,0)</f>
        <v>#N/A</v>
      </c>
      <c r="AB260" s="87" t="s">
        <v>1656</v>
      </c>
      <c r="AC260" s="135" t="s">
        <v>1625</v>
      </c>
      <c r="AD260" s="91">
        <f>INDEX(Auxiliar!$D$5:$I$10,MATCH('LISTA - Setembro2024'!AD$3,Auxiliar!$B$5:$B$10,0),MATCH('LISTA - Setembro2024'!$AC260,Auxiliar!$D$4:$I$4,0))</f>
        <v>0</v>
      </c>
      <c r="AE260" s="91">
        <f>INDEX(Auxiliar!$D$5:$I$10,MATCH('LISTA - Setembro2024'!AE$3,Auxiliar!$B$5:$B$10,0),MATCH('LISTA - Setembro2024'!$AC260,Auxiliar!$D$4:$I$4,0))</f>
        <v>0</v>
      </c>
      <c r="AF260" s="87">
        <f>INDEX(Auxiliar!$D$5:$I$10,MATCH('LISTA - Setembro2024'!AF$3,Auxiliar!$B$5:$B$10,0),MATCH('LISTA - Setembro2024'!$AC260,Auxiliar!$D$4:$I$4,0))</f>
        <v>0</v>
      </c>
      <c r="AG260" s="87" t="str">
        <f t="shared" ref="AG260:AG323" si="70">IF(OR(AB260="Code List",AB260="Y, N"),AC260,"n.a.")</f>
        <v>n.a.</v>
      </c>
      <c r="AH260" s="87">
        <f>INDEX(Auxiliar!$D$5:$I$10,MATCH('LISTA - Setembro2024'!AH$3,Auxiliar!$B$5:$B$10,0),MATCH('LISTA - Setembro2024'!$AG260,Auxiliar!$D$4:$I$4,0))</f>
        <v>0</v>
      </c>
      <c r="AI260" s="87">
        <f>INDEX(Auxiliar!$D$5:$I$10,MATCH('LISTA - Setembro2024'!AI$3,Auxiliar!$B$5:$B$10,0),MATCH('LISTA - Setembro2024'!$AC260,Auxiliar!$D$4:$I$4,0))</f>
        <v>0</v>
      </c>
      <c r="AJ260" s="87">
        <f>INDEX(Auxiliar!$D$5:$I$10,MATCH('LISTA - Setembro2024'!AJ$3,Auxiliar!$B$5:$B$10,0),MATCH('LISTA - Setembro2024'!$AC260,Auxiliar!$D$4:$I$4,0))</f>
        <v>0</v>
      </c>
      <c r="AK260" s="160">
        <f t="shared" si="56"/>
        <v>0</v>
      </c>
      <c r="AL260" s="87" t="s">
        <v>1696</v>
      </c>
    </row>
    <row r="261" spans="1:38" ht="13.8" x14ac:dyDescent="0.25">
      <c r="A261" s="158" t="s">
        <v>649</v>
      </c>
      <c r="B261" s="81" t="str">
        <f t="shared" ref="B261:B324" si="71">C261&amp;"_"&amp;D261</f>
        <v>INSTRUMENT_RWA</v>
      </c>
      <c r="C261" s="82" t="s">
        <v>414</v>
      </c>
      <c r="D261" s="83" t="s">
        <v>650</v>
      </c>
      <c r="E261" s="84" t="s">
        <v>650</v>
      </c>
      <c r="F261" s="85" t="s">
        <v>13</v>
      </c>
      <c r="G261" s="85" t="s">
        <v>13</v>
      </c>
      <c r="H261" s="85" t="s">
        <v>11</v>
      </c>
      <c r="I261" s="85" t="s">
        <v>11</v>
      </c>
      <c r="J261" s="85" t="s">
        <v>11</v>
      </c>
      <c r="K261" s="85" t="s">
        <v>13</v>
      </c>
      <c r="L261" s="86" t="str">
        <f>IFERROR(VLOOKUP($B261,'LISTA - Atual'!$B$1:$I$444,5,0),"Novo")</f>
        <v>Y</v>
      </c>
      <c r="M261" s="86" t="str">
        <f t="shared" si="65"/>
        <v>Igual</v>
      </c>
      <c r="N261" s="86" t="str">
        <f>IFERROR(VLOOKUP($B261,'LISTA - Atual'!$B$1:$I$444,6,0),"Novo")</f>
        <v>Y</v>
      </c>
      <c r="O261" s="86" t="str">
        <f t="shared" si="66"/>
        <v>Igual</v>
      </c>
      <c r="P261" s="86" t="str">
        <f>IFERROR(VLOOKUP($B261,'LISTA - Atual'!$B$1:$I$444,7,0),"Novo")</f>
        <v>N</v>
      </c>
      <c r="Q261" s="86" t="str">
        <f t="shared" si="67"/>
        <v>Igual</v>
      </c>
      <c r="R261" s="86" t="s">
        <v>1563</v>
      </c>
      <c r="S261" s="86" t="str">
        <f>IFERROR(VLOOKUP($B261,'LISTA - Atual'!$B$1:$I$444,8,0),"Novo")</f>
        <v>N</v>
      </c>
      <c r="T261" s="86" t="str">
        <f t="shared" si="68"/>
        <v>Igual</v>
      </c>
      <c r="U261" s="86" t="s">
        <v>1563</v>
      </c>
      <c r="V261" s="86" t="s">
        <v>11</v>
      </c>
      <c r="W261" s="87" t="str">
        <f>IFERROR(VLOOKUP(B261,#REF!,11,0),"n/a")</f>
        <v>n/a</v>
      </c>
      <c r="X261" s="87" t="str">
        <f>IFERROR(VLOOKUP(B261,#REF!,8,0),"n/a")</f>
        <v>n/a</v>
      </c>
      <c r="Y261" s="87" t="str">
        <f>$F$2&amp;$Y$1&amp;$G$2</f>
        <v>ESTR &amp; GD</v>
      </c>
      <c r="Z261" s="131" t="s">
        <v>1605</v>
      </c>
      <c r="AA261" s="227" t="e">
        <f>VLOOKUP(Table1[[#This Row],[CONCAT]],'Campos Resumo Prop2.0'!A:H,8,0)</f>
        <v>#N/A</v>
      </c>
      <c r="AB261" s="87" t="s">
        <v>1655</v>
      </c>
      <c r="AC261" s="135" t="s">
        <v>1625</v>
      </c>
      <c r="AD261" s="135">
        <v>1</v>
      </c>
      <c r="AE261" s="91">
        <f>INDEX(Auxiliar!$D$5:$I$10,MATCH('LISTA - Setembro2024'!AE$3,Auxiliar!$B$5:$B$10,0),MATCH('LISTA - Setembro2024'!$AC261,Auxiliar!$D$4:$I$4,0))</f>
        <v>0</v>
      </c>
      <c r="AF261" s="87">
        <f>INDEX(Auxiliar!$D$5:$I$10,MATCH('LISTA - Setembro2024'!AF$3,Auxiliar!$B$5:$B$10,0),MATCH('LISTA - Setembro2024'!$AC261,Auxiliar!$D$4:$I$4,0))</f>
        <v>0</v>
      </c>
      <c r="AG261" s="87" t="str">
        <f t="shared" si="70"/>
        <v>n.a.</v>
      </c>
      <c r="AH261" s="87">
        <f>INDEX(Auxiliar!$D$5:$I$10,MATCH('LISTA - Setembro2024'!AH$3,Auxiliar!$B$5:$B$10,0),MATCH('LISTA - Setembro2024'!$AG261,Auxiliar!$D$4:$I$4,0))</f>
        <v>0</v>
      </c>
      <c r="AI261" s="87">
        <f>INDEX(Auxiliar!$D$5:$I$10,MATCH('LISTA - Setembro2024'!AI$3,Auxiliar!$B$5:$B$10,0),MATCH('LISTA - Setembro2024'!$AC261,Auxiliar!$D$4:$I$4,0))</f>
        <v>0</v>
      </c>
      <c r="AJ261" s="87">
        <f>INDEX(Auxiliar!$D$5:$I$10,MATCH('LISTA - Setembro2024'!AJ$3,Auxiliar!$B$5:$B$10,0),MATCH('LISTA - Setembro2024'!$AC261,Auxiliar!$D$4:$I$4,0))</f>
        <v>0</v>
      </c>
      <c r="AK261" s="160">
        <f t="shared" si="56"/>
        <v>0</v>
      </c>
      <c r="AL261" s="87" t="s">
        <v>1667</v>
      </c>
    </row>
    <row r="262" spans="1:38" ht="13.8" x14ac:dyDescent="0.25">
      <c r="A262" s="158" t="s">
        <v>651</v>
      </c>
      <c r="B262" s="81" t="str">
        <f t="shared" si="71"/>
        <v>INSTRUMENT_RWA_MTHD</v>
      </c>
      <c r="C262" s="82" t="s">
        <v>414</v>
      </c>
      <c r="D262" s="83" t="s">
        <v>652</v>
      </c>
      <c r="E262" s="84" t="s">
        <v>653</v>
      </c>
      <c r="F262" s="85" t="s">
        <v>13</v>
      </c>
      <c r="G262" s="85" t="s">
        <v>11</v>
      </c>
      <c r="H262" s="85" t="s">
        <v>11</v>
      </c>
      <c r="I262" s="85" t="s">
        <v>11</v>
      </c>
      <c r="J262" s="85" t="s">
        <v>11</v>
      </c>
      <c r="K262" s="85" t="s">
        <v>13</v>
      </c>
      <c r="L262" s="86" t="str">
        <f>IFERROR(VLOOKUP($B262,'LISTA - Atual'!$B$1:$I$444,5,0),"Novo")</f>
        <v>Y</v>
      </c>
      <c r="M262" s="86" t="str">
        <f t="shared" si="65"/>
        <v>Igual</v>
      </c>
      <c r="N262" s="86" t="str">
        <f>IFERROR(VLOOKUP($B262,'LISTA - Atual'!$B$1:$I$444,6,0),"Novo")</f>
        <v>N</v>
      </c>
      <c r="O262" s="86" t="str">
        <f t="shared" si="66"/>
        <v>Igual</v>
      </c>
      <c r="P262" s="86" t="str">
        <f>IFERROR(VLOOKUP($B262,'LISTA - Atual'!$B$1:$I$444,7,0),"Novo")</f>
        <v>N</v>
      </c>
      <c r="Q262" s="86" t="str">
        <f t="shared" si="67"/>
        <v>Igual</v>
      </c>
      <c r="R262" s="86" t="s">
        <v>1563</v>
      </c>
      <c r="S262" s="86" t="str">
        <f>IFERROR(VLOOKUP($B262,'LISTA - Atual'!$B$1:$I$444,8,0),"Novo")</f>
        <v>N</v>
      </c>
      <c r="T262" s="86" t="str">
        <f t="shared" si="68"/>
        <v>Igual</v>
      </c>
      <c r="U262" s="86" t="s">
        <v>1563</v>
      </c>
      <c r="V262" s="86" t="s">
        <v>11</v>
      </c>
      <c r="W262" s="87" t="str">
        <f>IFERROR(VLOOKUP(B262,#REF!,11,0),"n/a")</f>
        <v>n/a</v>
      </c>
      <c r="X262" s="87" t="str">
        <f>IFERROR(VLOOKUP(B262,#REF!,8,0),"n/a")</f>
        <v>n/a</v>
      </c>
      <c r="Y262" s="87" t="str">
        <f t="shared" ref="Y262:Y263" si="72">$F$2</f>
        <v>ESTR</v>
      </c>
      <c r="Z262" s="131" t="s">
        <v>1605</v>
      </c>
      <c r="AA262" s="227" t="e">
        <f>VLOOKUP(Table1[[#This Row],[CONCAT]],'Campos Resumo Prop2.0'!A:H,8,0)</f>
        <v>#N/A</v>
      </c>
      <c r="AB262" s="87" t="s">
        <v>1650</v>
      </c>
      <c r="AC262" s="135" t="s">
        <v>1625</v>
      </c>
      <c r="AD262" s="91">
        <f>INDEX(Auxiliar!$D$5:$I$10,MATCH('LISTA - Setembro2024'!AD$3,Auxiliar!$B$5:$B$10,0),MATCH('LISTA - Setembro2024'!$AC262,Auxiliar!$D$4:$I$4,0))</f>
        <v>0</v>
      </c>
      <c r="AE262" s="91">
        <f>INDEX(Auxiliar!$D$5:$I$10,MATCH('LISTA - Setembro2024'!AE$3,Auxiliar!$B$5:$B$10,0),MATCH('LISTA - Setembro2024'!$AC262,Auxiliar!$D$4:$I$4,0))</f>
        <v>0</v>
      </c>
      <c r="AF262" s="87">
        <f>INDEX(Auxiliar!$D$5:$I$10,MATCH('LISTA - Setembro2024'!AF$3,Auxiliar!$B$5:$B$10,0),MATCH('LISTA - Setembro2024'!$AC262,Auxiliar!$D$4:$I$4,0))</f>
        <v>0</v>
      </c>
      <c r="AG262" s="87" t="str">
        <f t="shared" si="70"/>
        <v>n.a.</v>
      </c>
      <c r="AH262" s="87">
        <f>INDEX(Auxiliar!$D$5:$I$10,MATCH('LISTA - Setembro2024'!AH$3,Auxiliar!$B$5:$B$10,0),MATCH('LISTA - Setembro2024'!$AG262,Auxiliar!$D$4:$I$4,0))</f>
        <v>0</v>
      </c>
      <c r="AI262" s="87">
        <f>INDEX(Auxiliar!$D$5:$I$10,MATCH('LISTA - Setembro2024'!AI$3,Auxiliar!$B$5:$B$10,0),MATCH('LISTA - Setembro2024'!$AC262,Auxiliar!$D$4:$I$4,0))</f>
        <v>0</v>
      </c>
      <c r="AJ262" s="87">
        <f>INDEX(Auxiliar!$D$5:$I$10,MATCH('LISTA - Setembro2024'!AJ$3,Auxiliar!$B$5:$B$10,0),MATCH('LISTA - Setembro2024'!$AC262,Auxiliar!$D$4:$I$4,0))</f>
        <v>0</v>
      </c>
      <c r="AK262" s="160">
        <f t="shared" ref="AK262:AK325" si="73">SUM(AF262,AH262:AJ262)</f>
        <v>0</v>
      </c>
      <c r="AL262" s="87"/>
    </row>
    <row r="263" spans="1:38" ht="13.8" x14ac:dyDescent="0.25">
      <c r="A263" s="158" t="s">
        <v>654</v>
      </c>
      <c r="B263" s="81" t="str">
        <f t="shared" si="71"/>
        <v>INSTRUMENT_SPNSR_NM</v>
      </c>
      <c r="C263" s="82" t="s">
        <v>414</v>
      </c>
      <c r="D263" s="83" t="s">
        <v>655</v>
      </c>
      <c r="E263" s="84" t="s">
        <v>656</v>
      </c>
      <c r="F263" s="85" t="s">
        <v>13</v>
      </c>
      <c r="G263" s="85" t="s">
        <v>11</v>
      </c>
      <c r="H263" s="85" t="s">
        <v>11</v>
      </c>
      <c r="I263" s="85" t="s">
        <v>11</v>
      </c>
      <c r="J263" s="85" t="s">
        <v>11</v>
      </c>
      <c r="K263" s="85" t="s">
        <v>13</v>
      </c>
      <c r="L263" s="86" t="str">
        <f>IFERROR(VLOOKUP($B263,'LISTA - Atual'!$B$1:$I$444,5,0),"Novo")</f>
        <v>Y</v>
      </c>
      <c r="M263" s="86" t="str">
        <f t="shared" si="65"/>
        <v>Igual</v>
      </c>
      <c r="N263" s="86" t="str">
        <f>IFERROR(VLOOKUP($B263,'LISTA - Atual'!$B$1:$I$444,6,0),"Novo")</f>
        <v>N</v>
      </c>
      <c r="O263" s="86" t="str">
        <f t="shared" si="66"/>
        <v>Igual</v>
      </c>
      <c r="P263" s="86" t="str">
        <f>IFERROR(VLOOKUP($B263,'LISTA - Atual'!$B$1:$I$444,7,0),"Novo")</f>
        <v>N</v>
      </c>
      <c r="Q263" s="86" t="str">
        <f t="shared" si="67"/>
        <v>Igual</v>
      </c>
      <c r="R263" s="86" t="s">
        <v>1563</v>
      </c>
      <c r="S263" s="86" t="str">
        <f>IFERROR(VLOOKUP($B263,'LISTA - Atual'!$B$1:$I$444,8,0),"Novo")</f>
        <v>N</v>
      </c>
      <c r="T263" s="86" t="str">
        <f t="shared" si="68"/>
        <v>Igual</v>
      </c>
      <c r="U263" s="86" t="s">
        <v>1563</v>
      </c>
      <c r="V263" s="90" t="s">
        <v>13</v>
      </c>
      <c r="W263" s="87" t="str">
        <f>IFERROR(VLOOKUP(B263,#REF!,11,0),"n/a")</f>
        <v>n/a</v>
      </c>
      <c r="X263" s="91" t="str">
        <f>IFERROR(VLOOKUP(B263,#REF!,8,0),"n/a")</f>
        <v>n/a</v>
      </c>
      <c r="Y263" s="87" t="str">
        <f t="shared" si="72"/>
        <v>ESTR</v>
      </c>
      <c r="Z263" s="131" t="s">
        <v>1605</v>
      </c>
      <c r="AA263" s="227" t="e">
        <f>VLOOKUP(Table1[[#This Row],[CONCAT]],'Campos Resumo Prop2.0'!A:H,8,0)</f>
        <v>#N/A</v>
      </c>
      <c r="AB263" s="87" t="s">
        <v>1652</v>
      </c>
      <c r="AC263" s="135" t="s">
        <v>1625</v>
      </c>
      <c r="AD263" s="135">
        <v>10</v>
      </c>
      <c r="AE263" s="135">
        <v>8</v>
      </c>
      <c r="AF263" s="87">
        <f>INDEX(Auxiliar!$D$5:$I$10,MATCH('LISTA - Setembro2024'!AF$3,Auxiliar!$B$5:$B$10,0),MATCH('LISTA - Setembro2024'!$AC263,Auxiliar!$D$4:$I$4,0))</f>
        <v>0</v>
      </c>
      <c r="AG263" s="87" t="str">
        <f t="shared" si="70"/>
        <v>n.a.</v>
      </c>
      <c r="AH263" s="87">
        <f>INDEX(Auxiliar!$D$5:$I$10,MATCH('LISTA - Setembro2024'!AH$3,Auxiliar!$B$5:$B$10,0),MATCH('LISTA - Setembro2024'!$AG263,Auxiliar!$D$4:$I$4,0))</f>
        <v>0</v>
      </c>
      <c r="AI263" s="87">
        <f>INDEX(Auxiliar!$D$5:$I$10,MATCH('LISTA - Setembro2024'!AI$3,Auxiliar!$B$5:$B$10,0),MATCH('LISTA - Setembro2024'!$AC263,Auxiliar!$D$4:$I$4,0))</f>
        <v>0</v>
      </c>
      <c r="AJ263" s="87">
        <f>INDEX(Auxiliar!$D$5:$I$10,MATCH('LISTA - Setembro2024'!AJ$3,Auxiliar!$B$5:$B$10,0),MATCH('LISTA - Setembro2024'!$AC263,Auxiliar!$D$4:$I$4,0))</f>
        <v>0</v>
      </c>
      <c r="AK263" s="160">
        <f t="shared" si="73"/>
        <v>0</v>
      </c>
      <c r="AL263" s="87" t="s">
        <v>1697</v>
      </c>
    </row>
    <row r="264" spans="1:38" ht="13.8" x14ac:dyDescent="0.25">
      <c r="A264" s="158" t="s">
        <v>657</v>
      </c>
      <c r="B264" s="81" t="str">
        <f t="shared" si="71"/>
        <v>INSTRUMENT_ACCMLTD_IMPRMNT_INSTRMNT</v>
      </c>
      <c r="C264" s="82" t="s">
        <v>414</v>
      </c>
      <c r="D264" s="83" t="s">
        <v>658</v>
      </c>
      <c r="E264" s="84" t="s">
        <v>659</v>
      </c>
      <c r="F264" s="85" t="s">
        <v>13</v>
      </c>
      <c r="G264" s="85" t="s">
        <v>13</v>
      </c>
      <c r="H264" s="85" t="s">
        <v>13</v>
      </c>
      <c r="I264" s="85" t="s">
        <v>11</v>
      </c>
      <c r="J264" s="85" t="s">
        <v>11</v>
      </c>
      <c r="K264" s="85" t="s">
        <v>13</v>
      </c>
      <c r="L264" s="86" t="str">
        <f>IFERROR(VLOOKUP($B264,'LISTA - Atual'!$B$1:$I$444,5,0),"Novo")</f>
        <v>Y</v>
      </c>
      <c r="M264" s="86" t="str">
        <f t="shared" si="65"/>
        <v>Igual</v>
      </c>
      <c r="N264" s="86" t="str">
        <f>IFERROR(VLOOKUP($B264,'LISTA - Atual'!$B$1:$I$444,6,0),"Novo")</f>
        <v>Y</v>
      </c>
      <c r="O264" s="86" t="str">
        <f t="shared" si="66"/>
        <v>Igual</v>
      </c>
      <c r="P264" s="86" t="str">
        <f>IFERROR(VLOOKUP($B264,'LISTA - Atual'!$B$1:$I$444,7,0),"Novo")</f>
        <v>Y</v>
      </c>
      <c r="Q264" s="86" t="str">
        <f t="shared" si="67"/>
        <v>Igual</v>
      </c>
      <c r="R264" s="86" t="s">
        <v>1563</v>
      </c>
      <c r="S264" s="86" t="str">
        <f>IFERROR(VLOOKUP($B264,'LISTA - Atual'!$B$1:$I$444,8,0),"Novo")</f>
        <v>N</v>
      </c>
      <c r="T264" s="86" t="str">
        <f t="shared" si="68"/>
        <v>Igual</v>
      </c>
      <c r="U264" s="86" t="s">
        <v>1563</v>
      </c>
      <c r="V264" s="86" t="s">
        <v>11</v>
      </c>
      <c r="W264" s="87" t="str">
        <f>IFERROR(VLOOKUP(B264,#REF!,11,0),"n/a")</f>
        <v>n/a</v>
      </c>
      <c r="X264" s="87" t="str">
        <f>IFERROR(VLOOKUP(B264,#REF!,8,0),"n/a")</f>
        <v>n/a</v>
      </c>
      <c r="Y264" s="87" t="str">
        <f>$F$2&amp;$Y$1&amp;$G$2&amp;$Y$1&amp;$H$2</f>
        <v>ESTR &amp; GD &amp; PILAR3</v>
      </c>
      <c r="Z264" s="131" t="s">
        <v>1605</v>
      </c>
      <c r="AA264" s="227" t="e">
        <f>VLOOKUP(Table1[[#This Row],[CONCAT]],'Campos Resumo Prop2.0'!A:H,8,0)</f>
        <v>#N/A</v>
      </c>
      <c r="AB264" s="87" t="s">
        <v>1655</v>
      </c>
      <c r="AC264" s="135" t="s">
        <v>1625</v>
      </c>
      <c r="AD264" s="91">
        <f>INDEX(Auxiliar!$D$5:$I$10,MATCH('LISTA - Setembro2024'!AD$3,Auxiliar!$B$5:$B$10,0),MATCH('LISTA - Setembro2024'!$AC264,Auxiliar!$D$4:$I$4,0))</f>
        <v>0</v>
      </c>
      <c r="AE264" s="91">
        <f>INDEX(Auxiliar!$D$5:$I$10,MATCH('LISTA - Setembro2024'!AE$3,Auxiliar!$B$5:$B$10,0),MATCH('LISTA - Setembro2024'!$AC264,Auxiliar!$D$4:$I$4,0))</f>
        <v>0</v>
      </c>
      <c r="AF264" s="87">
        <f>INDEX(Auxiliar!$D$5:$I$10,MATCH('LISTA - Setembro2024'!AF$3,Auxiliar!$B$5:$B$10,0),MATCH('LISTA - Setembro2024'!$AC264,Auxiliar!$D$4:$I$4,0))</f>
        <v>0</v>
      </c>
      <c r="AG264" s="87" t="str">
        <f t="shared" si="70"/>
        <v>n.a.</v>
      </c>
      <c r="AH264" s="87">
        <f>INDEX(Auxiliar!$D$5:$I$10,MATCH('LISTA - Setembro2024'!AH$3,Auxiliar!$B$5:$B$10,0),MATCH('LISTA - Setembro2024'!$AG264,Auxiliar!$D$4:$I$4,0))</f>
        <v>0</v>
      </c>
      <c r="AI264" s="87">
        <f>INDEX(Auxiliar!$D$5:$I$10,MATCH('LISTA - Setembro2024'!AI$3,Auxiliar!$B$5:$B$10,0),MATCH('LISTA - Setembro2024'!$AC264,Auxiliar!$D$4:$I$4,0))</f>
        <v>0</v>
      </c>
      <c r="AJ264" s="87">
        <f>INDEX(Auxiliar!$D$5:$I$10,MATCH('LISTA - Setembro2024'!AJ$3,Auxiliar!$B$5:$B$10,0),MATCH('LISTA - Setembro2024'!$AC264,Auxiliar!$D$4:$I$4,0))</f>
        <v>0</v>
      </c>
      <c r="AK264" s="160">
        <f t="shared" si="73"/>
        <v>0</v>
      </c>
      <c r="AL264" s="87"/>
    </row>
    <row r="265" spans="1:38" ht="13.8" x14ac:dyDescent="0.25">
      <c r="A265" s="158" t="s">
        <v>660</v>
      </c>
      <c r="B265" s="81" t="str">
        <f t="shared" si="71"/>
        <v>INSTRUMENT_ACCMLTD_IMPRMNT_INSTRMNT_PRVS</v>
      </c>
      <c r="C265" s="82" t="s">
        <v>414</v>
      </c>
      <c r="D265" s="83" t="s">
        <v>661</v>
      </c>
      <c r="E265" s="84" t="s">
        <v>662</v>
      </c>
      <c r="F265" s="85" t="s">
        <v>13</v>
      </c>
      <c r="G265" s="85" t="s">
        <v>11</v>
      </c>
      <c r="H265" s="85" t="s">
        <v>11</v>
      </c>
      <c r="I265" s="85" t="s">
        <v>11</v>
      </c>
      <c r="J265" s="85" t="s">
        <v>11</v>
      </c>
      <c r="K265" s="85" t="s">
        <v>13</v>
      </c>
      <c r="L265" s="86" t="str">
        <f>IFERROR(VLOOKUP($B265,'LISTA - Atual'!$B$1:$I$444,5,0),"Novo")</f>
        <v>Y</v>
      </c>
      <c r="M265" s="86" t="str">
        <f t="shared" si="65"/>
        <v>Igual</v>
      </c>
      <c r="N265" s="86" t="str">
        <f>IFERROR(VLOOKUP($B265,'LISTA - Atual'!$B$1:$I$444,6,0),"Novo")</f>
        <v>N</v>
      </c>
      <c r="O265" s="86" t="str">
        <f t="shared" si="66"/>
        <v>Igual</v>
      </c>
      <c r="P265" s="86" t="str">
        <f>IFERROR(VLOOKUP($B265,'LISTA - Atual'!$B$1:$I$444,7,0),"Novo")</f>
        <v>N</v>
      </c>
      <c r="Q265" s="86" t="str">
        <f t="shared" si="67"/>
        <v>Igual</v>
      </c>
      <c r="R265" s="86" t="s">
        <v>1563</v>
      </c>
      <c r="S265" s="86" t="str">
        <f>IFERROR(VLOOKUP($B265,'LISTA - Atual'!$B$1:$I$444,8,0),"Novo")</f>
        <v>N</v>
      </c>
      <c r="T265" s="86" t="str">
        <f t="shared" si="68"/>
        <v>Igual</v>
      </c>
      <c r="U265" s="86" t="s">
        <v>1563</v>
      </c>
      <c r="V265" s="86" t="s">
        <v>11</v>
      </c>
      <c r="W265" s="87" t="str">
        <f>IFERROR(VLOOKUP(B265,#REF!,11,0),"n/a")</f>
        <v>n/a</v>
      </c>
      <c r="X265" s="87" t="str">
        <f>IFERROR(VLOOKUP(B265,#REF!,8,0),"n/a")</f>
        <v>n/a</v>
      </c>
      <c r="Y265" s="87" t="str">
        <f t="shared" ref="Y265:Y285" si="74">$F$2</f>
        <v>ESTR</v>
      </c>
      <c r="Z265" s="131" t="s">
        <v>1605</v>
      </c>
      <c r="AA265" s="227" t="e">
        <f>VLOOKUP(Table1[[#This Row],[CONCAT]],'Campos Resumo Prop2.0'!A:H,8,0)</f>
        <v>#N/A</v>
      </c>
      <c r="AB265" s="87" t="s">
        <v>1655</v>
      </c>
      <c r="AC265" s="135" t="s">
        <v>1625</v>
      </c>
      <c r="AD265" s="135">
        <v>1</v>
      </c>
      <c r="AE265" s="91">
        <f>INDEX(Auxiliar!$D$5:$I$10,MATCH('LISTA - Setembro2024'!AE$3,Auxiliar!$B$5:$B$10,0),MATCH('LISTA - Setembro2024'!$AC265,Auxiliar!$D$4:$I$4,0))</f>
        <v>0</v>
      </c>
      <c r="AF265" s="87">
        <f>INDEX(Auxiliar!$D$5:$I$10,MATCH('LISTA - Setembro2024'!AF$3,Auxiliar!$B$5:$B$10,0),MATCH('LISTA - Setembro2024'!$AC265,Auxiliar!$D$4:$I$4,0))</f>
        <v>0</v>
      </c>
      <c r="AG265" s="87" t="str">
        <f t="shared" si="70"/>
        <v>n.a.</v>
      </c>
      <c r="AH265" s="87">
        <f>INDEX(Auxiliar!$D$5:$I$10,MATCH('LISTA - Setembro2024'!AH$3,Auxiliar!$B$5:$B$10,0),MATCH('LISTA - Setembro2024'!$AG265,Auxiliar!$D$4:$I$4,0))</f>
        <v>0</v>
      </c>
      <c r="AI265" s="87">
        <f>INDEX(Auxiliar!$D$5:$I$10,MATCH('LISTA - Setembro2024'!AI$3,Auxiliar!$B$5:$B$10,0),MATCH('LISTA - Setembro2024'!$AC265,Auxiliar!$D$4:$I$4,0))</f>
        <v>0</v>
      </c>
      <c r="AJ265" s="87">
        <f>INDEX(Auxiliar!$D$5:$I$10,MATCH('LISTA - Setembro2024'!AJ$3,Auxiliar!$B$5:$B$10,0),MATCH('LISTA - Setembro2024'!$AC265,Auxiliar!$D$4:$I$4,0))</f>
        <v>0</v>
      </c>
      <c r="AK265" s="160">
        <f t="shared" si="73"/>
        <v>0</v>
      </c>
      <c r="AL265" s="87" t="s">
        <v>1694</v>
      </c>
    </row>
    <row r="266" spans="1:38" ht="13.8" x14ac:dyDescent="0.25">
      <c r="A266" s="158" t="s">
        <v>663</v>
      </c>
      <c r="B266" s="81" t="str">
        <f t="shared" si="71"/>
        <v>INSTRUMENT_ACCMLTD_WRTFFS_INSTRMNT</v>
      </c>
      <c r="C266" s="82" t="s">
        <v>414</v>
      </c>
      <c r="D266" s="83" t="s">
        <v>664</v>
      </c>
      <c r="E266" s="84" t="s">
        <v>665</v>
      </c>
      <c r="F266" s="85" t="s">
        <v>13</v>
      </c>
      <c r="G266" s="85" t="s">
        <v>11</v>
      </c>
      <c r="H266" s="85" t="s">
        <v>11</v>
      </c>
      <c r="I266" s="85" t="s">
        <v>11</v>
      </c>
      <c r="J266" s="85" t="s">
        <v>11</v>
      </c>
      <c r="K266" s="85" t="s">
        <v>13</v>
      </c>
      <c r="L266" s="86" t="str">
        <f>IFERROR(VLOOKUP($B266,'LISTA - Atual'!$B$1:$I$444,5,0),"Novo")</f>
        <v>Y</v>
      </c>
      <c r="M266" s="86" t="str">
        <f t="shared" si="65"/>
        <v>Igual</v>
      </c>
      <c r="N266" s="86" t="str">
        <f>IFERROR(VLOOKUP($B266,'LISTA - Atual'!$B$1:$I$444,6,0),"Novo")</f>
        <v>N</v>
      </c>
      <c r="O266" s="86" t="str">
        <f t="shared" si="66"/>
        <v>Igual</v>
      </c>
      <c r="P266" s="86" t="str">
        <f>IFERROR(VLOOKUP($B266,'LISTA - Atual'!$B$1:$I$444,7,0),"Novo")</f>
        <v>N</v>
      </c>
      <c r="Q266" s="86" t="str">
        <f t="shared" si="67"/>
        <v>Igual</v>
      </c>
      <c r="R266" s="86" t="s">
        <v>1563</v>
      </c>
      <c r="S266" s="86" t="str">
        <f>IFERROR(VLOOKUP($B266,'LISTA - Atual'!$B$1:$I$444,8,0),"Novo")</f>
        <v>N</v>
      </c>
      <c r="T266" s="86" t="str">
        <f t="shared" si="68"/>
        <v>Igual</v>
      </c>
      <c r="U266" s="86" t="s">
        <v>1563</v>
      </c>
      <c r="V266" s="86" t="s">
        <v>11</v>
      </c>
      <c r="W266" s="87" t="str">
        <f>IFERROR(VLOOKUP(B266,#REF!,11,0),"n/a")</f>
        <v>n/a</v>
      </c>
      <c r="X266" s="87" t="str">
        <f>IFERROR(VLOOKUP(B266,#REF!,8,0),"n/a")</f>
        <v>n/a</v>
      </c>
      <c r="Y266" s="87" t="str">
        <f t="shared" si="74"/>
        <v>ESTR</v>
      </c>
      <c r="Z266" s="131" t="s">
        <v>1605</v>
      </c>
      <c r="AA266" s="227" t="e">
        <f>VLOOKUP(Table1[[#This Row],[CONCAT]],'Campos Resumo Prop2.0'!A:H,8,0)</f>
        <v>#N/A</v>
      </c>
      <c r="AB266" s="87" t="s">
        <v>1655</v>
      </c>
      <c r="AC266" s="135" t="s">
        <v>1625</v>
      </c>
      <c r="AD266" s="91">
        <f>INDEX(Auxiliar!$D$5:$I$10,MATCH('LISTA - Setembro2024'!AD$3,Auxiliar!$B$5:$B$10,0),MATCH('LISTA - Setembro2024'!$AC266,Auxiliar!$D$4:$I$4,0))</f>
        <v>0</v>
      </c>
      <c r="AE266" s="91">
        <f>INDEX(Auxiliar!$D$5:$I$10,MATCH('LISTA - Setembro2024'!AE$3,Auxiliar!$B$5:$B$10,0),MATCH('LISTA - Setembro2024'!$AC266,Auxiliar!$D$4:$I$4,0))</f>
        <v>0</v>
      </c>
      <c r="AF266" s="87">
        <f>INDEX(Auxiliar!$D$5:$I$10,MATCH('LISTA - Setembro2024'!AF$3,Auxiliar!$B$5:$B$10,0),MATCH('LISTA - Setembro2024'!$AC266,Auxiliar!$D$4:$I$4,0))</f>
        <v>0</v>
      </c>
      <c r="AG266" s="87" t="str">
        <f t="shared" si="70"/>
        <v>n.a.</v>
      </c>
      <c r="AH266" s="87">
        <f>INDEX(Auxiliar!$D$5:$I$10,MATCH('LISTA - Setembro2024'!AH$3,Auxiliar!$B$5:$B$10,0),MATCH('LISTA - Setembro2024'!$AG266,Auxiliar!$D$4:$I$4,0))</f>
        <v>0</v>
      </c>
      <c r="AI266" s="87">
        <f>INDEX(Auxiliar!$D$5:$I$10,MATCH('LISTA - Setembro2024'!AI$3,Auxiliar!$B$5:$B$10,0),MATCH('LISTA - Setembro2024'!$AC266,Auxiliar!$D$4:$I$4,0))</f>
        <v>0</v>
      </c>
      <c r="AJ266" s="87">
        <f>INDEX(Auxiliar!$D$5:$I$10,MATCH('LISTA - Setembro2024'!AJ$3,Auxiliar!$B$5:$B$10,0),MATCH('LISTA - Setembro2024'!$AC266,Auxiliar!$D$4:$I$4,0))</f>
        <v>0</v>
      </c>
      <c r="AK266" s="160">
        <f t="shared" si="73"/>
        <v>0</v>
      </c>
      <c r="AL266" s="87"/>
    </row>
    <row r="267" spans="1:38" ht="13.8" x14ac:dyDescent="0.25">
      <c r="A267" s="158" t="s">
        <v>666</v>
      </c>
      <c r="B267" s="81" t="str">
        <f t="shared" si="71"/>
        <v>INSTRUMENT_ARRRS_INSTRMNT</v>
      </c>
      <c r="C267" s="82" t="s">
        <v>414</v>
      </c>
      <c r="D267" s="83" t="s">
        <v>667</v>
      </c>
      <c r="E267" s="84" t="s">
        <v>668</v>
      </c>
      <c r="F267" s="85" t="s">
        <v>13</v>
      </c>
      <c r="G267" s="85" t="s">
        <v>11</v>
      </c>
      <c r="H267" s="85" t="s">
        <v>11</v>
      </c>
      <c r="I267" s="85" t="s">
        <v>11</v>
      </c>
      <c r="J267" s="85" t="s">
        <v>11</v>
      </c>
      <c r="K267" s="85" t="s">
        <v>13</v>
      </c>
      <c r="L267" s="86" t="str">
        <f>IFERROR(VLOOKUP($B267,'LISTA - Atual'!$B$1:$I$444,5,0),"Novo")</f>
        <v>Y</v>
      </c>
      <c r="M267" s="86" t="str">
        <f t="shared" si="65"/>
        <v>Igual</v>
      </c>
      <c r="N267" s="86" t="str">
        <f>IFERROR(VLOOKUP($B267,'LISTA - Atual'!$B$1:$I$444,6,0),"Novo")</f>
        <v>N</v>
      </c>
      <c r="O267" s="86" t="str">
        <f t="shared" si="66"/>
        <v>Igual</v>
      </c>
      <c r="P267" s="86" t="str">
        <f>IFERROR(VLOOKUP($B267,'LISTA - Atual'!$B$1:$I$444,7,0),"Novo")</f>
        <v>N</v>
      </c>
      <c r="Q267" s="86" t="str">
        <f t="shared" si="67"/>
        <v>Igual</v>
      </c>
      <c r="R267" s="86" t="s">
        <v>1563</v>
      </c>
      <c r="S267" s="86" t="str">
        <f>IFERROR(VLOOKUP($B267,'LISTA - Atual'!$B$1:$I$444,8,0),"Novo")</f>
        <v>N</v>
      </c>
      <c r="T267" s="86" t="str">
        <f t="shared" si="68"/>
        <v>Igual</v>
      </c>
      <c r="U267" s="86" t="s">
        <v>1563</v>
      </c>
      <c r="V267" s="86" t="s">
        <v>11</v>
      </c>
      <c r="W267" s="87" t="str">
        <f>IFERROR(VLOOKUP(B267,#REF!,11,0),"n/a")</f>
        <v>n/a</v>
      </c>
      <c r="X267" s="87" t="str">
        <f>IFERROR(VLOOKUP(B267,#REF!,8,0),"n/a")</f>
        <v>n/a</v>
      </c>
      <c r="Y267" s="87" t="str">
        <f t="shared" si="74"/>
        <v>ESTR</v>
      </c>
      <c r="Z267" s="131" t="s">
        <v>1605</v>
      </c>
      <c r="AA267" s="227" t="e">
        <f>VLOOKUP(Table1[[#This Row],[CONCAT]],'Campos Resumo Prop2.0'!A:H,8,0)</f>
        <v>#N/A</v>
      </c>
      <c r="AB267" s="87" t="s">
        <v>1655</v>
      </c>
      <c r="AC267" s="135" t="s">
        <v>1625</v>
      </c>
      <c r="AD267" s="91">
        <f>INDEX(Auxiliar!$D$5:$I$10,MATCH('LISTA - Setembro2024'!AD$3,Auxiliar!$B$5:$B$10,0),MATCH('LISTA - Setembro2024'!$AC267,Auxiliar!$D$4:$I$4,0))</f>
        <v>0</v>
      </c>
      <c r="AE267" s="91">
        <f>INDEX(Auxiliar!$D$5:$I$10,MATCH('LISTA - Setembro2024'!AE$3,Auxiliar!$B$5:$B$10,0),MATCH('LISTA - Setembro2024'!$AC267,Auxiliar!$D$4:$I$4,0))</f>
        <v>0</v>
      </c>
      <c r="AF267" s="87">
        <f>INDEX(Auxiliar!$D$5:$I$10,MATCH('LISTA - Setembro2024'!AF$3,Auxiliar!$B$5:$B$10,0),MATCH('LISTA - Setembro2024'!$AC267,Auxiliar!$D$4:$I$4,0))</f>
        <v>0</v>
      </c>
      <c r="AG267" s="87" t="str">
        <f t="shared" si="70"/>
        <v>n.a.</v>
      </c>
      <c r="AH267" s="87">
        <f>INDEX(Auxiliar!$D$5:$I$10,MATCH('LISTA - Setembro2024'!AH$3,Auxiliar!$B$5:$B$10,0),MATCH('LISTA - Setembro2024'!$AG267,Auxiliar!$D$4:$I$4,0))</f>
        <v>0</v>
      </c>
      <c r="AI267" s="87">
        <f>INDEX(Auxiliar!$D$5:$I$10,MATCH('LISTA - Setembro2024'!AI$3,Auxiliar!$B$5:$B$10,0),MATCH('LISTA - Setembro2024'!$AC267,Auxiliar!$D$4:$I$4,0))</f>
        <v>0</v>
      </c>
      <c r="AJ267" s="87">
        <f>INDEX(Auxiliar!$D$5:$I$10,MATCH('LISTA - Setembro2024'!AJ$3,Auxiliar!$B$5:$B$10,0),MATCH('LISTA - Setembro2024'!$AC267,Auxiliar!$D$4:$I$4,0))</f>
        <v>0</v>
      </c>
      <c r="AK267" s="160">
        <f t="shared" si="73"/>
        <v>0</v>
      </c>
      <c r="AL267" s="87"/>
    </row>
    <row r="268" spans="1:38" ht="13.8" x14ac:dyDescent="0.25">
      <c r="A268" s="158" t="s">
        <v>669</v>
      </c>
      <c r="B268" s="81" t="str">
        <f t="shared" si="71"/>
        <v>INSTRUMENT_ARRRS_INSTRMNT_12M</v>
      </c>
      <c r="C268" s="82" t="s">
        <v>414</v>
      </c>
      <c r="D268" s="83" t="s">
        <v>670</v>
      </c>
      <c r="E268" s="84" t="s">
        <v>671</v>
      </c>
      <c r="F268" s="85" t="s">
        <v>13</v>
      </c>
      <c r="G268" s="85" t="s">
        <v>11</v>
      </c>
      <c r="H268" s="85" t="s">
        <v>11</v>
      </c>
      <c r="I268" s="85" t="s">
        <v>11</v>
      </c>
      <c r="J268" s="85" t="s">
        <v>11</v>
      </c>
      <c r="K268" s="85" t="s">
        <v>11</v>
      </c>
      <c r="L268" s="86" t="str">
        <f>IFERROR(VLOOKUP($B268,'LISTA - Atual'!$B$1:$I$444,5,0),"Novo")</f>
        <v>Y</v>
      </c>
      <c r="M268" s="86" t="str">
        <f t="shared" si="65"/>
        <v>Igual</v>
      </c>
      <c r="N268" s="86" t="str">
        <f>IFERROR(VLOOKUP($B268,'LISTA - Atual'!$B$1:$I$444,6,0),"Novo")</f>
        <v>N</v>
      </c>
      <c r="O268" s="86" t="str">
        <f t="shared" si="66"/>
        <v>Igual</v>
      </c>
      <c r="P268" s="86" t="str">
        <f>IFERROR(VLOOKUP($B268,'LISTA - Atual'!$B$1:$I$444,7,0),"Novo")</f>
        <v>N</v>
      </c>
      <c r="Q268" s="86" t="str">
        <f t="shared" si="67"/>
        <v>Igual</v>
      </c>
      <c r="R268" s="86" t="s">
        <v>1563</v>
      </c>
      <c r="S268" s="86" t="str">
        <f>IFERROR(VLOOKUP($B268,'LISTA - Atual'!$B$1:$I$444,8,0),"Novo")</f>
        <v>N</v>
      </c>
      <c r="T268" s="86" t="str">
        <f t="shared" si="68"/>
        <v>Igual</v>
      </c>
      <c r="U268" s="86" t="s">
        <v>1563</v>
      </c>
      <c r="V268" s="86" t="s">
        <v>11</v>
      </c>
      <c r="W268" s="87" t="str">
        <f>IFERROR(VLOOKUP(B268,#REF!,11,0),"n/a")</f>
        <v>n/a</v>
      </c>
      <c r="X268" s="87" t="str">
        <f>IFERROR(VLOOKUP(B268,#REF!,8,0),"n/a")</f>
        <v>n/a</v>
      </c>
      <c r="Y268" s="87" t="str">
        <f t="shared" si="74"/>
        <v>ESTR</v>
      </c>
      <c r="Z268" s="131" t="s">
        <v>1605</v>
      </c>
      <c r="AA268" s="227" t="e">
        <f>VLOOKUP(Table1[[#This Row],[CONCAT]],'Campos Resumo Prop2.0'!A:H,8,0)</f>
        <v>#N/A</v>
      </c>
      <c r="AB268" s="87" t="s">
        <v>1655</v>
      </c>
      <c r="AC268" s="135" t="s">
        <v>1625</v>
      </c>
      <c r="AD268" s="91">
        <f>INDEX(Auxiliar!$D$5:$I$10,MATCH('LISTA - Setembro2024'!AD$3,Auxiliar!$B$5:$B$10,0),MATCH('LISTA - Setembro2024'!$AC268,Auxiliar!$D$4:$I$4,0))</f>
        <v>0</v>
      </c>
      <c r="AE268" s="91">
        <f>INDEX(Auxiliar!$D$5:$I$10,MATCH('LISTA - Setembro2024'!AE$3,Auxiliar!$B$5:$B$10,0),MATCH('LISTA - Setembro2024'!$AC268,Auxiliar!$D$4:$I$4,0))</f>
        <v>0</v>
      </c>
      <c r="AF268" s="87">
        <f>INDEX(Auxiliar!$D$5:$I$10,MATCH('LISTA - Setembro2024'!AF$3,Auxiliar!$B$5:$B$10,0),MATCH('LISTA - Setembro2024'!$AC268,Auxiliar!$D$4:$I$4,0))</f>
        <v>0</v>
      </c>
      <c r="AG268" s="87" t="str">
        <f t="shared" si="70"/>
        <v>n.a.</v>
      </c>
      <c r="AH268" s="87">
        <f>INDEX(Auxiliar!$D$5:$I$10,MATCH('LISTA - Setembro2024'!AH$3,Auxiliar!$B$5:$B$10,0),MATCH('LISTA - Setembro2024'!$AG268,Auxiliar!$D$4:$I$4,0))</f>
        <v>0</v>
      </c>
      <c r="AI268" s="87">
        <f>INDEX(Auxiliar!$D$5:$I$10,MATCH('LISTA - Setembro2024'!AI$3,Auxiliar!$B$5:$B$10,0),MATCH('LISTA - Setembro2024'!$AC268,Auxiliar!$D$4:$I$4,0))</f>
        <v>0</v>
      </c>
      <c r="AJ268" s="87">
        <f>INDEX(Auxiliar!$D$5:$I$10,MATCH('LISTA - Setembro2024'!AJ$3,Auxiliar!$B$5:$B$10,0),MATCH('LISTA - Setembro2024'!$AC268,Auxiliar!$D$4:$I$4,0))</f>
        <v>0</v>
      </c>
      <c r="AK268" s="160">
        <f t="shared" si="73"/>
        <v>0</v>
      </c>
      <c r="AL268" s="87"/>
    </row>
    <row r="269" spans="1:38" ht="13.8" x14ac:dyDescent="0.25">
      <c r="A269" s="158" t="s">
        <v>672</v>
      </c>
      <c r="B269" s="81" t="str">
        <f t="shared" si="71"/>
        <v>INSTRUMENT_CMLTV_RCVRS_SNC_DFLT_INSTRMNT</v>
      </c>
      <c r="C269" s="82" t="s">
        <v>414</v>
      </c>
      <c r="D269" s="83" t="s">
        <v>673</v>
      </c>
      <c r="E269" s="84" t="s">
        <v>674</v>
      </c>
      <c r="F269" s="85" t="s">
        <v>13</v>
      </c>
      <c r="G269" s="85" t="s">
        <v>11</v>
      </c>
      <c r="H269" s="85" t="s">
        <v>11</v>
      </c>
      <c r="I269" s="85" t="s">
        <v>11</v>
      </c>
      <c r="J269" s="85" t="s">
        <v>11</v>
      </c>
      <c r="K269" s="85" t="s">
        <v>11</v>
      </c>
      <c r="L269" s="86" t="str">
        <f>IFERROR(VLOOKUP($B269,'LISTA - Atual'!$B$1:$I$444,5,0),"Novo")</f>
        <v>Y</v>
      </c>
      <c r="M269" s="86" t="str">
        <f t="shared" si="65"/>
        <v>Igual</v>
      </c>
      <c r="N269" s="86" t="str">
        <f>IFERROR(VLOOKUP($B269,'LISTA - Atual'!$B$1:$I$444,6,0),"Novo")</f>
        <v>N</v>
      </c>
      <c r="O269" s="86" t="str">
        <f t="shared" si="66"/>
        <v>Igual</v>
      </c>
      <c r="P269" s="86" t="str">
        <f>IFERROR(VLOOKUP($B269,'LISTA - Atual'!$B$1:$I$444,7,0),"Novo")</f>
        <v>N</v>
      </c>
      <c r="Q269" s="86" t="str">
        <f t="shared" si="67"/>
        <v>Igual</v>
      </c>
      <c r="R269" s="86" t="s">
        <v>1563</v>
      </c>
      <c r="S269" s="86" t="str">
        <f>IFERROR(VLOOKUP($B269,'LISTA - Atual'!$B$1:$I$444,8,0),"Novo")</f>
        <v>N</v>
      </c>
      <c r="T269" s="86" t="str">
        <f t="shared" si="68"/>
        <v>Igual</v>
      </c>
      <c r="U269" s="86" t="s">
        <v>1563</v>
      </c>
      <c r="V269" s="86" t="s">
        <v>11</v>
      </c>
      <c r="W269" s="87" t="str">
        <f>IFERROR(VLOOKUP(B269,#REF!,11,0),"n/a")</f>
        <v>n/a</v>
      </c>
      <c r="X269" s="87" t="str">
        <f>IFERROR(VLOOKUP(B269,#REF!,8,0),"n/a")</f>
        <v>n/a</v>
      </c>
      <c r="Y269" s="87" t="str">
        <f t="shared" si="74"/>
        <v>ESTR</v>
      </c>
      <c r="Z269" s="131" t="s">
        <v>1605</v>
      </c>
      <c r="AA269" s="227" t="e">
        <f>VLOOKUP(Table1[[#This Row],[CONCAT]],'Campos Resumo Prop2.0'!A:H,8,0)</f>
        <v>#N/A</v>
      </c>
      <c r="AB269" s="87" t="s">
        <v>1655</v>
      </c>
      <c r="AC269" s="135" t="s">
        <v>1625</v>
      </c>
      <c r="AD269" s="91">
        <f>INDEX(Auxiliar!$D$5:$I$10,MATCH('LISTA - Setembro2024'!AD$3,Auxiliar!$B$5:$B$10,0),MATCH('LISTA - Setembro2024'!$AC269,Auxiliar!$D$4:$I$4,0))</f>
        <v>0</v>
      </c>
      <c r="AE269" s="91">
        <f>INDEX(Auxiliar!$D$5:$I$10,MATCH('LISTA - Setembro2024'!AE$3,Auxiliar!$B$5:$B$10,0),MATCH('LISTA - Setembro2024'!$AC269,Auxiliar!$D$4:$I$4,0))</f>
        <v>0</v>
      </c>
      <c r="AF269" s="87">
        <f>INDEX(Auxiliar!$D$5:$I$10,MATCH('LISTA - Setembro2024'!AF$3,Auxiliar!$B$5:$B$10,0),MATCH('LISTA - Setembro2024'!$AC269,Auxiliar!$D$4:$I$4,0))</f>
        <v>0</v>
      </c>
      <c r="AG269" s="87" t="str">
        <f t="shared" si="70"/>
        <v>n.a.</v>
      </c>
      <c r="AH269" s="87">
        <f>INDEX(Auxiliar!$D$5:$I$10,MATCH('LISTA - Setembro2024'!AH$3,Auxiliar!$B$5:$B$10,0),MATCH('LISTA - Setembro2024'!$AG269,Auxiliar!$D$4:$I$4,0))</f>
        <v>0</v>
      </c>
      <c r="AI269" s="87">
        <f>INDEX(Auxiliar!$D$5:$I$10,MATCH('LISTA - Setembro2024'!AI$3,Auxiliar!$B$5:$B$10,0),MATCH('LISTA - Setembro2024'!$AC269,Auxiliar!$D$4:$I$4,0))</f>
        <v>0</v>
      </c>
      <c r="AJ269" s="87">
        <f>INDEX(Auxiliar!$D$5:$I$10,MATCH('LISTA - Setembro2024'!AJ$3,Auxiliar!$B$5:$B$10,0),MATCH('LISTA - Setembro2024'!$AC269,Auxiliar!$D$4:$I$4,0))</f>
        <v>0</v>
      </c>
      <c r="AK269" s="160">
        <f t="shared" si="73"/>
        <v>0</v>
      </c>
      <c r="AL269" s="87"/>
    </row>
    <row r="270" spans="1:38" ht="13.8" x14ac:dyDescent="0.25">
      <c r="A270" s="158" t="s">
        <v>675</v>
      </c>
      <c r="B270" s="81" t="str">
        <f t="shared" si="71"/>
        <v>INSTRUMENT_DPD</v>
      </c>
      <c r="C270" s="82" t="s">
        <v>414</v>
      </c>
      <c r="D270" s="83" t="s">
        <v>676</v>
      </c>
      <c r="E270" s="84" t="s">
        <v>677</v>
      </c>
      <c r="F270" s="85" t="s">
        <v>13</v>
      </c>
      <c r="G270" s="85" t="s">
        <v>11</v>
      </c>
      <c r="H270" s="85" t="s">
        <v>11</v>
      </c>
      <c r="I270" s="85" t="s">
        <v>11</v>
      </c>
      <c r="J270" s="85" t="s">
        <v>11</v>
      </c>
      <c r="K270" s="85" t="s">
        <v>13</v>
      </c>
      <c r="L270" s="86" t="str">
        <f>IFERROR(VLOOKUP($B270,'LISTA - Atual'!$B$1:$I$444,5,0),"Novo")</f>
        <v>Y</v>
      </c>
      <c r="M270" s="86" t="str">
        <f t="shared" si="65"/>
        <v>Igual</v>
      </c>
      <c r="N270" s="86" t="str">
        <f>IFERROR(VLOOKUP($B270,'LISTA - Atual'!$B$1:$I$444,6,0),"Novo")</f>
        <v>N</v>
      </c>
      <c r="O270" s="86" t="str">
        <f t="shared" si="66"/>
        <v>Igual</v>
      </c>
      <c r="P270" s="86" t="str">
        <f>IFERROR(VLOOKUP($B270,'LISTA - Atual'!$B$1:$I$444,7,0),"Novo")</f>
        <v>N</v>
      </c>
      <c r="Q270" s="86" t="str">
        <f t="shared" si="67"/>
        <v>Igual</v>
      </c>
      <c r="R270" s="86" t="s">
        <v>1563</v>
      </c>
      <c r="S270" s="86" t="str">
        <f>IFERROR(VLOOKUP($B270,'LISTA - Atual'!$B$1:$I$444,8,0),"Novo")</f>
        <v>N</v>
      </c>
      <c r="T270" s="86" t="str">
        <f t="shared" si="68"/>
        <v>Igual</v>
      </c>
      <c r="U270" s="86" t="s">
        <v>1563</v>
      </c>
      <c r="V270" s="86" t="s">
        <v>11</v>
      </c>
      <c r="W270" s="87" t="str">
        <f>IFERROR(VLOOKUP(B270,#REF!,11,0),"n/a")</f>
        <v>n/a</v>
      </c>
      <c r="X270" s="87" t="str">
        <f>IFERROR(VLOOKUP(B270,#REF!,8,0),"n/a")</f>
        <v>n/a</v>
      </c>
      <c r="Y270" s="87" t="str">
        <f t="shared" si="74"/>
        <v>ESTR</v>
      </c>
      <c r="Z270" s="131" t="s">
        <v>1605</v>
      </c>
      <c r="AA270" s="227" t="e">
        <f>VLOOKUP(Table1[[#This Row],[CONCAT]],'Campos Resumo Prop2.0'!A:H,8,0)</f>
        <v>#N/A</v>
      </c>
      <c r="AB270" s="87" t="s">
        <v>1658</v>
      </c>
      <c r="AC270" s="135" t="s">
        <v>1625</v>
      </c>
      <c r="AD270" s="91">
        <f>INDEX(Auxiliar!$D$5:$I$10,MATCH('LISTA - Setembro2024'!AD$3,Auxiliar!$B$5:$B$10,0),MATCH('LISTA - Setembro2024'!$AC270,Auxiliar!$D$4:$I$4,0))</f>
        <v>0</v>
      </c>
      <c r="AE270" s="91">
        <f>INDEX(Auxiliar!$D$5:$I$10,MATCH('LISTA - Setembro2024'!AE$3,Auxiliar!$B$5:$B$10,0),MATCH('LISTA - Setembro2024'!$AC270,Auxiliar!$D$4:$I$4,0))</f>
        <v>0</v>
      </c>
      <c r="AF270" s="87">
        <f>INDEX(Auxiliar!$D$5:$I$10,MATCH('LISTA - Setembro2024'!AF$3,Auxiliar!$B$5:$B$10,0),MATCH('LISTA - Setembro2024'!$AC270,Auxiliar!$D$4:$I$4,0))</f>
        <v>0</v>
      </c>
      <c r="AG270" s="87" t="str">
        <f t="shared" si="70"/>
        <v>n.a.</v>
      </c>
      <c r="AH270" s="87">
        <f>INDEX(Auxiliar!$D$5:$I$10,MATCH('LISTA - Setembro2024'!AH$3,Auxiliar!$B$5:$B$10,0),MATCH('LISTA - Setembro2024'!$AG270,Auxiliar!$D$4:$I$4,0))</f>
        <v>0</v>
      </c>
      <c r="AI270" s="87">
        <f>INDEX(Auxiliar!$D$5:$I$10,MATCH('LISTA - Setembro2024'!AI$3,Auxiliar!$B$5:$B$10,0),MATCH('LISTA - Setembro2024'!$AC270,Auxiliar!$D$4:$I$4,0))</f>
        <v>0</v>
      </c>
      <c r="AJ270" s="87">
        <f>INDEX(Auxiliar!$D$5:$I$10,MATCH('LISTA - Setembro2024'!AJ$3,Auxiliar!$B$5:$B$10,0),MATCH('LISTA - Setembro2024'!$AC270,Auxiliar!$D$4:$I$4,0))</f>
        <v>0</v>
      </c>
      <c r="AK270" s="160">
        <f t="shared" si="73"/>
        <v>0</v>
      </c>
      <c r="AL270" s="87"/>
    </row>
    <row r="271" spans="1:38" ht="13.8" x14ac:dyDescent="0.25">
      <c r="A271" s="158" t="s">
        <v>678</v>
      </c>
      <c r="B271" s="81" t="str">
        <f t="shared" si="71"/>
        <v>INSTRUMENT_DPD_12M</v>
      </c>
      <c r="C271" s="82" t="s">
        <v>414</v>
      </c>
      <c r="D271" s="83" t="s">
        <v>679</v>
      </c>
      <c r="E271" s="84" t="s">
        <v>680</v>
      </c>
      <c r="F271" s="85" t="s">
        <v>13</v>
      </c>
      <c r="G271" s="85" t="s">
        <v>11</v>
      </c>
      <c r="H271" s="85" t="s">
        <v>11</v>
      </c>
      <c r="I271" s="85" t="s">
        <v>11</v>
      </c>
      <c r="J271" s="85" t="s">
        <v>11</v>
      </c>
      <c r="K271" s="85" t="s">
        <v>11</v>
      </c>
      <c r="L271" s="86" t="str">
        <f>IFERROR(VLOOKUP($B271,'LISTA - Atual'!$B$1:$I$444,5,0),"Novo")</f>
        <v>Y</v>
      </c>
      <c r="M271" s="86" t="str">
        <f t="shared" si="65"/>
        <v>Igual</v>
      </c>
      <c r="N271" s="86" t="str">
        <f>IFERROR(VLOOKUP($B271,'LISTA - Atual'!$B$1:$I$444,6,0),"Novo")</f>
        <v>N</v>
      </c>
      <c r="O271" s="86" t="str">
        <f t="shared" si="66"/>
        <v>Igual</v>
      </c>
      <c r="P271" s="86" t="str">
        <f>IFERROR(VLOOKUP($B271,'LISTA - Atual'!$B$1:$I$444,7,0),"Novo")</f>
        <v>N</v>
      </c>
      <c r="Q271" s="86" t="str">
        <f t="shared" si="67"/>
        <v>Igual</v>
      </c>
      <c r="R271" s="86" t="s">
        <v>1563</v>
      </c>
      <c r="S271" s="86" t="str">
        <f>IFERROR(VLOOKUP($B271,'LISTA - Atual'!$B$1:$I$444,8,0),"Novo")</f>
        <v>N</v>
      </c>
      <c r="T271" s="86" t="str">
        <f t="shared" si="68"/>
        <v>Igual</v>
      </c>
      <c r="U271" s="86" t="s">
        <v>1563</v>
      </c>
      <c r="V271" s="86" t="s">
        <v>11</v>
      </c>
      <c r="W271" s="87" t="str">
        <f>IFERROR(VLOOKUP(B271,#REF!,11,0),"n/a")</f>
        <v>n/a</v>
      </c>
      <c r="X271" s="87" t="str">
        <f>IFERROR(VLOOKUP(B271,#REF!,8,0),"n/a")</f>
        <v>n/a</v>
      </c>
      <c r="Y271" s="87" t="str">
        <f t="shared" si="74"/>
        <v>ESTR</v>
      </c>
      <c r="Z271" s="131" t="s">
        <v>1605</v>
      </c>
      <c r="AA271" s="227" t="e">
        <f>VLOOKUP(Table1[[#This Row],[CONCAT]],'Campos Resumo Prop2.0'!A:H,8,0)</f>
        <v>#N/A</v>
      </c>
      <c r="AB271" s="87" t="s">
        <v>1658</v>
      </c>
      <c r="AC271" s="135" t="s">
        <v>1625</v>
      </c>
      <c r="AD271" s="91">
        <f>INDEX(Auxiliar!$D$5:$I$10,MATCH('LISTA - Setembro2024'!AD$3,Auxiliar!$B$5:$B$10,0),MATCH('LISTA - Setembro2024'!$AC271,Auxiliar!$D$4:$I$4,0))</f>
        <v>0</v>
      </c>
      <c r="AE271" s="91">
        <f>INDEX(Auxiliar!$D$5:$I$10,MATCH('LISTA - Setembro2024'!AE$3,Auxiliar!$B$5:$B$10,0),MATCH('LISTA - Setembro2024'!$AC271,Auxiliar!$D$4:$I$4,0))</f>
        <v>0</v>
      </c>
      <c r="AF271" s="87">
        <f>INDEX(Auxiliar!$D$5:$I$10,MATCH('LISTA - Setembro2024'!AF$3,Auxiliar!$B$5:$B$10,0),MATCH('LISTA - Setembro2024'!$AC271,Auxiliar!$D$4:$I$4,0))</f>
        <v>0</v>
      </c>
      <c r="AG271" s="87" t="str">
        <f t="shared" si="70"/>
        <v>n.a.</v>
      </c>
      <c r="AH271" s="87">
        <f>INDEX(Auxiliar!$D$5:$I$10,MATCH('LISTA - Setembro2024'!AH$3,Auxiliar!$B$5:$B$10,0),MATCH('LISTA - Setembro2024'!$AG271,Auxiliar!$D$4:$I$4,0))</f>
        <v>0</v>
      </c>
      <c r="AI271" s="87">
        <f>INDEX(Auxiliar!$D$5:$I$10,MATCH('LISTA - Setembro2024'!AI$3,Auxiliar!$B$5:$B$10,0),MATCH('LISTA - Setembro2024'!$AC271,Auxiliar!$D$4:$I$4,0))</f>
        <v>0</v>
      </c>
      <c r="AJ271" s="87">
        <f>INDEX(Auxiliar!$D$5:$I$10,MATCH('LISTA - Setembro2024'!AJ$3,Auxiliar!$B$5:$B$10,0),MATCH('LISTA - Setembro2024'!$AC271,Auxiliar!$D$4:$I$4,0))</f>
        <v>0</v>
      </c>
      <c r="AK271" s="160">
        <f t="shared" si="73"/>
        <v>0</v>
      </c>
      <c r="AL271" s="87"/>
    </row>
    <row r="272" spans="1:38" ht="13.8" x14ac:dyDescent="0.25">
      <c r="A272" s="158" t="s">
        <v>681</v>
      </c>
      <c r="B272" s="81" t="str">
        <f t="shared" si="71"/>
        <v>INSTRUMENT_DPD_12M_FRBRNC_STTS</v>
      </c>
      <c r="C272" s="82" t="s">
        <v>414</v>
      </c>
      <c r="D272" s="83" t="s">
        <v>682</v>
      </c>
      <c r="E272" s="84" t="s">
        <v>683</v>
      </c>
      <c r="F272" s="85" t="s">
        <v>13</v>
      </c>
      <c r="G272" s="85" t="s">
        <v>11</v>
      </c>
      <c r="H272" s="85" t="s">
        <v>11</v>
      </c>
      <c r="I272" s="85" t="s">
        <v>11</v>
      </c>
      <c r="J272" s="85" t="s">
        <v>11</v>
      </c>
      <c r="K272" s="85" t="s">
        <v>11</v>
      </c>
      <c r="L272" s="86" t="str">
        <f>IFERROR(VLOOKUP($B272,'LISTA - Atual'!$B$1:$I$444,5,0),"Novo")</f>
        <v>Y</v>
      </c>
      <c r="M272" s="86" t="str">
        <f t="shared" si="65"/>
        <v>Igual</v>
      </c>
      <c r="N272" s="86" t="str">
        <f>IFERROR(VLOOKUP($B272,'LISTA - Atual'!$B$1:$I$444,6,0),"Novo")</f>
        <v>N</v>
      </c>
      <c r="O272" s="86" t="str">
        <f t="shared" si="66"/>
        <v>Igual</v>
      </c>
      <c r="P272" s="86" t="str">
        <f>IFERROR(VLOOKUP($B272,'LISTA - Atual'!$B$1:$I$444,7,0),"Novo")</f>
        <v>N</v>
      </c>
      <c r="Q272" s="86" t="str">
        <f t="shared" si="67"/>
        <v>Igual</v>
      </c>
      <c r="R272" s="86" t="s">
        <v>1563</v>
      </c>
      <c r="S272" s="86" t="str">
        <f>IFERROR(VLOOKUP($B272,'LISTA - Atual'!$B$1:$I$444,8,0),"Novo")</f>
        <v>N</v>
      </c>
      <c r="T272" s="86" t="str">
        <f t="shared" si="68"/>
        <v>Igual</v>
      </c>
      <c r="U272" s="86" t="s">
        <v>1563</v>
      </c>
      <c r="V272" s="86" t="s">
        <v>11</v>
      </c>
      <c r="W272" s="87" t="str">
        <f>IFERROR(VLOOKUP(B272,#REF!,11,0),"n/a")</f>
        <v>n/a</v>
      </c>
      <c r="X272" s="87" t="str">
        <f>IFERROR(VLOOKUP(B272,#REF!,8,0),"n/a")</f>
        <v>n/a</v>
      </c>
      <c r="Y272" s="87" t="str">
        <f t="shared" si="74"/>
        <v>ESTR</v>
      </c>
      <c r="Z272" s="131" t="s">
        <v>1605</v>
      </c>
      <c r="AA272" s="227" t="e">
        <f>VLOOKUP(Table1[[#This Row],[CONCAT]],'Campos Resumo Prop2.0'!A:H,8,0)</f>
        <v>#N/A</v>
      </c>
      <c r="AB272" s="87" t="s">
        <v>1658</v>
      </c>
      <c r="AC272" s="135" t="s">
        <v>1625</v>
      </c>
      <c r="AD272" s="91">
        <f>INDEX(Auxiliar!$D$5:$I$10,MATCH('LISTA - Setembro2024'!AD$3,Auxiliar!$B$5:$B$10,0),MATCH('LISTA - Setembro2024'!$AC272,Auxiliar!$D$4:$I$4,0))</f>
        <v>0</v>
      </c>
      <c r="AE272" s="91">
        <f>INDEX(Auxiliar!$D$5:$I$10,MATCH('LISTA - Setembro2024'!AE$3,Auxiliar!$B$5:$B$10,0),MATCH('LISTA - Setembro2024'!$AC272,Auxiliar!$D$4:$I$4,0))</f>
        <v>0</v>
      </c>
      <c r="AF272" s="87">
        <f>INDEX(Auxiliar!$D$5:$I$10,MATCH('LISTA - Setembro2024'!AF$3,Auxiliar!$B$5:$B$10,0),MATCH('LISTA - Setembro2024'!$AC272,Auxiliar!$D$4:$I$4,0))</f>
        <v>0</v>
      </c>
      <c r="AG272" s="87" t="str">
        <f t="shared" si="70"/>
        <v>n.a.</v>
      </c>
      <c r="AH272" s="87">
        <f>INDEX(Auxiliar!$D$5:$I$10,MATCH('LISTA - Setembro2024'!AH$3,Auxiliar!$B$5:$B$10,0),MATCH('LISTA - Setembro2024'!$AG272,Auxiliar!$D$4:$I$4,0))</f>
        <v>0</v>
      </c>
      <c r="AI272" s="87">
        <f>INDEX(Auxiliar!$D$5:$I$10,MATCH('LISTA - Setembro2024'!AI$3,Auxiliar!$B$5:$B$10,0),MATCH('LISTA - Setembro2024'!$AC272,Auxiliar!$D$4:$I$4,0))</f>
        <v>0</v>
      </c>
      <c r="AJ272" s="87">
        <f>INDEX(Auxiliar!$D$5:$I$10,MATCH('LISTA - Setembro2024'!AJ$3,Auxiliar!$B$5:$B$10,0),MATCH('LISTA - Setembro2024'!$AC272,Auxiliar!$D$4:$I$4,0))</f>
        <v>0</v>
      </c>
      <c r="AK272" s="160">
        <f t="shared" si="73"/>
        <v>0</v>
      </c>
      <c r="AL272" s="87"/>
    </row>
    <row r="273" spans="1:38" ht="13.8" x14ac:dyDescent="0.25">
      <c r="A273" s="158" t="s">
        <v>684</v>
      </c>
      <c r="B273" s="81" t="str">
        <f t="shared" si="71"/>
        <v>INSTRUMENT_DPD_12M_PRFRMNG_STTS</v>
      </c>
      <c r="C273" s="82" t="s">
        <v>414</v>
      </c>
      <c r="D273" s="83" t="s">
        <v>685</v>
      </c>
      <c r="E273" s="84" t="s">
        <v>686</v>
      </c>
      <c r="F273" s="85" t="s">
        <v>13</v>
      </c>
      <c r="G273" s="85" t="s">
        <v>11</v>
      </c>
      <c r="H273" s="85" t="s">
        <v>11</v>
      </c>
      <c r="I273" s="85" t="s">
        <v>11</v>
      </c>
      <c r="J273" s="85" t="s">
        <v>11</v>
      </c>
      <c r="K273" s="85" t="s">
        <v>11</v>
      </c>
      <c r="L273" s="86" t="str">
        <f>IFERROR(VLOOKUP($B273,'LISTA - Atual'!$B$1:$I$444,5,0),"Novo")</f>
        <v>Y</v>
      </c>
      <c r="M273" s="86" t="str">
        <f t="shared" si="65"/>
        <v>Igual</v>
      </c>
      <c r="N273" s="86" t="str">
        <f>IFERROR(VLOOKUP($B273,'LISTA - Atual'!$B$1:$I$444,6,0),"Novo")</f>
        <v>N</v>
      </c>
      <c r="O273" s="86" t="str">
        <f t="shared" si="66"/>
        <v>Igual</v>
      </c>
      <c r="P273" s="86" t="str">
        <f>IFERROR(VLOOKUP($B273,'LISTA - Atual'!$B$1:$I$444,7,0),"Novo")</f>
        <v>N</v>
      </c>
      <c r="Q273" s="86" t="str">
        <f t="shared" si="67"/>
        <v>Igual</v>
      </c>
      <c r="R273" s="86" t="s">
        <v>1563</v>
      </c>
      <c r="S273" s="86" t="str">
        <f>IFERROR(VLOOKUP($B273,'LISTA - Atual'!$B$1:$I$444,8,0),"Novo")</f>
        <v>N</v>
      </c>
      <c r="T273" s="86" t="str">
        <f t="shared" si="68"/>
        <v>Igual</v>
      </c>
      <c r="U273" s="86" t="s">
        <v>1563</v>
      </c>
      <c r="V273" s="86" t="s">
        <v>11</v>
      </c>
      <c r="W273" s="87" t="str">
        <f>IFERROR(VLOOKUP(B273,#REF!,11,0),"n/a")</f>
        <v>n/a</v>
      </c>
      <c r="X273" s="87" t="str">
        <f>IFERROR(VLOOKUP(B273,#REF!,8,0),"n/a")</f>
        <v>n/a</v>
      </c>
      <c r="Y273" s="87" t="str">
        <f t="shared" si="74"/>
        <v>ESTR</v>
      </c>
      <c r="Z273" s="131" t="s">
        <v>1605</v>
      </c>
      <c r="AA273" s="227" t="e">
        <f>VLOOKUP(Table1[[#This Row],[CONCAT]],'Campos Resumo Prop2.0'!A:H,8,0)</f>
        <v>#N/A</v>
      </c>
      <c r="AB273" s="87" t="s">
        <v>1658</v>
      </c>
      <c r="AC273" s="135" t="s">
        <v>1625</v>
      </c>
      <c r="AD273" s="91">
        <f>INDEX(Auxiliar!$D$5:$I$10,MATCH('LISTA - Setembro2024'!AD$3,Auxiliar!$B$5:$B$10,0),MATCH('LISTA - Setembro2024'!$AC273,Auxiliar!$D$4:$I$4,0))</f>
        <v>0</v>
      </c>
      <c r="AE273" s="91">
        <f>INDEX(Auxiliar!$D$5:$I$10,MATCH('LISTA - Setembro2024'!AE$3,Auxiliar!$B$5:$B$10,0),MATCH('LISTA - Setembro2024'!$AC273,Auxiliar!$D$4:$I$4,0))</f>
        <v>0</v>
      </c>
      <c r="AF273" s="87">
        <f>INDEX(Auxiliar!$D$5:$I$10,MATCH('LISTA - Setembro2024'!AF$3,Auxiliar!$B$5:$B$10,0),MATCH('LISTA - Setembro2024'!$AC273,Auxiliar!$D$4:$I$4,0))</f>
        <v>0</v>
      </c>
      <c r="AG273" s="87" t="str">
        <f t="shared" si="70"/>
        <v>n.a.</v>
      </c>
      <c r="AH273" s="87">
        <f>INDEX(Auxiliar!$D$5:$I$10,MATCH('LISTA - Setembro2024'!AH$3,Auxiliar!$B$5:$B$10,0),MATCH('LISTA - Setembro2024'!$AG273,Auxiliar!$D$4:$I$4,0))</f>
        <v>0</v>
      </c>
      <c r="AI273" s="87">
        <f>INDEX(Auxiliar!$D$5:$I$10,MATCH('LISTA - Setembro2024'!AI$3,Auxiliar!$B$5:$B$10,0),MATCH('LISTA - Setembro2024'!$AC273,Auxiliar!$D$4:$I$4,0))</f>
        <v>0</v>
      </c>
      <c r="AJ273" s="87">
        <f>INDEX(Auxiliar!$D$5:$I$10,MATCH('LISTA - Setembro2024'!AJ$3,Auxiliar!$B$5:$B$10,0),MATCH('LISTA - Setembro2024'!$AC273,Auxiliar!$D$4:$I$4,0))</f>
        <v>0</v>
      </c>
      <c r="AK273" s="160">
        <f t="shared" si="73"/>
        <v>0</v>
      </c>
      <c r="AL273" s="87"/>
    </row>
    <row r="274" spans="1:38" ht="13.8" x14ac:dyDescent="0.25">
      <c r="A274" s="158" t="s">
        <v>687</v>
      </c>
      <c r="B274" s="81" t="str">
        <f t="shared" si="71"/>
        <v>INSTRUMENT_DPD_24M_FRBRNC_STTS</v>
      </c>
      <c r="C274" s="82" t="s">
        <v>414</v>
      </c>
      <c r="D274" s="83" t="s">
        <v>688</v>
      </c>
      <c r="E274" s="84" t="s">
        <v>689</v>
      </c>
      <c r="F274" s="85" t="s">
        <v>13</v>
      </c>
      <c r="G274" s="85" t="s">
        <v>11</v>
      </c>
      <c r="H274" s="85" t="s">
        <v>11</v>
      </c>
      <c r="I274" s="85" t="s">
        <v>11</v>
      </c>
      <c r="J274" s="85" t="s">
        <v>11</v>
      </c>
      <c r="K274" s="85" t="s">
        <v>11</v>
      </c>
      <c r="L274" s="86" t="str">
        <f>IFERROR(VLOOKUP($B274,'LISTA - Atual'!$B$1:$I$444,5,0),"Novo")</f>
        <v>Y</v>
      </c>
      <c r="M274" s="86" t="str">
        <f t="shared" si="65"/>
        <v>Igual</v>
      </c>
      <c r="N274" s="86" t="str">
        <f>IFERROR(VLOOKUP($B274,'LISTA - Atual'!$B$1:$I$444,6,0),"Novo")</f>
        <v>N</v>
      </c>
      <c r="O274" s="86" t="str">
        <f t="shared" si="66"/>
        <v>Igual</v>
      </c>
      <c r="P274" s="86" t="str">
        <f>IFERROR(VLOOKUP($B274,'LISTA - Atual'!$B$1:$I$444,7,0),"Novo")</f>
        <v>N</v>
      </c>
      <c r="Q274" s="86" t="str">
        <f t="shared" si="67"/>
        <v>Igual</v>
      </c>
      <c r="R274" s="86" t="s">
        <v>1563</v>
      </c>
      <c r="S274" s="86" t="str">
        <f>IFERROR(VLOOKUP($B274,'LISTA - Atual'!$B$1:$I$444,8,0),"Novo")</f>
        <v>N</v>
      </c>
      <c r="T274" s="86" t="str">
        <f t="shared" si="68"/>
        <v>Igual</v>
      </c>
      <c r="U274" s="86" t="s">
        <v>1563</v>
      </c>
      <c r="V274" s="86" t="s">
        <v>11</v>
      </c>
      <c r="W274" s="87" t="str">
        <f>IFERROR(VLOOKUP(B274,#REF!,11,0),"n/a")</f>
        <v>n/a</v>
      </c>
      <c r="X274" s="87" t="str">
        <f>IFERROR(VLOOKUP(B274,#REF!,8,0),"n/a")</f>
        <v>n/a</v>
      </c>
      <c r="Y274" s="87" t="str">
        <f t="shared" si="74"/>
        <v>ESTR</v>
      </c>
      <c r="Z274" s="131" t="s">
        <v>1605</v>
      </c>
      <c r="AA274" s="227" t="e">
        <f>VLOOKUP(Table1[[#This Row],[CONCAT]],'Campos Resumo Prop2.0'!A:H,8,0)</f>
        <v>#N/A</v>
      </c>
      <c r="AB274" s="87" t="s">
        <v>1658</v>
      </c>
      <c r="AC274" s="135" t="s">
        <v>1625</v>
      </c>
      <c r="AD274" s="91">
        <f>INDEX(Auxiliar!$D$5:$I$10,MATCH('LISTA - Setembro2024'!AD$3,Auxiliar!$B$5:$B$10,0),MATCH('LISTA - Setembro2024'!$AC274,Auxiliar!$D$4:$I$4,0))</f>
        <v>0</v>
      </c>
      <c r="AE274" s="91">
        <f>INDEX(Auxiliar!$D$5:$I$10,MATCH('LISTA - Setembro2024'!AE$3,Auxiliar!$B$5:$B$10,0),MATCH('LISTA - Setembro2024'!$AC274,Auxiliar!$D$4:$I$4,0))</f>
        <v>0</v>
      </c>
      <c r="AF274" s="87">
        <f>INDEX(Auxiliar!$D$5:$I$10,MATCH('LISTA - Setembro2024'!AF$3,Auxiliar!$B$5:$B$10,0),MATCH('LISTA - Setembro2024'!$AC274,Auxiliar!$D$4:$I$4,0))</f>
        <v>0</v>
      </c>
      <c r="AG274" s="87" t="str">
        <f t="shared" si="70"/>
        <v>n.a.</v>
      </c>
      <c r="AH274" s="87">
        <f>INDEX(Auxiliar!$D$5:$I$10,MATCH('LISTA - Setembro2024'!AH$3,Auxiliar!$B$5:$B$10,0),MATCH('LISTA - Setembro2024'!$AG274,Auxiliar!$D$4:$I$4,0))</f>
        <v>0</v>
      </c>
      <c r="AI274" s="87">
        <f>INDEX(Auxiliar!$D$5:$I$10,MATCH('LISTA - Setembro2024'!AI$3,Auxiliar!$B$5:$B$10,0),MATCH('LISTA - Setembro2024'!$AC274,Auxiliar!$D$4:$I$4,0))</f>
        <v>0</v>
      </c>
      <c r="AJ274" s="87">
        <f>INDEX(Auxiliar!$D$5:$I$10,MATCH('LISTA - Setembro2024'!AJ$3,Auxiliar!$B$5:$B$10,0),MATCH('LISTA - Setembro2024'!$AC274,Auxiliar!$D$4:$I$4,0))</f>
        <v>0</v>
      </c>
      <c r="AK274" s="160">
        <f t="shared" si="73"/>
        <v>0</v>
      </c>
      <c r="AL274" s="87"/>
    </row>
    <row r="275" spans="1:38" ht="13.8" x14ac:dyDescent="0.25">
      <c r="A275" s="158" t="s">
        <v>690</v>
      </c>
      <c r="B275" s="81" t="str">
        <f t="shared" si="71"/>
        <v>INSTRUMENT_DPD_24M_PRFRMNG_STTS</v>
      </c>
      <c r="C275" s="82" t="s">
        <v>414</v>
      </c>
      <c r="D275" s="83" t="s">
        <v>691</v>
      </c>
      <c r="E275" s="84" t="s">
        <v>692</v>
      </c>
      <c r="F275" s="85" t="s">
        <v>13</v>
      </c>
      <c r="G275" s="85" t="s">
        <v>11</v>
      </c>
      <c r="H275" s="85" t="s">
        <v>11</v>
      </c>
      <c r="I275" s="85" t="s">
        <v>11</v>
      </c>
      <c r="J275" s="85" t="s">
        <v>11</v>
      </c>
      <c r="K275" s="85" t="s">
        <v>11</v>
      </c>
      <c r="L275" s="86" t="str">
        <f>IFERROR(VLOOKUP($B275,'LISTA - Atual'!$B$1:$I$444,5,0),"Novo")</f>
        <v>Y</v>
      </c>
      <c r="M275" s="86" t="str">
        <f t="shared" si="65"/>
        <v>Igual</v>
      </c>
      <c r="N275" s="86" t="str">
        <f>IFERROR(VLOOKUP($B275,'LISTA - Atual'!$B$1:$I$444,6,0),"Novo")</f>
        <v>N</v>
      </c>
      <c r="O275" s="86" t="str">
        <f t="shared" si="66"/>
        <v>Igual</v>
      </c>
      <c r="P275" s="86" t="str">
        <f>IFERROR(VLOOKUP($B275,'LISTA - Atual'!$B$1:$I$444,7,0),"Novo")</f>
        <v>N</v>
      </c>
      <c r="Q275" s="86" t="str">
        <f t="shared" si="67"/>
        <v>Igual</v>
      </c>
      <c r="R275" s="86" t="s">
        <v>1563</v>
      </c>
      <c r="S275" s="86" t="str">
        <f>IFERROR(VLOOKUP($B275,'LISTA - Atual'!$B$1:$I$444,8,0),"Novo")</f>
        <v>N</v>
      </c>
      <c r="T275" s="86" t="str">
        <f t="shared" si="68"/>
        <v>Igual</v>
      </c>
      <c r="U275" s="86" t="s">
        <v>1563</v>
      </c>
      <c r="V275" s="86" t="s">
        <v>11</v>
      </c>
      <c r="W275" s="87" t="str">
        <f>IFERROR(VLOOKUP(B275,#REF!,11,0),"n/a")</f>
        <v>n/a</v>
      </c>
      <c r="X275" s="87" t="str">
        <f>IFERROR(VLOOKUP(B275,#REF!,8,0),"n/a")</f>
        <v>n/a</v>
      </c>
      <c r="Y275" s="87" t="str">
        <f t="shared" si="74"/>
        <v>ESTR</v>
      </c>
      <c r="Z275" s="131" t="s">
        <v>1605</v>
      </c>
      <c r="AA275" s="227" t="e">
        <f>VLOOKUP(Table1[[#This Row],[CONCAT]],'Campos Resumo Prop2.0'!A:H,8,0)</f>
        <v>#N/A</v>
      </c>
      <c r="AB275" s="87" t="s">
        <v>1658</v>
      </c>
      <c r="AC275" s="135" t="s">
        <v>1625</v>
      </c>
      <c r="AD275" s="91">
        <f>INDEX(Auxiliar!$D$5:$I$10,MATCH('LISTA - Setembro2024'!AD$3,Auxiliar!$B$5:$B$10,0),MATCH('LISTA - Setembro2024'!$AC275,Auxiliar!$D$4:$I$4,0))</f>
        <v>0</v>
      </c>
      <c r="AE275" s="91">
        <f>INDEX(Auxiliar!$D$5:$I$10,MATCH('LISTA - Setembro2024'!AE$3,Auxiliar!$B$5:$B$10,0),MATCH('LISTA - Setembro2024'!$AC275,Auxiliar!$D$4:$I$4,0))</f>
        <v>0</v>
      </c>
      <c r="AF275" s="87">
        <f>INDEX(Auxiliar!$D$5:$I$10,MATCH('LISTA - Setembro2024'!AF$3,Auxiliar!$B$5:$B$10,0),MATCH('LISTA - Setembro2024'!$AC275,Auxiliar!$D$4:$I$4,0))</f>
        <v>0</v>
      </c>
      <c r="AG275" s="87" t="str">
        <f t="shared" si="70"/>
        <v>n.a.</v>
      </c>
      <c r="AH275" s="87">
        <f>INDEX(Auxiliar!$D$5:$I$10,MATCH('LISTA - Setembro2024'!AH$3,Auxiliar!$B$5:$B$10,0),MATCH('LISTA - Setembro2024'!$AG275,Auxiliar!$D$4:$I$4,0))</f>
        <v>0</v>
      </c>
      <c r="AI275" s="87">
        <f>INDEX(Auxiliar!$D$5:$I$10,MATCH('LISTA - Setembro2024'!AI$3,Auxiliar!$B$5:$B$10,0),MATCH('LISTA - Setembro2024'!$AC275,Auxiliar!$D$4:$I$4,0))</f>
        <v>0</v>
      </c>
      <c r="AJ275" s="87">
        <f>INDEX(Auxiliar!$D$5:$I$10,MATCH('LISTA - Setembro2024'!AJ$3,Auxiliar!$B$5:$B$10,0),MATCH('LISTA - Setembro2024'!$AC275,Auxiliar!$D$4:$I$4,0))</f>
        <v>0</v>
      </c>
      <c r="AK275" s="160">
        <f t="shared" si="73"/>
        <v>0</v>
      </c>
      <c r="AL275" s="87"/>
    </row>
    <row r="276" spans="1:38" ht="13.8" x14ac:dyDescent="0.25">
      <c r="A276" s="158" t="s">
        <v>693</v>
      </c>
      <c r="B276" s="81" t="str">
        <f t="shared" si="71"/>
        <v>INSTRUMENT_DPD_FRBRNC_STTS</v>
      </c>
      <c r="C276" s="82" t="s">
        <v>414</v>
      </c>
      <c r="D276" s="83" t="s">
        <v>694</v>
      </c>
      <c r="E276" s="84" t="s">
        <v>695</v>
      </c>
      <c r="F276" s="85" t="s">
        <v>13</v>
      </c>
      <c r="G276" s="85" t="s">
        <v>11</v>
      </c>
      <c r="H276" s="85" t="s">
        <v>11</v>
      </c>
      <c r="I276" s="85" t="s">
        <v>11</v>
      </c>
      <c r="J276" s="85" t="s">
        <v>11</v>
      </c>
      <c r="K276" s="85" t="s">
        <v>11</v>
      </c>
      <c r="L276" s="86" t="str">
        <f>IFERROR(VLOOKUP($B276,'LISTA - Atual'!$B$1:$I$444,5,0),"Novo")</f>
        <v>Y</v>
      </c>
      <c r="M276" s="86" t="str">
        <f t="shared" si="65"/>
        <v>Igual</v>
      </c>
      <c r="N276" s="86" t="str">
        <f>IFERROR(VLOOKUP($B276,'LISTA - Atual'!$B$1:$I$444,6,0),"Novo")</f>
        <v>N</v>
      </c>
      <c r="O276" s="86" t="str">
        <f t="shared" si="66"/>
        <v>Igual</v>
      </c>
      <c r="P276" s="86" t="str">
        <f>IFERROR(VLOOKUP($B276,'LISTA - Atual'!$B$1:$I$444,7,0),"Novo")</f>
        <v>N</v>
      </c>
      <c r="Q276" s="86" t="str">
        <f t="shared" si="67"/>
        <v>Igual</v>
      </c>
      <c r="R276" s="86" t="s">
        <v>1563</v>
      </c>
      <c r="S276" s="86" t="str">
        <f>IFERROR(VLOOKUP($B276,'LISTA - Atual'!$B$1:$I$444,8,0),"Novo")</f>
        <v>N</v>
      </c>
      <c r="T276" s="86" t="str">
        <f t="shared" si="68"/>
        <v>Igual</v>
      </c>
      <c r="U276" s="86" t="s">
        <v>1563</v>
      </c>
      <c r="V276" s="86" t="s">
        <v>11</v>
      </c>
      <c r="W276" s="87" t="str">
        <f>IFERROR(VLOOKUP(B276,#REF!,11,0),"n/a")</f>
        <v>n/a</v>
      </c>
      <c r="X276" s="87" t="str">
        <f>IFERROR(VLOOKUP(B276,#REF!,8,0),"n/a")</f>
        <v>n/a</v>
      </c>
      <c r="Y276" s="87" t="str">
        <f t="shared" si="74"/>
        <v>ESTR</v>
      </c>
      <c r="Z276" s="131" t="s">
        <v>1605</v>
      </c>
      <c r="AA276" s="227" t="e">
        <f>VLOOKUP(Table1[[#This Row],[CONCAT]],'Campos Resumo Prop2.0'!A:H,8,0)</f>
        <v>#N/A</v>
      </c>
      <c r="AB276" s="87" t="s">
        <v>1658</v>
      </c>
      <c r="AC276" s="135" t="s">
        <v>1625</v>
      </c>
      <c r="AD276" s="91">
        <f>INDEX(Auxiliar!$D$5:$I$10,MATCH('LISTA - Setembro2024'!AD$3,Auxiliar!$B$5:$B$10,0),MATCH('LISTA - Setembro2024'!$AC276,Auxiliar!$D$4:$I$4,0))</f>
        <v>0</v>
      </c>
      <c r="AE276" s="91">
        <f>INDEX(Auxiliar!$D$5:$I$10,MATCH('LISTA - Setembro2024'!AE$3,Auxiliar!$B$5:$B$10,0),MATCH('LISTA - Setembro2024'!$AC276,Auxiliar!$D$4:$I$4,0))</f>
        <v>0</v>
      </c>
      <c r="AF276" s="87">
        <f>INDEX(Auxiliar!$D$5:$I$10,MATCH('LISTA - Setembro2024'!AF$3,Auxiliar!$B$5:$B$10,0),MATCH('LISTA - Setembro2024'!$AC276,Auxiliar!$D$4:$I$4,0))</f>
        <v>0</v>
      </c>
      <c r="AG276" s="87" t="str">
        <f t="shared" si="70"/>
        <v>n.a.</v>
      </c>
      <c r="AH276" s="87">
        <f>INDEX(Auxiliar!$D$5:$I$10,MATCH('LISTA - Setembro2024'!AH$3,Auxiliar!$B$5:$B$10,0),MATCH('LISTA - Setembro2024'!$AG276,Auxiliar!$D$4:$I$4,0))</f>
        <v>0</v>
      </c>
      <c r="AI276" s="87">
        <f>INDEX(Auxiliar!$D$5:$I$10,MATCH('LISTA - Setembro2024'!AI$3,Auxiliar!$B$5:$B$10,0),MATCH('LISTA - Setembro2024'!$AC276,Auxiliar!$D$4:$I$4,0))</f>
        <v>0</v>
      </c>
      <c r="AJ276" s="87">
        <f>INDEX(Auxiliar!$D$5:$I$10,MATCH('LISTA - Setembro2024'!AJ$3,Auxiliar!$B$5:$B$10,0),MATCH('LISTA - Setembro2024'!$AC276,Auxiliar!$D$4:$I$4,0))</f>
        <v>0</v>
      </c>
      <c r="AK276" s="160">
        <f t="shared" si="73"/>
        <v>0</v>
      </c>
      <c r="AL276" s="87"/>
    </row>
    <row r="277" spans="1:38" ht="13.8" x14ac:dyDescent="0.25">
      <c r="A277" s="158" t="s">
        <v>696</v>
      </c>
      <c r="B277" s="81" t="str">
        <f t="shared" si="71"/>
        <v>INSTRUMENT_DPD_PRFRMNG_STTS</v>
      </c>
      <c r="C277" s="82" t="s">
        <v>414</v>
      </c>
      <c r="D277" s="83" t="s">
        <v>697</v>
      </c>
      <c r="E277" s="84" t="s">
        <v>698</v>
      </c>
      <c r="F277" s="85" t="s">
        <v>13</v>
      </c>
      <c r="G277" s="85" t="s">
        <v>11</v>
      </c>
      <c r="H277" s="85" t="s">
        <v>11</v>
      </c>
      <c r="I277" s="85" t="s">
        <v>11</v>
      </c>
      <c r="J277" s="85" t="s">
        <v>11</v>
      </c>
      <c r="K277" s="85" t="s">
        <v>11</v>
      </c>
      <c r="L277" s="86" t="str">
        <f>IFERROR(VLOOKUP($B277,'LISTA - Atual'!$B$1:$I$444,5,0),"Novo")</f>
        <v>Y</v>
      </c>
      <c r="M277" s="86" t="str">
        <f t="shared" si="65"/>
        <v>Igual</v>
      </c>
      <c r="N277" s="86" t="str">
        <f>IFERROR(VLOOKUP($B277,'LISTA - Atual'!$B$1:$I$444,6,0),"Novo")</f>
        <v>N</v>
      </c>
      <c r="O277" s="86" t="str">
        <f t="shared" si="66"/>
        <v>Igual</v>
      </c>
      <c r="P277" s="86" t="str">
        <f>IFERROR(VLOOKUP($B277,'LISTA - Atual'!$B$1:$I$444,7,0),"Novo")</f>
        <v>N</v>
      </c>
      <c r="Q277" s="86" t="str">
        <f t="shared" si="67"/>
        <v>Igual</v>
      </c>
      <c r="R277" s="86" t="s">
        <v>1563</v>
      </c>
      <c r="S277" s="86" t="str">
        <f>IFERROR(VLOOKUP($B277,'LISTA - Atual'!$B$1:$I$444,8,0),"Novo")</f>
        <v>N</v>
      </c>
      <c r="T277" s="86" t="str">
        <f t="shared" si="68"/>
        <v>Igual</v>
      </c>
      <c r="U277" s="86" t="s">
        <v>1563</v>
      </c>
      <c r="V277" s="86" t="s">
        <v>11</v>
      </c>
      <c r="W277" s="87" t="str">
        <f>IFERROR(VLOOKUP(B277,#REF!,11,0),"n/a")</f>
        <v>n/a</v>
      </c>
      <c r="X277" s="87" t="str">
        <f>IFERROR(VLOOKUP(B277,#REF!,8,0),"n/a")</f>
        <v>n/a</v>
      </c>
      <c r="Y277" s="87" t="str">
        <f t="shared" si="74"/>
        <v>ESTR</v>
      </c>
      <c r="Z277" s="131" t="s">
        <v>1605</v>
      </c>
      <c r="AA277" s="227" t="e">
        <f>VLOOKUP(Table1[[#This Row],[CONCAT]],'Campos Resumo Prop2.0'!A:H,8,0)</f>
        <v>#N/A</v>
      </c>
      <c r="AB277" s="87" t="s">
        <v>1658</v>
      </c>
      <c r="AC277" s="135" t="s">
        <v>1625</v>
      </c>
      <c r="AD277" s="91">
        <f>INDEX(Auxiliar!$D$5:$I$10,MATCH('LISTA - Setembro2024'!AD$3,Auxiliar!$B$5:$B$10,0),MATCH('LISTA - Setembro2024'!$AC277,Auxiliar!$D$4:$I$4,0))</f>
        <v>0</v>
      </c>
      <c r="AE277" s="91">
        <f>INDEX(Auxiliar!$D$5:$I$10,MATCH('LISTA - Setembro2024'!AE$3,Auxiliar!$B$5:$B$10,0),MATCH('LISTA - Setembro2024'!$AC277,Auxiliar!$D$4:$I$4,0))</f>
        <v>0</v>
      </c>
      <c r="AF277" s="87">
        <f>INDEX(Auxiliar!$D$5:$I$10,MATCH('LISTA - Setembro2024'!AF$3,Auxiliar!$B$5:$B$10,0),MATCH('LISTA - Setembro2024'!$AC277,Auxiliar!$D$4:$I$4,0))</f>
        <v>0</v>
      </c>
      <c r="AG277" s="87" t="str">
        <f t="shared" si="70"/>
        <v>n.a.</v>
      </c>
      <c r="AH277" s="87">
        <f>INDEX(Auxiliar!$D$5:$I$10,MATCH('LISTA - Setembro2024'!AH$3,Auxiliar!$B$5:$B$10,0),MATCH('LISTA - Setembro2024'!$AG277,Auxiliar!$D$4:$I$4,0))</f>
        <v>0</v>
      </c>
      <c r="AI277" s="87">
        <f>INDEX(Auxiliar!$D$5:$I$10,MATCH('LISTA - Setembro2024'!AI$3,Auxiliar!$B$5:$B$10,0),MATCH('LISTA - Setembro2024'!$AC277,Auxiliar!$D$4:$I$4,0))</f>
        <v>0</v>
      </c>
      <c r="AJ277" s="87">
        <f>INDEX(Auxiliar!$D$5:$I$10,MATCH('LISTA - Setembro2024'!AJ$3,Auxiliar!$B$5:$B$10,0),MATCH('LISTA - Setembro2024'!$AC277,Auxiliar!$D$4:$I$4,0))</f>
        <v>0</v>
      </c>
      <c r="AK277" s="160">
        <f t="shared" si="73"/>
        <v>0</v>
      </c>
      <c r="AL277" s="87"/>
    </row>
    <row r="278" spans="1:38" ht="13.8" x14ac:dyDescent="0.25">
      <c r="A278" s="158" t="s">
        <v>699</v>
      </c>
      <c r="B278" s="81" t="str">
        <f t="shared" si="71"/>
        <v>INSTRUMENT_DT_IMPRMNT_STTS</v>
      </c>
      <c r="C278" s="82" t="s">
        <v>414</v>
      </c>
      <c r="D278" s="83" t="s">
        <v>700</v>
      </c>
      <c r="E278" s="84" t="s">
        <v>701</v>
      </c>
      <c r="F278" s="85" t="s">
        <v>13</v>
      </c>
      <c r="G278" s="85" t="s">
        <v>11</v>
      </c>
      <c r="H278" s="85" t="s">
        <v>11</v>
      </c>
      <c r="I278" s="85" t="s">
        <v>11</v>
      </c>
      <c r="J278" s="85" t="s">
        <v>11</v>
      </c>
      <c r="K278" s="85" t="s">
        <v>13</v>
      </c>
      <c r="L278" s="86" t="str">
        <f>IFERROR(VLOOKUP($B278,'LISTA - Atual'!$B$1:$I$444,5,0),"Novo")</f>
        <v>Y</v>
      </c>
      <c r="M278" s="86" t="str">
        <f t="shared" si="65"/>
        <v>Igual</v>
      </c>
      <c r="N278" s="86" t="str">
        <f>IFERROR(VLOOKUP($B278,'LISTA - Atual'!$B$1:$I$444,6,0),"Novo")</f>
        <v>N</v>
      </c>
      <c r="O278" s="86" t="str">
        <f t="shared" si="66"/>
        <v>Igual</v>
      </c>
      <c r="P278" s="86" t="str">
        <f>IFERROR(VLOOKUP($B278,'LISTA - Atual'!$B$1:$I$444,7,0),"Novo")</f>
        <v>N</v>
      </c>
      <c r="Q278" s="86" t="str">
        <f t="shared" si="67"/>
        <v>Igual</v>
      </c>
      <c r="R278" s="86" t="s">
        <v>1563</v>
      </c>
      <c r="S278" s="86" t="str">
        <f>IFERROR(VLOOKUP($B278,'LISTA - Atual'!$B$1:$I$444,8,0),"Novo")</f>
        <v>N</v>
      </c>
      <c r="T278" s="86" t="str">
        <f t="shared" si="68"/>
        <v>Igual</v>
      </c>
      <c r="U278" s="86" t="s">
        <v>1563</v>
      </c>
      <c r="V278" s="86" t="s">
        <v>11</v>
      </c>
      <c r="W278" s="87" t="str">
        <f>IFERROR(VLOOKUP(B278,#REF!,11,0),"n/a")</f>
        <v>n/a</v>
      </c>
      <c r="X278" s="87" t="str">
        <f>IFERROR(VLOOKUP(B278,#REF!,8,0),"n/a")</f>
        <v>n/a</v>
      </c>
      <c r="Y278" s="87" t="str">
        <f t="shared" si="74"/>
        <v>ESTR</v>
      </c>
      <c r="Z278" s="131" t="s">
        <v>1605</v>
      </c>
      <c r="AA278" s="227" t="e">
        <f>VLOOKUP(Table1[[#This Row],[CONCAT]],'Campos Resumo Prop2.0'!A:H,8,0)</f>
        <v>#N/A</v>
      </c>
      <c r="AB278" s="87" t="s">
        <v>1651</v>
      </c>
      <c r="AC278" s="135" t="s">
        <v>1625</v>
      </c>
      <c r="AD278" s="135">
        <v>1</v>
      </c>
      <c r="AE278" s="91">
        <f>INDEX(Auxiliar!$D$5:$I$10,MATCH('LISTA - Setembro2024'!AE$3,Auxiliar!$B$5:$B$10,0),MATCH('LISTA - Setembro2024'!$AC278,Auxiliar!$D$4:$I$4,0))</f>
        <v>0</v>
      </c>
      <c r="AF278" s="87">
        <f>INDEX(Auxiliar!$D$5:$I$10,MATCH('LISTA - Setembro2024'!AF$3,Auxiliar!$B$5:$B$10,0),MATCH('LISTA - Setembro2024'!$AC278,Auxiliar!$D$4:$I$4,0))</f>
        <v>0</v>
      </c>
      <c r="AG278" s="87" t="str">
        <f t="shared" si="70"/>
        <v>n.a.</v>
      </c>
      <c r="AH278" s="87">
        <f>INDEX(Auxiliar!$D$5:$I$10,MATCH('LISTA - Setembro2024'!AH$3,Auxiliar!$B$5:$B$10,0),MATCH('LISTA - Setembro2024'!$AG278,Auxiliar!$D$4:$I$4,0))</f>
        <v>0</v>
      </c>
      <c r="AI278" s="87">
        <f>INDEX(Auxiliar!$D$5:$I$10,MATCH('LISTA - Setembro2024'!AI$3,Auxiliar!$B$5:$B$10,0),MATCH('LISTA - Setembro2024'!$AC278,Auxiliar!$D$4:$I$4,0))</f>
        <v>0</v>
      </c>
      <c r="AJ278" s="87">
        <f>INDEX(Auxiliar!$D$5:$I$10,MATCH('LISTA - Setembro2024'!AJ$3,Auxiliar!$B$5:$B$10,0),MATCH('LISTA - Setembro2024'!$AC278,Auxiliar!$D$4:$I$4,0))</f>
        <v>0</v>
      </c>
      <c r="AK278" s="160">
        <f t="shared" si="73"/>
        <v>0</v>
      </c>
      <c r="AL278" s="87" t="s">
        <v>1684</v>
      </c>
    </row>
    <row r="279" spans="1:38" ht="13.8" x14ac:dyDescent="0.25">
      <c r="A279" s="158" t="s">
        <v>702</v>
      </c>
      <c r="B279" s="81" t="str">
        <f t="shared" si="71"/>
        <v>INSTRUMENT_DT_IMPRMNT_STTS_PRVS</v>
      </c>
      <c r="C279" s="82" t="s">
        <v>414</v>
      </c>
      <c r="D279" s="83" t="s">
        <v>703</v>
      </c>
      <c r="E279" s="84" t="s">
        <v>704</v>
      </c>
      <c r="F279" s="85" t="s">
        <v>13</v>
      </c>
      <c r="G279" s="85" t="s">
        <v>11</v>
      </c>
      <c r="H279" s="85" t="s">
        <v>11</v>
      </c>
      <c r="I279" s="85" t="s">
        <v>11</v>
      </c>
      <c r="J279" s="85" t="s">
        <v>11</v>
      </c>
      <c r="K279" s="85" t="s">
        <v>11</v>
      </c>
      <c r="L279" s="86" t="str">
        <f>IFERROR(VLOOKUP($B279,'LISTA - Atual'!$B$1:$I$444,5,0),"Novo")</f>
        <v>Y</v>
      </c>
      <c r="M279" s="86" t="str">
        <f t="shared" si="65"/>
        <v>Igual</v>
      </c>
      <c r="N279" s="86" t="str">
        <f>IFERROR(VLOOKUP($B279,'LISTA - Atual'!$B$1:$I$444,6,0),"Novo")</f>
        <v>N</v>
      </c>
      <c r="O279" s="86" t="str">
        <f t="shared" si="66"/>
        <v>Igual</v>
      </c>
      <c r="P279" s="86" t="str">
        <f>IFERROR(VLOOKUP($B279,'LISTA - Atual'!$B$1:$I$444,7,0),"Novo")</f>
        <v>N</v>
      </c>
      <c r="Q279" s="86" t="str">
        <f t="shared" si="67"/>
        <v>Igual</v>
      </c>
      <c r="R279" s="86" t="s">
        <v>1563</v>
      </c>
      <c r="S279" s="86" t="str">
        <f>IFERROR(VLOOKUP($B279,'LISTA - Atual'!$B$1:$I$444,8,0),"Novo")</f>
        <v>N</v>
      </c>
      <c r="T279" s="86" t="str">
        <f t="shared" si="68"/>
        <v>Igual</v>
      </c>
      <c r="U279" s="86" t="s">
        <v>1563</v>
      </c>
      <c r="V279" s="86" t="s">
        <v>11</v>
      </c>
      <c r="W279" s="87" t="str">
        <f>IFERROR(VLOOKUP(B279,#REF!,11,0),"n/a")</f>
        <v>n/a</v>
      </c>
      <c r="X279" s="87" t="str">
        <f>IFERROR(VLOOKUP(B279,#REF!,8,0),"n/a")</f>
        <v>n/a</v>
      </c>
      <c r="Y279" s="87" t="str">
        <f t="shared" si="74"/>
        <v>ESTR</v>
      </c>
      <c r="Z279" s="131" t="s">
        <v>1605</v>
      </c>
      <c r="AA279" s="227" t="e">
        <f>VLOOKUP(Table1[[#This Row],[CONCAT]],'Campos Resumo Prop2.0'!A:H,8,0)</f>
        <v>#N/A</v>
      </c>
      <c r="AB279" s="87" t="s">
        <v>1651</v>
      </c>
      <c r="AC279" s="135" t="s">
        <v>1625</v>
      </c>
      <c r="AD279" s="91">
        <f>INDEX(Auxiliar!$D$5:$I$10,MATCH('LISTA - Setembro2024'!AD$3,Auxiliar!$B$5:$B$10,0),MATCH('LISTA - Setembro2024'!$AC279,Auxiliar!$D$4:$I$4,0))</f>
        <v>0</v>
      </c>
      <c r="AE279" s="91">
        <f>INDEX(Auxiliar!$D$5:$I$10,MATCH('LISTA - Setembro2024'!AE$3,Auxiliar!$B$5:$B$10,0),MATCH('LISTA - Setembro2024'!$AC279,Auxiliar!$D$4:$I$4,0))</f>
        <v>0</v>
      </c>
      <c r="AF279" s="87">
        <f>INDEX(Auxiliar!$D$5:$I$10,MATCH('LISTA - Setembro2024'!AF$3,Auxiliar!$B$5:$B$10,0),MATCH('LISTA - Setembro2024'!$AC279,Auxiliar!$D$4:$I$4,0))</f>
        <v>0</v>
      </c>
      <c r="AG279" s="87" t="str">
        <f t="shared" si="70"/>
        <v>n.a.</v>
      </c>
      <c r="AH279" s="87">
        <f>INDEX(Auxiliar!$D$5:$I$10,MATCH('LISTA - Setembro2024'!AH$3,Auxiliar!$B$5:$B$10,0),MATCH('LISTA - Setembro2024'!$AG279,Auxiliar!$D$4:$I$4,0))</f>
        <v>0</v>
      </c>
      <c r="AI279" s="87">
        <f>INDEX(Auxiliar!$D$5:$I$10,MATCH('LISTA - Setembro2024'!AI$3,Auxiliar!$B$5:$B$10,0),MATCH('LISTA - Setembro2024'!$AC279,Auxiliar!$D$4:$I$4,0))</f>
        <v>0</v>
      </c>
      <c r="AJ279" s="87">
        <f>INDEX(Auxiliar!$D$5:$I$10,MATCH('LISTA - Setembro2024'!AJ$3,Auxiliar!$B$5:$B$10,0),MATCH('LISTA - Setembro2024'!$AC279,Auxiliar!$D$4:$I$4,0))</f>
        <v>0</v>
      </c>
      <c r="AK279" s="160">
        <f t="shared" si="73"/>
        <v>0</v>
      </c>
      <c r="AL279" s="87"/>
    </row>
    <row r="280" spans="1:38" ht="13.8" x14ac:dyDescent="0.25">
      <c r="A280" s="158" t="s">
        <v>705</v>
      </c>
      <c r="B280" s="81" t="str">
        <f t="shared" si="71"/>
        <v>INSTRUMENT_DT_PST_D</v>
      </c>
      <c r="C280" s="82" t="s">
        <v>414</v>
      </c>
      <c r="D280" s="83" t="s">
        <v>706</v>
      </c>
      <c r="E280" s="84" t="s">
        <v>707</v>
      </c>
      <c r="F280" s="85" t="s">
        <v>13</v>
      </c>
      <c r="G280" s="85" t="s">
        <v>11</v>
      </c>
      <c r="H280" s="85" t="s">
        <v>11</v>
      </c>
      <c r="I280" s="85" t="s">
        <v>11</v>
      </c>
      <c r="J280" s="85" t="s">
        <v>11</v>
      </c>
      <c r="K280" s="85" t="s">
        <v>13</v>
      </c>
      <c r="L280" s="86" t="str">
        <f>IFERROR(VLOOKUP($B280,'LISTA - Atual'!$B$1:$I$444,5,0),"Novo")</f>
        <v>Y</v>
      </c>
      <c r="M280" s="86" t="str">
        <f t="shared" si="65"/>
        <v>Igual</v>
      </c>
      <c r="N280" s="86" t="str">
        <f>IFERROR(VLOOKUP($B280,'LISTA - Atual'!$B$1:$I$444,6,0),"Novo")</f>
        <v>N</v>
      </c>
      <c r="O280" s="86" t="str">
        <f t="shared" si="66"/>
        <v>Igual</v>
      </c>
      <c r="P280" s="86" t="str">
        <f>IFERROR(VLOOKUP($B280,'LISTA - Atual'!$B$1:$I$444,7,0),"Novo")</f>
        <v>N</v>
      </c>
      <c r="Q280" s="86" t="str">
        <f t="shared" si="67"/>
        <v>Igual</v>
      </c>
      <c r="R280" s="86" t="s">
        <v>1563</v>
      </c>
      <c r="S280" s="86" t="str">
        <f>IFERROR(VLOOKUP($B280,'LISTA - Atual'!$B$1:$I$444,8,0),"Novo")</f>
        <v>N</v>
      </c>
      <c r="T280" s="86" t="str">
        <f t="shared" si="68"/>
        <v>Igual</v>
      </c>
      <c r="U280" s="86" t="s">
        <v>1563</v>
      </c>
      <c r="V280" s="86" t="s">
        <v>11</v>
      </c>
      <c r="W280" s="87" t="str">
        <f>IFERROR(VLOOKUP(B280,#REF!,11,0),"n/a")</f>
        <v>n/a</v>
      </c>
      <c r="X280" s="87" t="str">
        <f>IFERROR(VLOOKUP(B280,#REF!,8,0),"n/a")</f>
        <v>n/a</v>
      </c>
      <c r="Y280" s="87" t="str">
        <f t="shared" si="74"/>
        <v>ESTR</v>
      </c>
      <c r="Z280" s="131" t="s">
        <v>1605</v>
      </c>
      <c r="AA280" s="227" t="e">
        <f>VLOOKUP(Table1[[#This Row],[CONCAT]],'Campos Resumo Prop2.0'!A:H,8,0)</f>
        <v>#N/A</v>
      </c>
      <c r="AB280" s="87" t="s">
        <v>1651</v>
      </c>
      <c r="AC280" s="135" t="s">
        <v>1625</v>
      </c>
      <c r="AD280" s="91">
        <f>INDEX(Auxiliar!$D$5:$I$10,MATCH('LISTA - Setembro2024'!AD$3,Auxiliar!$B$5:$B$10,0),MATCH('LISTA - Setembro2024'!$AC280,Auxiliar!$D$4:$I$4,0))</f>
        <v>0</v>
      </c>
      <c r="AE280" s="91">
        <f>INDEX(Auxiliar!$D$5:$I$10,MATCH('LISTA - Setembro2024'!AE$3,Auxiliar!$B$5:$B$10,0),MATCH('LISTA - Setembro2024'!$AC280,Auxiliar!$D$4:$I$4,0))</f>
        <v>0</v>
      </c>
      <c r="AF280" s="87">
        <f>INDEX(Auxiliar!$D$5:$I$10,MATCH('LISTA - Setembro2024'!AF$3,Auxiliar!$B$5:$B$10,0),MATCH('LISTA - Setembro2024'!$AC280,Auxiliar!$D$4:$I$4,0))</f>
        <v>0</v>
      </c>
      <c r="AG280" s="87" t="str">
        <f t="shared" si="70"/>
        <v>n.a.</v>
      </c>
      <c r="AH280" s="87">
        <f>INDEX(Auxiliar!$D$5:$I$10,MATCH('LISTA - Setembro2024'!AH$3,Auxiliar!$B$5:$B$10,0),MATCH('LISTA - Setembro2024'!$AG280,Auxiliar!$D$4:$I$4,0))</f>
        <v>0</v>
      </c>
      <c r="AI280" s="87">
        <f>INDEX(Auxiliar!$D$5:$I$10,MATCH('LISTA - Setembro2024'!AI$3,Auxiliar!$B$5:$B$10,0),MATCH('LISTA - Setembro2024'!$AC280,Auxiliar!$D$4:$I$4,0))</f>
        <v>0</v>
      </c>
      <c r="AJ280" s="87">
        <f>INDEX(Auxiliar!$D$5:$I$10,MATCH('LISTA - Setembro2024'!AJ$3,Auxiliar!$B$5:$B$10,0),MATCH('LISTA - Setembro2024'!$AC280,Auxiliar!$D$4:$I$4,0))</f>
        <v>0</v>
      </c>
      <c r="AK280" s="160">
        <f t="shared" si="73"/>
        <v>0</v>
      </c>
      <c r="AL280" s="87"/>
    </row>
    <row r="281" spans="1:38" ht="13.8" x14ac:dyDescent="0.25">
      <c r="A281" s="158" t="s">
        <v>708</v>
      </c>
      <c r="B281" s="81" t="str">
        <f t="shared" si="71"/>
        <v>INSTRUMENT_IMPRMNT_ASSSSMNT_MTHD</v>
      </c>
      <c r="C281" s="82" t="s">
        <v>414</v>
      </c>
      <c r="D281" s="83" t="s">
        <v>709</v>
      </c>
      <c r="E281" s="84" t="s">
        <v>710</v>
      </c>
      <c r="F281" s="85" t="s">
        <v>13</v>
      </c>
      <c r="G281" s="85" t="s">
        <v>11</v>
      </c>
      <c r="H281" s="85" t="s">
        <v>11</v>
      </c>
      <c r="I281" s="85" t="s">
        <v>11</v>
      </c>
      <c r="J281" s="85" t="s">
        <v>11</v>
      </c>
      <c r="K281" s="85" t="s">
        <v>13</v>
      </c>
      <c r="L281" s="86" t="str">
        <f>IFERROR(VLOOKUP($B281,'LISTA - Atual'!$B$1:$I$444,5,0),"Novo")</f>
        <v>Y</v>
      </c>
      <c r="M281" s="86" t="str">
        <f t="shared" si="65"/>
        <v>Igual</v>
      </c>
      <c r="N281" s="86" t="str">
        <f>IFERROR(VLOOKUP($B281,'LISTA - Atual'!$B$1:$I$444,6,0),"Novo")</f>
        <v>N</v>
      </c>
      <c r="O281" s="86" t="str">
        <f t="shared" si="66"/>
        <v>Igual</v>
      </c>
      <c r="P281" s="86" t="str">
        <f>IFERROR(VLOOKUP($B281,'LISTA - Atual'!$B$1:$I$444,7,0),"Novo")</f>
        <v>N</v>
      </c>
      <c r="Q281" s="86" t="str">
        <f t="shared" si="67"/>
        <v>Igual</v>
      </c>
      <c r="R281" s="86" t="s">
        <v>1563</v>
      </c>
      <c r="S281" s="86" t="str">
        <f>IFERROR(VLOOKUP($B281,'LISTA - Atual'!$B$1:$I$444,8,0),"Novo")</f>
        <v>N</v>
      </c>
      <c r="T281" s="86" t="str">
        <f t="shared" si="68"/>
        <v>Igual</v>
      </c>
      <c r="U281" s="86" t="s">
        <v>1563</v>
      </c>
      <c r="V281" s="86" t="s">
        <v>11</v>
      </c>
      <c r="W281" s="87" t="str">
        <f>IFERROR(VLOOKUP(B281,#REF!,11,0),"n/a")</f>
        <v>n/a</v>
      </c>
      <c r="X281" s="87" t="str">
        <f>IFERROR(VLOOKUP(B281,#REF!,8,0),"n/a")</f>
        <v>n/a</v>
      </c>
      <c r="Y281" s="87" t="str">
        <f t="shared" si="74"/>
        <v>ESTR</v>
      </c>
      <c r="Z281" s="131" t="s">
        <v>1605</v>
      </c>
      <c r="AA281" s="227" t="e">
        <f>VLOOKUP(Table1[[#This Row],[CONCAT]],'Campos Resumo Prop2.0'!A:H,8,0)</f>
        <v>#N/A</v>
      </c>
      <c r="AB281" s="87" t="s">
        <v>1650</v>
      </c>
      <c r="AC281" s="135" t="s">
        <v>1625</v>
      </c>
      <c r="AD281" s="91">
        <f>INDEX(Auxiliar!$D$5:$I$10,MATCH('LISTA - Setembro2024'!AD$3,Auxiliar!$B$5:$B$10,0),MATCH('LISTA - Setembro2024'!$AC281,Auxiliar!$D$4:$I$4,0))</f>
        <v>0</v>
      </c>
      <c r="AE281" s="91">
        <f>INDEX(Auxiliar!$D$5:$I$10,MATCH('LISTA - Setembro2024'!AE$3,Auxiliar!$B$5:$B$10,0),MATCH('LISTA - Setembro2024'!$AC281,Auxiliar!$D$4:$I$4,0))</f>
        <v>0</v>
      </c>
      <c r="AF281" s="87">
        <f>INDEX(Auxiliar!$D$5:$I$10,MATCH('LISTA - Setembro2024'!AF$3,Auxiliar!$B$5:$B$10,0),MATCH('LISTA - Setembro2024'!$AC281,Auxiliar!$D$4:$I$4,0))</f>
        <v>0</v>
      </c>
      <c r="AG281" s="87" t="str">
        <f t="shared" si="70"/>
        <v>n.a.</v>
      </c>
      <c r="AH281" s="87">
        <f>INDEX(Auxiliar!$D$5:$I$10,MATCH('LISTA - Setembro2024'!AH$3,Auxiliar!$B$5:$B$10,0),MATCH('LISTA - Setembro2024'!$AG281,Auxiliar!$D$4:$I$4,0))</f>
        <v>0</v>
      </c>
      <c r="AI281" s="87">
        <f>INDEX(Auxiliar!$D$5:$I$10,MATCH('LISTA - Setembro2024'!AI$3,Auxiliar!$B$5:$B$10,0),MATCH('LISTA - Setembro2024'!$AC281,Auxiliar!$D$4:$I$4,0))</f>
        <v>0</v>
      </c>
      <c r="AJ281" s="87">
        <f>INDEX(Auxiliar!$D$5:$I$10,MATCH('LISTA - Setembro2024'!AJ$3,Auxiliar!$B$5:$B$10,0),MATCH('LISTA - Setembro2024'!$AC281,Auxiliar!$D$4:$I$4,0))</f>
        <v>0</v>
      </c>
      <c r="AK281" s="160">
        <f t="shared" si="73"/>
        <v>0</v>
      </c>
      <c r="AL281" s="87"/>
    </row>
    <row r="282" spans="1:38" ht="13.8" x14ac:dyDescent="0.25">
      <c r="A282" s="158" t="s">
        <v>711</v>
      </c>
      <c r="B282" s="81" t="str">
        <f t="shared" si="71"/>
        <v>INSTRUMENT_IMPRMNT_CLCLTN_MTHD</v>
      </c>
      <c r="C282" s="82" t="s">
        <v>414</v>
      </c>
      <c r="D282" s="83" t="s">
        <v>712</v>
      </c>
      <c r="E282" s="84" t="s">
        <v>713</v>
      </c>
      <c r="F282" s="85" t="s">
        <v>13</v>
      </c>
      <c r="G282" s="85" t="s">
        <v>11</v>
      </c>
      <c r="H282" s="85" t="s">
        <v>11</v>
      </c>
      <c r="I282" s="85" t="s">
        <v>11</v>
      </c>
      <c r="J282" s="85" t="s">
        <v>11</v>
      </c>
      <c r="K282" s="85" t="s">
        <v>11</v>
      </c>
      <c r="L282" s="86" t="str">
        <f>IFERROR(VLOOKUP($B282,'LISTA - Atual'!$B$1:$I$444,5,0),"Novo")</f>
        <v>Y</v>
      </c>
      <c r="M282" s="86" t="str">
        <f t="shared" si="65"/>
        <v>Igual</v>
      </c>
      <c r="N282" s="86" t="str">
        <f>IFERROR(VLOOKUP($B282,'LISTA - Atual'!$B$1:$I$444,6,0),"Novo")</f>
        <v>N</v>
      </c>
      <c r="O282" s="86" t="str">
        <f t="shared" si="66"/>
        <v>Igual</v>
      </c>
      <c r="P282" s="86" t="str">
        <f>IFERROR(VLOOKUP($B282,'LISTA - Atual'!$B$1:$I$444,7,0),"Novo")</f>
        <v>N</v>
      </c>
      <c r="Q282" s="86" t="str">
        <f t="shared" si="67"/>
        <v>Igual</v>
      </c>
      <c r="R282" s="86" t="s">
        <v>1563</v>
      </c>
      <c r="S282" s="86" t="str">
        <f>IFERROR(VLOOKUP($B282,'LISTA - Atual'!$B$1:$I$444,8,0),"Novo")</f>
        <v>N</v>
      </c>
      <c r="T282" s="86" t="str">
        <f t="shared" si="68"/>
        <v>Igual</v>
      </c>
      <c r="U282" s="86" t="s">
        <v>1563</v>
      </c>
      <c r="V282" s="86" t="s">
        <v>11</v>
      </c>
      <c r="W282" s="87" t="str">
        <f>IFERROR(VLOOKUP(B282,#REF!,11,0),"n/a")</f>
        <v>n/a</v>
      </c>
      <c r="X282" s="87" t="str">
        <f>IFERROR(VLOOKUP(B282,#REF!,8,0),"n/a")</f>
        <v>n/a</v>
      </c>
      <c r="Y282" s="87" t="str">
        <f t="shared" si="74"/>
        <v>ESTR</v>
      </c>
      <c r="Z282" s="131" t="s">
        <v>1605</v>
      </c>
      <c r="AA282" s="227" t="e">
        <f>VLOOKUP(Table1[[#This Row],[CONCAT]],'Campos Resumo Prop2.0'!A:H,8,0)</f>
        <v>#N/A</v>
      </c>
      <c r="AB282" s="87" t="s">
        <v>1650</v>
      </c>
      <c r="AC282" s="135" t="s">
        <v>1625</v>
      </c>
      <c r="AD282" s="91">
        <f>INDEX(Auxiliar!$D$5:$I$10,MATCH('LISTA - Setembro2024'!AD$3,Auxiliar!$B$5:$B$10,0),MATCH('LISTA - Setembro2024'!$AC282,Auxiliar!$D$4:$I$4,0))</f>
        <v>0</v>
      </c>
      <c r="AE282" s="91">
        <f>INDEX(Auxiliar!$D$5:$I$10,MATCH('LISTA - Setembro2024'!AE$3,Auxiliar!$B$5:$B$10,0),MATCH('LISTA - Setembro2024'!$AC282,Auxiliar!$D$4:$I$4,0))</f>
        <v>0</v>
      </c>
      <c r="AF282" s="87">
        <f>INDEX(Auxiliar!$D$5:$I$10,MATCH('LISTA - Setembro2024'!AF$3,Auxiliar!$B$5:$B$10,0),MATCH('LISTA - Setembro2024'!$AC282,Auxiliar!$D$4:$I$4,0))</f>
        <v>0</v>
      </c>
      <c r="AG282" s="87" t="str">
        <f t="shared" si="70"/>
        <v>n.a.</v>
      </c>
      <c r="AH282" s="87">
        <f>INDEX(Auxiliar!$D$5:$I$10,MATCH('LISTA - Setembro2024'!AH$3,Auxiliar!$B$5:$B$10,0),MATCH('LISTA - Setembro2024'!$AG282,Auxiliar!$D$4:$I$4,0))</f>
        <v>0</v>
      </c>
      <c r="AI282" s="87">
        <f>INDEX(Auxiliar!$D$5:$I$10,MATCH('LISTA - Setembro2024'!AI$3,Auxiliar!$B$5:$B$10,0),MATCH('LISTA - Setembro2024'!$AC282,Auxiliar!$D$4:$I$4,0))</f>
        <v>0</v>
      </c>
      <c r="AJ282" s="87">
        <f>INDEX(Auxiliar!$D$5:$I$10,MATCH('LISTA - Setembro2024'!AJ$3,Auxiliar!$B$5:$B$10,0),MATCH('LISTA - Setembro2024'!$AC282,Auxiliar!$D$4:$I$4,0))</f>
        <v>0</v>
      </c>
      <c r="AK282" s="160">
        <f t="shared" si="73"/>
        <v>0</v>
      </c>
      <c r="AL282" s="87"/>
    </row>
    <row r="283" spans="1:38" ht="13.8" x14ac:dyDescent="0.25">
      <c r="A283" s="158" t="s">
        <v>714</v>
      </c>
      <c r="B283" s="81" t="str">
        <f t="shared" si="71"/>
        <v>INSTRUMENT_NMBR_FRBRNC_MSRS</v>
      </c>
      <c r="C283" s="82" t="s">
        <v>414</v>
      </c>
      <c r="D283" s="83" t="s">
        <v>715</v>
      </c>
      <c r="E283" s="84" t="s">
        <v>716</v>
      </c>
      <c r="F283" s="85" t="s">
        <v>13</v>
      </c>
      <c r="G283" s="85" t="s">
        <v>11</v>
      </c>
      <c r="H283" s="85" t="s">
        <v>11</v>
      </c>
      <c r="I283" s="85" t="s">
        <v>11</v>
      </c>
      <c r="J283" s="85" t="s">
        <v>11</v>
      </c>
      <c r="K283" s="85" t="s">
        <v>13</v>
      </c>
      <c r="L283" s="86" t="str">
        <f>IFERROR(VLOOKUP($B283,'LISTA - Atual'!$B$1:$I$444,5,0),"Novo")</f>
        <v>Y</v>
      </c>
      <c r="M283" s="86" t="str">
        <f t="shared" si="65"/>
        <v>Igual</v>
      </c>
      <c r="N283" s="86" t="str">
        <f>IFERROR(VLOOKUP($B283,'LISTA - Atual'!$B$1:$I$444,6,0),"Novo")</f>
        <v>N</v>
      </c>
      <c r="O283" s="86" t="str">
        <f t="shared" si="66"/>
        <v>Igual</v>
      </c>
      <c r="P283" s="86" t="str">
        <f>IFERROR(VLOOKUP($B283,'LISTA - Atual'!$B$1:$I$444,7,0),"Novo")</f>
        <v>N</v>
      </c>
      <c r="Q283" s="86" t="str">
        <f t="shared" si="67"/>
        <v>Igual</v>
      </c>
      <c r="R283" s="86" t="s">
        <v>1563</v>
      </c>
      <c r="S283" s="86" t="str">
        <f>IFERROR(VLOOKUP($B283,'LISTA - Atual'!$B$1:$I$444,8,0),"Novo")</f>
        <v>N</v>
      </c>
      <c r="T283" s="86" t="str">
        <f t="shared" si="68"/>
        <v>Igual</v>
      </c>
      <c r="U283" s="86" t="s">
        <v>1563</v>
      </c>
      <c r="V283" s="86" t="s">
        <v>11</v>
      </c>
      <c r="W283" s="87" t="str">
        <f>IFERROR(VLOOKUP(B283,#REF!,11,0),"n/a")</f>
        <v>n/a</v>
      </c>
      <c r="X283" s="87" t="str">
        <f>IFERROR(VLOOKUP(B283,#REF!,8,0),"n/a")</f>
        <v>n/a</v>
      </c>
      <c r="Y283" s="87" t="str">
        <f t="shared" si="74"/>
        <v>ESTR</v>
      </c>
      <c r="Z283" s="131" t="s">
        <v>1605</v>
      </c>
      <c r="AA283" s="227" t="e">
        <f>VLOOKUP(Table1[[#This Row],[CONCAT]],'Campos Resumo Prop2.0'!A:H,8,0)</f>
        <v>#N/A</v>
      </c>
      <c r="AB283" s="87" t="s">
        <v>1658</v>
      </c>
      <c r="AC283" s="135" t="s">
        <v>1625</v>
      </c>
      <c r="AD283" s="91">
        <f>INDEX(Auxiliar!$D$5:$I$10,MATCH('LISTA - Setembro2024'!AD$3,Auxiliar!$B$5:$B$10,0),MATCH('LISTA - Setembro2024'!$AC283,Auxiliar!$D$4:$I$4,0))</f>
        <v>0</v>
      </c>
      <c r="AE283" s="91">
        <f>INDEX(Auxiliar!$D$5:$I$10,MATCH('LISTA - Setembro2024'!AE$3,Auxiliar!$B$5:$B$10,0),MATCH('LISTA - Setembro2024'!$AC283,Auxiliar!$D$4:$I$4,0))</f>
        <v>0</v>
      </c>
      <c r="AF283" s="87">
        <f>INDEX(Auxiliar!$D$5:$I$10,MATCH('LISTA - Setembro2024'!AF$3,Auxiliar!$B$5:$B$10,0),MATCH('LISTA - Setembro2024'!$AC283,Auxiliar!$D$4:$I$4,0))</f>
        <v>0</v>
      </c>
      <c r="AG283" s="87" t="str">
        <f t="shared" si="70"/>
        <v>n.a.</v>
      </c>
      <c r="AH283" s="87">
        <f>INDEX(Auxiliar!$D$5:$I$10,MATCH('LISTA - Setembro2024'!AH$3,Auxiliar!$B$5:$B$10,0),MATCH('LISTA - Setembro2024'!$AG283,Auxiliar!$D$4:$I$4,0))</f>
        <v>0</v>
      </c>
      <c r="AI283" s="87">
        <f>INDEX(Auxiliar!$D$5:$I$10,MATCH('LISTA - Setembro2024'!AI$3,Auxiliar!$B$5:$B$10,0),MATCH('LISTA - Setembro2024'!$AC283,Auxiliar!$D$4:$I$4,0))</f>
        <v>0</v>
      </c>
      <c r="AJ283" s="87">
        <f>INDEX(Auxiliar!$D$5:$I$10,MATCH('LISTA - Setembro2024'!AJ$3,Auxiliar!$B$5:$B$10,0),MATCH('LISTA - Setembro2024'!$AC283,Auxiliar!$D$4:$I$4,0))</f>
        <v>0</v>
      </c>
      <c r="AK283" s="160">
        <f t="shared" si="73"/>
        <v>0</v>
      </c>
      <c r="AL283" s="87"/>
    </row>
    <row r="284" spans="1:38" ht="13.8" x14ac:dyDescent="0.25">
      <c r="A284" s="158" t="s">
        <v>717</v>
      </c>
      <c r="B284" s="81" t="str">
        <f t="shared" si="71"/>
        <v>INSTRUMENT_IFRS9_LGD</v>
      </c>
      <c r="C284" s="82" t="s">
        <v>414</v>
      </c>
      <c r="D284" s="83" t="s">
        <v>718</v>
      </c>
      <c r="E284" s="84" t="s">
        <v>719</v>
      </c>
      <c r="F284" s="85" t="s">
        <v>13</v>
      </c>
      <c r="G284" s="85" t="s">
        <v>11</v>
      </c>
      <c r="H284" s="85" t="s">
        <v>11</v>
      </c>
      <c r="I284" s="85" t="s">
        <v>11</v>
      </c>
      <c r="J284" s="85" t="s">
        <v>11</v>
      </c>
      <c r="K284" s="85" t="s">
        <v>11</v>
      </c>
      <c r="L284" s="86" t="str">
        <f>IFERROR(VLOOKUP($B284,'LISTA - Atual'!$B$1:$I$444,5,0),"Novo")</f>
        <v>Y</v>
      </c>
      <c r="M284" s="86" t="str">
        <f t="shared" si="65"/>
        <v>Igual</v>
      </c>
      <c r="N284" s="86" t="str">
        <f>IFERROR(VLOOKUP($B284,'LISTA - Atual'!$B$1:$I$444,6,0),"Novo")</f>
        <v>N</v>
      </c>
      <c r="O284" s="86" t="str">
        <f t="shared" si="66"/>
        <v>Igual</v>
      </c>
      <c r="P284" s="86" t="str">
        <f>IFERROR(VLOOKUP($B284,'LISTA - Atual'!$B$1:$I$444,7,0),"Novo")</f>
        <v>N</v>
      </c>
      <c r="Q284" s="86" t="str">
        <f t="shared" si="67"/>
        <v>Igual</v>
      </c>
      <c r="R284" s="86" t="s">
        <v>1563</v>
      </c>
      <c r="S284" s="86" t="str">
        <f>IFERROR(VLOOKUP($B284,'LISTA - Atual'!$B$1:$I$444,8,0),"Novo")</f>
        <v>N</v>
      </c>
      <c r="T284" s="86" t="str">
        <f t="shared" si="68"/>
        <v>Igual</v>
      </c>
      <c r="U284" s="86" t="s">
        <v>1563</v>
      </c>
      <c r="V284" s="86" t="s">
        <v>11</v>
      </c>
      <c r="W284" s="87" t="str">
        <f>IFERROR(VLOOKUP(B284,#REF!,11,0),"n/a")</f>
        <v>n/a</v>
      </c>
      <c r="X284" s="87" t="str">
        <f>IFERROR(VLOOKUP(B284,#REF!,8,0),"n/a")</f>
        <v>n/a</v>
      </c>
      <c r="Y284" s="87" t="str">
        <f t="shared" si="74"/>
        <v>ESTR</v>
      </c>
      <c r="Z284" s="131" t="s">
        <v>1605</v>
      </c>
      <c r="AA284" s="227" t="e">
        <f>VLOOKUP(Table1[[#This Row],[CONCAT]],'Campos Resumo Prop2.0'!A:H,8,0)</f>
        <v>#N/A</v>
      </c>
      <c r="AB284" s="87" t="s">
        <v>1656</v>
      </c>
      <c r="AC284" s="135" t="s">
        <v>1625</v>
      </c>
      <c r="AD284" s="91">
        <f>INDEX(Auxiliar!$D$5:$I$10,MATCH('LISTA - Setembro2024'!AD$3,Auxiliar!$B$5:$B$10,0),MATCH('LISTA - Setembro2024'!$AC284,Auxiliar!$D$4:$I$4,0))</f>
        <v>0</v>
      </c>
      <c r="AE284" s="91">
        <f>INDEX(Auxiliar!$D$5:$I$10,MATCH('LISTA - Setembro2024'!AE$3,Auxiliar!$B$5:$B$10,0),MATCH('LISTA - Setembro2024'!$AC284,Auxiliar!$D$4:$I$4,0))</f>
        <v>0</v>
      </c>
      <c r="AF284" s="87">
        <f>INDEX(Auxiliar!$D$5:$I$10,MATCH('LISTA - Setembro2024'!AF$3,Auxiliar!$B$5:$B$10,0),MATCH('LISTA - Setembro2024'!$AC284,Auxiliar!$D$4:$I$4,0))</f>
        <v>0</v>
      </c>
      <c r="AG284" s="87" t="str">
        <f t="shared" si="70"/>
        <v>n.a.</v>
      </c>
      <c r="AH284" s="87">
        <f>INDEX(Auxiliar!$D$5:$I$10,MATCH('LISTA - Setembro2024'!AH$3,Auxiliar!$B$5:$B$10,0),MATCH('LISTA - Setembro2024'!$AG284,Auxiliar!$D$4:$I$4,0))</f>
        <v>0</v>
      </c>
      <c r="AI284" s="87">
        <f>INDEX(Auxiliar!$D$5:$I$10,MATCH('LISTA - Setembro2024'!AI$3,Auxiliar!$B$5:$B$10,0),MATCH('LISTA - Setembro2024'!$AC284,Auxiliar!$D$4:$I$4,0))</f>
        <v>0</v>
      </c>
      <c r="AJ284" s="87">
        <f>INDEX(Auxiliar!$D$5:$I$10,MATCH('LISTA - Setembro2024'!AJ$3,Auxiliar!$B$5:$B$10,0),MATCH('LISTA - Setembro2024'!$AC284,Auxiliar!$D$4:$I$4,0))</f>
        <v>0</v>
      </c>
      <c r="AK284" s="160">
        <f t="shared" si="73"/>
        <v>0</v>
      </c>
      <c r="AL284" s="87"/>
    </row>
    <row r="285" spans="1:38" ht="13.8" x14ac:dyDescent="0.25">
      <c r="A285" s="158" t="s">
        <v>720</v>
      </c>
      <c r="B285" s="81" t="str">
        <f t="shared" si="71"/>
        <v>INSTRUMENT_LGD</v>
      </c>
      <c r="C285" s="82" t="s">
        <v>414</v>
      </c>
      <c r="D285" s="83" t="s">
        <v>721</v>
      </c>
      <c r="E285" s="84" t="s">
        <v>722</v>
      </c>
      <c r="F285" s="85" t="s">
        <v>13</v>
      </c>
      <c r="G285" s="85" t="s">
        <v>11</v>
      </c>
      <c r="H285" s="85" t="s">
        <v>11</v>
      </c>
      <c r="I285" s="85" t="s">
        <v>11</v>
      </c>
      <c r="J285" s="85" t="s">
        <v>11</v>
      </c>
      <c r="K285" s="85" t="s">
        <v>13</v>
      </c>
      <c r="L285" s="86" t="str">
        <f>IFERROR(VLOOKUP($B285,'LISTA - Atual'!$B$1:$I$444,5,0),"Novo")</f>
        <v>Y</v>
      </c>
      <c r="M285" s="86" t="str">
        <f t="shared" si="65"/>
        <v>Igual</v>
      </c>
      <c r="N285" s="86" t="str">
        <f>IFERROR(VLOOKUP($B285,'LISTA - Atual'!$B$1:$I$444,6,0),"Novo")</f>
        <v>N</v>
      </c>
      <c r="O285" s="86" t="str">
        <f t="shared" si="66"/>
        <v>Igual</v>
      </c>
      <c r="P285" s="86" t="str">
        <f>IFERROR(VLOOKUP($B285,'LISTA - Atual'!$B$1:$I$444,7,0),"Novo")</f>
        <v>N</v>
      </c>
      <c r="Q285" s="86" t="str">
        <f t="shared" si="67"/>
        <v>Igual</v>
      </c>
      <c r="R285" s="86" t="s">
        <v>1563</v>
      </c>
      <c r="S285" s="86" t="str">
        <f>IFERROR(VLOOKUP($B285,'LISTA - Atual'!$B$1:$I$444,8,0),"Novo")</f>
        <v>N</v>
      </c>
      <c r="T285" s="86" t="str">
        <f t="shared" si="68"/>
        <v>Igual</v>
      </c>
      <c r="U285" s="86" t="s">
        <v>1563</v>
      </c>
      <c r="V285" s="86" t="s">
        <v>11</v>
      </c>
      <c r="W285" s="87" t="str">
        <f>IFERROR(VLOOKUP(B285,#REF!,11,0),"n/a")</f>
        <v>n/a</v>
      </c>
      <c r="X285" s="87" t="str">
        <f>IFERROR(VLOOKUP(B285,#REF!,8,0),"n/a")</f>
        <v>n/a</v>
      </c>
      <c r="Y285" s="87" t="str">
        <f t="shared" si="74"/>
        <v>ESTR</v>
      </c>
      <c r="Z285" s="131" t="s">
        <v>1605</v>
      </c>
      <c r="AA285" s="227" t="e">
        <f>VLOOKUP(Table1[[#This Row],[CONCAT]],'Campos Resumo Prop2.0'!A:H,8,0)</f>
        <v>#N/A</v>
      </c>
      <c r="AB285" s="87" t="s">
        <v>1656</v>
      </c>
      <c r="AC285" s="135" t="s">
        <v>1625</v>
      </c>
      <c r="AD285" s="91">
        <f>INDEX(Auxiliar!$D$5:$I$10,MATCH('LISTA - Setembro2024'!AD$3,Auxiliar!$B$5:$B$10,0),MATCH('LISTA - Setembro2024'!$AC285,Auxiliar!$D$4:$I$4,0))</f>
        <v>0</v>
      </c>
      <c r="AE285" s="91">
        <f>INDEX(Auxiliar!$D$5:$I$10,MATCH('LISTA - Setembro2024'!AE$3,Auxiliar!$B$5:$B$10,0),MATCH('LISTA - Setembro2024'!$AC285,Auxiliar!$D$4:$I$4,0))</f>
        <v>0</v>
      </c>
      <c r="AF285" s="87">
        <f>INDEX(Auxiliar!$D$5:$I$10,MATCH('LISTA - Setembro2024'!AF$3,Auxiliar!$B$5:$B$10,0),MATCH('LISTA - Setembro2024'!$AC285,Auxiliar!$D$4:$I$4,0))</f>
        <v>0</v>
      </c>
      <c r="AG285" s="87" t="str">
        <f t="shared" si="70"/>
        <v>n.a.</v>
      </c>
      <c r="AH285" s="87">
        <f>INDEX(Auxiliar!$D$5:$I$10,MATCH('LISTA - Setembro2024'!AH$3,Auxiliar!$B$5:$B$10,0),MATCH('LISTA - Setembro2024'!$AG285,Auxiliar!$D$4:$I$4,0))</f>
        <v>0</v>
      </c>
      <c r="AI285" s="87">
        <f>INDEX(Auxiliar!$D$5:$I$10,MATCH('LISTA - Setembro2024'!AI$3,Auxiliar!$B$5:$B$10,0),MATCH('LISTA - Setembro2024'!$AC285,Auxiliar!$D$4:$I$4,0))</f>
        <v>0</v>
      </c>
      <c r="AJ285" s="87">
        <f>INDEX(Auxiliar!$D$5:$I$10,MATCH('LISTA - Setembro2024'!AJ$3,Auxiliar!$B$5:$B$10,0),MATCH('LISTA - Setembro2024'!$AC285,Auxiliar!$D$4:$I$4,0))</f>
        <v>0</v>
      </c>
      <c r="AK285" s="160">
        <f t="shared" si="73"/>
        <v>0</v>
      </c>
      <c r="AL285" s="87"/>
    </row>
    <row r="286" spans="1:38" ht="13.8" x14ac:dyDescent="0.25">
      <c r="A286" s="158" t="s">
        <v>723</v>
      </c>
      <c r="B286" s="81" t="str">
        <f t="shared" si="71"/>
        <v>INSTRUMENT_LTV</v>
      </c>
      <c r="C286" s="82" t="s">
        <v>414</v>
      </c>
      <c r="D286" s="83" t="s">
        <v>724</v>
      </c>
      <c r="E286" s="84" t="s">
        <v>725</v>
      </c>
      <c r="F286" s="85" t="s">
        <v>13</v>
      </c>
      <c r="G286" s="85" t="s">
        <v>11</v>
      </c>
      <c r="H286" s="89" t="s">
        <v>13</v>
      </c>
      <c r="I286" s="85" t="s">
        <v>11</v>
      </c>
      <c r="J286" s="85" t="s">
        <v>11</v>
      </c>
      <c r="K286" s="85" t="s">
        <v>11</v>
      </c>
      <c r="L286" s="86" t="str">
        <f>IFERROR(VLOOKUP($B286,'LISTA - Atual'!$B$1:$I$444,5,0),"Novo")</f>
        <v>Y</v>
      </c>
      <c r="M286" s="86" t="str">
        <f t="shared" si="65"/>
        <v>Igual</v>
      </c>
      <c r="N286" s="86" t="str">
        <f>IFERROR(VLOOKUP($B286,'LISTA - Atual'!$B$1:$I$444,6,0),"Novo")</f>
        <v>N</v>
      </c>
      <c r="O286" s="86" t="str">
        <f t="shared" si="66"/>
        <v>Igual</v>
      </c>
      <c r="P286" s="86" t="str">
        <f>IFERROR(VLOOKUP($B286,'LISTA - Atual'!$B$1:$I$444,7,0),"Novo")</f>
        <v>N</v>
      </c>
      <c r="Q286" s="86" t="str">
        <f t="shared" si="67"/>
        <v>Diferente</v>
      </c>
      <c r="R286" s="86" t="s">
        <v>1563</v>
      </c>
      <c r="S286" s="86" t="str">
        <f>IFERROR(VLOOKUP($B286,'LISTA - Atual'!$B$1:$I$444,8,0),"Novo")</f>
        <v>N</v>
      </c>
      <c r="T286" s="86" t="str">
        <f t="shared" si="68"/>
        <v>Igual</v>
      </c>
      <c r="U286" s="86" t="s">
        <v>1563</v>
      </c>
      <c r="V286" s="86" t="s">
        <v>11</v>
      </c>
      <c r="W286" s="87" t="str">
        <f>IFERROR(VLOOKUP(B286,#REF!,11,0),"n/a")</f>
        <v>n/a</v>
      </c>
      <c r="X286" s="87" t="str">
        <f>IFERROR(VLOOKUP(B286,#REF!,8,0),"n/a")</f>
        <v>n/a</v>
      </c>
      <c r="Y286" s="87" t="str">
        <f>$F$2&amp;$Y$1&amp;$H$2</f>
        <v>ESTR &amp; PILAR3</v>
      </c>
      <c r="Z286" s="213" t="s">
        <v>1570</v>
      </c>
      <c r="AA286" s="227" t="str">
        <f>VLOOKUP(Table1[[#This Row],[CONCAT]],'Campos Resumo Prop2.0'!A:H,8,0)</f>
        <v>Não será contemplado no âmbito da proposta - Campos do LT ESTR</v>
      </c>
      <c r="AB286" s="87" t="s">
        <v>1656</v>
      </c>
      <c r="AC286" s="135" t="s">
        <v>1674</v>
      </c>
      <c r="AD286" s="91">
        <f>INDEX(Auxiliar!$D$5:$I$10,MATCH('LISTA - Setembro2024'!AD$3,Auxiliar!$B$5:$B$10,0),MATCH('LISTA - Setembro2024'!$AC286,Auxiliar!$D$4:$I$4,0))</f>
        <v>1</v>
      </c>
      <c r="AE286" s="88">
        <v>0</v>
      </c>
      <c r="AF286" s="87">
        <f>INDEX(Auxiliar!$D$5:$I$10,MATCH('LISTA - Setembro2024'!AF$3,Auxiliar!$B$5:$B$10,0),MATCH('LISTA - Setembro2024'!$AC286,Auxiliar!$D$4:$I$4,0))</f>
        <v>1</v>
      </c>
      <c r="AG286" s="87" t="str">
        <f t="shared" si="70"/>
        <v>n.a.</v>
      </c>
      <c r="AH286" s="87">
        <f>INDEX(Auxiliar!$D$5:$I$10,MATCH('LISTA - Setembro2024'!AH$3,Auxiliar!$B$5:$B$10,0),MATCH('LISTA - Setembro2024'!$AG286,Auxiliar!$D$4:$I$4,0))</f>
        <v>0</v>
      </c>
      <c r="AI286" s="87">
        <f>INDEX(Auxiliar!$D$5:$I$10,MATCH('LISTA - Setembro2024'!AI$3,Auxiliar!$B$5:$B$10,0),MATCH('LISTA - Setembro2024'!$AC286,Auxiliar!$D$4:$I$4,0))</f>
        <v>0.5</v>
      </c>
      <c r="AJ286" s="87">
        <f>INDEX(Auxiliar!$D$5:$I$10,MATCH('LISTA - Setembro2024'!AJ$3,Auxiliar!$B$5:$B$10,0),MATCH('LISTA - Setembro2024'!$AC286,Auxiliar!$D$4:$I$4,0))</f>
        <v>1</v>
      </c>
      <c r="AK286" s="242">
        <v>0</v>
      </c>
      <c r="AL286" s="87"/>
    </row>
    <row r="287" spans="1:38" ht="13.8" x14ac:dyDescent="0.25">
      <c r="A287" s="158" t="s">
        <v>726</v>
      </c>
      <c r="B287" s="81" t="str">
        <f t="shared" si="71"/>
        <v>INSTRUMENT_LTV_INCPTN</v>
      </c>
      <c r="C287" s="82" t="s">
        <v>414</v>
      </c>
      <c r="D287" s="83" t="s">
        <v>727</v>
      </c>
      <c r="E287" s="84" t="s">
        <v>728</v>
      </c>
      <c r="F287" s="85" t="s">
        <v>13</v>
      </c>
      <c r="G287" s="85" t="s">
        <v>11</v>
      </c>
      <c r="H287" s="89" t="s">
        <v>13</v>
      </c>
      <c r="I287" s="85" t="s">
        <v>11</v>
      </c>
      <c r="J287" s="85" t="s">
        <v>11</v>
      </c>
      <c r="K287" s="85" t="s">
        <v>11</v>
      </c>
      <c r="L287" s="86" t="str">
        <f>IFERROR(VLOOKUP($B287,'LISTA - Atual'!$B$1:$I$444,5,0),"Novo")</f>
        <v>Y</v>
      </c>
      <c r="M287" s="86" t="str">
        <f t="shared" si="65"/>
        <v>Igual</v>
      </c>
      <c r="N287" s="86" t="str">
        <f>IFERROR(VLOOKUP($B287,'LISTA - Atual'!$B$1:$I$444,6,0),"Novo")</f>
        <v>N</v>
      </c>
      <c r="O287" s="86" t="str">
        <f t="shared" si="66"/>
        <v>Igual</v>
      </c>
      <c r="P287" s="86" t="str">
        <f>IFERROR(VLOOKUP($B287,'LISTA - Atual'!$B$1:$I$444,7,0),"Novo")</f>
        <v>N</v>
      </c>
      <c r="Q287" s="86" t="str">
        <f t="shared" si="67"/>
        <v>Diferente</v>
      </c>
      <c r="R287" s="86" t="s">
        <v>1563</v>
      </c>
      <c r="S287" s="86" t="str">
        <f>IFERROR(VLOOKUP($B287,'LISTA - Atual'!$B$1:$I$444,8,0),"Novo")</f>
        <v>N</v>
      </c>
      <c r="T287" s="86" t="str">
        <f t="shared" si="68"/>
        <v>Igual</v>
      </c>
      <c r="U287" s="86" t="s">
        <v>1563</v>
      </c>
      <c r="V287" s="86" t="s">
        <v>11</v>
      </c>
      <c r="W287" s="87" t="str">
        <f>IFERROR(VLOOKUP(B287,#REF!,11,0),"n/a")</f>
        <v>n/a</v>
      </c>
      <c r="X287" s="87" t="str">
        <f>IFERROR(VLOOKUP(B287,#REF!,8,0),"n/a")</f>
        <v>n/a</v>
      </c>
      <c r="Y287" s="87" t="str">
        <f>$F$2&amp;$Y$1&amp;$H$2</f>
        <v>ESTR &amp; PILAR3</v>
      </c>
      <c r="Z287" s="213" t="s">
        <v>1570</v>
      </c>
      <c r="AA287" s="227" t="str">
        <f>VLOOKUP(Table1[[#This Row],[CONCAT]],'Campos Resumo Prop2.0'!A:H,8,0)</f>
        <v>Não será contemplado no âmbito da proposta - Campos do LT ESTR</v>
      </c>
      <c r="AB287" s="87" t="s">
        <v>1656</v>
      </c>
      <c r="AC287" s="135" t="s">
        <v>1674</v>
      </c>
      <c r="AD287" s="91">
        <f>INDEX(Auxiliar!$D$5:$I$10,MATCH('LISTA - Setembro2024'!AD$3,Auxiliar!$B$5:$B$10,0),MATCH('LISTA - Setembro2024'!$AC287,Auxiliar!$D$4:$I$4,0))</f>
        <v>1</v>
      </c>
      <c r="AE287" s="88">
        <v>0</v>
      </c>
      <c r="AF287" s="87">
        <f>INDEX(Auxiliar!$D$5:$I$10,MATCH('LISTA - Setembro2024'!AF$3,Auxiliar!$B$5:$B$10,0),MATCH('LISTA - Setembro2024'!$AC287,Auxiliar!$D$4:$I$4,0))</f>
        <v>1</v>
      </c>
      <c r="AG287" s="87" t="str">
        <f t="shared" si="70"/>
        <v>n.a.</v>
      </c>
      <c r="AH287" s="87">
        <f>INDEX(Auxiliar!$D$5:$I$10,MATCH('LISTA - Setembro2024'!AH$3,Auxiliar!$B$5:$B$10,0),MATCH('LISTA - Setembro2024'!$AG287,Auxiliar!$D$4:$I$4,0))</f>
        <v>0</v>
      </c>
      <c r="AI287" s="87">
        <f>INDEX(Auxiliar!$D$5:$I$10,MATCH('LISTA - Setembro2024'!AI$3,Auxiliar!$B$5:$B$10,0),MATCH('LISTA - Setembro2024'!$AC287,Auxiliar!$D$4:$I$4,0))</f>
        <v>0.5</v>
      </c>
      <c r="AJ287" s="87">
        <f>INDEX(Auxiliar!$D$5:$I$10,MATCH('LISTA - Setembro2024'!AJ$3,Auxiliar!$B$5:$B$10,0),MATCH('LISTA - Setembro2024'!$AC287,Auxiliar!$D$4:$I$4,0))</f>
        <v>1</v>
      </c>
      <c r="AK287" s="242">
        <v>0</v>
      </c>
      <c r="AL287" s="87"/>
    </row>
    <row r="288" spans="1:38" ht="13.8" x14ac:dyDescent="0.25">
      <c r="A288" s="158" t="s">
        <v>729</v>
      </c>
      <c r="B288" s="81" t="str">
        <f t="shared" si="71"/>
        <v>INSTRUMENT_LTV_NPE</v>
      </c>
      <c r="C288" s="82" t="s">
        <v>414</v>
      </c>
      <c r="D288" s="83" t="s">
        <v>730</v>
      </c>
      <c r="E288" s="84" t="s">
        <v>731</v>
      </c>
      <c r="F288" s="85" t="s">
        <v>13</v>
      </c>
      <c r="G288" s="85" t="s">
        <v>11</v>
      </c>
      <c r="H288" s="85" t="s">
        <v>11</v>
      </c>
      <c r="I288" s="85" t="s">
        <v>11</v>
      </c>
      <c r="J288" s="85" t="s">
        <v>11</v>
      </c>
      <c r="K288" s="85" t="s">
        <v>11</v>
      </c>
      <c r="L288" s="86" t="str">
        <f>IFERROR(VLOOKUP($B288,'LISTA - Atual'!$B$1:$I$444,5,0),"Novo")</f>
        <v>Y</v>
      </c>
      <c r="M288" s="86" t="str">
        <f t="shared" si="65"/>
        <v>Igual</v>
      </c>
      <c r="N288" s="86" t="str">
        <f>IFERROR(VLOOKUP($B288,'LISTA - Atual'!$B$1:$I$444,6,0),"Novo")</f>
        <v>N</v>
      </c>
      <c r="O288" s="86" t="str">
        <f t="shared" si="66"/>
        <v>Igual</v>
      </c>
      <c r="P288" s="86" t="str">
        <f>IFERROR(VLOOKUP($B288,'LISTA - Atual'!$B$1:$I$444,7,0),"Novo")</f>
        <v>N</v>
      </c>
      <c r="Q288" s="86" t="str">
        <f t="shared" si="67"/>
        <v>Igual</v>
      </c>
      <c r="R288" s="86" t="s">
        <v>1563</v>
      </c>
      <c r="S288" s="86" t="str">
        <f>IFERROR(VLOOKUP($B288,'LISTA - Atual'!$B$1:$I$444,8,0),"Novo")</f>
        <v>N</v>
      </c>
      <c r="T288" s="86" t="str">
        <f t="shared" si="68"/>
        <v>Igual</v>
      </c>
      <c r="U288" s="86" t="s">
        <v>1563</v>
      </c>
      <c r="V288" s="86" t="s">
        <v>11</v>
      </c>
      <c r="W288" s="87" t="str">
        <f>IFERROR(VLOOKUP(B288,#REF!,11,0),"n/a")</f>
        <v>n/a</v>
      </c>
      <c r="X288" s="87" t="str">
        <f>IFERROR(VLOOKUP(B288,#REF!,8,0),"n/a")</f>
        <v>n/a</v>
      </c>
      <c r="Y288" s="87" t="str">
        <f t="shared" ref="Y288:Y300" si="75">$F$2</f>
        <v>ESTR</v>
      </c>
      <c r="Z288" s="131" t="s">
        <v>1605</v>
      </c>
      <c r="AA288" s="227" t="e">
        <f>VLOOKUP(Table1[[#This Row],[CONCAT]],'Campos Resumo Prop2.0'!A:H,8,0)</f>
        <v>#N/A</v>
      </c>
      <c r="AB288" s="87" t="s">
        <v>1656</v>
      </c>
      <c r="AC288" s="135" t="s">
        <v>1625</v>
      </c>
      <c r="AD288" s="91">
        <f>INDEX(Auxiliar!$D$5:$I$10,MATCH('LISTA - Setembro2024'!AD$3,Auxiliar!$B$5:$B$10,0),MATCH('LISTA - Setembro2024'!$AC288,Auxiliar!$D$4:$I$4,0))</f>
        <v>0</v>
      </c>
      <c r="AE288" s="91">
        <f>INDEX(Auxiliar!$D$5:$I$10,MATCH('LISTA - Setembro2024'!AE$3,Auxiliar!$B$5:$B$10,0),MATCH('LISTA - Setembro2024'!$AC288,Auxiliar!$D$4:$I$4,0))</f>
        <v>0</v>
      </c>
      <c r="AF288" s="87">
        <f>INDEX(Auxiliar!$D$5:$I$10,MATCH('LISTA - Setembro2024'!AF$3,Auxiliar!$B$5:$B$10,0),MATCH('LISTA - Setembro2024'!$AC288,Auxiliar!$D$4:$I$4,0))</f>
        <v>0</v>
      </c>
      <c r="AG288" s="87" t="str">
        <f t="shared" si="70"/>
        <v>n.a.</v>
      </c>
      <c r="AH288" s="87">
        <f>INDEX(Auxiliar!$D$5:$I$10,MATCH('LISTA - Setembro2024'!AH$3,Auxiliar!$B$5:$B$10,0),MATCH('LISTA - Setembro2024'!$AG288,Auxiliar!$D$4:$I$4,0))</f>
        <v>0</v>
      </c>
      <c r="AI288" s="87">
        <f>INDEX(Auxiliar!$D$5:$I$10,MATCH('LISTA - Setembro2024'!AI$3,Auxiliar!$B$5:$B$10,0),MATCH('LISTA - Setembro2024'!$AC288,Auxiliar!$D$4:$I$4,0))</f>
        <v>0</v>
      </c>
      <c r="AJ288" s="87">
        <f>INDEX(Auxiliar!$D$5:$I$10,MATCH('LISTA - Setembro2024'!AJ$3,Auxiliar!$B$5:$B$10,0),MATCH('LISTA - Setembro2024'!$AC288,Auxiliar!$D$4:$I$4,0))</f>
        <v>0</v>
      </c>
      <c r="AK288" s="160">
        <f t="shared" si="73"/>
        <v>0</v>
      </c>
      <c r="AL288" s="87"/>
    </row>
    <row r="289" spans="1:38" ht="13.8" x14ac:dyDescent="0.25">
      <c r="A289" s="158" t="s">
        <v>732</v>
      </c>
      <c r="B289" s="81" t="str">
        <f t="shared" si="71"/>
        <v>INSTRUMENT_PD_CRR_INCPTN</v>
      </c>
      <c r="C289" s="82" t="s">
        <v>414</v>
      </c>
      <c r="D289" s="83" t="s">
        <v>733</v>
      </c>
      <c r="E289" s="84" t="s">
        <v>734</v>
      </c>
      <c r="F289" s="85" t="s">
        <v>13</v>
      </c>
      <c r="G289" s="85" t="s">
        <v>11</v>
      </c>
      <c r="H289" s="85" t="s">
        <v>11</v>
      </c>
      <c r="I289" s="85" t="s">
        <v>11</v>
      </c>
      <c r="J289" s="85" t="s">
        <v>11</v>
      </c>
      <c r="K289" s="85" t="s">
        <v>13</v>
      </c>
      <c r="L289" s="86" t="str">
        <f>IFERROR(VLOOKUP($B289,'LISTA - Atual'!$B$1:$I$444,5,0),"Novo")</f>
        <v>Y</v>
      </c>
      <c r="M289" s="86" t="str">
        <f t="shared" si="65"/>
        <v>Igual</v>
      </c>
      <c r="N289" s="86" t="str">
        <f>IFERROR(VLOOKUP($B289,'LISTA - Atual'!$B$1:$I$444,6,0),"Novo")</f>
        <v>N</v>
      </c>
      <c r="O289" s="86" t="str">
        <f t="shared" si="66"/>
        <v>Igual</v>
      </c>
      <c r="P289" s="86" t="str">
        <f>IFERROR(VLOOKUP($B289,'LISTA - Atual'!$B$1:$I$444,7,0),"Novo")</f>
        <v>N</v>
      </c>
      <c r="Q289" s="86" t="str">
        <f t="shared" si="67"/>
        <v>Igual</v>
      </c>
      <c r="R289" s="86" t="s">
        <v>1563</v>
      </c>
      <c r="S289" s="86" t="str">
        <f>IFERROR(VLOOKUP($B289,'LISTA - Atual'!$B$1:$I$444,8,0),"Novo")</f>
        <v>N</v>
      </c>
      <c r="T289" s="86" t="str">
        <f t="shared" si="68"/>
        <v>Igual</v>
      </c>
      <c r="U289" s="86" t="s">
        <v>1563</v>
      </c>
      <c r="V289" s="86" t="s">
        <v>11</v>
      </c>
      <c r="W289" s="87" t="str">
        <f>IFERROR(VLOOKUP(B289,#REF!,11,0),"n/a")</f>
        <v>n/a</v>
      </c>
      <c r="X289" s="87" t="str">
        <f>IFERROR(VLOOKUP(B289,#REF!,8,0),"n/a")</f>
        <v>n/a</v>
      </c>
      <c r="Y289" s="87" t="str">
        <f t="shared" si="75"/>
        <v>ESTR</v>
      </c>
      <c r="Z289" s="131" t="s">
        <v>1605</v>
      </c>
      <c r="AA289" s="227" t="e">
        <f>VLOOKUP(Table1[[#This Row],[CONCAT]],'Campos Resumo Prop2.0'!A:H,8,0)</f>
        <v>#N/A</v>
      </c>
      <c r="AB289" s="87" t="s">
        <v>1656</v>
      </c>
      <c r="AC289" s="135" t="s">
        <v>1625</v>
      </c>
      <c r="AD289" s="135">
        <v>1</v>
      </c>
      <c r="AE289" s="91">
        <f>INDEX(Auxiliar!$D$5:$I$10,MATCH('LISTA - Setembro2024'!AE$3,Auxiliar!$B$5:$B$10,0),MATCH('LISTA - Setembro2024'!$AC289,Auxiliar!$D$4:$I$4,0))</f>
        <v>0</v>
      </c>
      <c r="AF289" s="87">
        <f>INDEX(Auxiliar!$D$5:$I$10,MATCH('LISTA - Setembro2024'!AF$3,Auxiliar!$B$5:$B$10,0),MATCH('LISTA - Setembro2024'!$AC289,Auxiliar!$D$4:$I$4,0))</f>
        <v>0</v>
      </c>
      <c r="AG289" s="87" t="str">
        <f t="shared" si="70"/>
        <v>n.a.</v>
      </c>
      <c r="AH289" s="87">
        <f>INDEX(Auxiliar!$D$5:$I$10,MATCH('LISTA - Setembro2024'!AH$3,Auxiliar!$B$5:$B$10,0),MATCH('LISTA - Setembro2024'!$AG289,Auxiliar!$D$4:$I$4,0))</f>
        <v>0</v>
      </c>
      <c r="AI289" s="87">
        <f>INDEX(Auxiliar!$D$5:$I$10,MATCH('LISTA - Setembro2024'!AI$3,Auxiliar!$B$5:$B$10,0),MATCH('LISTA - Setembro2024'!$AC289,Auxiliar!$D$4:$I$4,0))</f>
        <v>0</v>
      </c>
      <c r="AJ289" s="87">
        <f>INDEX(Auxiliar!$D$5:$I$10,MATCH('LISTA - Setembro2024'!AJ$3,Auxiliar!$B$5:$B$10,0),MATCH('LISTA - Setembro2024'!$AC289,Auxiliar!$D$4:$I$4,0))</f>
        <v>0</v>
      </c>
      <c r="AK289" s="160">
        <f t="shared" si="73"/>
        <v>0</v>
      </c>
      <c r="AL289" s="87" t="s">
        <v>1693</v>
      </c>
    </row>
    <row r="290" spans="1:38" ht="13.8" x14ac:dyDescent="0.25">
      <c r="A290" s="158" t="s">
        <v>735</v>
      </c>
      <c r="B290" s="81" t="str">
        <f t="shared" si="71"/>
        <v>INSTRUMENT_PD_CRR_RD</v>
      </c>
      <c r="C290" s="82" t="s">
        <v>414</v>
      </c>
      <c r="D290" s="83" t="s">
        <v>257</v>
      </c>
      <c r="E290" s="84" t="s">
        <v>258</v>
      </c>
      <c r="F290" s="85" t="s">
        <v>13</v>
      </c>
      <c r="G290" s="85" t="s">
        <v>11</v>
      </c>
      <c r="H290" s="85" t="s">
        <v>11</v>
      </c>
      <c r="I290" s="85" t="s">
        <v>11</v>
      </c>
      <c r="J290" s="85" t="s">
        <v>11</v>
      </c>
      <c r="K290" s="85" t="s">
        <v>13</v>
      </c>
      <c r="L290" s="86" t="str">
        <f>IFERROR(VLOOKUP($B290,'LISTA - Atual'!$B$1:$I$444,5,0),"Novo")</f>
        <v>Y</v>
      </c>
      <c r="M290" s="86" t="str">
        <f t="shared" si="65"/>
        <v>Igual</v>
      </c>
      <c r="N290" s="86" t="str">
        <f>IFERROR(VLOOKUP($B290,'LISTA - Atual'!$B$1:$I$444,6,0),"Novo")</f>
        <v>N</v>
      </c>
      <c r="O290" s="86" t="str">
        <f t="shared" si="66"/>
        <v>Igual</v>
      </c>
      <c r="P290" s="86" t="str">
        <f>IFERROR(VLOOKUP($B290,'LISTA - Atual'!$B$1:$I$444,7,0),"Novo")</f>
        <v>N</v>
      </c>
      <c r="Q290" s="86" t="str">
        <f t="shared" si="67"/>
        <v>Igual</v>
      </c>
      <c r="R290" s="86" t="s">
        <v>1563</v>
      </c>
      <c r="S290" s="86" t="str">
        <f>IFERROR(VLOOKUP($B290,'LISTA - Atual'!$B$1:$I$444,8,0),"Novo")</f>
        <v>N</v>
      </c>
      <c r="T290" s="86" t="str">
        <f t="shared" si="68"/>
        <v>Igual</v>
      </c>
      <c r="U290" s="86" t="s">
        <v>1563</v>
      </c>
      <c r="V290" s="86" t="s">
        <v>11</v>
      </c>
      <c r="W290" s="87" t="str">
        <f>IFERROR(VLOOKUP(B290,#REF!,11,0),"n/a")</f>
        <v>n/a</v>
      </c>
      <c r="X290" s="87" t="str">
        <f>IFERROR(VLOOKUP(B290,#REF!,8,0),"n/a")</f>
        <v>n/a</v>
      </c>
      <c r="Y290" s="87" t="str">
        <f t="shared" si="75"/>
        <v>ESTR</v>
      </c>
      <c r="Z290" s="131" t="s">
        <v>1605</v>
      </c>
      <c r="AA290" s="227" t="e">
        <f>VLOOKUP(Table1[[#This Row],[CONCAT]],'Campos Resumo Prop2.0'!A:H,8,0)</f>
        <v>#N/A</v>
      </c>
      <c r="AB290" s="87" t="s">
        <v>1656</v>
      </c>
      <c r="AC290" s="135" t="s">
        <v>1625</v>
      </c>
      <c r="AD290" s="91">
        <f>INDEX(Auxiliar!$D$5:$I$10,MATCH('LISTA - Setembro2024'!AD$3,Auxiliar!$B$5:$B$10,0),MATCH('LISTA - Setembro2024'!$AC290,Auxiliar!$D$4:$I$4,0))</f>
        <v>0</v>
      </c>
      <c r="AE290" s="91">
        <f>INDEX(Auxiliar!$D$5:$I$10,MATCH('LISTA - Setembro2024'!AE$3,Auxiliar!$B$5:$B$10,0),MATCH('LISTA - Setembro2024'!$AC290,Auxiliar!$D$4:$I$4,0))</f>
        <v>0</v>
      </c>
      <c r="AF290" s="87">
        <f>INDEX(Auxiliar!$D$5:$I$10,MATCH('LISTA - Setembro2024'!AF$3,Auxiliar!$B$5:$B$10,0),MATCH('LISTA - Setembro2024'!$AC290,Auxiliar!$D$4:$I$4,0))</f>
        <v>0</v>
      </c>
      <c r="AG290" s="87" t="str">
        <f t="shared" si="70"/>
        <v>n.a.</v>
      </c>
      <c r="AH290" s="87">
        <f>INDEX(Auxiliar!$D$5:$I$10,MATCH('LISTA - Setembro2024'!AH$3,Auxiliar!$B$5:$B$10,0),MATCH('LISTA - Setembro2024'!$AG290,Auxiliar!$D$4:$I$4,0))</f>
        <v>0</v>
      </c>
      <c r="AI290" s="87">
        <f>INDEX(Auxiliar!$D$5:$I$10,MATCH('LISTA - Setembro2024'!AI$3,Auxiliar!$B$5:$B$10,0),MATCH('LISTA - Setembro2024'!$AC290,Auxiliar!$D$4:$I$4,0))</f>
        <v>0</v>
      </c>
      <c r="AJ290" s="87">
        <f>INDEX(Auxiliar!$D$5:$I$10,MATCH('LISTA - Setembro2024'!AJ$3,Auxiliar!$B$5:$B$10,0),MATCH('LISTA - Setembro2024'!$AC290,Auxiliar!$D$4:$I$4,0))</f>
        <v>0</v>
      </c>
      <c r="AK290" s="160">
        <f t="shared" si="73"/>
        <v>0</v>
      </c>
      <c r="AL290" s="87"/>
    </row>
    <row r="291" spans="1:38" ht="13.8" x14ac:dyDescent="0.25">
      <c r="A291" s="158" t="s">
        <v>736</v>
      </c>
      <c r="B291" s="81" t="str">
        <f t="shared" si="71"/>
        <v>INSTRUMENT_PD_CRR_RD_T1</v>
      </c>
      <c r="C291" s="82" t="s">
        <v>414</v>
      </c>
      <c r="D291" s="83" t="s">
        <v>278</v>
      </c>
      <c r="E291" s="84" t="s">
        <v>279</v>
      </c>
      <c r="F291" s="85" t="s">
        <v>13</v>
      </c>
      <c r="G291" s="85" t="s">
        <v>11</v>
      </c>
      <c r="H291" s="85" t="s">
        <v>11</v>
      </c>
      <c r="I291" s="85" t="s">
        <v>11</v>
      </c>
      <c r="J291" s="85" t="s">
        <v>11</v>
      </c>
      <c r="K291" s="85" t="s">
        <v>11</v>
      </c>
      <c r="L291" s="86" t="str">
        <f>IFERROR(VLOOKUP($B291,'LISTA - Atual'!$B$1:$I$444,5,0),"Novo")</f>
        <v>Y</v>
      </c>
      <c r="M291" s="86" t="str">
        <f t="shared" si="65"/>
        <v>Igual</v>
      </c>
      <c r="N291" s="86" t="str">
        <f>IFERROR(VLOOKUP($B291,'LISTA - Atual'!$B$1:$I$444,6,0),"Novo")</f>
        <v>N</v>
      </c>
      <c r="O291" s="86" t="str">
        <f t="shared" si="66"/>
        <v>Igual</v>
      </c>
      <c r="P291" s="86" t="str">
        <f>IFERROR(VLOOKUP($B291,'LISTA - Atual'!$B$1:$I$444,7,0),"Novo")</f>
        <v>N</v>
      </c>
      <c r="Q291" s="86" t="str">
        <f t="shared" si="67"/>
        <v>Igual</v>
      </c>
      <c r="R291" s="86" t="s">
        <v>1563</v>
      </c>
      <c r="S291" s="86" t="str">
        <f>IFERROR(VLOOKUP($B291,'LISTA - Atual'!$B$1:$I$444,8,0),"Novo")</f>
        <v>N</v>
      </c>
      <c r="T291" s="86" t="str">
        <f t="shared" si="68"/>
        <v>Igual</v>
      </c>
      <c r="U291" s="86" t="s">
        <v>1563</v>
      </c>
      <c r="V291" s="86" t="s">
        <v>11</v>
      </c>
      <c r="W291" s="87" t="str">
        <f>IFERROR(VLOOKUP(B291,#REF!,11,0),"n/a")</f>
        <v>n/a</v>
      </c>
      <c r="X291" s="87" t="str">
        <f>IFERROR(VLOOKUP(B291,#REF!,8,0),"n/a")</f>
        <v>n/a</v>
      </c>
      <c r="Y291" s="87" t="str">
        <f t="shared" si="75"/>
        <v>ESTR</v>
      </c>
      <c r="Z291" s="131" t="s">
        <v>1605</v>
      </c>
      <c r="AA291" s="227" t="e">
        <f>VLOOKUP(Table1[[#This Row],[CONCAT]],'Campos Resumo Prop2.0'!A:H,8,0)</f>
        <v>#N/A</v>
      </c>
      <c r="AB291" s="87" t="s">
        <v>1656</v>
      </c>
      <c r="AC291" s="135" t="s">
        <v>1625</v>
      </c>
      <c r="AD291" s="91">
        <f>INDEX(Auxiliar!$D$5:$I$10,MATCH('LISTA - Setembro2024'!AD$3,Auxiliar!$B$5:$B$10,0),MATCH('LISTA - Setembro2024'!$AC291,Auxiliar!$D$4:$I$4,0))</f>
        <v>0</v>
      </c>
      <c r="AE291" s="91">
        <f>INDEX(Auxiliar!$D$5:$I$10,MATCH('LISTA - Setembro2024'!AE$3,Auxiliar!$B$5:$B$10,0),MATCH('LISTA - Setembro2024'!$AC291,Auxiliar!$D$4:$I$4,0))</f>
        <v>0</v>
      </c>
      <c r="AF291" s="87">
        <f>INDEX(Auxiliar!$D$5:$I$10,MATCH('LISTA - Setembro2024'!AF$3,Auxiliar!$B$5:$B$10,0),MATCH('LISTA - Setembro2024'!$AC291,Auxiliar!$D$4:$I$4,0))</f>
        <v>0</v>
      </c>
      <c r="AG291" s="87" t="str">
        <f t="shared" si="70"/>
        <v>n.a.</v>
      </c>
      <c r="AH291" s="87">
        <f>INDEX(Auxiliar!$D$5:$I$10,MATCH('LISTA - Setembro2024'!AH$3,Auxiliar!$B$5:$B$10,0),MATCH('LISTA - Setembro2024'!$AG291,Auxiliar!$D$4:$I$4,0))</f>
        <v>0</v>
      </c>
      <c r="AI291" s="87">
        <f>INDEX(Auxiliar!$D$5:$I$10,MATCH('LISTA - Setembro2024'!AI$3,Auxiliar!$B$5:$B$10,0),MATCH('LISTA - Setembro2024'!$AC291,Auxiliar!$D$4:$I$4,0))</f>
        <v>0</v>
      </c>
      <c r="AJ291" s="87">
        <f>INDEX(Auxiliar!$D$5:$I$10,MATCH('LISTA - Setembro2024'!AJ$3,Auxiliar!$B$5:$B$10,0),MATCH('LISTA - Setembro2024'!$AC291,Auxiliar!$D$4:$I$4,0))</f>
        <v>0</v>
      </c>
      <c r="AK291" s="160">
        <f t="shared" si="73"/>
        <v>0</v>
      </c>
      <c r="AL291" s="87"/>
    </row>
    <row r="292" spans="1:38" ht="13.8" x14ac:dyDescent="0.25">
      <c r="A292" s="158" t="s">
        <v>737</v>
      </c>
      <c r="B292" s="81" t="str">
        <f t="shared" si="71"/>
        <v>INSTRUMENT_PD_IFRS9_12M_INCPTN</v>
      </c>
      <c r="C292" s="82" t="s">
        <v>414</v>
      </c>
      <c r="D292" s="83" t="s">
        <v>738</v>
      </c>
      <c r="E292" s="84" t="s">
        <v>739</v>
      </c>
      <c r="F292" s="85" t="s">
        <v>13</v>
      </c>
      <c r="G292" s="85" t="s">
        <v>11</v>
      </c>
      <c r="H292" s="85" t="s">
        <v>11</v>
      </c>
      <c r="I292" s="85" t="s">
        <v>11</v>
      </c>
      <c r="J292" s="85" t="s">
        <v>11</v>
      </c>
      <c r="K292" s="85" t="s">
        <v>13</v>
      </c>
      <c r="L292" s="86" t="str">
        <f>IFERROR(VLOOKUP($B292,'LISTA - Atual'!$B$1:$I$444,5,0),"Novo")</f>
        <v>Y</v>
      </c>
      <c r="M292" s="86" t="str">
        <f t="shared" si="65"/>
        <v>Igual</v>
      </c>
      <c r="N292" s="86" t="str">
        <f>IFERROR(VLOOKUP($B292,'LISTA - Atual'!$B$1:$I$444,6,0),"Novo")</f>
        <v>N</v>
      </c>
      <c r="O292" s="86" t="str">
        <f t="shared" si="66"/>
        <v>Igual</v>
      </c>
      <c r="P292" s="86" t="str">
        <f>IFERROR(VLOOKUP($B292,'LISTA - Atual'!$B$1:$I$444,7,0),"Novo")</f>
        <v>N</v>
      </c>
      <c r="Q292" s="86" t="str">
        <f t="shared" si="67"/>
        <v>Igual</v>
      </c>
      <c r="R292" s="86" t="s">
        <v>1563</v>
      </c>
      <c r="S292" s="86" t="str">
        <f>IFERROR(VLOOKUP($B292,'LISTA - Atual'!$B$1:$I$444,8,0),"Novo")</f>
        <v>N</v>
      </c>
      <c r="T292" s="86" t="str">
        <f t="shared" si="68"/>
        <v>Igual</v>
      </c>
      <c r="U292" s="86" t="s">
        <v>1563</v>
      </c>
      <c r="V292" s="86" t="s">
        <v>11</v>
      </c>
      <c r="W292" s="87" t="str">
        <f>IFERROR(VLOOKUP(B292,#REF!,11,0),"n/a")</f>
        <v>n/a</v>
      </c>
      <c r="X292" s="87" t="str">
        <f>IFERROR(VLOOKUP(B292,#REF!,8,0),"n/a")</f>
        <v>n/a</v>
      </c>
      <c r="Y292" s="87" t="str">
        <f t="shared" si="75"/>
        <v>ESTR</v>
      </c>
      <c r="Z292" s="131" t="s">
        <v>1605</v>
      </c>
      <c r="AA292" s="227" t="e">
        <f>VLOOKUP(Table1[[#This Row],[CONCAT]],'Campos Resumo Prop2.0'!A:H,8,0)</f>
        <v>#N/A</v>
      </c>
      <c r="AB292" s="87" t="s">
        <v>1656</v>
      </c>
      <c r="AC292" s="135" t="s">
        <v>1625</v>
      </c>
      <c r="AD292" s="91">
        <f>INDEX(Auxiliar!$D$5:$I$10,MATCH('LISTA - Setembro2024'!AD$3,Auxiliar!$B$5:$B$10,0),MATCH('LISTA - Setembro2024'!$AC292,Auxiliar!$D$4:$I$4,0))</f>
        <v>0</v>
      </c>
      <c r="AE292" s="91">
        <f>INDEX(Auxiliar!$D$5:$I$10,MATCH('LISTA - Setembro2024'!AE$3,Auxiliar!$B$5:$B$10,0),MATCH('LISTA - Setembro2024'!$AC292,Auxiliar!$D$4:$I$4,0))</f>
        <v>0</v>
      </c>
      <c r="AF292" s="87">
        <f>INDEX(Auxiliar!$D$5:$I$10,MATCH('LISTA - Setembro2024'!AF$3,Auxiliar!$B$5:$B$10,0),MATCH('LISTA - Setembro2024'!$AC292,Auxiliar!$D$4:$I$4,0))</f>
        <v>0</v>
      </c>
      <c r="AG292" s="87" t="str">
        <f t="shared" si="70"/>
        <v>n.a.</v>
      </c>
      <c r="AH292" s="87">
        <f>INDEX(Auxiliar!$D$5:$I$10,MATCH('LISTA - Setembro2024'!AH$3,Auxiliar!$B$5:$B$10,0),MATCH('LISTA - Setembro2024'!$AG292,Auxiliar!$D$4:$I$4,0))</f>
        <v>0</v>
      </c>
      <c r="AI292" s="87">
        <f>INDEX(Auxiliar!$D$5:$I$10,MATCH('LISTA - Setembro2024'!AI$3,Auxiliar!$B$5:$B$10,0),MATCH('LISTA - Setembro2024'!$AC292,Auxiliar!$D$4:$I$4,0))</f>
        <v>0</v>
      </c>
      <c r="AJ292" s="87">
        <f>INDEX(Auxiliar!$D$5:$I$10,MATCH('LISTA - Setembro2024'!AJ$3,Auxiliar!$B$5:$B$10,0),MATCH('LISTA - Setembro2024'!$AC292,Auxiliar!$D$4:$I$4,0))</f>
        <v>0</v>
      </c>
      <c r="AK292" s="160">
        <f t="shared" si="73"/>
        <v>0</v>
      </c>
      <c r="AL292" s="87"/>
    </row>
    <row r="293" spans="1:38" ht="13.8" x14ac:dyDescent="0.25">
      <c r="A293" s="158" t="s">
        <v>740</v>
      </c>
      <c r="B293" s="81" t="str">
        <f t="shared" si="71"/>
        <v>INSTRUMENT_PD_IFRS9_12M_RD</v>
      </c>
      <c r="C293" s="82" t="s">
        <v>414</v>
      </c>
      <c r="D293" s="83" t="s">
        <v>260</v>
      </c>
      <c r="E293" s="84" t="s">
        <v>261</v>
      </c>
      <c r="F293" s="85" t="s">
        <v>13</v>
      </c>
      <c r="G293" s="85" t="s">
        <v>11</v>
      </c>
      <c r="H293" s="85" t="s">
        <v>11</v>
      </c>
      <c r="I293" s="85" t="s">
        <v>11</v>
      </c>
      <c r="J293" s="85" t="s">
        <v>11</v>
      </c>
      <c r="K293" s="85" t="s">
        <v>13</v>
      </c>
      <c r="L293" s="86" t="str">
        <f>IFERROR(VLOOKUP($B293,'LISTA - Atual'!$B$1:$I$444,5,0),"Novo")</f>
        <v>Y</v>
      </c>
      <c r="M293" s="86" t="str">
        <f t="shared" si="65"/>
        <v>Igual</v>
      </c>
      <c r="N293" s="86" t="str">
        <f>IFERROR(VLOOKUP($B293,'LISTA - Atual'!$B$1:$I$444,6,0),"Novo")</f>
        <v>N</v>
      </c>
      <c r="O293" s="86" t="str">
        <f t="shared" si="66"/>
        <v>Igual</v>
      </c>
      <c r="P293" s="86" t="str">
        <f>IFERROR(VLOOKUP($B293,'LISTA - Atual'!$B$1:$I$444,7,0),"Novo")</f>
        <v>N</v>
      </c>
      <c r="Q293" s="86" t="str">
        <f t="shared" si="67"/>
        <v>Igual</v>
      </c>
      <c r="R293" s="86" t="s">
        <v>1563</v>
      </c>
      <c r="S293" s="86" t="str">
        <f>IFERROR(VLOOKUP($B293,'LISTA - Atual'!$B$1:$I$444,8,0),"Novo")</f>
        <v>N</v>
      </c>
      <c r="T293" s="86" t="str">
        <f t="shared" si="68"/>
        <v>Igual</v>
      </c>
      <c r="U293" s="86" t="s">
        <v>1563</v>
      </c>
      <c r="V293" s="86" t="s">
        <v>11</v>
      </c>
      <c r="W293" s="87" t="str">
        <f>IFERROR(VLOOKUP(B293,#REF!,11,0),"n/a")</f>
        <v>n/a</v>
      </c>
      <c r="X293" s="87" t="str">
        <f>IFERROR(VLOOKUP(B293,#REF!,8,0),"n/a")</f>
        <v>n/a</v>
      </c>
      <c r="Y293" s="87" t="str">
        <f t="shared" si="75"/>
        <v>ESTR</v>
      </c>
      <c r="Z293" s="131" t="s">
        <v>1605</v>
      </c>
      <c r="AA293" s="227" t="e">
        <f>VLOOKUP(Table1[[#This Row],[CONCAT]],'Campos Resumo Prop2.0'!A:H,8,0)</f>
        <v>#N/A</v>
      </c>
      <c r="AB293" s="87" t="s">
        <v>1656</v>
      </c>
      <c r="AC293" s="135" t="s">
        <v>1625</v>
      </c>
      <c r="AD293" s="91">
        <f>INDEX(Auxiliar!$D$5:$I$10,MATCH('LISTA - Setembro2024'!AD$3,Auxiliar!$B$5:$B$10,0),MATCH('LISTA - Setembro2024'!$AC293,Auxiliar!$D$4:$I$4,0))</f>
        <v>0</v>
      </c>
      <c r="AE293" s="91">
        <f>INDEX(Auxiliar!$D$5:$I$10,MATCH('LISTA - Setembro2024'!AE$3,Auxiliar!$B$5:$B$10,0),MATCH('LISTA - Setembro2024'!$AC293,Auxiliar!$D$4:$I$4,0))</f>
        <v>0</v>
      </c>
      <c r="AF293" s="87">
        <f>INDEX(Auxiliar!$D$5:$I$10,MATCH('LISTA - Setembro2024'!AF$3,Auxiliar!$B$5:$B$10,0),MATCH('LISTA - Setembro2024'!$AC293,Auxiliar!$D$4:$I$4,0))</f>
        <v>0</v>
      </c>
      <c r="AG293" s="87" t="str">
        <f t="shared" si="70"/>
        <v>n.a.</v>
      </c>
      <c r="AH293" s="87">
        <f>INDEX(Auxiliar!$D$5:$I$10,MATCH('LISTA - Setembro2024'!AH$3,Auxiliar!$B$5:$B$10,0),MATCH('LISTA - Setembro2024'!$AG293,Auxiliar!$D$4:$I$4,0))</f>
        <v>0</v>
      </c>
      <c r="AI293" s="87">
        <f>INDEX(Auxiliar!$D$5:$I$10,MATCH('LISTA - Setembro2024'!AI$3,Auxiliar!$B$5:$B$10,0),MATCH('LISTA - Setembro2024'!$AC293,Auxiliar!$D$4:$I$4,0))</f>
        <v>0</v>
      </c>
      <c r="AJ293" s="87">
        <f>INDEX(Auxiliar!$D$5:$I$10,MATCH('LISTA - Setembro2024'!AJ$3,Auxiliar!$B$5:$B$10,0),MATCH('LISTA - Setembro2024'!$AC293,Auxiliar!$D$4:$I$4,0))</f>
        <v>0</v>
      </c>
      <c r="AK293" s="160">
        <f t="shared" si="73"/>
        <v>0</v>
      </c>
      <c r="AL293" s="87"/>
    </row>
    <row r="294" spans="1:38" ht="13.8" x14ac:dyDescent="0.25">
      <c r="A294" s="158" t="s">
        <v>741</v>
      </c>
      <c r="B294" s="81" t="str">
        <f t="shared" si="71"/>
        <v>INSTRUMENT_PD_IFRS9_12M_RD_T1</v>
      </c>
      <c r="C294" s="82" t="s">
        <v>414</v>
      </c>
      <c r="D294" s="83" t="s">
        <v>263</v>
      </c>
      <c r="E294" s="84" t="s">
        <v>264</v>
      </c>
      <c r="F294" s="85" t="s">
        <v>13</v>
      </c>
      <c r="G294" s="85" t="s">
        <v>11</v>
      </c>
      <c r="H294" s="85" t="s">
        <v>11</v>
      </c>
      <c r="I294" s="85" t="s">
        <v>11</v>
      </c>
      <c r="J294" s="85" t="s">
        <v>11</v>
      </c>
      <c r="K294" s="85" t="s">
        <v>11</v>
      </c>
      <c r="L294" s="86" t="str">
        <f>IFERROR(VLOOKUP($B294,'LISTA - Atual'!$B$1:$I$444,5,0),"Novo")</f>
        <v>Y</v>
      </c>
      <c r="M294" s="86" t="str">
        <f t="shared" si="65"/>
        <v>Igual</v>
      </c>
      <c r="N294" s="86" t="str">
        <f>IFERROR(VLOOKUP($B294,'LISTA - Atual'!$B$1:$I$444,6,0),"Novo")</f>
        <v>N</v>
      </c>
      <c r="O294" s="86" t="str">
        <f t="shared" si="66"/>
        <v>Igual</v>
      </c>
      <c r="P294" s="86" t="str">
        <f>IFERROR(VLOOKUP($B294,'LISTA - Atual'!$B$1:$I$444,7,0),"Novo")</f>
        <v>N</v>
      </c>
      <c r="Q294" s="86" t="str">
        <f t="shared" si="67"/>
        <v>Igual</v>
      </c>
      <c r="R294" s="86" t="s">
        <v>1563</v>
      </c>
      <c r="S294" s="86" t="str">
        <f>IFERROR(VLOOKUP($B294,'LISTA - Atual'!$B$1:$I$444,8,0),"Novo")</f>
        <v>N</v>
      </c>
      <c r="T294" s="86" t="str">
        <f t="shared" si="68"/>
        <v>Igual</v>
      </c>
      <c r="U294" s="86" t="s">
        <v>1563</v>
      </c>
      <c r="V294" s="86" t="s">
        <v>11</v>
      </c>
      <c r="W294" s="87" t="str">
        <f>IFERROR(VLOOKUP(B294,#REF!,11,0),"n/a")</f>
        <v>n/a</v>
      </c>
      <c r="X294" s="87" t="str">
        <f>IFERROR(VLOOKUP(B294,#REF!,8,0),"n/a")</f>
        <v>n/a</v>
      </c>
      <c r="Y294" s="87" t="str">
        <f t="shared" si="75"/>
        <v>ESTR</v>
      </c>
      <c r="Z294" s="131" t="s">
        <v>1605</v>
      </c>
      <c r="AA294" s="227" t="e">
        <f>VLOOKUP(Table1[[#This Row],[CONCAT]],'Campos Resumo Prop2.0'!A:H,8,0)</f>
        <v>#N/A</v>
      </c>
      <c r="AB294" s="87" t="s">
        <v>1656</v>
      </c>
      <c r="AC294" s="135" t="s">
        <v>1625</v>
      </c>
      <c r="AD294" s="91">
        <f>INDEX(Auxiliar!$D$5:$I$10,MATCH('LISTA - Setembro2024'!AD$3,Auxiliar!$B$5:$B$10,0),MATCH('LISTA - Setembro2024'!$AC294,Auxiliar!$D$4:$I$4,0))</f>
        <v>0</v>
      </c>
      <c r="AE294" s="91">
        <f>INDEX(Auxiliar!$D$5:$I$10,MATCH('LISTA - Setembro2024'!AE$3,Auxiliar!$B$5:$B$10,0),MATCH('LISTA - Setembro2024'!$AC294,Auxiliar!$D$4:$I$4,0))</f>
        <v>0</v>
      </c>
      <c r="AF294" s="87">
        <f>INDEX(Auxiliar!$D$5:$I$10,MATCH('LISTA - Setembro2024'!AF$3,Auxiliar!$B$5:$B$10,0),MATCH('LISTA - Setembro2024'!$AC294,Auxiliar!$D$4:$I$4,0))</f>
        <v>0</v>
      </c>
      <c r="AG294" s="87" t="str">
        <f t="shared" si="70"/>
        <v>n.a.</v>
      </c>
      <c r="AH294" s="87">
        <f>INDEX(Auxiliar!$D$5:$I$10,MATCH('LISTA - Setembro2024'!AH$3,Auxiliar!$B$5:$B$10,0),MATCH('LISTA - Setembro2024'!$AG294,Auxiliar!$D$4:$I$4,0))</f>
        <v>0</v>
      </c>
      <c r="AI294" s="87">
        <f>INDEX(Auxiliar!$D$5:$I$10,MATCH('LISTA - Setembro2024'!AI$3,Auxiliar!$B$5:$B$10,0),MATCH('LISTA - Setembro2024'!$AC294,Auxiliar!$D$4:$I$4,0))</f>
        <v>0</v>
      </c>
      <c r="AJ294" s="87">
        <f>INDEX(Auxiliar!$D$5:$I$10,MATCH('LISTA - Setembro2024'!AJ$3,Auxiliar!$B$5:$B$10,0),MATCH('LISTA - Setembro2024'!$AC294,Auxiliar!$D$4:$I$4,0))</f>
        <v>0</v>
      </c>
      <c r="AK294" s="160">
        <f t="shared" si="73"/>
        <v>0</v>
      </c>
      <c r="AL294" s="87"/>
    </row>
    <row r="295" spans="1:38" ht="13.8" x14ac:dyDescent="0.25">
      <c r="A295" s="158" t="s">
        <v>742</v>
      </c>
      <c r="B295" s="81" t="str">
        <f t="shared" si="71"/>
        <v>INSTRUMENT_PD_IFRS9_LFTM_INCPTN</v>
      </c>
      <c r="C295" s="82" t="s">
        <v>414</v>
      </c>
      <c r="D295" s="83" t="s">
        <v>743</v>
      </c>
      <c r="E295" s="84" t="s">
        <v>744</v>
      </c>
      <c r="F295" s="85" t="s">
        <v>13</v>
      </c>
      <c r="G295" s="85" t="s">
        <v>11</v>
      </c>
      <c r="H295" s="85" t="s">
        <v>11</v>
      </c>
      <c r="I295" s="85" t="s">
        <v>11</v>
      </c>
      <c r="J295" s="85" t="s">
        <v>11</v>
      </c>
      <c r="K295" s="85" t="s">
        <v>13</v>
      </c>
      <c r="L295" s="86" t="str">
        <f>IFERROR(VLOOKUP($B295,'LISTA - Atual'!$B$1:$I$444,5,0),"Novo")</f>
        <v>Y</v>
      </c>
      <c r="M295" s="86" t="str">
        <f t="shared" si="65"/>
        <v>Igual</v>
      </c>
      <c r="N295" s="86" t="str">
        <f>IFERROR(VLOOKUP($B295,'LISTA - Atual'!$B$1:$I$444,6,0),"Novo")</f>
        <v>N</v>
      </c>
      <c r="O295" s="86" t="str">
        <f t="shared" si="66"/>
        <v>Igual</v>
      </c>
      <c r="P295" s="86" t="str">
        <f>IFERROR(VLOOKUP($B295,'LISTA - Atual'!$B$1:$I$444,7,0),"Novo")</f>
        <v>N</v>
      </c>
      <c r="Q295" s="86" t="str">
        <f t="shared" si="67"/>
        <v>Igual</v>
      </c>
      <c r="R295" s="86" t="s">
        <v>1563</v>
      </c>
      <c r="S295" s="86" t="str">
        <f>IFERROR(VLOOKUP($B295,'LISTA - Atual'!$B$1:$I$444,8,0),"Novo")</f>
        <v>N</v>
      </c>
      <c r="T295" s="86" t="str">
        <f t="shared" si="68"/>
        <v>Igual</v>
      </c>
      <c r="U295" s="86" t="s">
        <v>1563</v>
      </c>
      <c r="V295" s="86" t="s">
        <v>11</v>
      </c>
      <c r="W295" s="87" t="str">
        <f>IFERROR(VLOOKUP(B295,#REF!,11,0),"n/a")</f>
        <v>n/a</v>
      </c>
      <c r="X295" s="87" t="str">
        <f>IFERROR(VLOOKUP(B295,#REF!,8,0),"n/a")</f>
        <v>n/a</v>
      </c>
      <c r="Y295" s="87" t="str">
        <f t="shared" si="75"/>
        <v>ESTR</v>
      </c>
      <c r="Z295" s="131" t="s">
        <v>1605</v>
      </c>
      <c r="AA295" s="227" t="e">
        <f>VLOOKUP(Table1[[#This Row],[CONCAT]],'Campos Resumo Prop2.0'!A:H,8,0)</f>
        <v>#N/A</v>
      </c>
      <c r="AB295" s="87" t="s">
        <v>1656</v>
      </c>
      <c r="AC295" s="135" t="s">
        <v>1625</v>
      </c>
      <c r="AD295" s="91">
        <f>INDEX(Auxiliar!$D$5:$I$10,MATCH('LISTA - Setembro2024'!AD$3,Auxiliar!$B$5:$B$10,0),MATCH('LISTA - Setembro2024'!$AC295,Auxiliar!$D$4:$I$4,0))</f>
        <v>0</v>
      </c>
      <c r="AE295" s="91">
        <f>INDEX(Auxiliar!$D$5:$I$10,MATCH('LISTA - Setembro2024'!AE$3,Auxiliar!$B$5:$B$10,0),MATCH('LISTA - Setembro2024'!$AC295,Auxiliar!$D$4:$I$4,0))</f>
        <v>0</v>
      </c>
      <c r="AF295" s="87">
        <f>INDEX(Auxiliar!$D$5:$I$10,MATCH('LISTA - Setembro2024'!AF$3,Auxiliar!$B$5:$B$10,0),MATCH('LISTA - Setembro2024'!$AC295,Auxiliar!$D$4:$I$4,0))</f>
        <v>0</v>
      </c>
      <c r="AG295" s="87" t="str">
        <f t="shared" si="70"/>
        <v>n.a.</v>
      </c>
      <c r="AH295" s="87">
        <f>INDEX(Auxiliar!$D$5:$I$10,MATCH('LISTA - Setembro2024'!AH$3,Auxiliar!$B$5:$B$10,0),MATCH('LISTA - Setembro2024'!$AG295,Auxiliar!$D$4:$I$4,0))</f>
        <v>0</v>
      </c>
      <c r="AI295" s="87">
        <f>INDEX(Auxiliar!$D$5:$I$10,MATCH('LISTA - Setembro2024'!AI$3,Auxiliar!$B$5:$B$10,0),MATCH('LISTA - Setembro2024'!$AC295,Auxiliar!$D$4:$I$4,0))</f>
        <v>0</v>
      </c>
      <c r="AJ295" s="87">
        <f>INDEX(Auxiliar!$D$5:$I$10,MATCH('LISTA - Setembro2024'!AJ$3,Auxiliar!$B$5:$B$10,0),MATCH('LISTA - Setembro2024'!$AC295,Auxiliar!$D$4:$I$4,0))</f>
        <v>0</v>
      </c>
      <c r="AK295" s="160">
        <f t="shared" si="73"/>
        <v>0</v>
      </c>
      <c r="AL295" s="87"/>
    </row>
    <row r="296" spans="1:38" ht="13.8" x14ac:dyDescent="0.25">
      <c r="A296" s="158" t="s">
        <v>745</v>
      </c>
      <c r="B296" s="81" t="str">
        <f t="shared" si="71"/>
        <v>INSTRUMENT_PD_IFRS9_RMNNG_LFTM_INCPTN</v>
      </c>
      <c r="C296" s="82" t="s">
        <v>414</v>
      </c>
      <c r="D296" s="83" t="s">
        <v>746</v>
      </c>
      <c r="E296" s="84" t="s">
        <v>747</v>
      </c>
      <c r="F296" s="85" t="s">
        <v>13</v>
      </c>
      <c r="G296" s="85" t="s">
        <v>11</v>
      </c>
      <c r="H296" s="85" t="s">
        <v>11</v>
      </c>
      <c r="I296" s="85" t="s">
        <v>11</v>
      </c>
      <c r="J296" s="85" t="s">
        <v>11</v>
      </c>
      <c r="K296" s="85" t="s">
        <v>13</v>
      </c>
      <c r="L296" s="86" t="str">
        <f>IFERROR(VLOOKUP($B296,'LISTA - Atual'!$B$1:$I$444,5,0),"Novo")</f>
        <v>Y</v>
      </c>
      <c r="M296" s="86" t="str">
        <f t="shared" si="65"/>
        <v>Igual</v>
      </c>
      <c r="N296" s="86" t="str">
        <f>IFERROR(VLOOKUP($B296,'LISTA - Atual'!$B$1:$I$444,6,0),"Novo")</f>
        <v>N</v>
      </c>
      <c r="O296" s="86" t="str">
        <f t="shared" si="66"/>
        <v>Igual</v>
      </c>
      <c r="P296" s="86" t="str">
        <f>IFERROR(VLOOKUP($B296,'LISTA - Atual'!$B$1:$I$444,7,0),"Novo")</f>
        <v>N</v>
      </c>
      <c r="Q296" s="86" t="str">
        <f t="shared" si="67"/>
        <v>Igual</v>
      </c>
      <c r="R296" s="86" t="s">
        <v>1563</v>
      </c>
      <c r="S296" s="86" t="str">
        <f>IFERROR(VLOOKUP($B296,'LISTA - Atual'!$B$1:$I$444,8,0),"Novo")</f>
        <v>N</v>
      </c>
      <c r="T296" s="86" t="str">
        <f t="shared" si="68"/>
        <v>Igual</v>
      </c>
      <c r="U296" s="86" t="s">
        <v>1563</v>
      </c>
      <c r="V296" s="86" t="s">
        <v>11</v>
      </c>
      <c r="W296" s="87" t="str">
        <f>IFERROR(VLOOKUP(B296,#REF!,11,0),"n/a")</f>
        <v>n/a</v>
      </c>
      <c r="X296" s="87" t="str">
        <f>IFERROR(VLOOKUP(B296,#REF!,8,0),"n/a")</f>
        <v>n/a</v>
      </c>
      <c r="Y296" s="87" t="str">
        <f t="shared" si="75"/>
        <v>ESTR</v>
      </c>
      <c r="Z296" s="131" t="s">
        <v>1605</v>
      </c>
      <c r="AA296" s="227" t="e">
        <f>VLOOKUP(Table1[[#This Row],[CONCAT]],'Campos Resumo Prop2.0'!A:H,8,0)</f>
        <v>#N/A</v>
      </c>
      <c r="AB296" s="87" t="s">
        <v>1656</v>
      </c>
      <c r="AC296" s="135" t="s">
        <v>1625</v>
      </c>
      <c r="AD296" s="91">
        <f>INDEX(Auxiliar!$D$5:$I$10,MATCH('LISTA - Setembro2024'!AD$3,Auxiliar!$B$5:$B$10,0),MATCH('LISTA - Setembro2024'!$AC296,Auxiliar!$D$4:$I$4,0))</f>
        <v>0</v>
      </c>
      <c r="AE296" s="91">
        <f>INDEX(Auxiliar!$D$5:$I$10,MATCH('LISTA - Setembro2024'!AE$3,Auxiliar!$B$5:$B$10,0),MATCH('LISTA - Setembro2024'!$AC296,Auxiliar!$D$4:$I$4,0))</f>
        <v>0</v>
      </c>
      <c r="AF296" s="87">
        <f>INDEX(Auxiliar!$D$5:$I$10,MATCH('LISTA - Setembro2024'!AF$3,Auxiliar!$B$5:$B$10,0),MATCH('LISTA - Setembro2024'!$AC296,Auxiliar!$D$4:$I$4,0))</f>
        <v>0</v>
      </c>
      <c r="AG296" s="87" t="str">
        <f t="shared" si="70"/>
        <v>n.a.</v>
      </c>
      <c r="AH296" s="87">
        <f>INDEX(Auxiliar!$D$5:$I$10,MATCH('LISTA - Setembro2024'!AH$3,Auxiliar!$B$5:$B$10,0),MATCH('LISTA - Setembro2024'!$AG296,Auxiliar!$D$4:$I$4,0))</f>
        <v>0</v>
      </c>
      <c r="AI296" s="87">
        <f>INDEX(Auxiliar!$D$5:$I$10,MATCH('LISTA - Setembro2024'!AI$3,Auxiliar!$B$5:$B$10,0),MATCH('LISTA - Setembro2024'!$AC296,Auxiliar!$D$4:$I$4,0))</f>
        <v>0</v>
      </c>
      <c r="AJ296" s="87">
        <f>INDEX(Auxiliar!$D$5:$I$10,MATCH('LISTA - Setembro2024'!AJ$3,Auxiliar!$B$5:$B$10,0),MATCH('LISTA - Setembro2024'!$AC296,Auxiliar!$D$4:$I$4,0))</f>
        <v>0</v>
      </c>
      <c r="AK296" s="160">
        <f t="shared" si="73"/>
        <v>0</v>
      </c>
      <c r="AL296" s="87"/>
    </row>
    <row r="297" spans="1:38" ht="13.8" x14ac:dyDescent="0.25">
      <c r="A297" s="158" t="s">
        <v>748</v>
      </c>
      <c r="B297" s="81" t="str">
        <f t="shared" si="71"/>
        <v>INSTRUMENT_PD_IFRS9_RMNNG_LFTM_RD</v>
      </c>
      <c r="C297" s="82" t="s">
        <v>414</v>
      </c>
      <c r="D297" s="83" t="s">
        <v>749</v>
      </c>
      <c r="E297" s="84" t="s">
        <v>750</v>
      </c>
      <c r="F297" s="85" t="s">
        <v>13</v>
      </c>
      <c r="G297" s="85" t="s">
        <v>11</v>
      </c>
      <c r="H297" s="85" t="s">
        <v>11</v>
      </c>
      <c r="I297" s="85" t="s">
        <v>11</v>
      </c>
      <c r="J297" s="85" t="s">
        <v>11</v>
      </c>
      <c r="K297" s="85" t="s">
        <v>13</v>
      </c>
      <c r="L297" s="86" t="str">
        <f>IFERROR(VLOOKUP($B297,'LISTA - Atual'!$B$1:$I$444,5,0),"Novo")</f>
        <v>Y</v>
      </c>
      <c r="M297" s="86" t="str">
        <f t="shared" si="65"/>
        <v>Igual</v>
      </c>
      <c r="N297" s="86" t="str">
        <f>IFERROR(VLOOKUP($B297,'LISTA - Atual'!$B$1:$I$444,6,0),"Novo")</f>
        <v>N</v>
      </c>
      <c r="O297" s="86" t="str">
        <f t="shared" si="66"/>
        <v>Igual</v>
      </c>
      <c r="P297" s="86" t="str">
        <f>IFERROR(VLOOKUP($B297,'LISTA - Atual'!$B$1:$I$444,7,0),"Novo")</f>
        <v>N</v>
      </c>
      <c r="Q297" s="86" t="str">
        <f t="shared" si="67"/>
        <v>Igual</v>
      </c>
      <c r="R297" s="86" t="s">
        <v>1563</v>
      </c>
      <c r="S297" s="86" t="str">
        <f>IFERROR(VLOOKUP($B297,'LISTA - Atual'!$B$1:$I$444,8,0),"Novo")</f>
        <v>N</v>
      </c>
      <c r="T297" s="86" t="str">
        <f t="shared" si="68"/>
        <v>Igual</v>
      </c>
      <c r="U297" s="86" t="s">
        <v>1563</v>
      </c>
      <c r="V297" s="86" t="s">
        <v>11</v>
      </c>
      <c r="W297" s="87" t="str">
        <f>IFERROR(VLOOKUP(B297,#REF!,11,0),"n/a")</f>
        <v>n/a</v>
      </c>
      <c r="X297" s="87" t="str">
        <f>IFERROR(VLOOKUP(B297,#REF!,8,0),"n/a")</f>
        <v>n/a</v>
      </c>
      <c r="Y297" s="87" t="str">
        <f t="shared" si="75"/>
        <v>ESTR</v>
      </c>
      <c r="Z297" s="131" t="s">
        <v>1605</v>
      </c>
      <c r="AA297" s="227" t="e">
        <f>VLOOKUP(Table1[[#This Row],[CONCAT]],'Campos Resumo Prop2.0'!A:H,8,0)</f>
        <v>#N/A</v>
      </c>
      <c r="AB297" s="87" t="s">
        <v>1656</v>
      </c>
      <c r="AC297" s="135" t="s">
        <v>1625</v>
      </c>
      <c r="AD297" s="91">
        <f>INDEX(Auxiliar!$D$5:$I$10,MATCH('LISTA - Setembro2024'!AD$3,Auxiliar!$B$5:$B$10,0),MATCH('LISTA - Setembro2024'!$AC297,Auxiliar!$D$4:$I$4,0))</f>
        <v>0</v>
      </c>
      <c r="AE297" s="91">
        <f>INDEX(Auxiliar!$D$5:$I$10,MATCH('LISTA - Setembro2024'!AE$3,Auxiliar!$B$5:$B$10,0),MATCH('LISTA - Setembro2024'!$AC297,Auxiliar!$D$4:$I$4,0))</f>
        <v>0</v>
      </c>
      <c r="AF297" s="87">
        <f>INDEX(Auxiliar!$D$5:$I$10,MATCH('LISTA - Setembro2024'!AF$3,Auxiliar!$B$5:$B$10,0),MATCH('LISTA - Setembro2024'!$AC297,Auxiliar!$D$4:$I$4,0))</f>
        <v>0</v>
      </c>
      <c r="AG297" s="87" t="str">
        <f t="shared" si="70"/>
        <v>n.a.</v>
      </c>
      <c r="AH297" s="87">
        <f>INDEX(Auxiliar!$D$5:$I$10,MATCH('LISTA - Setembro2024'!AH$3,Auxiliar!$B$5:$B$10,0),MATCH('LISTA - Setembro2024'!$AG297,Auxiliar!$D$4:$I$4,0))</f>
        <v>0</v>
      </c>
      <c r="AI297" s="87">
        <f>INDEX(Auxiliar!$D$5:$I$10,MATCH('LISTA - Setembro2024'!AI$3,Auxiliar!$B$5:$B$10,0),MATCH('LISTA - Setembro2024'!$AC297,Auxiliar!$D$4:$I$4,0))</f>
        <v>0</v>
      </c>
      <c r="AJ297" s="87">
        <f>INDEX(Auxiliar!$D$5:$I$10,MATCH('LISTA - Setembro2024'!AJ$3,Auxiliar!$B$5:$B$10,0),MATCH('LISTA - Setembro2024'!$AC297,Auxiliar!$D$4:$I$4,0))</f>
        <v>0</v>
      </c>
      <c r="AK297" s="160">
        <f t="shared" si="73"/>
        <v>0</v>
      </c>
      <c r="AL297" s="87"/>
    </row>
    <row r="298" spans="1:38" ht="13.8" x14ac:dyDescent="0.25">
      <c r="A298" s="158" t="s">
        <v>751</v>
      </c>
      <c r="B298" s="81" t="str">
        <f t="shared" si="71"/>
        <v>INSTRUMENT_RTNG_MTHD</v>
      </c>
      <c r="C298" s="82" t="s">
        <v>414</v>
      </c>
      <c r="D298" s="92" t="s">
        <v>143</v>
      </c>
      <c r="E298" s="84" t="s">
        <v>144</v>
      </c>
      <c r="F298" s="85" t="s">
        <v>13</v>
      </c>
      <c r="G298" s="85" t="s">
        <v>11</v>
      </c>
      <c r="H298" s="85" t="s">
        <v>11</v>
      </c>
      <c r="I298" s="85" t="s">
        <v>11</v>
      </c>
      <c r="J298" s="85" t="s">
        <v>11</v>
      </c>
      <c r="K298" s="85" t="s">
        <v>13</v>
      </c>
      <c r="L298" s="86" t="str">
        <f>IFERROR(VLOOKUP($B298,'LISTA - Atual'!$B$1:$I$444,5,0),"Novo")</f>
        <v>Y</v>
      </c>
      <c r="M298" s="86" t="str">
        <f t="shared" si="65"/>
        <v>Igual</v>
      </c>
      <c r="N298" s="86" t="str">
        <f>IFERROR(VLOOKUP($B298,'LISTA - Atual'!$B$1:$I$444,6,0),"Novo")</f>
        <v>N</v>
      </c>
      <c r="O298" s="86" t="str">
        <f t="shared" si="66"/>
        <v>Igual</v>
      </c>
      <c r="P298" s="86" t="str">
        <f>IFERROR(VLOOKUP($B298,'LISTA - Atual'!$B$1:$I$444,7,0),"Novo")</f>
        <v>N</v>
      </c>
      <c r="Q298" s="86" t="str">
        <f t="shared" si="67"/>
        <v>Igual</v>
      </c>
      <c r="R298" s="86" t="s">
        <v>1563</v>
      </c>
      <c r="S298" s="86" t="str">
        <f>IFERROR(VLOOKUP($B298,'LISTA - Atual'!$B$1:$I$444,8,0),"Novo")</f>
        <v>N</v>
      </c>
      <c r="T298" s="86" t="str">
        <f t="shared" si="68"/>
        <v>Igual</v>
      </c>
      <c r="U298" s="86" t="s">
        <v>1563</v>
      </c>
      <c r="V298" s="86" t="s">
        <v>11</v>
      </c>
      <c r="W298" s="87" t="str">
        <f>IFERROR(VLOOKUP(B298,#REF!,11,0),"n/a")</f>
        <v>n/a</v>
      </c>
      <c r="X298" s="87" t="str">
        <f>IFERROR(VLOOKUP(B298,#REF!,8,0),"n/a")</f>
        <v>n/a</v>
      </c>
      <c r="Y298" s="87" t="str">
        <f t="shared" si="75"/>
        <v>ESTR</v>
      </c>
      <c r="Z298" s="131" t="s">
        <v>1605</v>
      </c>
      <c r="AA298" s="227" t="e">
        <f>VLOOKUP(Table1[[#This Row],[CONCAT]],'Campos Resumo Prop2.0'!A:H,8,0)</f>
        <v>#N/A</v>
      </c>
      <c r="AB298" s="87" t="s">
        <v>1650</v>
      </c>
      <c r="AC298" s="135" t="s">
        <v>1625</v>
      </c>
      <c r="AD298" s="135">
        <v>1</v>
      </c>
      <c r="AE298" s="91">
        <f>INDEX(Auxiliar!$D$5:$I$10,MATCH('LISTA - Setembro2024'!AE$3,Auxiliar!$B$5:$B$10,0),MATCH('LISTA - Setembro2024'!$AC298,Auxiliar!$D$4:$I$4,0))</f>
        <v>0</v>
      </c>
      <c r="AF298" s="87">
        <f>INDEX(Auxiliar!$D$5:$I$10,MATCH('LISTA - Setembro2024'!AF$3,Auxiliar!$B$5:$B$10,0),MATCH('LISTA - Setembro2024'!$AC298,Auxiliar!$D$4:$I$4,0))</f>
        <v>0</v>
      </c>
      <c r="AG298" s="87" t="str">
        <f t="shared" si="70"/>
        <v>n.a.</v>
      </c>
      <c r="AH298" s="87">
        <f>INDEX(Auxiliar!$D$5:$I$10,MATCH('LISTA - Setembro2024'!AH$3,Auxiliar!$B$5:$B$10,0),MATCH('LISTA - Setembro2024'!$AG298,Auxiliar!$D$4:$I$4,0))</f>
        <v>0</v>
      </c>
      <c r="AI298" s="87">
        <f>INDEX(Auxiliar!$D$5:$I$10,MATCH('LISTA - Setembro2024'!AI$3,Auxiliar!$B$5:$B$10,0),MATCH('LISTA - Setembro2024'!$AC298,Auxiliar!$D$4:$I$4,0))</f>
        <v>0</v>
      </c>
      <c r="AJ298" s="87">
        <f>INDEX(Auxiliar!$D$5:$I$10,MATCH('LISTA - Setembro2024'!AJ$3,Auxiliar!$B$5:$B$10,0),MATCH('LISTA - Setembro2024'!$AC298,Auxiliar!$D$4:$I$4,0))</f>
        <v>0</v>
      </c>
      <c r="AK298" s="160">
        <f t="shared" si="73"/>
        <v>0</v>
      </c>
      <c r="AL298" s="87" t="s">
        <v>1685</v>
      </c>
    </row>
    <row r="299" spans="1:38" ht="13.8" x14ac:dyDescent="0.25">
      <c r="A299" s="158" t="s">
        <v>752</v>
      </c>
      <c r="B299" s="81" t="str">
        <f t="shared" si="71"/>
        <v>INSTRUMENT_RTNG_SCL</v>
      </c>
      <c r="C299" s="82" t="s">
        <v>414</v>
      </c>
      <c r="D299" s="83" t="s">
        <v>146</v>
      </c>
      <c r="E299" s="84" t="s">
        <v>147</v>
      </c>
      <c r="F299" s="85" t="s">
        <v>13</v>
      </c>
      <c r="G299" s="85" t="s">
        <v>11</v>
      </c>
      <c r="H299" s="85" t="s">
        <v>11</v>
      </c>
      <c r="I299" s="85" t="s">
        <v>11</v>
      </c>
      <c r="J299" s="85" t="s">
        <v>11</v>
      </c>
      <c r="K299" s="85" t="s">
        <v>13</v>
      </c>
      <c r="L299" s="86" t="str">
        <f>IFERROR(VLOOKUP($B299,'LISTA - Atual'!$B$1:$I$444,5,0),"Novo")</f>
        <v>Y</v>
      </c>
      <c r="M299" s="86" t="str">
        <f t="shared" si="65"/>
        <v>Igual</v>
      </c>
      <c r="N299" s="86" t="str">
        <f>IFERROR(VLOOKUP($B299,'LISTA - Atual'!$B$1:$I$444,6,0),"Novo")</f>
        <v>N</v>
      </c>
      <c r="O299" s="86" t="str">
        <f t="shared" si="66"/>
        <v>Igual</v>
      </c>
      <c r="P299" s="86" t="str">
        <f>IFERROR(VLOOKUP($B299,'LISTA - Atual'!$B$1:$I$444,7,0),"Novo")</f>
        <v>N</v>
      </c>
      <c r="Q299" s="86" t="str">
        <f t="shared" si="67"/>
        <v>Igual</v>
      </c>
      <c r="R299" s="86" t="s">
        <v>1563</v>
      </c>
      <c r="S299" s="86" t="str">
        <f>IFERROR(VLOOKUP($B299,'LISTA - Atual'!$B$1:$I$444,8,0),"Novo")</f>
        <v>N</v>
      </c>
      <c r="T299" s="86" t="str">
        <f t="shared" si="68"/>
        <v>Igual</v>
      </c>
      <c r="U299" s="86" t="s">
        <v>1563</v>
      </c>
      <c r="V299" s="86" t="s">
        <v>11</v>
      </c>
      <c r="W299" s="87" t="str">
        <f>IFERROR(VLOOKUP(B299,#REF!,11,0),"n/a")</f>
        <v>n/a</v>
      </c>
      <c r="X299" s="87" t="str">
        <f>IFERROR(VLOOKUP(B299,#REF!,8,0),"n/a")</f>
        <v>n/a</v>
      </c>
      <c r="Y299" s="87" t="str">
        <f t="shared" si="75"/>
        <v>ESTR</v>
      </c>
      <c r="Z299" s="131" t="s">
        <v>1605</v>
      </c>
      <c r="AA299" s="227" t="e">
        <f>VLOOKUP(Table1[[#This Row],[CONCAT]],'Campos Resumo Prop2.0'!A:H,8,0)</f>
        <v>#N/A</v>
      </c>
      <c r="AB299" s="87" t="s">
        <v>1650</v>
      </c>
      <c r="AC299" s="135" t="s">
        <v>1625</v>
      </c>
      <c r="AD299" s="91">
        <f>INDEX(Auxiliar!$D$5:$I$10,MATCH('LISTA - Setembro2024'!AD$3,Auxiliar!$B$5:$B$10,0),MATCH('LISTA - Setembro2024'!$AC299,Auxiliar!$D$4:$I$4,0))</f>
        <v>0</v>
      </c>
      <c r="AE299" s="91">
        <f>INDEX(Auxiliar!$D$5:$I$10,MATCH('LISTA - Setembro2024'!AE$3,Auxiliar!$B$5:$B$10,0),MATCH('LISTA - Setembro2024'!$AC299,Auxiliar!$D$4:$I$4,0))</f>
        <v>0</v>
      </c>
      <c r="AF299" s="87">
        <f>INDEX(Auxiliar!$D$5:$I$10,MATCH('LISTA - Setembro2024'!AF$3,Auxiliar!$B$5:$B$10,0),MATCH('LISTA - Setembro2024'!$AC299,Auxiliar!$D$4:$I$4,0))</f>
        <v>0</v>
      </c>
      <c r="AG299" s="87" t="str">
        <f t="shared" si="70"/>
        <v>n.a.</v>
      </c>
      <c r="AH299" s="87">
        <f>INDEX(Auxiliar!$D$5:$I$10,MATCH('LISTA - Setembro2024'!AH$3,Auxiliar!$B$5:$B$10,0),MATCH('LISTA - Setembro2024'!$AG299,Auxiliar!$D$4:$I$4,0))</f>
        <v>0</v>
      </c>
      <c r="AI299" s="87">
        <f>INDEX(Auxiliar!$D$5:$I$10,MATCH('LISTA - Setembro2024'!AI$3,Auxiliar!$B$5:$B$10,0),MATCH('LISTA - Setembro2024'!$AC299,Auxiliar!$D$4:$I$4,0))</f>
        <v>0</v>
      </c>
      <c r="AJ299" s="87">
        <f>INDEX(Auxiliar!$D$5:$I$10,MATCH('LISTA - Setembro2024'!AJ$3,Auxiliar!$B$5:$B$10,0),MATCH('LISTA - Setembro2024'!$AC299,Auxiliar!$D$4:$I$4,0))</f>
        <v>0</v>
      </c>
      <c r="AK299" s="160">
        <f t="shared" si="73"/>
        <v>0</v>
      </c>
      <c r="AL299" s="87"/>
    </row>
    <row r="300" spans="1:38" ht="13.8" x14ac:dyDescent="0.25">
      <c r="A300" s="158" t="s">
        <v>753</v>
      </c>
      <c r="B300" s="81" t="str">
        <f t="shared" si="71"/>
        <v>INSTRUMENT_SICR_ASSSSMNT_MTHD</v>
      </c>
      <c r="C300" s="82" t="s">
        <v>414</v>
      </c>
      <c r="D300" s="83" t="s">
        <v>754</v>
      </c>
      <c r="E300" s="84" t="s">
        <v>755</v>
      </c>
      <c r="F300" s="85" t="s">
        <v>13</v>
      </c>
      <c r="G300" s="85" t="s">
        <v>11</v>
      </c>
      <c r="H300" s="85" t="s">
        <v>11</v>
      </c>
      <c r="I300" s="85" t="s">
        <v>11</v>
      </c>
      <c r="J300" s="85" t="s">
        <v>11</v>
      </c>
      <c r="K300" s="85" t="s">
        <v>13</v>
      </c>
      <c r="L300" s="86" t="str">
        <f>IFERROR(VLOOKUP($B300,'LISTA - Atual'!$B$1:$I$444,5,0),"Novo")</f>
        <v>Y</v>
      </c>
      <c r="M300" s="86" t="str">
        <f t="shared" si="65"/>
        <v>Igual</v>
      </c>
      <c r="N300" s="86" t="str">
        <f>IFERROR(VLOOKUP($B300,'LISTA - Atual'!$B$1:$I$444,6,0),"Novo")</f>
        <v>N</v>
      </c>
      <c r="O300" s="86" t="str">
        <f t="shared" si="66"/>
        <v>Igual</v>
      </c>
      <c r="P300" s="86" t="str">
        <f>IFERROR(VLOOKUP($B300,'LISTA - Atual'!$B$1:$I$444,7,0),"Novo")</f>
        <v>N</v>
      </c>
      <c r="Q300" s="86" t="str">
        <f t="shared" si="67"/>
        <v>Igual</v>
      </c>
      <c r="R300" s="86" t="s">
        <v>1563</v>
      </c>
      <c r="S300" s="86" t="str">
        <f>IFERROR(VLOOKUP($B300,'LISTA - Atual'!$B$1:$I$444,8,0),"Novo")</f>
        <v>N</v>
      </c>
      <c r="T300" s="86" t="str">
        <f t="shared" si="68"/>
        <v>Igual</v>
      </c>
      <c r="U300" s="86" t="s">
        <v>1563</v>
      </c>
      <c r="V300" s="86" t="s">
        <v>11</v>
      </c>
      <c r="W300" s="87" t="str">
        <f>IFERROR(VLOOKUP(B300,#REF!,11,0),"n/a")</f>
        <v>n/a</v>
      </c>
      <c r="X300" s="87" t="str">
        <f>IFERROR(VLOOKUP(B300,#REF!,8,0),"n/a")</f>
        <v>n/a</v>
      </c>
      <c r="Y300" s="87" t="str">
        <f t="shared" si="75"/>
        <v>ESTR</v>
      </c>
      <c r="Z300" s="131" t="s">
        <v>1605</v>
      </c>
      <c r="AA300" s="227" t="e">
        <f>VLOOKUP(Table1[[#This Row],[CONCAT]],'Campos Resumo Prop2.0'!A:H,8,0)</f>
        <v>#N/A</v>
      </c>
      <c r="AB300" s="87" t="s">
        <v>1650</v>
      </c>
      <c r="AC300" s="135" t="s">
        <v>1625</v>
      </c>
      <c r="AD300" s="91">
        <f>INDEX(Auxiliar!$D$5:$I$10,MATCH('LISTA - Setembro2024'!AD$3,Auxiliar!$B$5:$B$10,0),MATCH('LISTA - Setembro2024'!$AC300,Auxiliar!$D$4:$I$4,0))</f>
        <v>0</v>
      </c>
      <c r="AE300" s="91">
        <f>INDEX(Auxiliar!$D$5:$I$10,MATCH('LISTA - Setembro2024'!AE$3,Auxiliar!$B$5:$B$10,0),MATCH('LISTA - Setembro2024'!$AC300,Auxiliar!$D$4:$I$4,0))</f>
        <v>0</v>
      </c>
      <c r="AF300" s="87">
        <f>INDEX(Auxiliar!$D$5:$I$10,MATCH('LISTA - Setembro2024'!AF$3,Auxiliar!$B$5:$B$10,0),MATCH('LISTA - Setembro2024'!$AC300,Auxiliar!$D$4:$I$4,0))</f>
        <v>0</v>
      </c>
      <c r="AG300" s="87" t="str">
        <f t="shared" si="70"/>
        <v>n.a.</v>
      </c>
      <c r="AH300" s="87">
        <f>INDEX(Auxiliar!$D$5:$I$10,MATCH('LISTA - Setembro2024'!AH$3,Auxiliar!$B$5:$B$10,0),MATCH('LISTA - Setembro2024'!$AG300,Auxiliar!$D$4:$I$4,0))</f>
        <v>0</v>
      </c>
      <c r="AI300" s="87">
        <f>INDEX(Auxiliar!$D$5:$I$10,MATCH('LISTA - Setembro2024'!AI$3,Auxiliar!$B$5:$B$10,0),MATCH('LISTA - Setembro2024'!$AC300,Auxiliar!$D$4:$I$4,0))</f>
        <v>0</v>
      </c>
      <c r="AJ300" s="87">
        <f>INDEX(Auxiliar!$D$5:$I$10,MATCH('LISTA - Setembro2024'!AJ$3,Auxiliar!$B$5:$B$10,0),MATCH('LISTA - Setembro2024'!$AC300,Auxiliar!$D$4:$I$4,0))</f>
        <v>0</v>
      </c>
      <c r="AK300" s="160">
        <f t="shared" si="73"/>
        <v>0</v>
      </c>
      <c r="AL300" s="87"/>
    </row>
    <row r="301" spans="1:38" ht="13.8" x14ac:dyDescent="0.25">
      <c r="A301" s="158" t="s">
        <v>756</v>
      </c>
      <c r="B301" s="81" t="str">
        <f t="shared" si="71"/>
        <v>INSTRUMENT_ANNLSD_AGRD_RT</v>
      </c>
      <c r="C301" s="82" t="s">
        <v>414</v>
      </c>
      <c r="D301" s="83" t="s">
        <v>757</v>
      </c>
      <c r="E301" s="84" t="s">
        <v>1478</v>
      </c>
      <c r="F301" s="85" t="s">
        <v>13</v>
      </c>
      <c r="G301" s="85" t="s">
        <v>11</v>
      </c>
      <c r="H301" s="89" t="s">
        <v>13</v>
      </c>
      <c r="I301" s="85" t="s">
        <v>11</v>
      </c>
      <c r="J301" s="85" t="s">
        <v>11</v>
      </c>
      <c r="K301" s="85" t="s">
        <v>11</v>
      </c>
      <c r="L301" s="86" t="str">
        <f>IFERROR(VLOOKUP($B301,'LISTA - Atual'!$B$1:$I$444,5,0),"Novo")</f>
        <v>Y</v>
      </c>
      <c r="M301" s="86" t="str">
        <f t="shared" si="65"/>
        <v>Igual</v>
      </c>
      <c r="N301" s="86" t="str">
        <f>IFERROR(VLOOKUP($B301,'LISTA - Atual'!$B$1:$I$444,6,0),"Novo")</f>
        <v>N</v>
      </c>
      <c r="O301" s="86" t="str">
        <f t="shared" si="66"/>
        <v>Igual</v>
      </c>
      <c r="P301" s="86" t="str">
        <f>IFERROR(VLOOKUP($B301,'LISTA - Atual'!$B$1:$I$444,7,0),"Novo")</f>
        <v>N</v>
      </c>
      <c r="Q301" s="86" t="str">
        <f t="shared" si="67"/>
        <v>Diferente</v>
      </c>
      <c r="R301" s="86" t="s">
        <v>1563</v>
      </c>
      <c r="S301" s="86" t="str">
        <f>IFERROR(VLOOKUP($B301,'LISTA - Atual'!$B$1:$I$444,8,0),"Novo")</f>
        <v>N</v>
      </c>
      <c r="T301" s="86" t="str">
        <f t="shared" si="68"/>
        <v>Igual</v>
      </c>
      <c r="U301" s="86" t="s">
        <v>1563</v>
      </c>
      <c r="V301" s="86" t="s">
        <v>11</v>
      </c>
      <c r="W301" s="87" t="str">
        <f>IFERROR(VLOOKUP(B301,#REF!,11,0),"n/a")</f>
        <v>n/a</v>
      </c>
      <c r="X301" s="87" t="str">
        <f>IFERROR(VLOOKUP(B301,#REF!,8,0),"n/a")</f>
        <v>n/a</v>
      </c>
      <c r="Y301" s="87" t="str">
        <f>$F$2&amp;$Y$1&amp;$H$2</f>
        <v>ESTR &amp; PILAR3</v>
      </c>
      <c r="Z301" s="213" t="s">
        <v>1570</v>
      </c>
      <c r="AA301" s="227" t="str">
        <f>VLOOKUP(Table1[[#This Row],[CONCAT]],'Campos Resumo Prop2.0'!A:H,8,0)</f>
        <v>Não será contemplado no âmbito da proposta - Campos do LT ESTR</v>
      </c>
      <c r="AB301" s="87" t="s">
        <v>1656</v>
      </c>
      <c r="AC301" s="135" t="s">
        <v>1674</v>
      </c>
      <c r="AD301" s="91">
        <f>INDEX(Auxiliar!$D$5:$I$10,MATCH('LISTA - Setembro2024'!AD$3,Auxiliar!$B$5:$B$10,0),MATCH('LISTA - Setembro2024'!$AC301,Auxiliar!$D$4:$I$4,0))</f>
        <v>1</v>
      </c>
      <c r="AE301" s="88">
        <v>0</v>
      </c>
      <c r="AF301" s="87">
        <f>INDEX(Auxiliar!$D$5:$I$10,MATCH('LISTA - Setembro2024'!AF$3,Auxiliar!$B$5:$B$10,0),MATCH('LISTA - Setembro2024'!$AC301,Auxiliar!$D$4:$I$4,0))</f>
        <v>1</v>
      </c>
      <c r="AG301" s="87" t="str">
        <f t="shared" si="70"/>
        <v>n.a.</v>
      </c>
      <c r="AH301" s="87">
        <f>INDEX(Auxiliar!$D$5:$I$10,MATCH('LISTA - Setembro2024'!AH$3,Auxiliar!$B$5:$B$10,0),MATCH('LISTA - Setembro2024'!$AG301,Auxiliar!$D$4:$I$4,0))</f>
        <v>0</v>
      </c>
      <c r="AI301" s="87">
        <f>INDEX(Auxiliar!$D$5:$I$10,MATCH('LISTA - Setembro2024'!AI$3,Auxiliar!$B$5:$B$10,0),MATCH('LISTA - Setembro2024'!$AC301,Auxiliar!$D$4:$I$4,0))</f>
        <v>0.5</v>
      </c>
      <c r="AJ301" s="87">
        <f>INDEX(Auxiliar!$D$5:$I$10,MATCH('LISTA - Setembro2024'!AJ$3,Auxiliar!$B$5:$B$10,0),MATCH('LISTA - Setembro2024'!$AC301,Auxiliar!$D$4:$I$4,0))</f>
        <v>1</v>
      </c>
      <c r="AK301" s="242">
        <v>0</v>
      </c>
      <c r="AL301" s="87"/>
    </row>
    <row r="302" spans="1:38" ht="13.8" x14ac:dyDescent="0.25">
      <c r="A302" s="158" t="s">
        <v>759</v>
      </c>
      <c r="B302" s="81" t="str">
        <f t="shared" si="71"/>
        <v>INSTRUMENT_EIR</v>
      </c>
      <c r="C302" s="82" t="s">
        <v>414</v>
      </c>
      <c r="D302" s="83" t="s">
        <v>760</v>
      </c>
      <c r="E302" s="84" t="s">
        <v>761</v>
      </c>
      <c r="F302" s="85" t="s">
        <v>13</v>
      </c>
      <c r="G302" s="85" t="s">
        <v>11</v>
      </c>
      <c r="H302" s="85" t="s">
        <v>11</v>
      </c>
      <c r="I302" s="85" t="s">
        <v>11</v>
      </c>
      <c r="J302" s="85" t="s">
        <v>11</v>
      </c>
      <c r="K302" s="85" t="s">
        <v>13</v>
      </c>
      <c r="L302" s="86" t="str">
        <f>IFERROR(VLOOKUP($B302,'LISTA - Atual'!$B$1:$I$444,5,0),"Novo")</f>
        <v>Y</v>
      </c>
      <c r="M302" s="86" t="str">
        <f t="shared" si="65"/>
        <v>Igual</v>
      </c>
      <c r="N302" s="86" t="str">
        <f>IFERROR(VLOOKUP($B302,'LISTA - Atual'!$B$1:$I$444,6,0),"Novo")</f>
        <v>N</v>
      </c>
      <c r="O302" s="86" t="str">
        <f t="shared" si="66"/>
        <v>Igual</v>
      </c>
      <c r="P302" s="86" t="str">
        <f>IFERROR(VLOOKUP($B302,'LISTA - Atual'!$B$1:$I$444,7,0),"Novo")</f>
        <v>N</v>
      </c>
      <c r="Q302" s="86" t="str">
        <f t="shared" si="67"/>
        <v>Igual</v>
      </c>
      <c r="R302" s="86" t="s">
        <v>1563</v>
      </c>
      <c r="S302" s="86" t="str">
        <f>IFERROR(VLOOKUP($B302,'LISTA - Atual'!$B$1:$I$444,8,0),"Novo")</f>
        <v>N</v>
      </c>
      <c r="T302" s="86" t="str">
        <f t="shared" si="68"/>
        <v>Igual</v>
      </c>
      <c r="U302" s="86" t="s">
        <v>1563</v>
      </c>
      <c r="V302" s="86" t="s">
        <v>11</v>
      </c>
      <c r="W302" s="87" t="str">
        <f>IFERROR(VLOOKUP(B302,#REF!,11,0),"n/a")</f>
        <v>n/a</v>
      </c>
      <c r="X302" s="87" t="str">
        <f>IFERROR(VLOOKUP(B302,#REF!,8,0),"n/a")</f>
        <v>n/a</v>
      </c>
      <c r="Y302" s="87" t="str">
        <f>$F$2</f>
        <v>ESTR</v>
      </c>
      <c r="Z302" s="131" t="s">
        <v>1605</v>
      </c>
      <c r="AA302" s="227" t="e">
        <f>VLOOKUP(Table1[[#This Row],[CONCAT]],'Campos Resumo Prop2.0'!A:H,8,0)</f>
        <v>#N/A</v>
      </c>
      <c r="AB302" s="87" t="s">
        <v>1656</v>
      </c>
      <c r="AC302" s="135" t="s">
        <v>1625</v>
      </c>
      <c r="AD302" s="91">
        <f>INDEX(Auxiliar!$D$5:$I$10,MATCH('LISTA - Setembro2024'!AD$3,Auxiliar!$B$5:$B$10,0),MATCH('LISTA - Setembro2024'!$AC302,Auxiliar!$D$4:$I$4,0))</f>
        <v>0</v>
      </c>
      <c r="AE302" s="91">
        <f>INDEX(Auxiliar!$D$5:$I$10,MATCH('LISTA - Setembro2024'!AE$3,Auxiliar!$B$5:$B$10,0),MATCH('LISTA - Setembro2024'!$AC302,Auxiliar!$D$4:$I$4,0))</f>
        <v>0</v>
      </c>
      <c r="AF302" s="87">
        <f>INDEX(Auxiliar!$D$5:$I$10,MATCH('LISTA - Setembro2024'!AF$3,Auxiliar!$B$5:$B$10,0),MATCH('LISTA - Setembro2024'!$AC302,Auxiliar!$D$4:$I$4,0))</f>
        <v>0</v>
      </c>
      <c r="AG302" s="87" t="str">
        <f t="shared" si="70"/>
        <v>n.a.</v>
      </c>
      <c r="AH302" s="87">
        <f>INDEX(Auxiliar!$D$5:$I$10,MATCH('LISTA - Setembro2024'!AH$3,Auxiliar!$B$5:$B$10,0),MATCH('LISTA - Setembro2024'!$AG302,Auxiliar!$D$4:$I$4,0))</f>
        <v>0</v>
      </c>
      <c r="AI302" s="87">
        <f>INDEX(Auxiliar!$D$5:$I$10,MATCH('LISTA - Setembro2024'!AI$3,Auxiliar!$B$5:$B$10,0),MATCH('LISTA - Setembro2024'!$AC302,Auxiliar!$D$4:$I$4,0))</f>
        <v>0</v>
      </c>
      <c r="AJ302" s="87">
        <f>INDEX(Auxiliar!$D$5:$I$10,MATCH('LISTA - Setembro2024'!AJ$3,Auxiliar!$B$5:$B$10,0),MATCH('LISTA - Setembro2024'!$AC302,Auxiliar!$D$4:$I$4,0))</f>
        <v>0</v>
      </c>
      <c r="AK302" s="160">
        <f t="shared" si="73"/>
        <v>0</v>
      </c>
      <c r="AL302" s="87"/>
    </row>
    <row r="303" spans="1:38" ht="13.8" x14ac:dyDescent="0.25">
      <c r="A303" s="158" t="s">
        <v>762</v>
      </c>
      <c r="B303" s="81" t="str">
        <f t="shared" si="71"/>
        <v>INSTRUMENT_EIR_INCPTN</v>
      </c>
      <c r="C303" s="82" t="s">
        <v>414</v>
      </c>
      <c r="D303" s="83" t="s">
        <v>763</v>
      </c>
      <c r="E303" s="84" t="s">
        <v>764</v>
      </c>
      <c r="F303" s="85" t="s">
        <v>13</v>
      </c>
      <c r="G303" s="85" t="s">
        <v>11</v>
      </c>
      <c r="H303" s="89" t="s">
        <v>13</v>
      </c>
      <c r="I303" s="85" t="s">
        <v>11</v>
      </c>
      <c r="J303" s="85" t="s">
        <v>11</v>
      </c>
      <c r="K303" s="85" t="s">
        <v>11</v>
      </c>
      <c r="L303" s="86" t="str">
        <f>IFERROR(VLOOKUP($B303,'LISTA - Atual'!$B$1:$I$444,5,0),"Novo")</f>
        <v>Y</v>
      </c>
      <c r="M303" s="86" t="str">
        <f t="shared" si="65"/>
        <v>Igual</v>
      </c>
      <c r="N303" s="86" t="str">
        <f>IFERROR(VLOOKUP($B303,'LISTA - Atual'!$B$1:$I$444,6,0),"Novo")</f>
        <v>N</v>
      </c>
      <c r="O303" s="86" t="str">
        <f t="shared" si="66"/>
        <v>Igual</v>
      </c>
      <c r="P303" s="86" t="str">
        <f>IFERROR(VLOOKUP($B303,'LISTA - Atual'!$B$1:$I$444,7,0),"Novo")</f>
        <v>N</v>
      </c>
      <c r="Q303" s="86" t="str">
        <f t="shared" si="67"/>
        <v>Diferente</v>
      </c>
      <c r="R303" s="86" t="s">
        <v>1563</v>
      </c>
      <c r="S303" s="86" t="str">
        <f>IFERROR(VLOOKUP($B303,'LISTA - Atual'!$B$1:$I$444,8,0),"Novo")</f>
        <v>N</v>
      </c>
      <c r="T303" s="86" t="str">
        <f t="shared" si="68"/>
        <v>Igual</v>
      </c>
      <c r="U303" s="86" t="s">
        <v>1563</v>
      </c>
      <c r="V303" s="86" t="s">
        <v>11</v>
      </c>
      <c r="W303" s="87" t="str">
        <f>IFERROR(VLOOKUP(B303,#REF!,11,0),"n/a")</f>
        <v>n/a</v>
      </c>
      <c r="X303" s="87" t="str">
        <f>IFERROR(VLOOKUP(B303,#REF!,8,0),"n/a")</f>
        <v>n/a</v>
      </c>
      <c r="Y303" s="87" t="str">
        <f>$F$2&amp;$Y$1&amp;$H$2</f>
        <v>ESTR &amp; PILAR3</v>
      </c>
      <c r="Z303" s="213" t="s">
        <v>1570</v>
      </c>
      <c r="AA303" s="227" t="str">
        <f>VLOOKUP(Table1[[#This Row],[CONCAT]],'Campos Resumo Prop2.0'!A:H,8,0)</f>
        <v>Não será contemplado no âmbito da proposta - Campos do LT ESTR</v>
      </c>
      <c r="AB303" s="87" t="s">
        <v>1656</v>
      </c>
      <c r="AC303" s="135" t="s">
        <v>1674</v>
      </c>
      <c r="AD303" s="91">
        <f>INDEX(Auxiliar!$D$5:$I$10,MATCH('LISTA - Setembro2024'!AD$3,Auxiliar!$B$5:$B$10,0),MATCH('LISTA - Setembro2024'!$AC303,Auxiliar!$D$4:$I$4,0))</f>
        <v>1</v>
      </c>
      <c r="AE303" s="88">
        <v>0</v>
      </c>
      <c r="AF303" s="87">
        <f>INDEX(Auxiliar!$D$5:$I$10,MATCH('LISTA - Setembro2024'!AF$3,Auxiliar!$B$5:$B$10,0),MATCH('LISTA - Setembro2024'!$AC303,Auxiliar!$D$4:$I$4,0))</f>
        <v>1</v>
      </c>
      <c r="AG303" s="87" t="str">
        <f t="shared" si="70"/>
        <v>n.a.</v>
      </c>
      <c r="AH303" s="87">
        <f>INDEX(Auxiliar!$D$5:$I$10,MATCH('LISTA - Setembro2024'!AH$3,Auxiliar!$B$5:$B$10,0),MATCH('LISTA - Setembro2024'!$AG303,Auxiliar!$D$4:$I$4,0))</f>
        <v>0</v>
      </c>
      <c r="AI303" s="87">
        <f>INDEX(Auxiliar!$D$5:$I$10,MATCH('LISTA - Setembro2024'!AI$3,Auxiliar!$B$5:$B$10,0),MATCH('LISTA - Setembro2024'!$AC303,Auxiliar!$D$4:$I$4,0))</f>
        <v>0.5</v>
      </c>
      <c r="AJ303" s="87">
        <f>INDEX(Auxiliar!$D$5:$I$10,MATCH('LISTA - Setembro2024'!AJ$3,Auxiliar!$B$5:$B$10,0),MATCH('LISTA - Setembro2024'!$AC303,Auxiliar!$D$4:$I$4,0))</f>
        <v>1</v>
      </c>
      <c r="AK303" s="242">
        <v>0</v>
      </c>
      <c r="AL303" s="87"/>
    </row>
    <row r="304" spans="1:38" ht="13.8" x14ac:dyDescent="0.25">
      <c r="A304" s="158" t="s">
        <v>765</v>
      </c>
      <c r="B304" s="81" t="str">
        <f t="shared" si="71"/>
        <v>INSTRUMENT_INTRST_RT_RST_FRQNCY</v>
      </c>
      <c r="C304" s="82" t="s">
        <v>414</v>
      </c>
      <c r="D304" s="83" t="s">
        <v>766</v>
      </c>
      <c r="E304" s="84" t="s">
        <v>767</v>
      </c>
      <c r="F304" s="85" t="s">
        <v>13</v>
      </c>
      <c r="G304" s="85" t="s">
        <v>11</v>
      </c>
      <c r="H304" s="85" t="s">
        <v>11</v>
      </c>
      <c r="I304" s="85" t="s">
        <v>11</v>
      </c>
      <c r="J304" s="85" t="s">
        <v>11</v>
      </c>
      <c r="K304" s="85" t="s">
        <v>11</v>
      </c>
      <c r="L304" s="86" t="str">
        <f>IFERROR(VLOOKUP($B304,'LISTA - Atual'!$B$1:$I$444,5,0),"Novo")</f>
        <v>Y</v>
      </c>
      <c r="M304" s="86" t="str">
        <f t="shared" si="65"/>
        <v>Igual</v>
      </c>
      <c r="N304" s="86" t="str">
        <f>IFERROR(VLOOKUP($B304,'LISTA - Atual'!$B$1:$I$444,6,0),"Novo")</f>
        <v>N</v>
      </c>
      <c r="O304" s="86" t="str">
        <f t="shared" si="66"/>
        <v>Igual</v>
      </c>
      <c r="P304" s="86" t="str">
        <f>IFERROR(VLOOKUP($B304,'LISTA - Atual'!$B$1:$I$444,7,0),"Novo")</f>
        <v>N</v>
      </c>
      <c r="Q304" s="86" t="str">
        <f t="shared" si="67"/>
        <v>Igual</v>
      </c>
      <c r="R304" s="86" t="s">
        <v>1563</v>
      </c>
      <c r="S304" s="86" t="str">
        <f>IFERROR(VLOOKUP($B304,'LISTA - Atual'!$B$1:$I$444,8,0),"Novo")</f>
        <v>N</v>
      </c>
      <c r="T304" s="86" t="str">
        <f t="shared" si="68"/>
        <v>Igual</v>
      </c>
      <c r="U304" s="86" t="s">
        <v>1563</v>
      </c>
      <c r="V304" s="86" t="s">
        <v>11</v>
      </c>
      <c r="W304" s="87" t="str">
        <f>IFERROR(VLOOKUP(B304,#REF!,11,0),"n/a")</f>
        <v>n/a</v>
      </c>
      <c r="X304" s="87" t="str">
        <f>IFERROR(VLOOKUP(B304,#REF!,8,0),"n/a")</f>
        <v>n/a</v>
      </c>
      <c r="Y304" s="87" t="str">
        <f t="shared" ref="Y304:Y341" si="76">$F$2</f>
        <v>ESTR</v>
      </c>
      <c r="Z304" s="131" t="s">
        <v>1605</v>
      </c>
      <c r="AA304" s="227" t="e">
        <f>VLOOKUP(Table1[[#This Row],[CONCAT]],'Campos Resumo Prop2.0'!A:H,8,0)</f>
        <v>#N/A</v>
      </c>
      <c r="AB304" s="87" t="s">
        <v>1650</v>
      </c>
      <c r="AC304" s="135" t="s">
        <v>1625</v>
      </c>
      <c r="AD304" s="91">
        <f>INDEX(Auxiliar!$D$5:$I$10,MATCH('LISTA - Setembro2024'!AD$3,Auxiliar!$B$5:$B$10,0),MATCH('LISTA - Setembro2024'!$AC304,Auxiliar!$D$4:$I$4,0))</f>
        <v>0</v>
      </c>
      <c r="AE304" s="91">
        <f>INDEX(Auxiliar!$D$5:$I$10,MATCH('LISTA - Setembro2024'!AE$3,Auxiliar!$B$5:$B$10,0),MATCH('LISTA - Setembro2024'!$AC304,Auxiliar!$D$4:$I$4,0))</f>
        <v>0</v>
      </c>
      <c r="AF304" s="87">
        <f>INDEX(Auxiliar!$D$5:$I$10,MATCH('LISTA - Setembro2024'!AF$3,Auxiliar!$B$5:$B$10,0),MATCH('LISTA - Setembro2024'!$AC304,Auxiliar!$D$4:$I$4,0))</f>
        <v>0</v>
      </c>
      <c r="AG304" s="87" t="str">
        <f t="shared" si="70"/>
        <v>n.a.</v>
      </c>
      <c r="AH304" s="87">
        <f>INDEX(Auxiliar!$D$5:$I$10,MATCH('LISTA - Setembro2024'!AH$3,Auxiliar!$B$5:$B$10,0),MATCH('LISTA - Setembro2024'!$AG304,Auxiliar!$D$4:$I$4,0))</f>
        <v>0</v>
      </c>
      <c r="AI304" s="87">
        <f>INDEX(Auxiliar!$D$5:$I$10,MATCH('LISTA - Setembro2024'!AI$3,Auxiliar!$B$5:$B$10,0),MATCH('LISTA - Setembro2024'!$AC304,Auxiliar!$D$4:$I$4,0))</f>
        <v>0</v>
      </c>
      <c r="AJ304" s="87">
        <f>INDEX(Auxiliar!$D$5:$I$10,MATCH('LISTA - Setembro2024'!AJ$3,Auxiliar!$B$5:$B$10,0),MATCH('LISTA - Setembro2024'!$AC304,Auxiliar!$D$4:$I$4,0))</f>
        <v>0</v>
      </c>
      <c r="AK304" s="160">
        <f t="shared" si="73"/>
        <v>0</v>
      </c>
      <c r="AL304" s="87"/>
    </row>
    <row r="305" spans="1:38" ht="13.8" x14ac:dyDescent="0.25">
      <c r="A305" s="158" t="s">
        <v>768</v>
      </c>
      <c r="B305" s="81" t="str">
        <f t="shared" si="71"/>
        <v>INSTRUMENT_RCVD_AMRTSTN_12M</v>
      </c>
      <c r="C305" s="82" t="s">
        <v>414</v>
      </c>
      <c r="D305" s="83" t="s">
        <v>769</v>
      </c>
      <c r="E305" s="84" t="s">
        <v>770</v>
      </c>
      <c r="F305" s="85" t="s">
        <v>13</v>
      </c>
      <c r="G305" s="85" t="s">
        <v>11</v>
      </c>
      <c r="H305" s="85" t="s">
        <v>11</v>
      </c>
      <c r="I305" s="85" t="s">
        <v>11</v>
      </c>
      <c r="J305" s="85" t="s">
        <v>11</v>
      </c>
      <c r="K305" s="85" t="s">
        <v>13</v>
      </c>
      <c r="L305" s="86" t="str">
        <f>IFERROR(VLOOKUP($B305,'LISTA - Atual'!$B$1:$I$444,5,0),"Novo")</f>
        <v>Y</v>
      </c>
      <c r="M305" s="86" t="str">
        <f t="shared" si="65"/>
        <v>Igual</v>
      </c>
      <c r="N305" s="86" t="str">
        <f>IFERROR(VLOOKUP($B305,'LISTA - Atual'!$B$1:$I$444,6,0),"Novo")</f>
        <v>N</v>
      </c>
      <c r="O305" s="86" t="str">
        <f t="shared" si="66"/>
        <v>Igual</v>
      </c>
      <c r="P305" s="86" t="str">
        <f>IFERROR(VLOOKUP($B305,'LISTA - Atual'!$B$1:$I$444,7,0),"Novo")</f>
        <v>N</v>
      </c>
      <c r="Q305" s="86" t="str">
        <f t="shared" si="67"/>
        <v>Igual</v>
      </c>
      <c r="R305" s="86" t="s">
        <v>1563</v>
      </c>
      <c r="S305" s="86" t="str">
        <f>IFERROR(VLOOKUP($B305,'LISTA - Atual'!$B$1:$I$444,8,0),"Novo")</f>
        <v>N</v>
      </c>
      <c r="T305" s="86" t="str">
        <f t="shared" si="68"/>
        <v>Igual</v>
      </c>
      <c r="U305" s="86" t="s">
        <v>1563</v>
      </c>
      <c r="V305" s="86" t="s">
        <v>11</v>
      </c>
      <c r="W305" s="87" t="str">
        <f>IFERROR(VLOOKUP(B305,#REF!,11,0),"n/a")</f>
        <v>n/a</v>
      </c>
      <c r="X305" s="87" t="str">
        <f>IFERROR(VLOOKUP(B305,#REF!,8,0),"n/a")</f>
        <v>n/a</v>
      </c>
      <c r="Y305" s="87" t="str">
        <f t="shared" si="76"/>
        <v>ESTR</v>
      </c>
      <c r="Z305" s="131" t="s">
        <v>1605</v>
      </c>
      <c r="AA305" s="227" t="e">
        <f>VLOOKUP(Table1[[#This Row],[CONCAT]],'Campos Resumo Prop2.0'!A:H,8,0)</f>
        <v>#N/A</v>
      </c>
      <c r="AB305" s="87" t="s">
        <v>1655</v>
      </c>
      <c r="AC305" s="135" t="s">
        <v>1625</v>
      </c>
      <c r="AD305" s="91">
        <f>INDEX(Auxiliar!$D$5:$I$10,MATCH('LISTA - Setembro2024'!AD$3,Auxiliar!$B$5:$B$10,0),MATCH('LISTA - Setembro2024'!$AC305,Auxiliar!$D$4:$I$4,0))</f>
        <v>0</v>
      </c>
      <c r="AE305" s="91">
        <f>INDEX(Auxiliar!$D$5:$I$10,MATCH('LISTA - Setembro2024'!AE$3,Auxiliar!$B$5:$B$10,0),MATCH('LISTA - Setembro2024'!$AC305,Auxiliar!$D$4:$I$4,0))</f>
        <v>0</v>
      </c>
      <c r="AF305" s="87">
        <f>INDEX(Auxiliar!$D$5:$I$10,MATCH('LISTA - Setembro2024'!AF$3,Auxiliar!$B$5:$B$10,0),MATCH('LISTA - Setembro2024'!$AC305,Auxiliar!$D$4:$I$4,0))</f>
        <v>0</v>
      </c>
      <c r="AG305" s="87" t="str">
        <f t="shared" si="70"/>
        <v>n.a.</v>
      </c>
      <c r="AH305" s="87">
        <f>INDEX(Auxiliar!$D$5:$I$10,MATCH('LISTA - Setembro2024'!AH$3,Auxiliar!$B$5:$B$10,0),MATCH('LISTA - Setembro2024'!$AG305,Auxiliar!$D$4:$I$4,0))</f>
        <v>0</v>
      </c>
      <c r="AI305" s="87">
        <f>INDEX(Auxiliar!$D$5:$I$10,MATCH('LISTA - Setembro2024'!AI$3,Auxiliar!$B$5:$B$10,0),MATCH('LISTA - Setembro2024'!$AC305,Auxiliar!$D$4:$I$4,0))</f>
        <v>0</v>
      </c>
      <c r="AJ305" s="87">
        <f>INDEX(Auxiliar!$D$5:$I$10,MATCH('LISTA - Setembro2024'!AJ$3,Auxiliar!$B$5:$B$10,0),MATCH('LISTA - Setembro2024'!$AC305,Auxiliar!$D$4:$I$4,0))</f>
        <v>0</v>
      </c>
      <c r="AK305" s="160">
        <f t="shared" si="73"/>
        <v>0</v>
      </c>
      <c r="AL305" s="87"/>
    </row>
    <row r="306" spans="1:38" ht="13.8" x14ac:dyDescent="0.25">
      <c r="A306" s="158" t="s">
        <v>771</v>
      </c>
      <c r="B306" s="81" t="str">
        <f t="shared" si="71"/>
        <v>INSTRUMENT_RCVD_AMRTSTN_24M</v>
      </c>
      <c r="C306" s="82" t="s">
        <v>414</v>
      </c>
      <c r="D306" s="83" t="s">
        <v>772</v>
      </c>
      <c r="E306" s="84" t="s">
        <v>773</v>
      </c>
      <c r="F306" s="85" t="s">
        <v>13</v>
      </c>
      <c r="G306" s="85" t="s">
        <v>11</v>
      </c>
      <c r="H306" s="85" t="s">
        <v>11</v>
      </c>
      <c r="I306" s="85" t="s">
        <v>11</v>
      </c>
      <c r="J306" s="85" t="s">
        <v>11</v>
      </c>
      <c r="K306" s="85" t="s">
        <v>13</v>
      </c>
      <c r="L306" s="86" t="str">
        <f>IFERROR(VLOOKUP($B306,'LISTA - Atual'!$B$1:$I$444,5,0),"Novo")</f>
        <v>Y</v>
      </c>
      <c r="M306" s="86" t="str">
        <f t="shared" si="65"/>
        <v>Igual</v>
      </c>
      <c r="N306" s="86" t="str">
        <f>IFERROR(VLOOKUP($B306,'LISTA - Atual'!$B$1:$I$444,6,0),"Novo")</f>
        <v>N</v>
      </c>
      <c r="O306" s="86" t="str">
        <f t="shared" si="66"/>
        <v>Igual</v>
      </c>
      <c r="P306" s="86" t="str">
        <f>IFERROR(VLOOKUP($B306,'LISTA - Atual'!$B$1:$I$444,7,0),"Novo")</f>
        <v>N</v>
      </c>
      <c r="Q306" s="86" t="str">
        <f t="shared" si="67"/>
        <v>Igual</v>
      </c>
      <c r="R306" s="86" t="s">
        <v>1563</v>
      </c>
      <c r="S306" s="86" t="str">
        <f>IFERROR(VLOOKUP($B306,'LISTA - Atual'!$B$1:$I$444,8,0),"Novo")</f>
        <v>N</v>
      </c>
      <c r="T306" s="86" t="str">
        <f t="shared" si="68"/>
        <v>Igual</v>
      </c>
      <c r="U306" s="86" t="s">
        <v>1563</v>
      </c>
      <c r="V306" s="86" t="s">
        <v>11</v>
      </c>
      <c r="W306" s="87" t="str">
        <f>IFERROR(VLOOKUP(B306,#REF!,11,0),"n/a")</f>
        <v>n/a</v>
      </c>
      <c r="X306" s="87" t="str">
        <f>IFERROR(VLOOKUP(B306,#REF!,8,0),"n/a")</f>
        <v>n/a</v>
      </c>
      <c r="Y306" s="87" t="str">
        <f t="shared" si="76"/>
        <v>ESTR</v>
      </c>
      <c r="Z306" s="131" t="s">
        <v>1605</v>
      </c>
      <c r="AA306" s="227" t="e">
        <f>VLOOKUP(Table1[[#This Row],[CONCAT]],'Campos Resumo Prop2.0'!A:H,8,0)</f>
        <v>#N/A</v>
      </c>
      <c r="AB306" s="87" t="s">
        <v>1655</v>
      </c>
      <c r="AC306" s="135" t="s">
        <v>1625</v>
      </c>
      <c r="AD306" s="91">
        <f>INDEX(Auxiliar!$D$5:$I$10,MATCH('LISTA - Setembro2024'!AD$3,Auxiliar!$B$5:$B$10,0),MATCH('LISTA - Setembro2024'!$AC306,Auxiliar!$D$4:$I$4,0))</f>
        <v>0</v>
      </c>
      <c r="AE306" s="91">
        <f>INDEX(Auxiliar!$D$5:$I$10,MATCH('LISTA - Setembro2024'!AE$3,Auxiliar!$B$5:$B$10,0),MATCH('LISTA - Setembro2024'!$AC306,Auxiliar!$D$4:$I$4,0))</f>
        <v>0</v>
      </c>
      <c r="AF306" s="87">
        <f>INDEX(Auxiliar!$D$5:$I$10,MATCH('LISTA - Setembro2024'!AF$3,Auxiliar!$B$5:$B$10,0),MATCH('LISTA - Setembro2024'!$AC306,Auxiliar!$D$4:$I$4,0))</f>
        <v>0</v>
      </c>
      <c r="AG306" s="87" t="str">
        <f t="shared" si="70"/>
        <v>n.a.</v>
      </c>
      <c r="AH306" s="87">
        <f>INDEX(Auxiliar!$D$5:$I$10,MATCH('LISTA - Setembro2024'!AH$3,Auxiliar!$B$5:$B$10,0),MATCH('LISTA - Setembro2024'!$AG306,Auxiliar!$D$4:$I$4,0))</f>
        <v>0</v>
      </c>
      <c r="AI306" s="87">
        <f>INDEX(Auxiliar!$D$5:$I$10,MATCH('LISTA - Setembro2024'!AI$3,Auxiliar!$B$5:$B$10,0),MATCH('LISTA - Setembro2024'!$AC306,Auxiliar!$D$4:$I$4,0))</f>
        <v>0</v>
      </c>
      <c r="AJ306" s="87">
        <f>INDEX(Auxiliar!$D$5:$I$10,MATCH('LISTA - Setembro2024'!AJ$3,Auxiliar!$B$5:$B$10,0),MATCH('LISTA - Setembro2024'!$AC306,Auxiliar!$D$4:$I$4,0))</f>
        <v>0</v>
      </c>
      <c r="AK306" s="160">
        <f t="shared" si="73"/>
        <v>0</v>
      </c>
      <c r="AL306" s="87"/>
    </row>
    <row r="307" spans="1:38" ht="13.8" x14ac:dyDescent="0.25">
      <c r="A307" s="158" t="s">
        <v>774</v>
      </c>
      <c r="B307" s="81" t="str">
        <f t="shared" si="71"/>
        <v>INSTRUMENT_RCVD_INTRST_12M</v>
      </c>
      <c r="C307" s="82" t="s">
        <v>414</v>
      </c>
      <c r="D307" s="83" t="s">
        <v>775</v>
      </c>
      <c r="E307" s="84" t="s">
        <v>776</v>
      </c>
      <c r="F307" s="85" t="s">
        <v>13</v>
      </c>
      <c r="G307" s="85" t="s">
        <v>11</v>
      </c>
      <c r="H307" s="85" t="s">
        <v>11</v>
      </c>
      <c r="I307" s="85" t="s">
        <v>11</v>
      </c>
      <c r="J307" s="85" t="s">
        <v>11</v>
      </c>
      <c r="K307" s="85" t="s">
        <v>13</v>
      </c>
      <c r="L307" s="86" t="str">
        <f>IFERROR(VLOOKUP($B307,'LISTA - Atual'!$B$1:$I$444,5,0),"Novo")</f>
        <v>Y</v>
      </c>
      <c r="M307" s="86" t="str">
        <f t="shared" si="65"/>
        <v>Igual</v>
      </c>
      <c r="N307" s="86" t="str">
        <f>IFERROR(VLOOKUP($B307,'LISTA - Atual'!$B$1:$I$444,6,0),"Novo")</f>
        <v>N</v>
      </c>
      <c r="O307" s="86" t="str">
        <f t="shared" si="66"/>
        <v>Igual</v>
      </c>
      <c r="P307" s="86" t="str">
        <f>IFERROR(VLOOKUP($B307,'LISTA - Atual'!$B$1:$I$444,7,0),"Novo")</f>
        <v>N</v>
      </c>
      <c r="Q307" s="86" t="str">
        <f t="shared" si="67"/>
        <v>Igual</v>
      </c>
      <c r="R307" s="86" t="s">
        <v>1563</v>
      </c>
      <c r="S307" s="86" t="str">
        <f>IFERROR(VLOOKUP($B307,'LISTA - Atual'!$B$1:$I$444,8,0),"Novo")</f>
        <v>N</v>
      </c>
      <c r="T307" s="86" t="str">
        <f t="shared" si="68"/>
        <v>Igual</v>
      </c>
      <c r="U307" s="86" t="s">
        <v>1563</v>
      </c>
      <c r="V307" s="86" t="s">
        <v>11</v>
      </c>
      <c r="W307" s="87" t="str">
        <f>IFERROR(VLOOKUP(B307,#REF!,11,0),"n/a")</f>
        <v>n/a</v>
      </c>
      <c r="X307" s="88" t="str">
        <f>IFERROR(VLOOKUP(B307,#REF!,8,0),"n/a")</f>
        <v>n/a</v>
      </c>
      <c r="Y307" s="87" t="str">
        <f t="shared" si="76"/>
        <v>ESTR</v>
      </c>
      <c r="Z307" s="131" t="s">
        <v>1605</v>
      </c>
      <c r="AA307" s="227" t="e">
        <f>VLOOKUP(Table1[[#This Row],[CONCAT]],'Campos Resumo Prop2.0'!A:H,8,0)</f>
        <v>#N/A</v>
      </c>
      <c r="AB307" s="87" t="s">
        <v>1655</v>
      </c>
      <c r="AC307" s="135" t="s">
        <v>1625</v>
      </c>
      <c r="AD307" s="91">
        <f>INDEX(Auxiliar!$D$5:$I$10,MATCH('LISTA - Setembro2024'!AD$3,Auxiliar!$B$5:$B$10,0),MATCH('LISTA - Setembro2024'!$AC307,Auxiliar!$D$4:$I$4,0))</f>
        <v>0</v>
      </c>
      <c r="AE307" s="91">
        <f>INDEX(Auxiliar!$D$5:$I$10,MATCH('LISTA - Setembro2024'!AE$3,Auxiliar!$B$5:$B$10,0),MATCH('LISTA - Setembro2024'!$AC307,Auxiliar!$D$4:$I$4,0))</f>
        <v>0</v>
      </c>
      <c r="AF307" s="87">
        <f>INDEX(Auxiliar!$D$5:$I$10,MATCH('LISTA - Setembro2024'!AF$3,Auxiliar!$B$5:$B$10,0),MATCH('LISTA - Setembro2024'!$AC307,Auxiliar!$D$4:$I$4,0))</f>
        <v>0</v>
      </c>
      <c r="AG307" s="87" t="str">
        <f t="shared" si="70"/>
        <v>n.a.</v>
      </c>
      <c r="AH307" s="87">
        <f>INDEX(Auxiliar!$D$5:$I$10,MATCH('LISTA - Setembro2024'!AH$3,Auxiliar!$B$5:$B$10,0),MATCH('LISTA - Setembro2024'!$AG307,Auxiliar!$D$4:$I$4,0))</f>
        <v>0</v>
      </c>
      <c r="AI307" s="87">
        <f>INDEX(Auxiliar!$D$5:$I$10,MATCH('LISTA - Setembro2024'!AI$3,Auxiliar!$B$5:$B$10,0),MATCH('LISTA - Setembro2024'!$AC307,Auxiliar!$D$4:$I$4,0))</f>
        <v>0</v>
      </c>
      <c r="AJ307" s="87">
        <f>INDEX(Auxiliar!$D$5:$I$10,MATCH('LISTA - Setembro2024'!AJ$3,Auxiliar!$B$5:$B$10,0),MATCH('LISTA - Setembro2024'!$AC307,Auxiliar!$D$4:$I$4,0))</f>
        <v>0</v>
      </c>
      <c r="AK307" s="160">
        <f t="shared" si="73"/>
        <v>0</v>
      </c>
      <c r="AL307" s="87" t="s">
        <v>1680</v>
      </c>
    </row>
    <row r="308" spans="1:38" ht="13.8" x14ac:dyDescent="0.25">
      <c r="A308" s="158" t="s">
        <v>777</v>
      </c>
      <c r="B308" s="81" t="str">
        <f t="shared" si="71"/>
        <v>INSTRUMENT_RCVD_INTRST_24M</v>
      </c>
      <c r="C308" s="82" t="s">
        <v>414</v>
      </c>
      <c r="D308" s="83" t="s">
        <v>778</v>
      </c>
      <c r="E308" s="84" t="s">
        <v>779</v>
      </c>
      <c r="F308" s="85" t="s">
        <v>13</v>
      </c>
      <c r="G308" s="85" t="s">
        <v>11</v>
      </c>
      <c r="H308" s="85" t="s">
        <v>11</v>
      </c>
      <c r="I308" s="85" t="s">
        <v>11</v>
      </c>
      <c r="J308" s="85" t="s">
        <v>11</v>
      </c>
      <c r="K308" s="85" t="s">
        <v>13</v>
      </c>
      <c r="L308" s="86" t="str">
        <f>IFERROR(VLOOKUP($B308,'LISTA - Atual'!$B$1:$I$444,5,0),"Novo")</f>
        <v>Y</v>
      </c>
      <c r="M308" s="86" t="str">
        <f t="shared" si="65"/>
        <v>Igual</v>
      </c>
      <c r="N308" s="86" t="str">
        <f>IFERROR(VLOOKUP($B308,'LISTA - Atual'!$B$1:$I$444,6,0),"Novo")</f>
        <v>N</v>
      </c>
      <c r="O308" s="86" t="str">
        <f t="shared" si="66"/>
        <v>Igual</v>
      </c>
      <c r="P308" s="86" t="str">
        <f>IFERROR(VLOOKUP($B308,'LISTA - Atual'!$B$1:$I$444,7,0),"Novo")</f>
        <v>N</v>
      </c>
      <c r="Q308" s="86" t="str">
        <f t="shared" si="67"/>
        <v>Igual</v>
      </c>
      <c r="R308" s="86" t="s">
        <v>1563</v>
      </c>
      <c r="S308" s="86" t="str">
        <f>IFERROR(VLOOKUP($B308,'LISTA - Atual'!$B$1:$I$444,8,0),"Novo")</f>
        <v>N</v>
      </c>
      <c r="T308" s="86" t="str">
        <f t="shared" si="68"/>
        <v>Igual</v>
      </c>
      <c r="U308" s="86" t="s">
        <v>1563</v>
      </c>
      <c r="V308" s="86" t="s">
        <v>11</v>
      </c>
      <c r="W308" s="87" t="str">
        <f>IFERROR(VLOOKUP(B308,#REF!,11,0),"n/a")</f>
        <v>n/a</v>
      </c>
      <c r="X308" s="88" t="str">
        <f>IFERROR(VLOOKUP(B308,#REF!,8,0),"n/a")</f>
        <v>n/a</v>
      </c>
      <c r="Y308" s="87" t="str">
        <f t="shared" si="76"/>
        <v>ESTR</v>
      </c>
      <c r="Z308" s="131" t="s">
        <v>1605</v>
      </c>
      <c r="AA308" s="227" t="e">
        <f>VLOOKUP(Table1[[#This Row],[CONCAT]],'Campos Resumo Prop2.0'!A:H,8,0)</f>
        <v>#N/A</v>
      </c>
      <c r="AB308" s="87" t="s">
        <v>1655</v>
      </c>
      <c r="AC308" s="135" t="s">
        <v>1625</v>
      </c>
      <c r="AD308" s="91">
        <f>INDEX(Auxiliar!$D$5:$I$10,MATCH('LISTA - Setembro2024'!AD$3,Auxiliar!$B$5:$B$10,0),MATCH('LISTA - Setembro2024'!$AC308,Auxiliar!$D$4:$I$4,0))</f>
        <v>0</v>
      </c>
      <c r="AE308" s="91">
        <f>INDEX(Auxiliar!$D$5:$I$10,MATCH('LISTA - Setembro2024'!AE$3,Auxiliar!$B$5:$B$10,0),MATCH('LISTA - Setembro2024'!$AC308,Auxiliar!$D$4:$I$4,0))</f>
        <v>0</v>
      </c>
      <c r="AF308" s="87">
        <f>INDEX(Auxiliar!$D$5:$I$10,MATCH('LISTA - Setembro2024'!AF$3,Auxiliar!$B$5:$B$10,0),MATCH('LISTA - Setembro2024'!$AC308,Auxiliar!$D$4:$I$4,0))</f>
        <v>0</v>
      </c>
      <c r="AG308" s="87" t="str">
        <f t="shared" si="70"/>
        <v>n.a.</v>
      </c>
      <c r="AH308" s="87">
        <f>INDEX(Auxiliar!$D$5:$I$10,MATCH('LISTA - Setembro2024'!AH$3,Auxiliar!$B$5:$B$10,0),MATCH('LISTA - Setembro2024'!$AG308,Auxiliar!$D$4:$I$4,0))</f>
        <v>0</v>
      </c>
      <c r="AI308" s="87">
        <f>INDEX(Auxiliar!$D$5:$I$10,MATCH('LISTA - Setembro2024'!AI$3,Auxiliar!$B$5:$B$10,0),MATCH('LISTA - Setembro2024'!$AC308,Auxiliar!$D$4:$I$4,0))</f>
        <v>0</v>
      </c>
      <c r="AJ308" s="87">
        <f>INDEX(Auxiliar!$D$5:$I$10,MATCH('LISTA - Setembro2024'!AJ$3,Auxiliar!$B$5:$B$10,0),MATCH('LISTA - Setembro2024'!$AC308,Auxiliar!$D$4:$I$4,0))</f>
        <v>0</v>
      </c>
      <c r="AK308" s="160">
        <f t="shared" si="73"/>
        <v>0</v>
      </c>
      <c r="AL308" s="87" t="s">
        <v>1680</v>
      </c>
    </row>
    <row r="309" spans="1:38" ht="13.8" x14ac:dyDescent="0.25">
      <c r="A309" s="158" t="s">
        <v>780</v>
      </c>
      <c r="B309" s="81" t="str">
        <f t="shared" si="71"/>
        <v>INSTRUMENT_SYNDCT_RL</v>
      </c>
      <c r="C309" s="82" t="s">
        <v>414</v>
      </c>
      <c r="D309" s="83" t="s">
        <v>781</v>
      </c>
      <c r="E309" s="84" t="s">
        <v>782</v>
      </c>
      <c r="F309" s="85" t="s">
        <v>13</v>
      </c>
      <c r="G309" s="85" t="s">
        <v>11</v>
      </c>
      <c r="H309" s="85" t="s">
        <v>11</v>
      </c>
      <c r="I309" s="85" t="s">
        <v>11</v>
      </c>
      <c r="J309" s="85" t="s">
        <v>11</v>
      </c>
      <c r="K309" s="85" t="s">
        <v>13</v>
      </c>
      <c r="L309" s="86" t="str">
        <f>IFERROR(VLOOKUP($B309,'LISTA - Atual'!$B$1:$I$444,5,0),"Novo")</f>
        <v>Y</v>
      </c>
      <c r="M309" s="86" t="str">
        <f t="shared" si="65"/>
        <v>Igual</v>
      </c>
      <c r="N309" s="86" t="str">
        <f>IFERROR(VLOOKUP($B309,'LISTA - Atual'!$B$1:$I$444,6,0),"Novo")</f>
        <v>N</v>
      </c>
      <c r="O309" s="86" t="str">
        <f t="shared" si="66"/>
        <v>Igual</v>
      </c>
      <c r="P309" s="86" t="str">
        <f>IFERROR(VLOOKUP($B309,'LISTA - Atual'!$B$1:$I$444,7,0),"Novo")</f>
        <v>N</v>
      </c>
      <c r="Q309" s="86" t="str">
        <f t="shared" si="67"/>
        <v>Igual</v>
      </c>
      <c r="R309" s="86" t="s">
        <v>1563</v>
      </c>
      <c r="S309" s="86" t="str">
        <f>IFERROR(VLOOKUP($B309,'LISTA - Atual'!$B$1:$I$444,8,0),"Novo")</f>
        <v>N</v>
      </c>
      <c r="T309" s="86" t="str">
        <f t="shared" si="68"/>
        <v>Igual</v>
      </c>
      <c r="U309" s="86" t="s">
        <v>1563</v>
      </c>
      <c r="V309" s="86" t="s">
        <v>11</v>
      </c>
      <c r="W309" s="87" t="str">
        <f>IFERROR(VLOOKUP(B309,#REF!,11,0),"n/a")</f>
        <v>n/a</v>
      </c>
      <c r="X309" s="88" t="str">
        <f>IFERROR(VLOOKUP(B309,#REF!,8,0),"n/a")</f>
        <v>n/a</v>
      </c>
      <c r="Y309" s="87" t="str">
        <f t="shared" si="76"/>
        <v>ESTR</v>
      </c>
      <c r="Z309" s="131" t="s">
        <v>1605</v>
      </c>
      <c r="AA309" s="227" t="e">
        <f>VLOOKUP(Table1[[#This Row],[CONCAT]],'Campos Resumo Prop2.0'!A:H,8,0)</f>
        <v>#N/A</v>
      </c>
      <c r="AB309" s="87" t="s">
        <v>1650</v>
      </c>
      <c r="AC309" s="135" t="s">
        <v>1625</v>
      </c>
      <c r="AD309" s="91">
        <f>INDEX(Auxiliar!$D$5:$I$10,MATCH('LISTA - Setembro2024'!AD$3,Auxiliar!$B$5:$B$10,0),MATCH('LISTA - Setembro2024'!$AC309,Auxiliar!$D$4:$I$4,0))</f>
        <v>0</v>
      </c>
      <c r="AE309" s="91">
        <f>INDEX(Auxiliar!$D$5:$I$10,MATCH('LISTA - Setembro2024'!AE$3,Auxiliar!$B$5:$B$10,0),MATCH('LISTA - Setembro2024'!$AC309,Auxiliar!$D$4:$I$4,0))</f>
        <v>0</v>
      </c>
      <c r="AF309" s="87">
        <f>INDEX(Auxiliar!$D$5:$I$10,MATCH('LISTA - Setembro2024'!AF$3,Auxiliar!$B$5:$B$10,0),MATCH('LISTA - Setembro2024'!$AC309,Auxiliar!$D$4:$I$4,0))</f>
        <v>0</v>
      </c>
      <c r="AG309" s="87" t="str">
        <f t="shared" si="70"/>
        <v>n.a.</v>
      </c>
      <c r="AH309" s="87">
        <f>INDEX(Auxiliar!$D$5:$I$10,MATCH('LISTA - Setembro2024'!AH$3,Auxiliar!$B$5:$B$10,0),MATCH('LISTA - Setembro2024'!$AG309,Auxiliar!$D$4:$I$4,0))</f>
        <v>0</v>
      </c>
      <c r="AI309" s="87">
        <f>INDEX(Auxiliar!$D$5:$I$10,MATCH('LISTA - Setembro2024'!AI$3,Auxiliar!$B$5:$B$10,0),MATCH('LISTA - Setembro2024'!$AC309,Auxiliar!$D$4:$I$4,0))</f>
        <v>0</v>
      </c>
      <c r="AJ309" s="87">
        <f>INDEX(Auxiliar!$D$5:$I$10,MATCH('LISTA - Setembro2024'!AJ$3,Auxiliar!$B$5:$B$10,0),MATCH('LISTA - Setembro2024'!$AC309,Auxiliar!$D$4:$I$4,0))</f>
        <v>0</v>
      </c>
      <c r="AK309" s="160">
        <f t="shared" si="73"/>
        <v>0</v>
      </c>
      <c r="AL309" s="87" t="s">
        <v>1696</v>
      </c>
    </row>
    <row r="310" spans="1:38" ht="13.8" x14ac:dyDescent="0.25">
      <c r="A310" s="158" t="s">
        <v>783</v>
      </c>
      <c r="B310" s="81" t="str">
        <f t="shared" si="71"/>
        <v>INSTRUMENT_SYNDCTD_AGNT</v>
      </c>
      <c r="C310" s="82" t="s">
        <v>414</v>
      </c>
      <c r="D310" s="83" t="s">
        <v>784</v>
      </c>
      <c r="E310" s="84" t="s">
        <v>785</v>
      </c>
      <c r="F310" s="85" t="s">
        <v>13</v>
      </c>
      <c r="G310" s="85" t="s">
        <v>11</v>
      </c>
      <c r="H310" s="85" t="s">
        <v>11</v>
      </c>
      <c r="I310" s="85" t="s">
        <v>11</v>
      </c>
      <c r="J310" s="85" t="s">
        <v>11</v>
      </c>
      <c r="K310" s="85" t="s">
        <v>13</v>
      </c>
      <c r="L310" s="86" t="str">
        <f>IFERROR(VLOOKUP($B310,'LISTA - Atual'!$B$1:$I$444,5,0),"Novo")</f>
        <v>Y</v>
      </c>
      <c r="M310" s="86" t="str">
        <f t="shared" si="65"/>
        <v>Igual</v>
      </c>
      <c r="N310" s="86" t="str">
        <f>IFERROR(VLOOKUP($B310,'LISTA - Atual'!$B$1:$I$444,6,0),"Novo")</f>
        <v>N</v>
      </c>
      <c r="O310" s="86" t="str">
        <f t="shared" si="66"/>
        <v>Igual</v>
      </c>
      <c r="P310" s="86" t="str">
        <f>IFERROR(VLOOKUP($B310,'LISTA - Atual'!$B$1:$I$444,7,0),"Novo")</f>
        <v>N</v>
      </c>
      <c r="Q310" s="86" t="str">
        <f t="shared" si="67"/>
        <v>Igual</v>
      </c>
      <c r="R310" s="86" t="s">
        <v>1563</v>
      </c>
      <c r="S310" s="86" t="str">
        <f>IFERROR(VLOOKUP($B310,'LISTA - Atual'!$B$1:$I$444,8,0),"Novo")</f>
        <v>N</v>
      </c>
      <c r="T310" s="86" t="str">
        <f t="shared" si="68"/>
        <v>Igual</v>
      </c>
      <c r="U310" s="86" t="s">
        <v>1563</v>
      </c>
      <c r="V310" s="86" t="s">
        <v>11</v>
      </c>
      <c r="W310" s="87" t="str">
        <f>IFERROR(VLOOKUP(B310,#REF!,11,0),"n/a")</f>
        <v>n/a</v>
      </c>
      <c r="X310" s="88" t="str">
        <f>IFERROR(VLOOKUP(B310,#REF!,8,0),"n/a")</f>
        <v>n/a</v>
      </c>
      <c r="Y310" s="87" t="str">
        <f t="shared" si="76"/>
        <v>ESTR</v>
      </c>
      <c r="Z310" s="131" t="s">
        <v>1605</v>
      </c>
      <c r="AA310" s="227" t="e">
        <f>VLOOKUP(Table1[[#This Row],[CONCAT]],'Campos Resumo Prop2.0'!A:H,8,0)</f>
        <v>#N/A</v>
      </c>
      <c r="AB310" s="87" t="s">
        <v>1652</v>
      </c>
      <c r="AC310" s="135" t="s">
        <v>1625</v>
      </c>
      <c r="AD310" s="91">
        <f>INDEX(Auxiliar!$D$5:$I$10,MATCH('LISTA - Setembro2024'!AD$3,Auxiliar!$B$5:$B$10,0),MATCH('LISTA - Setembro2024'!$AC310,Auxiliar!$D$4:$I$4,0))</f>
        <v>0</v>
      </c>
      <c r="AE310" s="91">
        <f>INDEX(Auxiliar!$D$5:$I$10,MATCH('LISTA - Setembro2024'!AE$3,Auxiliar!$B$5:$B$10,0),MATCH('LISTA - Setembro2024'!$AC310,Auxiliar!$D$4:$I$4,0))</f>
        <v>0</v>
      </c>
      <c r="AF310" s="87">
        <f>INDEX(Auxiliar!$D$5:$I$10,MATCH('LISTA - Setembro2024'!AF$3,Auxiliar!$B$5:$B$10,0),MATCH('LISTA - Setembro2024'!$AC310,Auxiliar!$D$4:$I$4,0))</f>
        <v>0</v>
      </c>
      <c r="AG310" s="87" t="str">
        <f t="shared" si="70"/>
        <v>n.a.</v>
      </c>
      <c r="AH310" s="87">
        <f>INDEX(Auxiliar!$D$5:$I$10,MATCH('LISTA - Setembro2024'!AH$3,Auxiliar!$B$5:$B$10,0),MATCH('LISTA - Setembro2024'!$AG310,Auxiliar!$D$4:$I$4,0))</f>
        <v>0</v>
      </c>
      <c r="AI310" s="87">
        <f>INDEX(Auxiliar!$D$5:$I$10,MATCH('LISTA - Setembro2024'!AI$3,Auxiliar!$B$5:$B$10,0),MATCH('LISTA - Setembro2024'!$AC310,Auxiliar!$D$4:$I$4,0))</f>
        <v>0</v>
      </c>
      <c r="AJ310" s="87">
        <f>INDEX(Auxiliar!$D$5:$I$10,MATCH('LISTA - Setembro2024'!AJ$3,Auxiliar!$B$5:$B$10,0),MATCH('LISTA - Setembro2024'!$AC310,Auxiliar!$D$4:$I$4,0))</f>
        <v>0</v>
      </c>
      <c r="AK310" s="160">
        <f t="shared" si="73"/>
        <v>0</v>
      </c>
      <c r="AL310" s="87" t="s">
        <v>1696</v>
      </c>
    </row>
    <row r="311" spans="1:38" ht="13.8" x14ac:dyDescent="0.25">
      <c r="A311" s="158" t="s">
        <v>786</v>
      </c>
      <c r="B311" s="81" t="str">
        <f t="shared" si="71"/>
        <v>INSTRUMENT_SYNDCTD_CNTRCT_ID</v>
      </c>
      <c r="C311" s="82" t="s">
        <v>414</v>
      </c>
      <c r="D311" s="83" t="s">
        <v>787</v>
      </c>
      <c r="E311" s="84" t="s">
        <v>788</v>
      </c>
      <c r="F311" s="85" t="s">
        <v>13</v>
      </c>
      <c r="G311" s="85" t="s">
        <v>11</v>
      </c>
      <c r="H311" s="85" t="s">
        <v>11</v>
      </c>
      <c r="I311" s="85" t="s">
        <v>11</v>
      </c>
      <c r="J311" s="85" t="s">
        <v>11</v>
      </c>
      <c r="K311" s="85" t="s">
        <v>13</v>
      </c>
      <c r="L311" s="86" t="str">
        <f>IFERROR(VLOOKUP($B311,'LISTA - Atual'!$B$1:$I$444,5,0),"Novo")</f>
        <v>Y</v>
      </c>
      <c r="M311" s="86" t="str">
        <f t="shared" si="65"/>
        <v>Igual</v>
      </c>
      <c r="N311" s="86" t="str">
        <f>IFERROR(VLOOKUP($B311,'LISTA - Atual'!$B$1:$I$444,6,0),"Novo")</f>
        <v>N</v>
      </c>
      <c r="O311" s="86" t="str">
        <f t="shared" si="66"/>
        <v>Igual</v>
      </c>
      <c r="P311" s="86" t="str">
        <f>IFERROR(VLOOKUP($B311,'LISTA - Atual'!$B$1:$I$444,7,0),"Novo")</f>
        <v>N</v>
      </c>
      <c r="Q311" s="86" t="str">
        <f t="shared" si="67"/>
        <v>Igual</v>
      </c>
      <c r="R311" s="86" t="s">
        <v>1563</v>
      </c>
      <c r="S311" s="86" t="str">
        <f>IFERROR(VLOOKUP($B311,'LISTA - Atual'!$B$1:$I$444,8,0),"Novo")</f>
        <v>N</v>
      </c>
      <c r="T311" s="86" t="str">
        <f t="shared" si="68"/>
        <v>Igual</v>
      </c>
      <c r="U311" s="86" t="s">
        <v>1563</v>
      </c>
      <c r="V311" s="86" t="s">
        <v>11</v>
      </c>
      <c r="W311" s="87" t="str">
        <f>IFERROR(VLOOKUP(B311,#REF!,11,0),"n/a")</f>
        <v>n/a</v>
      </c>
      <c r="X311" s="88" t="str">
        <f>IFERROR(VLOOKUP(B311,#REF!,8,0),"n/a")</f>
        <v>n/a</v>
      </c>
      <c r="Y311" s="87" t="str">
        <f t="shared" si="76"/>
        <v>ESTR</v>
      </c>
      <c r="Z311" s="131" t="s">
        <v>1605</v>
      </c>
      <c r="AA311" s="227" t="e">
        <f>VLOOKUP(Table1[[#This Row],[CONCAT]],'Campos Resumo Prop2.0'!A:H,8,0)</f>
        <v>#N/A</v>
      </c>
      <c r="AB311" s="87" t="s">
        <v>1659</v>
      </c>
      <c r="AC311" s="135" t="s">
        <v>1625</v>
      </c>
      <c r="AD311" s="91">
        <f>INDEX(Auxiliar!$D$5:$I$10,MATCH('LISTA - Setembro2024'!AD$3,Auxiliar!$B$5:$B$10,0),MATCH('LISTA - Setembro2024'!$AC311,Auxiliar!$D$4:$I$4,0))</f>
        <v>0</v>
      </c>
      <c r="AE311" s="91">
        <f>INDEX(Auxiliar!$D$5:$I$10,MATCH('LISTA - Setembro2024'!AE$3,Auxiliar!$B$5:$B$10,0),MATCH('LISTA - Setembro2024'!$AC311,Auxiliar!$D$4:$I$4,0))</f>
        <v>0</v>
      </c>
      <c r="AF311" s="87">
        <f>INDEX(Auxiliar!$D$5:$I$10,MATCH('LISTA - Setembro2024'!AF$3,Auxiliar!$B$5:$B$10,0),MATCH('LISTA - Setembro2024'!$AC311,Auxiliar!$D$4:$I$4,0))</f>
        <v>0</v>
      </c>
      <c r="AG311" s="87" t="str">
        <f t="shared" si="70"/>
        <v>n.a.</v>
      </c>
      <c r="AH311" s="87">
        <f>INDEX(Auxiliar!$D$5:$I$10,MATCH('LISTA - Setembro2024'!AH$3,Auxiliar!$B$5:$B$10,0),MATCH('LISTA - Setembro2024'!$AG311,Auxiliar!$D$4:$I$4,0))</f>
        <v>0</v>
      </c>
      <c r="AI311" s="87">
        <f>INDEX(Auxiliar!$D$5:$I$10,MATCH('LISTA - Setembro2024'!AI$3,Auxiliar!$B$5:$B$10,0),MATCH('LISTA - Setembro2024'!$AC311,Auxiliar!$D$4:$I$4,0))</f>
        <v>0</v>
      </c>
      <c r="AJ311" s="87">
        <f>INDEX(Auxiliar!$D$5:$I$10,MATCH('LISTA - Setembro2024'!AJ$3,Auxiliar!$B$5:$B$10,0),MATCH('LISTA - Setembro2024'!$AC311,Auxiliar!$D$4:$I$4,0))</f>
        <v>0</v>
      </c>
      <c r="AK311" s="160">
        <f t="shared" si="73"/>
        <v>0</v>
      </c>
      <c r="AL311" s="87" t="s">
        <v>1696</v>
      </c>
    </row>
    <row r="312" spans="1:38" ht="13.8" x14ac:dyDescent="0.25">
      <c r="A312" s="158" t="s">
        <v>789</v>
      </c>
      <c r="B312" s="81" t="str">
        <f t="shared" si="71"/>
        <v>INSTRUMENT_SYNDCTD_LNDRS</v>
      </c>
      <c r="C312" s="82" t="s">
        <v>414</v>
      </c>
      <c r="D312" s="83" t="s">
        <v>790</v>
      </c>
      <c r="E312" s="84" t="s">
        <v>791</v>
      </c>
      <c r="F312" s="85" t="s">
        <v>13</v>
      </c>
      <c r="G312" s="85" t="s">
        <v>11</v>
      </c>
      <c r="H312" s="85" t="s">
        <v>11</v>
      </c>
      <c r="I312" s="85" t="s">
        <v>11</v>
      </c>
      <c r="J312" s="85" t="s">
        <v>11</v>
      </c>
      <c r="K312" s="85" t="s">
        <v>13</v>
      </c>
      <c r="L312" s="86" t="str">
        <f>IFERROR(VLOOKUP($B312,'LISTA - Atual'!$B$1:$I$444,5,0),"Novo")</f>
        <v>Y</v>
      </c>
      <c r="M312" s="86" t="str">
        <f t="shared" si="65"/>
        <v>Igual</v>
      </c>
      <c r="N312" s="86" t="str">
        <f>IFERROR(VLOOKUP($B312,'LISTA - Atual'!$B$1:$I$444,6,0),"Novo")</f>
        <v>N</v>
      </c>
      <c r="O312" s="86" t="str">
        <f t="shared" si="66"/>
        <v>Igual</v>
      </c>
      <c r="P312" s="86" t="str">
        <f>IFERROR(VLOOKUP($B312,'LISTA - Atual'!$B$1:$I$444,7,0),"Novo")</f>
        <v>N</v>
      </c>
      <c r="Q312" s="86" t="str">
        <f t="shared" si="67"/>
        <v>Igual</v>
      </c>
      <c r="R312" s="86" t="s">
        <v>1563</v>
      </c>
      <c r="S312" s="86" t="str">
        <f>IFERROR(VLOOKUP($B312,'LISTA - Atual'!$B$1:$I$444,8,0),"Novo")</f>
        <v>N</v>
      </c>
      <c r="T312" s="86" t="str">
        <f t="shared" si="68"/>
        <v>Igual</v>
      </c>
      <c r="U312" s="86" t="s">
        <v>1563</v>
      </c>
      <c r="V312" s="86" t="s">
        <v>11</v>
      </c>
      <c r="W312" s="87" t="str">
        <f>IFERROR(VLOOKUP(B312,#REF!,11,0),"n/a")</f>
        <v>n/a</v>
      </c>
      <c r="X312" s="88" t="str">
        <f>IFERROR(VLOOKUP(B312,#REF!,8,0),"n/a")</f>
        <v>n/a</v>
      </c>
      <c r="Y312" s="87" t="str">
        <f t="shared" si="76"/>
        <v>ESTR</v>
      </c>
      <c r="Z312" s="131" t="s">
        <v>1605</v>
      </c>
      <c r="AA312" s="227" t="e">
        <f>VLOOKUP(Table1[[#This Row],[CONCAT]],'Campos Resumo Prop2.0'!A:H,8,0)</f>
        <v>#N/A</v>
      </c>
      <c r="AB312" s="87" t="s">
        <v>1652</v>
      </c>
      <c r="AC312" s="135" t="s">
        <v>1625</v>
      </c>
      <c r="AD312" s="91">
        <f>INDEX(Auxiliar!$D$5:$I$10,MATCH('LISTA - Setembro2024'!AD$3,Auxiliar!$B$5:$B$10,0),MATCH('LISTA - Setembro2024'!$AC312,Auxiliar!$D$4:$I$4,0))</f>
        <v>0</v>
      </c>
      <c r="AE312" s="91">
        <f>INDEX(Auxiliar!$D$5:$I$10,MATCH('LISTA - Setembro2024'!AE$3,Auxiliar!$B$5:$B$10,0),MATCH('LISTA - Setembro2024'!$AC312,Auxiliar!$D$4:$I$4,0))</f>
        <v>0</v>
      </c>
      <c r="AF312" s="87">
        <f>INDEX(Auxiliar!$D$5:$I$10,MATCH('LISTA - Setembro2024'!AF$3,Auxiliar!$B$5:$B$10,0),MATCH('LISTA - Setembro2024'!$AC312,Auxiliar!$D$4:$I$4,0))</f>
        <v>0</v>
      </c>
      <c r="AG312" s="87" t="str">
        <f t="shared" si="70"/>
        <v>n.a.</v>
      </c>
      <c r="AH312" s="87">
        <f>INDEX(Auxiliar!$D$5:$I$10,MATCH('LISTA - Setembro2024'!AH$3,Auxiliar!$B$5:$B$10,0),MATCH('LISTA - Setembro2024'!$AG312,Auxiliar!$D$4:$I$4,0))</f>
        <v>0</v>
      </c>
      <c r="AI312" s="87">
        <f>INDEX(Auxiliar!$D$5:$I$10,MATCH('LISTA - Setembro2024'!AI$3,Auxiliar!$B$5:$B$10,0),MATCH('LISTA - Setembro2024'!$AC312,Auxiliar!$D$4:$I$4,0))</f>
        <v>0</v>
      </c>
      <c r="AJ312" s="87">
        <f>INDEX(Auxiliar!$D$5:$I$10,MATCH('LISTA - Setembro2024'!AJ$3,Auxiliar!$B$5:$B$10,0),MATCH('LISTA - Setembro2024'!$AC312,Auxiliar!$D$4:$I$4,0))</f>
        <v>0</v>
      </c>
      <c r="AK312" s="160">
        <f t="shared" si="73"/>
        <v>0</v>
      </c>
      <c r="AL312" s="87" t="s">
        <v>1696</v>
      </c>
    </row>
    <row r="313" spans="1:38" ht="13.8" x14ac:dyDescent="0.25">
      <c r="A313" s="158" t="s">
        <v>792</v>
      </c>
      <c r="B313" s="81" t="str">
        <f t="shared" si="71"/>
        <v>INSTRUMENT_SYNDCTD_SHR</v>
      </c>
      <c r="C313" s="82" t="s">
        <v>414</v>
      </c>
      <c r="D313" s="83" t="s">
        <v>793</v>
      </c>
      <c r="E313" s="84" t="s">
        <v>794</v>
      </c>
      <c r="F313" s="85" t="s">
        <v>13</v>
      </c>
      <c r="G313" s="85" t="s">
        <v>11</v>
      </c>
      <c r="H313" s="85" t="s">
        <v>11</v>
      </c>
      <c r="I313" s="85" t="s">
        <v>11</v>
      </c>
      <c r="J313" s="85" t="s">
        <v>11</v>
      </c>
      <c r="K313" s="85" t="s">
        <v>13</v>
      </c>
      <c r="L313" s="86" t="str">
        <f>IFERROR(VLOOKUP($B313,'LISTA - Atual'!$B$1:$I$444,5,0),"Novo")</f>
        <v>Y</v>
      </c>
      <c r="M313" s="86" t="str">
        <f t="shared" si="65"/>
        <v>Igual</v>
      </c>
      <c r="N313" s="86" t="str">
        <f>IFERROR(VLOOKUP($B313,'LISTA - Atual'!$B$1:$I$444,6,0),"Novo")</f>
        <v>N</v>
      </c>
      <c r="O313" s="86" t="str">
        <f t="shared" si="66"/>
        <v>Igual</v>
      </c>
      <c r="P313" s="86" t="str">
        <f>IFERROR(VLOOKUP($B313,'LISTA - Atual'!$B$1:$I$444,7,0),"Novo")</f>
        <v>N</v>
      </c>
      <c r="Q313" s="86" t="str">
        <f t="shared" si="67"/>
        <v>Igual</v>
      </c>
      <c r="R313" s="86" t="s">
        <v>1563</v>
      </c>
      <c r="S313" s="86" t="str">
        <f>IFERROR(VLOOKUP($B313,'LISTA - Atual'!$B$1:$I$444,8,0),"Novo")</f>
        <v>N</v>
      </c>
      <c r="T313" s="86" t="str">
        <f t="shared" si="68"/>
        <v>Igual</v>
      </c>
      <c r="U313" s="86" t="s">
        <v>1563</v>
      </c>
      <c r="V313" s="86" t="s">
        <v>11</v>
      </c>
      <c r="W313" s="87" t="str">
        <f>IFERROR(VLOOKUP(B313,#REF!,11,0),"n/a")</f>
        <v>n/a</v>
      </c>
      <c r="X313" s="88" t="str">
        <f>IFERROR(VLOOKUP(B313,#REF!,8,0),"n/a")</f>
        <v>n/a</v>
      </c>
      <c r="Y313" s="87" t="str">
        <f t="shared" si="76"/>
        <v>ESTR</v>
      </c>
      <c r="Z313" s="131" t="s">
        <v>1605</v>
      </c>
      <c r="AA313" s="227" t="e">
        <f>VLOOKUP(Table1[[#This Row],[CONCAT]],'Campos Resumo Prop2.0'!A:H,8,0)</f>
        <v>#N/A</v>
      </c>
      <c r="AB313" s="87" t="s">
        <v>1656</v>
      </c>
      <c r="AC313" s="135" t="s">
        <v>1625</v>
      </c>
      <c r="AD313" s="91">
        <f>INDEX(Auxiliar!$D$5:$I$10,MATCH('LISTA - Setembro2024'!AD$3,Auxiliar!$B$5:$B$10,0),MATCH('LISTA - Setembro2024'!$AC313,Auxiliar!$D$4:$I$4,0))</f>
        <v>0</v>
      </c>
      <c r="AE313" s="91">
        <f>INDEX(Auxiliar!$D$5:$I$10,MATCH('LISTA - Setembro2024'!AE$3,Auxiliar!$B$5:$B$10,0),MATCH('LISTA - Setembro2024'!$AC313,Auxiliar!$D$4:$I$4,0))</f>
        <v>0</v>
      </c>
      <c r="AF313" s="87">
        <f>INDEX(Auxiliar!$D$5:$I$10,MATCH('LISTA - Setembro2024'!AF$3,Auxiliar!$B$5:$B$10,0),MATCH('LISTA - Setembro2024'!$AC313,Auxiliar!$D$4:$I$4,0))</f>
        <v>0</v>
      </c>
      <c r="AG313" s="87" t="str">
        <f t="shared" si="70"/>
        <v>n.a.</v>
      </c>
      <c r="AH313" s="87">
        <f>INDEX(Auxiliar!$D$5:$I$10,MATCH('LISTA - Setembro2024'!AH$3,Auxiliar!$B$5:$B$10,0),MATCH('LISTA - Setembro2024'!$AG313,Auxiliar!$D$4:$I$4,0))</f>
        <v>0</v>
      </c>
      <c r="AI313" s="87">
        <f>INDEX(Auxiliar!$D$5:$I$10,MATCH('LISTA - Setembro2024'!AI$3,Auxiliar!$B$5:$B$10,0),MATCH('LISTA - Setembro2024'!$AC313,Auxiliar!$D$4:$I$4,0))</f>
        <v>0</v>
      </c>
      <c r="AJ313" s="87">
        <f>INDEX(Auxiliar!$D$5:$I$10,MATCH('LISTA - Setembro2024'!AJ$3,Auxiliar!$B$5:$B$10,0),MATCH('LISTA - Setembro2024'!$AC313,Auxiliar!$D$4:$I$4,0))</f>
        <v>0</v>
      </c>
      <c r="AK313" s="160">
        <f t="shared" si="73"/>
        <v>0</v>
      </c>
      <c r="AL313" s="87" t="s">
        <v>1696</v>
      </c>
    </row>
    <row r="314" spans="1:38" ht="13.8" x14ac:dyDescent="0.25">
      <c r="A314" s="158" t="s">
        <v>795</v>
      </c>
      <c r="B314" s="81" t="str">
        <f t="shared" si="71"/>
        <v>INSTRUMENT_SYNDCTN_TYP</v>
      </c>
      <c r="C314" s="82" t="s">
        <v>414</v>
      </c>
      <c r="D314" s="83" t="s">
        <v>796</v>
      </c>
      <c r="E314" s="84" t="s">
        <v>797</v>
      </c>
      <c r="F314" s="85" t="s">
        <v>13</v>
      </c>
      <c r="G314" s="85" t="s">
        <v>11</v>
      </c>
      <c r="H314" s="85" t="s">
        <v>11</v>
      </c>
      <c r="I314" s="85" t="s">
        <v>11</v>
      </c>
      <c r="J314" s="85" t="s">
        <v>11</v>
      </c>
      <c r="K314" s="85" t="s">
        <v>13</v>
      </c>
      <c r="L314" s="86" t="str">
        <f>IFERROR(VLOOKUP($B314,'LISTA - Atual'!$B$1:$I$444,5,0),"Novo")</f>
        <v>Y</v>
      </c>
      <c r="M314" s="86" t="str">
        <f t="shared" si="65"/>
        <v>Igual</v>
      </c>
      <c r="N314" s="86" t="str">
        <f>IFERROR(VLOOKUP($B314,'LISTA - Atual'!$B$1:$I$444,6,0),"Novo")</f>
        <v>N</v>
      </c>
      <c r="O314" s="86" t="str">
        <f t="shared" si="66"/>
        <v>Igual</v>
      </c>
      <c r="P314" s="86" t="str">
        <f>IFERROR(VLOOKUP($B314,'LISTA - Atual'!$B$1:$I$444,7,0),"Novo")</f>
        <v>N</v>
      </c>
      <c r="Q314" s="86" t="str">
        <f t="shared" si="67"/>
        <v>Igual</v>
      </c>
      <c r="R314" s="86" t="s">
        <v>1563</v>
      </c>
      <c r="S314" s="86" t="str">
        <f>IFERROR(VLOOKUP($B314,'LISTA - Atual'!$B$1:$I$444,8,0),"Novo")</f>
        <v>N</v>
      </c>
      <c r="T314" s="86" t="str">
        <f t="shared" si="68"/>
        <v>Igual</v>
      </c>
      <c r="U314" s="86" t="s">
        <v>1563</v>
      </c>
      <c r="V314" s="86" t="s">
        <v>11</v>
      </c>
      <c r="W314" s="87" t="str">
        <f>IFERROR(VLOOKUP(B314,#REF!,11,0),"n/a")</f>
        <v>n/a</v>
      </c>
      <c r="X314" s="88" t="str">
        <f>IFERROR(VLOOKUP(B314,#REF!,8,0),"n/a")</f>
        <v>n/a</v>
      </c>
      <c r="Y314" s="87" t="str">
        <f t="shared" si="76"/>
        <v>ESTR</v>
      </c>
      <c r="Z314" s="131" t="s">
        <v>1605</v>
      </c>
      <c r="AA314" s="227" t="e">
        <f>VLOOKUP(Table1[[#This Row],[CONCAT]],'Campos Resumo Prop2.0'!A:H,8,0)</f>
        <v>#N/A</v>
      </c>
      <c r="AB314" s="87" t="s">
        <v>1650</v>
      </c>
      <c r="AC314" s="135" t="s">
        <v>1625</v>
      </c>
      <c r="AD314" s="91">
        <f>INDEX(Auxiliar!$D$5:$I$10,MATCH('LISTA - Setembro2024'!AD$3,Auxiliar!$B$5:$B$10,0),MATCH('LISTA - Setembro2024'!$AC314,Auxiliar!$D$4:$I$4,0))</f>
        <v>0</v>
      </c>
      <c r="AE314" s="91">
        <f>INDEX(Auxiliar!$D$5:$I$10,MATCH('LISTA - Setembro2024'!AE$3,Auxiliar!$B$5:$B$10,0),MATCH('LISTA - Setembro2024'!$AC314,Auxiliar!$D$4:$I$4,0))</f>
        <v>0</v>
      </c>
      <c r="AF314" s="87">
        <f>INDEX(Auxiliar!$D$5:$I$10,MATCH('LISTA - Setembro2024'!AF$3,Auxiliar!$B$5:$B$10,0),MATCH('LISTA - Setembro2024'!$AC314,Auxiliar!$D$4:$I$4,0))</f>
        <v>0</v>
      </c>
      <c r="AG314" s="87" t="str">
        <f t="shared" si="70"/>
        <v>n.a.</v>
      </c>
      <c r="AH314" s="87">
        <f>INDEX(Auxiliar!$D$5:$I$10,MATCH('LISTA - Setembro2024'!AH$3,Auxiliar!$B$5:$B$10,0),MATCH('LISTA - Setembro2024'!$AG314,Auxiliar!$D$4:$I$4,0))</f>
        <v>0</v>
      </c>
      <c r="AI314" s="87">
        <f>INDEX(Auxiliar!$D$5:$I$10,MATCH('LISTA - Setembro2024'!AI$3,Auxiliar!$B$5:$B$10,0),MATCH('LISTA - Setembro2024'!$AC314,Auxiliar!$D$4:$I$4,0))</f>
        <v>0</v>
      </c>
      <c r="AJ314" s="87">
        <f>INDEX(Auxiliar!$D$5:$I$10,MATCH('LISTA - Setembro2024'!AJ$3,Auxiliar!$B$5:$B$10,0),MATCH('LISTA - Setembro2024'!$AC314,Auxiliar!$D$4:$I$4,0))</f>
        <v>0</v>
      </c>
      <c r="AK314" s="160">
        <f t="shared" si="73"/>
        <v>0</v>
      </c>
      <c r="AL314" s="87" t="s">
        <v>1696</v>
      </c>
    </row>
    <row r="315" spans="1:38" ht="13.8" x14ac:dyDescent="0.25">
      <c r="A315" s="158" t="s">
        <v>798</v>
      </c>
      <c r="B315" s="81" t="str">
        <f t="shared" si="71"/>
        <v>INSTRUMENT_EBA_CMPLNT_MRTR_ST_C19</v>
      </c>
      <c r="C315" s="82" t="s">
        <v>414</v>
      </c>
      <c r="D315" s="99" t="s">
        <v>799</v>
      </c>
      <c r="E315" s="100" t="s">
        <v>800</v>
      </c>
      <c r="F315" s="101" t="s">
        <v>13</v>
      </c>
      <c r="G315" s="101" t="s">
        <v>11</v>
      </c>
      <c r="H315" s="85" t="s">
        <v>11</v>
      </c>
      <c r="I315" s="85" t="s">
        <v>11</v>
      </c>
      <c r="J315" s="85" t="s">
        <v>11</v>
      </c>
      <c r="K315" s="101" t="s">
        <v>11</v>
      </c>
      <c r="L315" s="86" t="str">
        <f>IFERROR(VLOOKUP($B315,'LISTA - Atual'!$B$1:$I$444,5,0),"Novo")</f>
        <v>Y</v>
      </c>
      <c r="M315" s="86" t="str">
        <f t="shared" si="65"/>
        <v>Igual</v>
      </c>
      <c r="N315" s="86" t="str">
        <f>IFERROR(VLOOKUP($B315,'LISTA - Atual'!$B$1:$I$444,6,0),"Novo")</f>
        <v>N</v>
      </c>
      <c r="O315" s="86" t="str">
        <f t="shared" si="66"/>
        <v>Igual</v>
      </c>
      <c r="P315" s="86" t="str">
        <f>IFERROR(VLOOKUP($B315,'LISTA - Atual'!$B$1:$I$444,7,0),"Novo")</f>
        <v>N</v>
      </c>
      <c r="Q315" s="86" t="str">
        <f t="shared" si="67"/>
        <v>Igual</v>
      </c>
      <c r="R315" s="86" t="s">
        <v>1563</v>
      </c>
      <c r="S315" s="86" t="str">
        <f>IFERROR(VLOOKUP($B315,'LISTA - Atual'!$B$1:$I$444,8,0),"Novo")</f>
        <v>N</v>
      </c>
      <c r="T315" s="86" t="str">
        <f t="shared" si="68"/>
        <v>Igual</v>
      </c>
      <c r="U315" s="86" t="s">
        <v>1563</v>
      </c>
      <c r="V315" s="86" t="s">
        <v>11</v>
      </c>
      <c r="W315" s="87" t="str">
        <f>IFERROR(VLOOKUP(B315,#REF!,11,0),"n/a")</f>
        <v>n/a</v>
      </c>
      <c r="X315" s="87" t="str">
        <f>IFERROR(VLOOKUP(B315,#REF!,8,0),"n/a")</f>
        <v>n/a</v>
      </c>
      <c r="Y315" s="87" t="str">
        <f t="shared" si="76"/>
        <v>ESTR</v>
      </c>
      <c r="Z315" s="131" t="s">
        <v>1605</v>
      </c>
      <c r="AA315" s="227" t="e">
        <f>VLOOKUP(Table1[[#This Row],[CONCAT]],'Campos Resumo Prop2.0'!A:H,8,0)</f>
        <v>#N/A</v>
      </c>
      <c r="AB315" s="87" t="s">
        <v>1650</v>
      </c>
      <c r="AC315" s="135" t="s">
        <v>1625</v>
      </c>
      <c r="AD315" s="91">
        <f>INDEX(Auxiliar!$D$5:$I$10,MATCH('LISTA - Setembro2024'!AD$3,Auxiliar!$B$5:$B$10,0),MATCH('LISTA - Setembro2024'!$AC315,Auxiliar!$D$4:$I$4,0))</f>
        <v>0</v>
      </c>
      <c r="AE315" s="91">
        <f>INDEX(Auxiliar!$D$5:$I$10,MATCH('LISTA - Setembro2024'!AE$3,Auxiliar!$B$5:$B$10,0),MATCH('LISTA - Setembro2024'!$AC315,Auxiliar!$D$4:$I$4,0))</f>
        <v>0</v>
      </c>
      <c r="AF315" s="87">
        <f>INDEX(Auxiliar!$D$5:$I$10,MATCH('LISTA - Setembro2024'!AF$3,Auxiliar!$B$5:$B$10,0),MATCH('LISTA - Setembro2024'!$AC315,Auxiliar!$D$4:$I$4,0))</f>
        <v>0</v>
      </c>
      <c r="AG315" s="87" t="str">
        <f t="shared" si="70"/>
        <v>n.a.</v>
      </c>
      <c r="AH315" s="87">
        <f>INDEX(Auxiliar!$D$5:$I$10,MATCH('LISTA - Setembro2024'!AH$3,Auxiliar!$B$5:$B$10,0),MATCH('LISTA - Setembro2024'!$AG315,Auxiliar!$D$4:$I$4,0))</f>
        <v>0</v>
      </c>
      <c r="AI315" s="87">
        <f>INDEX(Auxiliar!$D$5:$I$10,MATCH('LISTA - Setembro2024'!AI$3,Auxiliar!$B$5:$B$10,0),MATCH('LISTA - Setembro2024'!$AC315,Auxiliar!$D$4:$I$4,0))</f>
        <v>0</v>
      </c>
      <c r="AJ315" s="87">
        <f>INDEX(Auxiliar!$D$5:$I$10,MATCH('LISTA - Setembro2024'!AJ$3,Auxiliar!$B$5:$B$10,0),MATCH('LISTA - Setembro2024'!$AC315,Auxiliar!$D$4:$I$4,0))</f>
        <v>0</v>
      </c>
      <c r="AK315" s="160">
        <f t="shared" si="73"/>
        <v>0</v>
      </c>
      <c r="AL315" s="87"/>
    </row>
    <row r="316" spans="1:38" ht="13.8" x14ac:dyDescent="0.25">
      <c r="A316" s="158" t="s">
        <v>801</v>
      </c>
      <c r="B316" s="81" t="str">
        <f t="shared" si="71"/>
        <v>INSTRUMENT_DT_CMPLNT_MRTR_STTS_C19</v>
      </c>
      <c r="C316" s="82" t="s">
        <v>414</v>
      </c>
      <c r="D316" s="99" t="s">
        <v>802</v>
      </c>
      <c r="E316" s="100" t="s">
        <v>803</v>
      </c>
      <c r="F316" s="101" t="s">
        <v>13</v>
      </c>
      <c r="G316" s="101" t="s">
        <v>11</v>
      </c>
      <c r="H316" s="85" t="s">
        <v>11</v>
      </c>
      <c r="I316" s="85" t="s">
        <v>11</v>
      </c>
      <c r="J316" s="85" t="s">
        <v>11</v>
      </c>
      <c r="K316" s="101" t="s">
        <v>11</v>
      </c>
      <c r="L316" s="86" t="str">
        <f>IFERROR(VLOOKUP($B316,'LISTA - Atual'!$B$1:$I$444,5,0),"Novo")</f>
        <v>Y</v>
      </c>
      <c r="M316" s="86" t="str">
        <f t="shared" si="65"/>
        <v>Igual</v>
      </c>
      <c r="N316" s="86" t="str">
        <f>IFERROR(VLOOKUP($B316,'LISTA - Atual'!$B$1:$I$444,6,0),"Novo")</f>
        <v>N</v>
      </c>
      <c r="O316" s="86" t="str">
        <f t="shared" si="66"/>
        <v>Igual</v>
      </c>
      <c r="P316" s="86" t="str">
        <f>IFERROR(VLOOKUP($B316,'LISTA - Atual'!$B$1:$I$444,7,0),"Novo")</f>
        <v>N</v>
      </c>
      <c r="Q316" s="86" t="str">
        <f t="shared" si="67"/>
        <v>Igual</v>
      </c>
      <c r="R316" s="86" t="s">
        <v>1563</v>
      </c>
      <c r="S316" s="86" t="str">
        <f>IFERROR(VLOOKUP($B316,'LISTA - Atual'!$B$1:$I$444,8,0),"Novo")</f>
        <v>N</v>
      </c>
      <c r="T316" s="86" t="str">
        <f t="shared" si="68"/>
        <v>Igual</v>
      </c>
      <c r="U316" s="86" t="s">
        <v>1563</v>
      </c>
      <c r="V316" s="86" t="s">
        <v>11</v>
      </c>
      <c r="W316" s="87" t="str">
        <f>IFERROR(VLOOKUP(B316,#REF!,11,0),"n/a")</f>
        <v>n/a</v>
      </c>
      <c r="X316" s="87" t="str">
        <f>IFERROR(VLOOKUP(B316,#REF!,8,0),"n/a")</f>
        <v>n/a</v>
      </c>
      <c r="Y316" s="87" t="str">
        <f t="shared" si="76"/>
        <v>ESTR</v>
      </c>
      <c r="Z316" s="131" t="s">
        <v>1605</v>
      </c>
      <c r="AA316" s="227" t="e">
        <f>VLOOKUP(Table1[[#This Row],[CONCAT]],'Campos Resumo Prop2.0'!A:H,8,0)</f>
        <v>#N/A</v>
      </c>
      <c r="AB316" s="87" t="s">
        <v>1651</v>
      </c>
      <c r="AC316" s="135" t="s">
        <v>1625</v>
      </c>
      <c r="AD316" s="91">
        <f>INDEX(Auxiliar!$D$5:$I$10,MATCH('LISTA - Setembro2024'!AD$3,Auxiliar!$B$5:$B$10,0),MATCH('LISTA - Setembro2024'!$AC316,Auxiliar!$D$4:$I$4,0))</f>
        <v>0</v>
      </c>
      <c r="AE316" s="91">
        <f>INDEX(Auxiliar!$D$5:$I$10,MATCH('LISTA - Setembro2024'!AE$3,Auxiliar!$B$5:$B$10,0),MATCH('LISTA - Setembro2024'!$AC316,Auxiliar!$D$4:$I$4,0))</f>
        <v>0</v>
      </c>
      <c r="AF316" s="87">
        <f>INDEX(Auxiliar!$D$5:$I$10,MATCH('LISTA - Setembro2024'!AF$3,Auxiliar!$B$5:$B$10,0),MATCH('LISTA - Setembro2024'!$AC316,Auxiliar!$D$4:$I$4,0))</f>
        <v>0</v>
      </c>
      <c r="AG316" s="87" t="str">
        <f t="shared" si="70"/>
        <v>n.a.</v>
      </c>
      <c r="AH316" s="87">
        <f>INDEX(Auxiliar!$D$5:$I$10,MATCH('LISTA - Setembro2024'!AH$3,Auxiliar!$B$5:$B$10,0),MATCH('LISTA - Setembro2024'!$AG316,Auxiliar!$D$4:$I$4,0))</f>
        <v>0</v>
      </c>
      <c r="AI316" s="87">
        <f>INDEX(Auxiliar!$D$5:$I$10,MATCH('LISTA - Setembro2024'!AI$3,Auxiliar!$B$5:$B$10,0),MATCH('LISTA - Setembro2024'!$AC316,Auxiliar!$D$4:$I$4,0))</f>
        <v>0</v>
      </c>
      <c r="AJ316" s="87">
        <f>INDEX(Auxiliar!$D$5:$I$10,MATCH('LISTA - Setembro2024'!AJ$3,Auxiliar!$B$5:$B$10,0),MATCH('LISTA - Setembro2024'!$AC316,Auxiliar!$D$4:$I$4,0))</f>
        <v>0</v>
      </c>
      <c r="AK316" s="160">
        <f t="shared" si="73"/>
        <v>0</v>
      </c>
      <c r="AL316" s="87"/>
    </row>
    <row r="317" spans="1:38" ht="13.8" x14ac:dyDescent="0.25">
      <c r="A317" s="158" t="s">
        <v>804</v>
      </c>
      <c r="B317" s="81" t="str">
        <f t="shared" si="71"/>
        <v>INSTRUMENT_DT_CMPLNT_MRTR_STTS_PRVS_C19</v>
      </c>
      <c r="C317" s="82" t="s">
        <v>414</v>
      </c>
      <c r="D317" s="99" t="s">
        <v>805</v>
      </c>
      <c r="E317" s="100" t="s">
        <v>806</v>
      </c>
      <c r="F317" s="101" t="s">
        <v>13</v>
      </c>
      <c r="G317" s="101" t="s">
        <v>11</v>
      </c>
      <c r="H317" s="85" t="s">
        <v>11</v>
      </c>
      <c r="I317" s="85" t="s">
        <v>11</v>
      </c>
      <c r="J317" s="85" t="s">
        <v>11</v>
      </c>
      <c r="K317" s="101" t="s">
        <v>11</v>
      </c>
      <c r="L317" s="86" t="str">
        <f>IFERROR(VLOOKUP($B317,'LISTA - Atual'!$B$1:$I$444,5,0),"Novo")</f>
        <v>Y</v>
      </c>
      <c r="M317" s="86" t="str">
        <f t="shared" si="65"/>
        <v>Igual</v>
      </c>
      <c r="N317" s="86" t="str">
        <f>IFERROR(VLOOKUP($B317,'LISTA - Atual'!$B$1:$I$444,6,0),"Novo")</f>
        <v>N</v>
      </c>
      <c r="O317" s="86" t="str">
        <f t="shared" si="66"/>
        <v>Igual</v>
      </c>
      <c r="P317" s="86" t="str">
        <f>IFERROR(VLOOKUP($B317,'LISTA - Atual'!$B$1:$I$444,7,0),"Novo")</f>
        <v>N</v>
      </c>
      <c r="Q317" s="86" t="str">
        <f t="shared" si="67"/>
        <v>Igual</v>
      </c>
      <c r="R317" s="86" t="s">
        <v>1563</v>
      </c>
      <c r="S317" s="86" t="str">
        <f>IFERROR(VLOOKUP($B317,'LISTA - Atual'!$B$1:$I$444,8,0),"Novo")</f>
        <v>N</v>
      </c>
      <c r="T317" s="86" t="str">
        <f t="shared" si="68"/>
        <v>Igual</v>
      </c>
      <c r="U317" s="86" t="s">
        <v>1563</v>
      </c>
      <c r="V317" s="86" t="s">
        <v>11</v>
      </c>
      <c r="W317" s="87" t="str">
        <f>IFERROR(VLOOKUP(B317,#REF!,11,0),"n/a")</f>
        <v>n/a</v>
      </c>
      <c r="X317" s="87" t="str">
        <f>IFERROR(VLOOKUP(B317,#REF!,8,0),"n/a")</f>
        <v>n/a</v>
      </c>
      <c r="Y317" s="87" t="str">
        <f t="shared" si="76"/>
        <v>ESTR</v>
      </c>
      <c r="Z317" s="131" t="s">
        <v>1605</v>
      </c>
      <c r="AA317" s="227" t="e">
        <f>VLOOKUP(Table1[[#This Row],[CONCAT]],'Campos Resumo Prop2.0'!A:H,8,0)</f>
        <v>#N/A</v>
      </c>
      <c r="AB317" s="87" t="s">
        <v>1651</v>
      </c>
      <c r="AC317" s="135" t="s">
        <v>1625</v>
      </c>
      <c r="AD317" s="91">
        <f>INDEX(Auxiliar!$D$5:$I$10,MATCH('LISTA - Setembro2024'!AD$3,Auxiliar!$B$5:$B$10,0),MATCH('LISTA - Setembro2024'!$AC317,Auxiliar!$D$4:$I$4,0))</f>
        <v>0</v>
      </c>
      <c r="AE317" s="91">
        <f>INDEX(Auxiliar!$D$5:$I$10,MATCH('LISTA - Setembro2024'!AE$3,Auxiliar!$B$5:$B$10,0),MATCH('LISTA - Setembro2024'!$AC317,Auxiliar!$D$4:$I$4,0))</f>
        <v>0</v>
      </c>
      <c r="AF317" s="87">
        <f>INDEX(Auxiliar!$D$5:$I$10,MATCH('LISTA - Setembro2024'!AF$3,Auxiliar!$B$5:$B$10,0),MATCH('LISTA - Setembro2024'!$AC317,Auxiliar!$D$4:$I$4,0))</f>
        <v>0</v>
      </c>
      <c r="AG317" s="87" t="str">
        <f t="shared" si="70"/>
        <v>n.a.</v>
      </c>
      <c r="AH317" s="87">
        <f>INDEX(Auxiliar!$D$5:$I$10,MATCH('LISTA - Setembro2024'!AH$3,Auxiliar!$B$5:$B$10,0),MATCH('LISTA - Setembro2024'!$AG317,Auxiliar!$D$4:$I$4,0))</f>
        <v>0</v>
      </c>
      <c r="AI317" s="87">
        <f>INDEX(Auxiliar!$D$5:$I$10,MATCH('LISTA - Setembro2024'!AI$3,Auxiliar!$B$5:$B$10,0),MATCH('LISTA - Setembro2024'!$AC317,Auxiliar!$D$4:$I$4,0))</f>
        <v>0</v>
      </c>
      <c r="AJ317" s="87">
        <f>INDEX(Auxiliar!$D$5:$I$10,MATCH('LISTA - Setembro2024'!AJ$3,Auxiliar!$B$5:$B$10,0),MATCH('LISTA - Setembro2024'!$AC317,Auxiliar!$D$4:$I$4,0))</f>
        <v>0</v>
      </c>
      <c r="AK317" s="160">
        <f t="shared" si="73"/>
        <v>0</v>
      </c>
      <c r="AL317" s="87"/>
    </row>
    <row r="318" spans="1:38" ht="13.8" x14ac:dyDescent="0.25">
      <c r="A318" s="158" t="s">
        <v>807</v>
      </c>
      <c r="B318" s="81" t="str">
        <f t="shared" si="71"/>
        <v>INSTRUMENT_MTRTY_LTST_MRTR_C19</v>
      </c>
      <c r="C318" s="82" t="s">
        <v>414</v>
      </c>
      <c r="D318" s="99" t="s">
        <v>808</v>
      </c>
      <c r="E318" s="100" t="s">
        <v>809</v>
      </c>
      <c r="F318" s="101" t="s">
        <v>13</v>
      </c>
      <c r="G318" s="101" t="s">
        <v>11</v>
      </c>
      <c r="H318" s="85" t="s">
        <v>11</v>
      </c>
      <c r="I318" s="85" t="s">
        <v>11</v>
      </c>
      <c r="J318" s="85" t="s">
        <v>11</v>
      </c>
      <c r="K318" s="101" t="s">
        <v>11</v>
      </c>
      <c r="L318" s="86" t="str">
        <f>IFERROR(VLOOKUP($B318,'LISTA - Atual'!$B$1:$I$444,5,0),"Novo")</f>
        <v>Y</v>
      </c>
      <c r="M318" s="86" t="str">
        <f t="shared" si="65"/>
        <v>Igual</v>
      </c>
      <c r="N318" s="86" t="str">
        <f>IFERROR(VLOOKUP($B318,'LISTA - Atual'!$B$1:$I$444,6,0),"Novo")</f>
        <v>N</v>
      </c>
      <c r="O318" s="86" t="str">
        <f t="shared" si="66"/>
        <v>Igual</v>
      </c>
      <c r="P318" s="86" t="str">
        <f>IFERROR(VLOOKUP($B318,'LISTA - Atual'!$B$1:$I$444,7,0),"Novo")</f>
        <v>N</v>
      </c>
      <c r="Q318" s="86" t="str">
        <f t="shared" si="67"/>
        <v>Igual</v>
      </c>
      <c r="R318" s="86" t="s">
        <v>1563</v>
      </c>
      <c r="S318" s="86" t="str">
        <f>IFERROR(VLOOKUP($B318,'LISTA - Atual'!$B$1:$I$444,8,0),"Novo")</f>
        <v>N</v>
      </c>
      <c r="T318" s="86" t="str">
        <f t="shared" si="68"/>
        <v>Igual</v>
      </c>
      <c r="U318" s="86" t="s">
        <v>1563</v>
      </c>
      <c r="V318" s="86" t="s">
        <v>11</v>
      </c>
      <c r="W318" s="87" t="str">
        <f>IFERROR(VLOOKUP(B318,#REF!,11,0),"n/a")</f>
        <v>n/a</v>
      </c>
      <c r="X318" s="87" t="str">
        <f>IFERROR(VLOOKUP(B318,#REF!,8,0),"n/a")</f>
        <v>n/a</v>
      </c>
      <c r="Y318" s="87" t="str">
        <f t="shared" si="76"/>
        <v>ESTR</v>
      </c>
      <c r="Z318" s="131" t="s">
        <v>1605</v>
      </c>
      <c r="AA318" s="227" t="e">
        <f>VLOOKUP(Table1[[#This Row],[CONCAT]],'Campos Resumo Prop2.0'!A:H,8,0)</f>
        <v>#N/A</v>
      </c>
      <c r="AB318" s="87" t="s">
        <v>1658</v>
      </c>
      <c r="AC318" s="135" t="s">
        <v>1625</v>
      </c>
      <c r="AD318" s="91">
        <f>INDEX(Auxiliar!$D$5:$I$10,MATCH('LISTA - Setembro2024'!AD$3,Auxiliar!$B$5:$B$10,0),MATCH('LISTA - Setembro2024'!$AC318,Auxiliar!$D$4:$I$4,0))</f>
        <v>0</v>
      </c>
      <c r="AE318" s="91">
        <f>INDEX(Auxiliar!$D$5:$I$10,MATCH('LISTA - Setembro2024'!AE$3,Auxiliar!$B$5:$B$10,0),MATCH('LISTA - Setembro2024'!$AC318,Auxiliar!$D$4:$I$4,0))</f>
        <v>0</v>
      </c>
      <c r="AF318" s="87">
        <f>INDEX(Auxiliar!$D$5:$I$10,MATCH('LISTA - Setembro2024'!AF$3,Auxiliar!$B$5:$B$10,0),MATCH('LISTA - Setembro2024'!$AC318,Auxiliar!$D$4:$I$4,0))</f>
        <v>0</v>
      </c>
      <c r="AG318" s="87" t="str">
        <f t="shared" si="70"/>
        <v>n.a.</v>
      </c>
      <c r="AH318" s="87">
        <f>INDEX(Auxiliar!$D$5:$I$10,MATCH('LISTA - Setembro2024'!AH$3,Auxiliar!$B$5:$B$10,0),MATCH('LISTA - Setembro2024'!$AG318,Auxiliar!$D$4:$I$4,0))</f>
        <v>0</v>
      </c>
      <c r="AI318" s="87">
        <f>INDEX(Auxiliar!$D$5:$I$10,MATCH('LISTA - Setembro2024'!AI$3,Auxiliar!$B$5:$B$10,0),MATCH('LISTA - Setembro2024'!$AC318,Auxiliar!$D$4:$I$4,0))</f>
        <v>0</v>
      </c>
      <c r="AJ318" s="87">
        <f>INDEX(Auxiliar!$D$5:$I$10,MATCH('LISTA - Setembro2024'!AJ$3,Auxiliar!$B$5:$B$10,0),MATCH('LISTA - Setembro2024'!$AC318,Auxiliar!$D$4:$I$4,0))</f>
        <v>0</v>
      </c>
      <c r="AK318" s="160">
        <f t="shared" si="73"/>
        <v>0</v>
      </c>
      <c r="AL318" s="87"/>
    </row>
    <row r="319" spans="1:38" ht="13.8" x14ac:dyDescent="0.25">
      <c r="A319" s="158" t="s">
        <v>810</v>
      </c>
      <c r="B319" s="81" t="str">
        <f t="shared" si="71"/>
        <v>INSTRUMENT_TYP_CMPLNT_MRTR_C19</v>
      </c>
      <c r="C319" s="82" t="s">
        <v>414</v>
      </c>
      <c r="D319" s="99" t="s">
        <v>811</v>
      </c>
      <c r="E319" s="100" t="s">
        <v>812</v>
      </c>
      <c r="F319" s="101" t="s">
        <v>13</v>
      </c>
      <c r="G319" s="101" t="s">
        <v>11</v>
      </c>
      <c r="H319" s="85" t="s">
        <v>11</v>
      </c>
      <c r="I319" s="85" t="s">
        <v>11</v>
      </c>
      <c r="J319" s="85" t="s">
        <v>11</v>
      </c>
      <c r="K319" s="101" t="s">
        <v>11</v>
      </c>
      <c r="L319" s="86" t="str">
        <f>IFERROR(VLOOKUP($B319,'LISTA - Atual'!$B$1:$I$444,5,0),"Novo")</f>
        <v>Y</v>
      </c>
      <c r="M319" s="86" t="str">
        <f t="shared" si="65"/>
        <v>Igual</v>
      </c>
      <c r="N319" s="86" t="str">
        <f>IFERROR(VLOOKUP($B319,'LISTA - Atual'!$B$1:$I$444,6,0),"Novo")</f>
        <v>N</v>
      </c>
      <c r="O319" s="86" t="str">
        <f t="shared" si="66"/>
        <v>Igual</v>
      </c>
      <c r="P319" s="86" t="str">
        <f>IFERROR(VLOOKUP($B319,'LISTA - Atual'!$B$1:$I$444,7,0),"Novo")</f>
        <v>N</v>
      </c>
      <c r="Q319" s="86" t="str">
        <f t="shared" si="67"/>
        <v>Igual</v>
      </c>
      <c r="R319" s="86" t="s">
        <v>1563</v>
      </c>
      <c r="S319" s="86" t="str">
        <f>IFERROR(VLOOKUP($B319,'LISTA - Atual'!$B$1:$I$444,8,0),"Novo")</f>
        <v>N</v>
      </c>
      <c r="T319" s="86" t="str">
        <f t="shared" si="68"/>
        <v>Igual</v>
      </c>
      <c r="U319" s="86" t="s">
        <v>1563</v>
      </c>
      <c r="V319" s="86" t="s">
        <v>11</v>
      </c>
      <c r="W319" s="87" t="str">
        <f>IFERROR(VLOOKUP(B319,#REF!,11,0),"n/a")</f>
        <v>n/a</v>
      </c>
      <c r="X319" s="87" t="str">
        <f>IFERROR(VLOOKUP(B319,#REF!,8,0),"n/a")</f>
        <v>n/a</v>
      </c>
      <c r="Y319" s="87" t="str">
        <f t="shared" si="76"/>
        <v>ESTR</v>
      </c>
      <c r="Z319" s="131" t="s">
        <v>1605</v>
      </c>
      <c r="AA319" s="227" t="e">
        <f>VLOOKUP(Table1[[#This Row],[CONCAT]],'Campos Resumo Prop2.0'!A:H,8,0)</f>
        <v>#N/A</v>
      </c>
      <c r="AB319" s="87" t="s">
        <v>1650</v>
      </c>
      <c r="AC319" s="135" t="s">
        <v>1625</v>
      </c>
      <c r="AD319" s="91">
        <f>INDEX(Auxiliar!$D$5:$I$10,MATCH('LISTA - Setembro2024'!AD$3,Auxiliar!$B$5:$B$10,0),MATCH('LISTA - Setembro2024'!$AC319,Auxiliar!$D$4:$I$4,0))</f>
        <v>0</v>
      </c>
      <c r="AE319" s="91">
        <f>INDEX(Auxiliar!$D$5:$I$10,MATCH('LISTA - Setembro2024'!AE$3,Auxiliar!$B$5:$B$10,0),MATCH('LISTA - Setembro2024'!$AC319,Auxiliar!$D$4:$I$4,0))</f>
        <v>0</v>
      </c>
      <c r="AF319" s="87">
        <f>INDEX(Auxiliar!$D$5:$I$10,MATCH('LISTA - Setembro2024'!AF$3,Auxiliar!$B$5:$B$10,0),MATCH('LISTA - Setembro2024'!$AC319,Auxiliar!$D$4:$I$4,0))</f>
        <v>0</v>
      </c>
      <c r="AG319" s="87" t="str">
        <f t="shared" si="70"/>
        <v>n.a.</v>
      </c>
      <c r="AH319" s="87">
        <f>INDEX(Auxiliar!$D$5:$I$10,MATCH('LISTA - Setembro2024'!AH$3,Auxiliar!$B$5:$B$10,0),MATCH('LISTA - Setembro2024'!$AG319,Auxiliar!$D$4:$I$4,0))</f>
        <v>0</v>
      </c>
      <c r="AI319" s="87">
        <f>INDEX(Auxiliar!$D$5:$I$10,MATCH('LISTA - Setembro2024'!AI$3,Auxiliar!$B$5:$B$10,0),MATCH('LISTA - Setembro2024'!$AC319,Auxiliar!$D$4:$I$4,0))</f>
        <v>0</v>
      </c>
      <c r="AJ319" s="87">
        <f>INDEX(Auxiliar!$D$5:$I$10,MATCH('LISTA - Setembro2024'!AJ$3,Auxiliar!$B$5:$B$10,0),MATCH('LISTA - Setembro2024'!$AC319,Auxiliar!$D$4:$I$4,0))</f>
        <v>0</v>
      </c>
      <c r="AK319" s="160">
        <f t="shared" si="73"/>
        <v>0</v>
      </c>
      <c r="AL319" s="87"/>
    </row>
    <row r="320" spans="1:38" ht="13.8" x14ac:dyDescent="0.25">
      <c r="A320" s="158" t="s">
        <v>813</v>
      </c>
      <c r="B320" s="81" t="str">
        <f t="shared" si="71"/>
        <v>INSTRUMENT_GRC_PRD_CPTL_INTRST_C19</v>
      </c>
      <c r="C320" s="82" t="s">
        <v>414</v>
      </c>
      <c r="D320" s="99" t="s">
        <v>814</v>
      </c>
      <c r="E320" s="100" t="s">
        <v>815</v>
      </c>
      <c r="F320" s="101" t="s">
        <v>13</v>
      </c>
      <c r="G320" s="101" t="s">
        <v>11</v>
      </c>
      <c r="H320" s="85" t="s">
        <v>11</v>
      </c>
      <c r="I320" s="85" t="s">
        <v>11</v>
      </c>
      <c r="J320" s="85" t="s">
        <v>11</v>
      </c>
      <c r="K320" s="101" t="s">
        <v>11</v>
      </c>
      <c r="L320" s="86" t="str">
        <f>IFERROR(VLOOKUP($B320,'LISTA - Atual'!$B$1:$I$444,5,0),"Novo")</f>
        <v>Y</v>
      </c>
      <c r="M320" s="86" t="str">
        <f t="shared" ref="M320:M369" si="77">IF(L320="Novo","Novo Campo",IF(L320=F320,"Igual","Diferente"))</f>
        <v>Igual</v>
      </c>
      <c r="N320" s="86" t="str">
        <f>IFERROR(VLOOKUP($B320,'LISTA - Atual'!$B$1:$I$444,6,0),"Novo")</f>
        <v>N</v>
      </c>
      <c r="O320" s="86" t="str">
        <f t="shared" ref="O320:O369" si="78">IF(N320="Novo","Novo Campo",IF(N320=G320,"Igual","Diferente"))</f>
        <v>Igual</v>
      </c>
      <c r="P320" s="86" t="str">
        <f>IFERROR(VLOOKUP($B320,'LISTA - Atual'!$B$1:$I$444,7,0),"Novo")</f>
        <v>N</v>
      </c>
      <c r="Q320" s="86" t="str">
        <f t="shared" ref="Q320:Q369" si="79">IF(P320="Novo","Novo Campo",IF(P320=H320,"Igual","Diferente"))</f>
        <v>Igual</v>
      </c>
      <c r="R320" s="86" t="s">
        <v>1563</v>
      </c>
      <c r="S320" s="86" t="str">
        <f>IFERROR(VLOOKUP($B320,'LISTA - Atual'!$B$1:$I$444,8,0),"Novo")</f>
        <v>N</v>
      </c>
      <c r="T320" s="86" t="str">
        <f t="shared" ref="T320:T369" si="80">IF(S320="Novo","Novo Campo",IF(S320=J320,"Igual","Diferente"))</f>
        <v>Igual</v>
      </c>
      <c r="U320" s="86" t="s">
        <v>1563</v>
      </c>
      <c r="V320" s="86" t="s">
        <v>11</v>
      </c>
      <c r="W320" s="87" t="str">
        <f>IFERROR(VLOOKUP(B320,#REF!,11,0),"n/a")</f>
        <v>n/a</v>
      </c>
      <c r="X320" s="87" t="str">
        <f>IFERROR(VLOOKUP(B320,#REF!,8,0),"n/a")</f>
        <v>n/a</v>
      </c>
      <c r="Y320" s="87" t="str">
        <f t="shared" si="76"/>
        <v>ESTR</v>
      </c>
      <c r="Z320" s="131" t="s">
        <v>1605</v>
      </c>
      <c r="AA320" s="227" t="e">
        <f>VLOOKUP(Table1[[#This Row],[CONCAT]],'Campos Resumo Prop2.0'!A:H,8,0)</f>
        <v>#N/A</v>
      </c>
      <c r="AB320" s="87" t="s">
        <v>1654</v>
      </c>
      <c r="AC320" s="135" t="s">
        <v>1625</v>
      </c>
      <c r="AD320" s="91">
        <f>INDEX(Auxiliar!$D$5:$I$10,MATCH('LISTA - Setembro2024'!AD$3,Auxiliar!$B$5:$B$10,0),MATCH('LISTA - Setembro2024'!$AC320,Auxiliar!$D$4:$I$4,0))</f>
        <v>0</v>
      </c>
      <c r="AE320" s="91">
        <f>INDEX(Auxiliar!$D$5:$I$10,MATCH('LISTA - Setembro2024'!AE$3,Auxiliar!$B$5:$B$10,0),MATCH('LISTA - Setembro2024'!$AC320,Auxiliar!$D$4:$I$4,0))</f>
        <v>0</v>
      </c>
      <c r="AF320" s="87">
        <f>INDEX(Auxiliar!$D$5:$I$10,MATCH('LISTA - Setembro2024'!AF$3,Auxiliar!$B$5:$B$10,0),MATCH('LISTA - Setembro2024'!$AC320,Auxiliar!$D$4:$I$4,0))</f>
        <v>0</v>
      </c>
      <c r="AG320" s="87" t="str">
        <f t="shared" si="70"/>
        <v>n.a.</v>
      </c>
      <c r="AH320" s="87">
        <f>INDEX(Auxiliar!$D$5:$I$10,MATCH('LISTA - Setembro2024'!AH$3,Auxiliar!$B$5:$B$10,0),MATCH('LISTA - Setembro2024'!$AG320,Auxiliar!$D$4:$I$4,0))</f>
        <v>0</v>
      </c>
      <c r="AI320" s="87">
        <f>INDEX(Auxiliar!$D$5:$I$10,MATCH('LISTA - Setembro2024'!AI$3,Auxiliar!$B$5:$B$10,0),MATCH('LISTA - Setembro2024'!$AC320,Auxiliar!$D$4:$I$4,0))</f>
        <v>0</v>
      </c>
      <c r="AJ320" s="87">
        <f>INDEX(Auxiliar!$D$5:$I$10,MATCH('LISTA - Setembro2024'!AJ$3,Auxiliar!$B$5:$B$10,0),MATCH('LISTA - Setembro2024'!$AC320,Auxiliar!$D$4:$I$4,0))</f>
        <v>0</v>
      </c>
      <c r="AK320" s="160">
        <f t="shared" si="73"/>
        <v>0</v>
      </c>
      <c r="AL320" s="87"/>
    </row>
    <row r="321" spans="1:38" ht="13.8" x14ac:dyDescent="0.25">
      <c r="A321" s="158" t="s">
        <v>816</v>
      </c>
      <c r="B321" s="81" t="str">
        <f t="shared" si="71"/>
        <v>INSTRUMENT_CMPLNT_MRTR_C19_NM</v>
      </c>
      <c r="C321" s="82" t="s">
        <v>414</v>
      </c>
      <c r="D321" s="99" t="s">
        <v>817</v>
      </c>
      <c r="E321" s="100" t="s">
        <v>818</v>
      </c>
      <c r="F321" s="101" t="s">
        <v>13</v>
      </c>
      <c r="G321" s="101" t="s">
        <v>11</v>
      </c>
      <c r="H321" s="85" t="s">
        <v>11</v>
      </c>
      <c r="I321" s="85" t="s">
        <v>11</v>
      </c>
      <c r="J321" s="85" t="s">
        <v>11</v>
      </c>
      <c r="K321" s="101" t="s">
        <v>11</v>
      </c>
      <c r="L321" s="86" t="str">
        <f>IFERROR(VLOOKUP($B321,'LISTA - Atual'!$B$1:$I$444,5,0),"Novo")</f>
        <v>Y</v>
      </c>
      <c r="M321" s="86" t="str">
        <f t="shared" si="77"/>
        <v>Igual</v>
      </c>
      <c r="N321" s="86" t="str">
        <f>IFERROR(VLOOKUP($B321,'LISTA - Atual'!$B$1:$I$444,6,0),"Novo")</f>
        <v>N</v>
      </c>
      <c r="O321" s="86" t="str">
        <f t="shared" si="78"/>
        <v>Igual</v>
      </c>
      <c r="P321" s="86" t="str">
        <f>IFERROR(VLOOKUP($B321,'LISTA - Atual'!$B$1:$I$444,7,0),"Novo")</f>
        <v>N</v>
      </c>
      <c r="Q321" s="86" t="str">
        <f t="shared" si="79"/>
        <v>Igual</v>
      </c>
      <c r="R321" s="86" t="s">
        <v>1563</v>
      </c>
      <c r="S321" s="86" t="str">
        <f>IFERROR(VLOOKUP($B321,'LISTA - Atual'!$B$1:$I$444,8,0),"Novo")</f>
        <v>N</v>
      </c>
      <c r="T321" s="86" t="str">
        <f t="shared" si="80"/>
        <v>Igual</v>
      </c>
      <c r="U321" s="86" t="s">
        <v>1563</v>
      </c>
      <c r="V321" s="86" t="s">
        <v>11</v>
      </c>
      <c r="W321" s="87" t="str">
        <f>IFERROR(VLOOKUP(B321,#REF!,11,0),"n/a")</f>
        <v>n/a</v>
      </c>
      <c r="X321" s="87" t="str">
        <f>IFERROR(VLOOKUP(B321,#REF!,8,0),"n/a")</f>
        <v>n/a</v>
      </c>
      <c r="Y321" s="87" t="str">
        <f t="shared" si="76"/>
        <v>ESTR</v>
      </c>
      <c r="Z321" s="131" t="s">
        <v>1605</v>
      </c>
      <c r="AA321" s="227" t="e">
        <f>VLOOKUP(Table1[[#This Row],[CONCAT]],'Campos Resumo Prop2.0'!A:H,8,0)</f>
        <v>#N/A</v>
      </c>
      <c r="AB321" s="87" t="s">
        <v>1652</v>
      </c>
      <c r="AC321" s="135" t="s">
        <v>1625</v>
      </c>
      <c r="AD321" s="91">
        <f>INDEX(Auxiliar!$D$5:$I$10,MATCH('LISTA - Setembro2024'!AD$3,Auxiliar!$B$5:$B$10,0),MATCH('LISTA - Setembro2024'!$AC321,Auxiliar!$D$4:$I$4,0))</f>
        <v>0</v>
      </c>
      <c r="AE321" s="91">
        <f>INDEX(Auxiliar!$D$5:$I$10,MATCH('LISTA - Setembro2024'!AE$3,Auxiliar!$B$5:$B$10,0),MATCH('LISTA - Setembro2024'!$AC321,Auxiliar!$D$4:$I$4,0))</f>
        <v>0</v>
      </c>
      <c r="AF321" s="87">
        <f>INDEX(Auxiliar!$D$5:$I$10,MATCH('LISTA - Setembro2024'!AF$3,Auxiliar!$B$5:$B$10,0),MATCH('LISTA - Setembro2024'!$AC321,Auxiliar!$D$4:$I$4,0))</f>
        <v>0</v>
      </c>
      <c r="AG321" s="87" t="str">
        <f t="shared" si="70"/>
        <v>n.a.</v>
      </c>
      <c r="AH321" s="87">
        <f>INDEX(Auxiliar!$D$5:$I$10,MATCH('LISTA - Setembro2024'!AH$3,Auxiliar!$B$5:$B$10,0),MATCH('LISTA - Setembro2024'!$AG321,Auxiliar!$D$4:$I$4,0))</f>
        <v>0</v>
      </c>
      <c r="AI321" s="87">
        <f>INDEX(Auxiliar!$D$5:$I$10,MATCH('LISTA - Setembro2024'!AI$3,Auxiliar!$B$5:$B$10,0),MATCH('LISTA - Setembro2024'!$AC321,Auxiliar!$D$4:$I$4,0))</f>
        <v>0</v>
      </c>
      <c r="AJ321" s="87">
        <f>INDEX(Auxiliar!$D$5:$I$10,MATCH('LISTA - Setembro2024'!AJ$3,Auxiliar!$B$5:$B$10,0),MATCH('LISTA - Setembro2024'!$AC321,Auxiliar!$D$4:$I$4,0))</f>
        <v>0</v>
      </c>
      <c r="AK321" s="160">
        <f t="shared" si="73"/>
        <v>0</v>
      </c>
      <c r="AL321" s="87"/>
    </row>
    <row r="322" spans="1:38" ht="13.8" x14ac:dyDescent="0.25">
      <c r="A322" s="158" t="s">
        <v>819</v>
      </c>
      <c r="B322" s="81" t="str">
        <f t="shared" si="71"/>
        <v>INSTRUMENT_FRBRNC_STTS_C19</v>
      </c>
      <c r="C322" s="82" t="s">
        <v>414</v>
      </c>
      <c r="D322" s="99" t="s">
        <v>820</v>
      </c>
      <c r="E322" s="100" t="s">
        <v>821</v>
      </c>
      <c r="F322" s="101" t="s">
        <v>13</v>
      </c>
      <c r="G322" s="101" t="s">
        <v>11</v>
      </c>
      <c r="H322" s="85" t="s">
        <v>11</v>
      </c>
      <c r="I322" s="85" t="s">
        <v>11</v>
      </c>
      <c r="J322" s="85" t="s">
        <v>11</v>
      </c>
      <c r="K322" s="101" t="s">
        <v>11</v>
      </c>
      <c r="L322" s="86" t="str">
        <f>IFERROR(VLOOKUP($B322,'LISTA - Atual'!$B$1:$I$444,5,0),"Novo")</f>
        <v>Y</v>
      </c>
      <c r="M322" s="86" t="str">
        <f t="shared" si="77"/>
        <v>Igual</v>
      </c>
      <c r="N322" s="86" t="str">
        <f>IFERROR(VLOOKUP($B322,'LISTA - Atual'!$B$1:$I$444,6,0),"Novo")</f>
        <v>N</v>
      </c>
      <c r="O322" s="86" t="str">
        <f t="shared" si="78"/>
        <v>Igual</v>
      </c>
      <c r="P322" s="86" t="str">
        <f>IFERROR(VLOOKUP($B322,'LISTA - Atual'!$B$1:$I$444,7,0),"Novo")</f>
        <v>N</v>
      </c>
      <c r="Q322" s="86" t="str">
        <f t="shared" si="79"/>
        <v>Igual</v>
      </c>
      <c r="R322" s="86" t="s">
        <v>1563</v>
      </c>
      <c r="S322" s="86" t="str">
        <f>IFERROR(VLOOKUP($B322,'LISTA - Atual'!$B$1:$I$444,8,0),"Novo")</f>
        <v>N</v>
      </c>
      <c r="T322" s="86" t="str">
        <f t="shared" si="80"/>
        <v>Igual</v>
      </c>
      <c r="U322" s="86" t="s">
        <v>1563</v>
      </c>
      <c r="V322" s="86" t="s">
        <v>11</v>
      </c>
      <c r="W322" s="87" t="str">
        <f>IFERROR(VLOOKUP(B322,#REF!,11,0),"n/a")</f>
        <v>n/a</v>
      </c>
      <c r="X322" s="87" t="str">
        <f>IFERROR(VLOOKUP(B322,#REF!,8,0),"n/a")</f>
        <v>n/a</v>
      </c>
      <c r="Y322" s="87" t="str">
        <f t="shared" si="76"/>
        <v>ESTR</v>
      </c>
      <c r="Z322" s="131" t="s">
        <v>1605</v>
      </c>
      <c r="AA322" s="227" t="e">
        <f>VLOOKUP(Table1[[#This Row],[CONCAT]],'Campos Resumo Prop2.0'!A:H,8,0)</f>
        <v>#N/A</v>
      </c>
      <c r="AB322" s="87" t="s">
        <v>1650</v>
      </c>
      <c r="AC322" s="135" t="s">
        <v>1625</v>
      </c>
      <c r="AD322" s="91">
        <f>INDEX(Auxiliar!$D$5:$I$10,MATCH('LISTA - Setembro2024'!AD$3,Auxiliar!$B$5:$B$10,0),MATCH('LISTA - Setembro2024'!$AC322,Auxiliar!$D$4:$I$4,0))</f>
        <v>0</v>
      </c>
      <c r="AE322" s="91">
        <f>INDEX(Auxiliar!$D$5:$I$10,MATCH('LISTA - Setembro2024'!AE$3,Auxiliar!$B$5:$B$10,0),MATCH('LISTA - Setembro2024'!$AC322,Auxiliar!$D$4:$I$4,0))</f>
        <v>0</v>
      </c>
      <c r="AF322" s="87">
        <f>INDEX(Auxiliar!$D$5:$I$10,MATCH('LISTA - Setembro2024'!AF$3,Auxiliar!$B$5:$B$10,0),MATCH('LISTA - Setembro2024'!$AC322,Auxiliar!$D$4:$I$4,0))</f>
        <v>0</v>
      </c>
      <c r="AG322" s="87" t="str">
        <f t="shared" si="70"/>
        <v>n.a.</v>
      </c>
      <c r="AH322" s="87">
        <f>INDEX(Auxiliar!$D$5:$I$10,MATCH('LISTA - Setembro2024'!AH$3,Auxiliar!$B$5:$B$10,0),MATCH('LISTA - Setembro2024'!$AG322,Auxiliar!$D$4:$I$4,0))</f>
        <v>0</v>
      </c>
      <c r="AI322" s="87">
        <f>INDEX(Auxiliar!$D$5:$I$10,MATCH('LISTA - Setembro2024'!AI$3,Auxiliar!$B$5:$B$10,0),MATCH('LISTA - Setembro2024'!$AC322,Auxiliar!$D$4:$I$4,0))</f>
        <v>0</v>
      </c>
      <c r="AJ322" s="87">
        <f>INDEX(Auxiliar!$D$5:$I$10,MATCH('LISTA - Setembro2024'!AJ$3,Auxiliar!$B$5:$B$10,0),MATCH('LISTA - Setembro2024'!$AC322,Auxiliar!$D$4:$I$4,0))</f>
        <v>0</v>
      </c>
      <c r="AK322" s="160">
        <f t="shared" si="73"/>
        <v>0</v>
      </c>
      <c r="AL322" s="87"/>
    </row>
    <row r="323" spans="1:38" ht="13.8" x14ac:dyDescent="0.25">
      <c r="A323" s="158" t="s">
        <v>822</v>
      </c>
      <c r="B323" s="81" t="str">
        <f t="shared" si="71"/>
        <v>INSTRUMENT_DT_FRBRNC_STTS_C19</v>
      </c>
      <c r="C323" s="82" t="s">
        <v>414</v>
      </c>
      <c r="D323" s="99" t="s">
        <v>823</v>
      </c>
      <c r="E323" s="100" t="s">
        <v>824</v>
      </c>
      <c r="F323" s="101" t="s">
        <v>13</v>
      </c>
      <c r="G323" s="101" t="s">
        <v>11</v>
      </c>
      <c r="H323" s="85" t="s">
        <v>11</v>
      </c>
      <c r="I323" s="85" t="s">
        <v>11</v>
      </c>
      <c r="J323" s="85" t="s">
        <v>11</v>
      </c>
      <c r="K323" s="101" t="s">
        <v>11</v>
      </c>
      <c r="L323" s="86" t="str">
        <f>IFERROR(VLOOKUP($B323,'LISTA - Atual'!$B$1:$I$444,5,0),"Novo")</f>
        <v>Y</v>
      </c>
      <c r="M323" s="86" t="str">
        <f t="shared" si="77"/>
        <v>Igual</v>
      </c>
      <c r="N323" s="86" t="str">
        <f>IFERROR(VLOOKUP($B323,'LISTA - Atual'!$B$1:$I$444,6,0),"Novo")</f>
        <v>N</v>
      </c>
      <c r="O323" s="86" t="str">
        <f t="shared" si="78"/>
        <v>Igual</v>
      </c>
      <c r="P323" s="86" t="str">
        <f>IFERROR(VLOOKUP($B323,'LISTA - Atual'!$B$1:$I$444,7,0),"Novo")</f>
        <v>N</v>
      </c>
      <c r="Q323" s="86" t="str">
        <f t="shared" si="79"/>
        <v>Igual</v>
      </c>
      <c r="R323" s="86" t="s">
        <v>1563</v>
      </c>
      <c r="S323" s="86" t="str">
        <f>IFERROR(VLOOKUP($B323,'LISTA - Atual'!$B$1:$I$444,8,0),"Novo")</f>
        <v>N</v>
      </c>
      <c r="T323" s="86" t="str">
        <f t="shared" si="80"/>
        <v>Igual</v>
      </c>
      <c r="U323" s="86" t="s">
        <v>1563</v>
      </c>
      <c r="V323" s="86" t="s">
        <v>11</v>
      </c>
      <c r="W323" s="87" t="str">
        <f>IFERROR(VLOOKUP(B323,#REF!,11,0),"n/a")</f>
        <v>n/a</v>
      </c>
      <c r="X323" s="87" t="str">
        <f>IFERROR(VLOOKUP(B323,#REF!,8,0),"n/a")</f>
        <v>n/a</v>
      </c>
      <c r="Y323" s="87" t="str">
        <f t="shared" si="76"/>
        <v>ESTR</v>
      </c>
      <c r="Z323" s="131" t="s">
        <v>1605</v>
      </c>
      <c r="AA323" s="227" t="e">
        <f>VLOOKUP(Table1[[#This Row],[CONCAT]],'Campos Resumo Prop2.0'!A:H,8,0)</f>
        <v>#N/A</v>
      </c>
      <c r="AB323" s="87" t="s">
        <v>1651</v>
      </c>
      <c r="AC323" s="135" t="s">
        <v>1625</v>
      </c>
      <c r="AD323" s="91">
        <f>INDEX(Auxiliar!$D$5:$I$10,MATCH('LISTA - Setembro2024'!AD$3,Auxiliar!$B$5:$B$10,0),MATCH('LISTA - Setembro2024'!$AC323,Auxiliar!$D$4:$I$4,0))</f>
        <v>0</v>
      </c>
      <c r="AE323" s="91">
        <f>INDEX(Auxiliar!$D$5:$I$10,MATCH('LISTA - Setembro2024'!AE$3,Auxiliar!$B$5:$B$10,0),MATCH('LISTA - Setembro2024'!$AC323,Auxiliar!$D$4:$I$4,0))</f>
        <v>0</v>
      </c>
      <c r="AF323" s="87">
        <f>INDEX(Auxiliar!$D$5:$I$10,MATCH('LISTA - Setembro2024'!AF$3,Auxiliar!$B$5:$B$10,0),MATCH('LISTA - Setembro2024'!$AC323,Auxiliar!$D$4:$I$4,0))</f>
        <v>0</v>
      </c>
      <c r="AG323" s="87" t="str">
        <f t="shared" si="70"/>
        <v>n.a.</v>
      </c>
      <c r="AH323" s="87">
        <f>INDEX(Auxiliar!$D$5:$I$10,MATCH('LISTA - Setembro2024'!AH$3,Auxiliar!$B$5:$B$10,0),MATCH('LISTA - Setembro2024'!$AG323,Auxiliar!$D$4:$I$4,0))</f>
        <v>0</v>
      </c>
      <c r="AI323" s="87">
        <f>INDEX(Auxiliar!$D$5:$I$10,MATCH('LISTA - Setembro2024'!AI$3,Auxiliar!$B$5:$B$10,0),MATCH('LISTA - Setembro2024'!$AC323,Auxiliar!$D$4:$I$4,0))</f>
        <v>0</v>
      </c>
      <c r="AJ323" s="87">
        <f>INDEX(Auxiliar!$D$5:$I$10,MATCH('LISTA - Setembro2024'!AJ$3,Auxiliar!$B$5:$B$10,0),MATCH('LISTA - Setembro2024'!$AC323,Auxiliar!$D$4:$I$4,0))</f>
        <v>0</v>
      </c>
      <c r="AK323" s="160">
        <f t="shared" si="73"/>
        <v>0</v>
      </c>
      <c r="AL323" s="87"/>
    </row>
    <row r="324" spans="1:38" ht="13.8" x14ac:dyDescent="0.25">
      <c r="A324" s="158" t="s">
        <v>825</v>
      </c>
      <c r="B324" s="81" t="str">
        <f t="shared" si="71"/>
        <v>INSTRUMENT_DT_FRBRNC_STTS_PRVS_C19</v>
      </c>
      <c r="C324" s="82" t="s">
        <v>414</v>
      </c>
      <c r="D324" s="99" t="s">
        <v>826</v>
      </c>
      <c r="E324" s="100" t="s">
        <v>827</v>
      </c>
      <c r="F324" s="101" t="s">
        <v>13</v>
      </c>
      <c r="G324" s="101" t="s">
        <v>11</v>
      </c>
      <c r="H324" s="85" t="s">
        <v>11</v>
      </c>
      <c r="I324" s="85" t="s">
        <v>11</v>
      </c>
      <c r="J324" s="85" t="s">
        <v>11</v>
      </c>
      <c r="K324" s="101" t="s">
        <v>11</v>
      </c>
      <c r="L324" s="86" t="str">
        <f>IFERROR(VLOOKUP($B324,'LISTA - Atual'!$B$1:$I$444,5,0),"Novo")</f>
        <v>Y</v>
      </c>
      <c r="M324" s="86" t="str">
        <f t="shared" si="77"/>
        <v>Igual</v>
      </c>
      <c r="N324" s="86" t="str">
        <f>IFERROR(VLOOKUP($B324,'LISTA - Atual'!$B$1:$I$444,6,0),"Novo")</f>
        <v>N</v>
      </c>
      <c r="O324" s="86" t="str">
        <f t="shared" si="78"/>
        <v>Igual</v>
      </c>
      <c r="P324" s="86" t="str">
        <f>IFERROR(VLOOKUP($B324,'LISTA - Atual'!$B$1:$I$444,7,0),"Novo")</f>
        <v>N</v>
      </c>
      <c r="Q324" s="86" t="str">
        <f t="shared" si="79"/>
        <v>Igual</v>
      </c>
      <c r="R324" s="86" t="s">
        <v>1563</v>
      </c>
      <c r="S324" s="86" t="str">
        <f>IFERROR(VLOOKUP($B324,'LISTA - Atual'!$B$1:$I$444,8,0),"Novo")</f>
        <v>N</v>
      </c>
      <c r="T324" s="86" t="str">
        <f t="shared" si="80"/>
        <v>Igual</v>
      </c>
      <c r="U324" s="86" t="s">
        <v>1563</v>
      </c>
      <c r="V324" s="86" t="s">
        <v>11</v>
      </c>
      <c r="W324" s="87" t="str">
        <f>IFERROR(VLOOKUP(B324,#REF!,11,0),"n/a")</f>
        <v>n/a</v>
      </c>
      <c r="X324" s="87" t="str">
        <f>IFERROR(VLOOKUP(B324,#REF!,8,0),"n/a")</f>
        <v>n/a</v>
      </c>
      <c r="Y324" s="87" t="str">
        <f t="shared" si="76"/>
        <v>ESTR</v>
      </c>
      <c r="Z324" s="131" t="s">
        <v>1605</v>
      </c>
      <c r="AA324" s="227" t="e">
        <f>VLOOKUP(Table1[[#This Row],[CONCAT]],'Campos Resumo Prop2.0'!A:H,8,0)</f>
        <v>#N/A</v>
      </c>
      <c r="AB324" s="87" t="s">
        <v>1651</v>
      </c>
      <c r="AC324" s="135" t="s">
        <v>1625</v>
      </c>
      <c r="AD324" s="91">
        <f>INDEX(Auxiliar!$D$5:$I$10,MATCH('LISTA - Setembro2024'!AD$3,Auxiliar!$B$5:$B$10,0),MATCH('LISTA - Setembro2024'!$AC324,Auxiliar!$D$4:$I$4,0))</f>
        <v>0</v>
      </c>
      <c r="AE324" s="91">
        <f>INDEX(Auxiliar!$D$5:$I$10,MATCH('LISTA - Setembro2024'!AE$3,Auxiliar!$B$5:$B$10,0),MATCH('LISTA - Setembro2024'!$AC324,Auxiliar!$D$4:$I$4,0))</f>
        <v>0</v>
      </c>
      <c r="AF324" s="87">
        <f>INDEX(Auxiliar!$D$5:$I$10,MATCH('LISTA - Setembro2024'!AF$3,Auxiliar!$B$5:$B$10,0),MATCH('LISTA - Setembro2024'!$AC324,Auxiliar!$D$4:$I$4,0))</f>
        <v>0</v>
      </c>
      <c r="AG324" s="87" t="str">
        <f t="shared" ref="AG324:AG387" si="81">IF(OR(AB324="Code List",AB324="Y, N"),AC324,"n.a.")</f>
        <v>n.a.</v>
      </c>
      <c r="AH324" s="87">
        <f>INDEX(Auxiliar!$D$5:$I$10,MATCH('LISTA - Setembro2024'!AH$3,Auxiliar!$B$5:$B$10,0),MATCH('LISTA - Setembro2024'!$AG324,Auxiliar!$D$4:$I$4,0))</f>
        <v>0</v>
      </c>
      <c r="AI324" s="87">
        <f>INDEX(Auxiliar!$D$5:$I$10,MATCH('LISTA - Setembro2024'!AI$3,Auxiliar!$B$5:$B$10,0),MATCH('LISTA - Setembro2024'!$AC324,Auxiliar!$D$4:$I$4,0))</f>
        <v>0</v>
      </c>
      <c r="AJ324" s="87">
        <f>INDEX(Auxiliar!$D$5:$I$10,MATCH('LISTA - Setembro2024'!AJ$3,Auxiliar!$B$5:$B$10,0),MATCH('LISTA - Setembro2024'!$AC324,Auxiliar!$D$4:$I$4,0))</f>
        <v>0</v>
      </c>
      <c r="AK324" s="160">
        <f t="shared" si="73"/>
        <v>0</v>
      </c>
      <c r="AL324" s="87"/>
    </row>
    <row r="325" spans="1:38" ht="13.8" x14ac:dyDescent="0.25">
      <c r="A325" s="158" t="s">
        <v>828</v>
      </c>
      <c r="B325" s="81" t="str">
        <f t="shared" ref="B325:B388" si="82">C325&amp;"_"&amp;D325</f>
        <v>INSTRUMENT_MTRTY_LTST_FRBRNC_MSR_C19</v>
      </c>
      <c r="C325" s="82" t="s">
        <v>414</v>
      </c>
      <c r="D325" s="99" t="s">
        <v>829</v>
      </c>
      <c r="E325" s="100" t="s">
        <v>830</v>
      </c>
      <c r="F325" s="101" t="s">
        <v>13</v>
      </c>
      <c r="G325" s="101" t="s">
        <v>11</v>
      </c>
      <c r="H325" s="85" t="s">
        <v>11</v>
      </c>
      <c r="I325" s="85" t="s">
        <v>11</v>
      </c>
      <c r="J325" s="85" t="s">
        <v>11</v>
      </c>
      <c r="K325" s="101" t="s">
        <v>11</v>
      </c>
      <c r="L325" s="86" t="str">
        <f>IFERROR(VLOOKUP($B325,'LISTA - Atual'!$B$1:$I$444,5,0),"Novo")</f>
        <v>Y</v>
      </c>
      <c r="M325" s="86" t="str">
        <f t="shared" si="77"/>
        <v>Igual</v>
      </c>
      <c r="N325" s="86" t="str">
        <f>IFERROR(VLOOKUP($B325,'LISTA - Atual'!$B$1:$I$444,6,0),"Novo")</f>
        <v>N</v>
      </c>
      <c r="O325" s="86" t="str">
        <f t="shared" si="78"/>
        <v>Igual</v>
      </c>
      <c r="P325" s="86" t="str">
        <f>IFERROR(VLOOKUP($B325,'LISTA - Atual'!$B$1:$I$444,7,0),"Novo")</f>
        <v>N</v>
      </c>
      <c r="Q325" s="86" t="str">
        <f t="shared" si="79"/>
        <v>Igual</v>
      </c>
      <c r="R325" s="86" t="s">
        <v>1563</v>
      </c>
      <c r="S325" s="86" t="str">
        <f>IFERROR(VLOOKUP($B325,'LISTA - Atual'!$B$1:$I$444,8,0),"Novo")</f>
        <v>N</v>
      </c>
      <c r="T325" s="86" t="str">
        <f t="shared" si="80"/>
        <v>Igual</v>
      </c>
      <c r="U325" s="86" t="s">
        <v>1563</v>
      </c>
      <c r="V325" s="86" t="s">
        <v>11</v>
      </c>
      <c r="W325" s="87" t="str">
        <f>IFERROR(VLOOKUP(B325,#REF!,11,0),"n/a")</f>
        <v>n/a</v>
      </c>
      <c r="X325" s="87" t="str">
        <f>IFERROR(VLOOKUP(B325,#REF!,8,0),"n/a")</f>
        <v>n/a</v>
      </c>
      <c r="Y325" s="87" t="str">
        <f t="shared" si="76"/>
        <v>ESTR</v>
      </c>
      <c r="Z325" s="131" t="s">
        <v>1605</v>
      </c>
      <c r="AA325" s="227" t="e">
        <f>VLOOKUP(Table1[[#This Row],[CONCAT]],'Campos Resumo Prop2.0'!A:H,8,0)</f>
        <v>#N/A</v>
      </c>
      <c r="AB325" s="87" t="s">
        <v>1658</v>
      </c>
      <c r="AC325" s="135" t="s">
        <v>1625</v>
      </c>
      <c r="AD325" s="91">
        <f>INDEX(Auxiliar!$D$5:$I$10,MATCH('LISTA - Setembro2024'!AD$3,Auxiliar!$B$5:$B$10,0),MATCH('LISTA - Setembro2024'!$AC325,Auxiliar!$D$4:$I$4,0))</f>
        <v>0</v>
      </c>
      <c r="AE325" s="91">
        <f>INDEX(Auxiliar!$D$5:$I$10,MATCH('LISTA - Setembro2024'!AE$3,Auxiliar!$B$5:$B$10,0),MATCH('LISTA - Setembro2024'!$AC325,Auxiliar!$D$4:$I$4,0))</f>
        <v>0</v>
      </c>
      <c r="AF325" s="87">
        <f>INDEX(Auxiliar!$D$5:$I$10,MATCH('LISTA - Setembro2024'!AF$3,Auxiliar!$B$5:$B$10,0),MATCH('LISTA - Setembro2024'!$AC325,Auxiliar!$D$4:$I$4,0))</f>
        <v>0</v>
      </c>
      <c r="AG325" s="87" t="str">
        <f t="shared" si="81"/>
        <v>n.a.</v>
      </c>
      <c r="AH325" s="87">
        <f>INDEX(Auxiliar!$D$5:$I$10,MATCH('LISTA - Setembro2024'!AH$3,Auxiliar!$B$5:$B$10,0),MATCH('LISTA - Setembro2024'!$AG325,Auxiliar!$D$4:$I$4,0))</f>
        <v>0</v>
      </c>
      <c r="AI325" s="87">
        <f>INDEX(Auxiliar!$D$5:$I$10,MATCH('LISTA - Setembro2024'!AI$3,Auxiliar!$B$5:$B$10,0),MATCH('LISTA - Setembro2024'!$AC325,Auxiliar!$D$4:$I$4,0))</f>
        <v>0</v>
      </c>
      <c r="AJ325" s="87">
        <f>INDEX(Auxiliar!$D$5:$I$10,MATCH('LISTA - Setembro2024'!AJ$3,Auxiliar!$B$5:$B$10,0),MATCH('LISTA - Setembro2024'!$AC325,Auxiliar!$D$4:$I$4,0))</f>
        <v>0</v>
      </c>
      <c r="AK325" s="160">
        <f t="shared" si="73"/>
        <v>0</v>
      </c>
      <c r="AL325" s="87"/>
    </row>
    <row r="326" spans="1:38" ht="13.8" x14ac:dyDescent="0.25">
      <c r="A326" s="158" t="s">
        <v>831</v>
      </c>
      <c r="B326" s="81" t="str">
        <f t="shared" si="82"/>
        <v>INSTRUMENT_DT_END_GP_PPAL_C19</v>
      </c>
      <c r="C326" s="82" t="s">
        <v>414</v>
      </c>
      <c r="D326" s="99" t="s">
        <v>832</v>
      </c>
      <c r="E326" s="100" t="s">
        <v>833</v>
      </c>
      <c r="F326" s="101" t="s">
        <v>13</v>
      </c>
      <c r="G326" s="101" t="s">
        <v>11</v>
      </c>
      <c r="H326" s="85" t="s">
        <v>11</v>
      </c>
      <c r="I326" s="85" t="s">
        <v>11</v>
      </c>
      <c r="J326" s="85" t="s">
        <v>11</v>
      </c>
      <c r="K326" s="101" t="s">
        <v>11</v>
      </c>
      <c r="L326" s="86" t="str">
        <f>IFERROR(VLOOKUP($B326,'LISTA - Atual'!$B$1:$I$444,5,0),"Novo")</f>
        <v>Y</v>
      </c>
      <c r="M326" s="86" t="str">
        <f t="shared" si="77"/>
        <v>Igual</v>
      </c>
      <c r="N326" s="86" t="str">
        <f>IFERROR(VLOOKUP($B326,'LISTA - Atual'!$B$1:$I$444,6,0),"Novo")</f>
        <v>N</v>
      </c>
      <c r="O326" s="86" t="str">
        <f t="shared" si="78"/>
        <v>Igual</v>
      </c>
      <c r="P326" s="86" t="str">
        <f>IFERROR(VLOOKUP($B326,'LISTA - Atual'!$B$1:$I$444,7,0),"Novo")</f>
        <v>N</v>
      </c>
      <c r="Q326" s="86" t="str">
        <f t="shared" si="79"/>
        <v>Igual</v>
      </c>
      <c r="R326" s="86" t="s">
        <v>1563</v>
      </c>
      <c r="S326" s="86" t="str">
        <f>IFERROR(VLOOKUP($B326,'LISTA - Atual'!$B$1:$I$444,8,0),"Novo")</f>
        <v>N</v>
      </c>
      <c r="T326" s="86" t="str">
        <f t="shared" si="80"/>
        <v>Igual</v>
      </c>
      <c r="U326" s="86" t="s">
        <v>1563</v>
      </c>
      <c r="V326" s="86" t="s">
        <v>11</v>
      </c>
      <c r="W326" s="87" t="str">
        <f>IFERROR(VLOOKUP(B326,#REF!,11,0),"n/a")</f>
        <v>n/a</v>
      </c>
      <c r="X326" s="87" t="str">
        <f>IFERROR(VLOOKUP(B326,#REF!,8,0),"n/a")</f>
        <v>n/a</v>
      </c>
      <c r="Y326" s="87" t="str">
        <f t="shared" si="76"/>
        <v>ESTR</v>
      </c>
      <c r="Z326" s="131" t="s">
        <v>1605</v>
      </c>
      <c r="AA326" s="227" t="e">
        <f>VLOOKUP(Table1[[#This Row],[CONCAT]],'Campos Resumo Prop2.0'!A:H,8,0)</f>
        <v>#N/A</v>
      </c>
      <c r="AB326" s="87" t="s">
        <v>1651</v>
      </c>
      <c r="AC326" s="135" t="s">
        <v>1625</v>
      </c>
      <c r="AD326" s="91">
        <f>INDEX(Auxiliar!$D$5:$I$10,MATCH('LISTA - Setembro2024'!AD$3,Auxiliar!$B$5:$B$10,0),MATCH('LISTA - Setembro2024'!$AC326,Auxiliar!$D$4:$I$4,0))</f>
        <v>0</v>
      </c>
      <c r="AE326" s="91">
        <f>INDEX(Auxiliar!$D$5:$I$10,MATCH('LISTA - Setembro2024'!AE$3,Auxiliar!$B$5:$B$10,0),MATCH('LISTA - Setembro2024'!$AC326,Auxiliar!$D$4:$I$4,0))</f>
        <v>0</v>
      </c>
      <c r="AF326" s="87">
        <f>INDEX(Auxiliar!$D$5:$I$10,MATCH('LISTA - Setembro2024'!AF$3,Auxiliar!$B$5:$B$10,0),MATCH('LISTA - Setembro2024'!$AC326,Auxiliar!$D$4:$I$4,0))</f>
        <v>0</v>
      </c>
      <c r="AG326" s="87" t="str">
        <f t="shared" si="81"/>
        <v>n.a.</v>
      </c>
      <c r="AH326" s="87">
        <f>INDEX(Auxiliar!$D$5:$I$10,MATCH('LISTA - Setembro2024'!AH$3,Auxiliar!$B$5:$B$10,0),MATCH('LISTA - Setembro2024'!$AG326,Auxiliar!$D$4:$I$4,0))</f>
        <v>0</v>
      </c>
      <c r="AI326" s="87">
        <f>INDEX(Auxiliar!$D$5:$I$10,MATCH('LISTA - Setembro2024'!AI$3,Auxiliar!$B$5:$B$10,0),MATCH('LISTA - Setembro2024'!$AC326,Auxiliar!$D$4:$I$4,0))</f>
        <v>0</v>
      </c>
      <c r="AJ326" s="87">
        <f>INDEX(Auxiliar!$D$5:$I$10,MATCH('LISTA - Setembro2024'!AJ$3,Auxiliar!$B$5:$B$10,0),MATCH('LISTA - Setembro2024'!$AC326,Auxiliar!$D$4:$I$4,0))</f>
        <v>0</v>
      </c>
      <c r="AK326" s="160">
        <f t="shared" ref="AK326:AK389" si="83">SUM(AF326,AH326:AJ326)</f>
        <v>0</v>
      </c>
      <c r="AL326" s="87"/>
    </row>
    <row r="327" spans="1:38" ht="13.8" x14ac:dyDescent="0.25">
      <c r="A327" s="158" t="s">
        <v>834</v>
      </c>
      <c r="B327" s="81" t="str">
        <f t="shared" si="82"/>
        <v>INSTRUMENT_DT_END_INTRST_ONLY_C19</v>
      </c>
      <c r="C327" s="82" t="s">
        <v>414</v>
      </c>
      <c r="D327" s="99" t="s">
        <v>835</v>
      </c>
      <c r="E327" s="100" t="s">
        <v>836</v>
      </c>
      <c r="F327" s="101" t="s">
        <v>13</v>
      </c>
      <c r="G327" s="101" t="s">
        <v>11</v>
      </c>
      <c r="H327" s="85" t="s">
        <v>11</v>
      </c>
      <c r="I327" s="85" t="s">
        <v>11</v>
      </c>
      <c r="J327" s="85" t="s">
        <v>11</v>
      </c>
      <c r="K327" s="101" t="s">
        <v>11</v>
      </c>
      <c r="L327" s="86" t="str">
        <f>IFERROR(VLOOKUP($B327,'LISTA - Atual'!$B$1:$I$444,5,0),"Novo")</f>
        <v>Y</v>
      </c>
      <c r="M327" s="86" t="str">
        <f t="shared" si="77"/>
        <v>Igual</v>
      </c>
      <c r="N327" s="86" t="str">
        <f>IFERROR(VLOOKUP($B327,'LISTA - Atual'!$B$1:$I$444,6,0),"Novo")</f>
        <v>N</v>
      </c>
      <c r="O327" s="86" t="str">
        <f t="shared" si="78"/>
        <v>Igual</v>
      </c>
      <c r="P327" s="86" t="str">
        <f>IFERROR(VLOOKUP($B327,'LISTA - Atual'!$B$1:$I$444,7,0),"Novo")</f>
        <v>N</v>
      </c>
      <c r="Q327" s="86" t="str">
        <f t="shared" si="79"/>
        <v>Igual</v>
      </c>
      <c r="R327" s="86" t="s">
        <v>1563</v>
      </c>
      <c r="S327" s="86" t="str">
        <f>IFERROR(VLOOKUP($B327,'LISTA - Atual'!$B$1:$I$444,8,0),"Novo")</f>
        <v>N</v>
      </c>
      <c r="T327" s="86" t="str">
        <f t="shared" si="80"/>
        <v>Igual</v>
      </c>
      <c r="U327" s="86" t="s">
        <v>1563</v>
      </c>
      <c r="V327" s="86" t="s">
        <v>11</v>
      </c>
      <c r="W327" s="87" t="str">
        <f>IFERROR(VLOOKUP(B327,#REF!,11,0),"n/a")</f>
        <v>n/a</v>
      </c>
      <c r="X327" s="87" t="str">
        <f>IFERROR(VLOOKUP(B327,#REF!,8,0),"n/a")</f>
        <v>n/a</v>
      </c>
      <c r="Y327" s="87" t="str">
        <f t="shared" si="76"/>
        <v>ESTR</v>
      </c>
      <c r="Z327" s="131" t="s">
        <v>1605</v>
      </c>
      <c r="AA327" s="227" t="e">
        <f>VLOOKUP(Table1[[#This Row],[CONCAT]],'Campos Resumo Prop2.0'!A:H,8,0)</f>
        <v>#N/A</v>
      </c>
      <c r="AB327" s="87" t="s">
        <v>1651</v>
      </c>
      <c r="AC327" s="135" t="s">
        <v>1625</v>
      </c>
      <c r="AD327" s="91">
        <f>INDEX(Auxiliar!$D$5:$I$10,MATCH('LISTA - Setembro2024'!AD$3,Auxiliar!$B$5:$B$10,0),MATCH('LISTA - Setembro2024'!$AC327,Auxiliar!$D$4:$I$4,0))</f>
        <v>0</v>
      </c>
      <c r="AE327" s="91">
        <f>INDEX(Auxiliar!$D$5:$I$10,MATCH('LISTA - Setembro2024'!AE$3,Auxiliar!$B$5:$B$10,0),MATCH('LISTA - Setembro2024'!$AC327,Auxiliar!$D$4:$I$4,0))</f>
        <v>0</v>
      </c>
      <c r="AF327" s="87">
        <f>INDEX(Auxiliar!$D$5:$I$10,MATCH('LISTA - Setembro2024'!AF$3,Auxiliar!$B$5:$B$10,0),MATCH('LISTA - Setembro2024'!$AC327,Auxiliar!$D$4:$I$4,0))</f>
        <v>0</v>
      </c>
      <c r="AG327" s="87" t="str">
        <f t="shared" si="81"/>
        <v>n.a.</v>
      </c>
      <c r="AH327" s="87">
        <f>INDEX(Auxiliar!$D$5:$I$10,MATCH('LISTA - Setembro2024'!AH$3,Auxiliar!$B$5:$B$10,0),MATCH('LISTA - Setembro2024'!$AG327,Auxiliar!$D$4:$I$4,0))</f>
        <v>0</v>
      </c>
      <c r="AI327" s="87">
        <f>INDEX(Auxiliar!$D$5:$I$10,MATCH('LISTA - Setembro2024'!AI$3,Auxiliar!$B$5:$B$10,0),MATCH('LISTA - Setembro2024'!$AC327,Auxiliar!$D$4:$I$4,0))</f>
        <v>0</v>
      </c>
      <c r="AJ327" s="87">
        <f>INDEX(Auxiliar!$D$5:$I$10,MATCH('LISTA - Setembro2024'!AJ$3,Auxiliar!$B$5:$B$10,0),MATCH('LISTA - Setembro2024'!$AC327,Auxiliar!$D$4:$I$4,0))</f>
        <v>0</v>
      </c>
      <c r="AK327" s="160">
        <f t="shared" si="83"/>
        <v>0</v>
      </c>
      <c r="AL327" s="87"/>
    </row>
    <row r="328" spans="1:38" ht="13.8" x14ac:dyDescent="0.25">
      <c r="A328" s="158" t="s">
        <v>837</v>
      </c>
      <c r="B328" s="81" t="str">
        <f t="shared" si="82"/>
        <v>INSTRUMENT_SBJCT_PBLC_GRNT_SCHM_C19</v>
      </c>
      <c r="C328" s="82" t="s">
        <v>414</v>
      </c>
      <c r="D328" s="99" t="s">
        <v>838</v>
      </c>
      <c r="E328" s="100" t="s">
        <v>839</v>
      </c>
      <c r="F328" s="101" t="s">
        <v>13</v>
      </c>
      <c r="G328" s="101" t="s">
        <v>11</v>
      </c>
      <c r="H328" s="85" t="s">
        <v>11</v>
      </c>
      <c r="I328" s="85" t="s">
        <v>11</v>
      </c>
      <c r="J328" s="85" t="s">
        <v>11</v>
      </c>
      <c r="K328" s="101" t="s">
        <v>11</v>
      </c>
      <c r="L328" s="86" t="str">
        <f>IFERROR(VLOOKUP($B328,'LISTA - Atual'!$B$1:$I$444,5,0),"Novo")</f>
        <v>Y</v>
      </c>
      <c r="M328" s="86" t="str">
        <f t="shared" si="77"/>
        <v>Igual</v>
      </c>
      <c r="N328" s="86" t="str">
        <f>IFERROR(VLOOKUP($B328,'LISTA - Atual'!$B$1:$I$444,6,0),"Novo")</f>
        <v>N</v>
      </c>
      <c r="O328" s="86" t="str">
        <f t="shared" si="78"/>
        <v>Igual</v>
      </c>
      <c r="P328" s="86" t="str">
        <f>IFERROR(VLOOKUP($B328,'LISTA - Atual'!$B$1:$I$444,7,0),"Novo")</f>
        <v>N</v>
      </c>
      <c r="Q328" s="86" t="str">
        <f t="shared" si="79"/>
        <v>Igual</v>
      </c>
      <c r="R328" s="86" t="s">
        <v>1563</v>
      </c>
      <c r="S328" s="86" t="str">
        <f>IFERROR(VLOOKUP($B328,'LISTA - Atual'!$B$1:$I$444,8,0),"Novo")</f>
        <v>N</v>
      </c>
      <c r="T328" s="86" t="str">
        <f t="shared" si="80"/>
        <v>Igual</v>
      </c>
      <c r="U328" s="86" t="s">
        <v>1563</v>
      </c>
      <c r="V328" s="86" t="s">
        <v>11</v>
      </c>
      <c r="W328" s="87" t="str">
        <f>IFERROR(VLOOKUP(B328,#REF!,11,0),"n/a")</f>
        <v>n/a</v>
      </c>
      <c r="X328" s="87" t="str">
        <f>IFERROR(VLOOKUP(B328,#REF!,8,0),"n/a")</f>
        <v>n/a</v>
      </c>
      <c r="Y328" s="87" t="str">
        <f t="shared" si="76"/>
        <v>ESTR</v>
      </c>
      <c r="Z328" s="131" t="s">
        <v>1605</v>
      </c>
      <c r="AA328" s="227" t="e">
        <f>VLOOKUP(Table1[[#This Row],[CONCAT]],'Campos Resumo Prop2.0'!A:H,8,0)</f>
        <v>#N/A</v>
      </c>
      <c r="AB328" s="87" t="s">
        <v>1650</v>
      </c>
      <c r="AC328" s="135" t="s">
        <v>1625</v>
      </c>
      <c r="AD328" s="91">
        <f>INDEX(Auxiliar!$D$5:$I$10,MATCH('LISTA - Setembro2024'!AD$3,Auxiliar!$B$5:$B$10,0),MATCH('LISTA - Setembro2024'!$AC328,Auxiliar!$D$4:$I$4,0))</f>
        <v>0</v>
      </c>
      <c r="AE328" s="91">
        <f>INDEX(Auxiliar!$D$5:$I$10,MATCH('LISTA - Setembro2024'!AE$3,Auxiliar!$B$5:$B$10,0),MATCH('LISTA - Setembro2024'!$AC328,Auxiliar!$D$4:$I$4,0))</f>
        <v>0</v>
      </c>
      <c r="AF328" s="87">
        <f>INDEX(Auxiliar!$D$5:$I$10,MATCH('LISTA - Setembro2024'!AF$3,Auxiliar!$B$5:$B$10,0),MATCH('LISTA - Setembro2024'!$AC328,Auxiliar!$D$4:$I$4,0))</f>
        <v>0</v>
      </c>
      <c r="AG328" s="87" t="str">
        <f t="shared" si="81"/>
        <v>n.a.</v>
      </c>
      <c r="AH328" s="87">
        <f>INDEX(Auxiliar!$D$5:$I$10,MATCH('LISTA - Setembro2024'!AH$3,Auxiliar!$B$5:$B$10,0),MATCH('LISTA - Setembro2024'!$AG328,Auxiliar!$D$4:$I$4,0))</f>
        <v>0</v>
      </c>
      <c r="AI328" s="87">
        <f>INDEX(Auxiliar!$D$5:$I$10,MATCH('LISTA - Setembro2024'!AI$3,Auxiliar!$B$5:$B$10,0),MATCH('LISTA - Setembro2024'!$AC328,Auxiliar!$D$4:$I$4,0))</f>
        <v>0</v>
      </c>
      <c r="AJ328" s="87">
        <f>INDEX(Auxiliar!$D$5:$I$10,MATCH('LISTA - Setembro2024'!AJ$3,Auxiliar!$B$5:$B$10,0),MATCH('LISTA - Setembro2024'!$AC328,Auxiliar!$D$4:$I$4,0))</f>
        <v>0</v>
      </c>
      <c r="AK328" s="160">
        <f t="shared" si="83"/>
        <v>0</v>
      </c>
      <c r="AL328" s="87"/>
    </row>
    <row r="329" spans="1:38" ht="13.8" x14ac:dyDescent="0.25">
      <c r="A329" s="158" t="s">
        <v>840</v>
      </c>
      <c r="B329" s="81" t="str">
        <f t="shared" si="82"/>
        <v>INSTRUMENT_PBLC_GRNT_SCHM_C19_NM</v>
      </c>
      <c r="C329" s="82" t="s">
        <v>414</v>
      </c>
      <c r="D329" s="99" t="s">
        <v>841</v>
      </c>
      <c r="E329" s="100" t="s">
        <v>842</v>
      </c>
      <c r="F329" s="101" t="s">
        <v>13</v>
      </c>
      <c r="G329" s="101" t="s">
        <v>11</v>
      </c>
      <c r="H329" s="85" t="s">
        <v>11</v>
      </c>
      <c r="I329" s="85" t="s">
        <v>11</v>
      </c>
      <c r="J329" s="85" t="s">
        <v>11</v>
      </c>
      <c r="K329" s="101" t="s">
        <v>11</v>
      </c>
      <c r="L329" s="86" t="str">
        <f>IFERROR(VLOOKUP($B329,'LISTA - Atual'!$B$1:$I$444,5,0),"Novo")</f>
        <v>Y</v>
      </c>
      <c r="M329" s="86" t="str">
        <f t="shared" si="77"/>
        <v>Igual</v>
      </c>
      <c r="N329" s="86" t="str">
        <f>IFERROR(VLOOKUP($B329,'LISTA - Atual'!$B$1:$I$444,6,0),"Novo")</f>
        <v>N</v>
      </c>
      <c r="O329" s="86" t="str">
        <f t="shared" si="78"/>
        <v>Igual</v>
      </c>
      <c r="P329" s="86" t="str">
        <f>IFERROR(VLOOKUP($B329,'LISTA - Atual'!$B$1:$I$444,7,0),"Novo")</f>
        <v>N</v>
      </c>
      <c r="Q329" s="86" t="str">
        <f t="shared" si="79"/>
        <v>Igual</v>
      </c>
      <c r="R329" s="86" t="s">
        <v>1563</v>
      </c>
      <c r="S329" s="86" t="str">
        <f>IFERROR(VLOOKUP($B329,'LISTA - Atual'!$B$1:$I$444,8,0),"Novo")</f>
        <v>N</v>
      </c>
      <c r="T329" s="86" t="str">
        <f t="shared" si="80"/>
        <v>Igual</v>
      </c>
      <c r="U329" s="86" t="s">
        <v>1563</v>
      </c>
      <c r="V329" s="86" t="s">
        <v>11</v>
      </c>
      <c r="W329" s="87" t="str">
        <f>IFERROR(VLOOKUP(B329,#REF!,11,0),"n/a")</f>
        <v>n/a</v>
      </c>
      <c r="X329" s="87" t="str">
        <f>IFERROR(VLOOKUP(B329,#REF!,8,0),"n/a")</f>
        <v>n/a</v>
      </c>
      <c r="Y329" s="87" t="str">
        <f t="shared" si="76"/>
        <v>ESTR</v>
      </c>
      <c r="Z329" s="131" t="s">
        <v>1605</v>
      </c>
      <c r="AA329" s="227" t="e">
        <f>VLOOKUP(Table1[[#This Row],[CONCAT]],'Campos Resumo Prop2.0'!A:H,8,0)</f>
        <v>#N/A</v>
      </c>
      <c r="AB329" s="87" t="s">
        <v>1652</v>
      </c>
      <c r="AC329" s="135" t="s">
        <v>1625</v>
      </c>
      <c r="AD329" s="91">
        <f>INDEX(Auxiliar!$D$5:$I$10,MATCH('LISTA - Setembro2024'!AD$3,Auxiliar!$B$5:$B$10,0),MATCH('LISTA - Setembro2024'!$AC329,Auxiliar!$D$4:$I$4,0))</f>
        <v>0</v>
      </c>
      <c r="AE329" s="91">
        <f>INDEX(Auxiliar!$D$5:$I$10,MATCH('LISTA - Setembro2024'!AE$3,Auxiliar!$B$5:$B$10,0),MATCH('LISTA - Setembro2024'!$AC329,Auxiliar!$D$4:$I$4,0))</f>
        <v>0</v>
      </c>
      <c r="AF329" s="87">
        <f>INDEX(Auxiliar!$D$5:$I$10,MATCH('LISTA - Setembro2024'!AF$3,Auxiliar!$B$5:$B$10,0),MATCH('LISTA - Setembro2024'!$AC329,Auxiliar!$D$4:$I$4,0))</f>
        <v>0</v>
      </c>
      <c r="AG329" s="87" t="str">
        <f t="shared" si="81"/>
        <v>n.a.</v>
      </c>
      <c r="AH329" s="87">
        <f>INDEX(Auxiliar!$D$5:$I$10,MATCH('LISTA - Setembro2024'!AH$3,Auxiliar!$B$5:$B$10,0),MATCH('LISTA - Setembro2024'!$AG329,Auxiliar!$D$4:$I$4,0))</f>
        <v>0</v>
      </c>
      <c r="AI329" s="87">
        <f>INDEX(Auxiliar!$D$5:$I$10,MATCH('LISTA - Setembro2024'!AI$3,Auxiliar!$B$5:$B$10,0),MATCH('LISTA - Setembro2024'!$AC329,Auxiliar!$D$4:$I$4,0))</f>
        <v>0</v>
      </c>
      <c r="AJ329" s="87">
        <f>INDEX(Auxiliar!$D$5:$I$10,MATCH('LISTA - Setembro2024'!AJ$3,Auxiliar!$B$5:$B$10,0),MATCH('LISTA - Setembro2024'!$AC329,Auxiliar!$D$4:$I$4,0))</f>
        <v>0</v>
      </c>
      <c r="AK329" s="160">
        <f t="shared" si="83"/>
        <v>0</v>
      </c>
      <c r="AL329" s="87"/>
    </row>
    <row r="330" spans="1:38" ht="13.8" x14ac:dyDescent="0.25">
      <c r="A330" s="158" t="s">
        <v>843</v>
      </c>
      <c r="B330" s="81" t="str">
        <f t="shared" si="82"/>
        <v>INSTRUMENT_PMNT_PBLC_GRNT_SCHM_C19</v>
      </c>
      <c r="C330" s="82" t="s">
        <v>414</v>
      </c>
      <c r="D330" s="99" t="s">
        <v>844</v>
      </c>
      <c r="E330" s="100" t="s">
        <v>845</v>
      </c>
      <c r="F330" s="101" t="s">
        <v>13</v>
      </c>
      <c r="G330" s="101" t="s">
        <v>11</v>
      </c>
      <c r="H330" s="85" t="s">
        <v>11</v>
      </c>
      <c r="I330" s="85" t="s">
        <v>11</v>
      </c>
      <c r="J330" s="85" t="s">
        <v>11</v>
      </c>
      <c r="K330" s="101" t="s">
        <v>11</v>
      </c>
      <c r="L330" s="86" t="str">
        <f>IFERROR(VLOOKUP($B330,'LISTA - Atual'!$B$1:$I$444,5,0),"Novo")</f>
        <v>Y</v>
      </c>
      <c r="M330" s="86" t="str">
        <f t="shared" si="77"/>
        <v>Igual</v>
      </c>
      <c r="N330" s="86" t="str">
        <f>IFERROR(VLOOKUP($B330,'LISTA - Atual'!$B$1:$I$444,6,0),"Novo")</f>
        <v>N</v>
      </c>
      <c r="O330" s="86" t="str">
        <f t="shared" si="78"/>
        <v>Igual</v>
      </c>
      <c r="P330" s="86" t="str">
        <f>IFERROR(VLOOKUP($B330,'LISTA - Atual'!$B$1:$I$444,7,0),"Novo")</f>
        <v>N</v>
      </c>
      <c r="Q330" s="86" t="str">
        <f t="shared" si="79"/>
        <v>Igual</v>
      </c>
      <c r="R330" s="86" t="s">
        <v>1563</v>
      </c>
      <c r="S330" s="86" t="str">
        <f>IFERROR(VLOOKUP($B330,'LISTA - Atual'!$B$1:$I$444,8,0),"Novo")</f>
        <v>N</v>
      </c>
      <c r="T330" s="86" t="str">
        <f t="shared" si="80"/>
        <v>Igual</v>
      </c>
      <c r="U330" s="86" t="s">
        <v>1563</v>
      </c>
      <c r="V330" s="86" t="s">
        <v>11</v>
      </c>
      <c r="W330" s="87" t="str">
        <f>IFERROR(VLOOKUP(B330,#REF!,11,0),"n/a")</f>
        <v>n/a</v>
      </c>
      <c r="X330" s="87" t="str">
        <f>IFERROR(VLOOKUP(B330,#REF!,8,0),"n/a")</f>
        <v>n/a</v>
      </c>
      <c r="Y330" s="87" t="str">
        <f t="shared" si="76"/>
        <v>ESTR</v>
      </c>
      <c r="Z330" s="131" t="s">
        <v>1605</v>
      </c>
      <c r="AA330" s="227" t="e">
        <f>VLOOKUP(Table1[[#This Row],[CONCAT]],'Campos Resumo Prop2.0'!A:H,8,0)</f>
        <v>#N/A</v>
      </c>
      <c r="AB330" s="87" t="s">
        <v>1655</v>
      </c>
      <c r="AC330" s="135" t="s">
        <v>1625</v>
      </c>
      <c r="AD330" s="91">
        <f>INDEX(Auxiliar!$D$5:$I$10,MATCH('LISTA - Setembro2024'!AD$3,Auxiliar!$B$5:$B$10,0),MATCH('LISTA - Setembro2024'!$AC330,Auxiliar!$D$4:$I$4,0))</f>
        <v>0</v>
      </c>
      <c r="AE330" s="91">
        <f>INDEX(Auxiliar!$D$5:$I$10,MATCH('LISTA - Setembro2024'!AE$3,Auxiliar!$B$5:$B$10,0),MATCH('LISTA - Setembro2024'!$AC330,Auxiliar!$D$4:$I$4,0))</f>
        <v>0</v>
      </c>
      <c r="AF330" s="87">
        <f>INDEX(Auxiliar!$D$5:$I$10,MATCH('LISTA - Setembro2024'!AF$3,Auxiliar!$B$5:$B$10,0),MATCH('LISTA - Setembro2024'!$AC330,Auxiliar!$D$4:$I$4,0))</f>
        <v>0</v>
      </c>
      <c r="AG330" s="87" t="str">
        <f t="shared" si="81"/>
        <v>n.a.</v>
      </c>
      <c r="AH330" s="87">
        <f>INDEX(Auxiliar!$D$5:$I$10,MATCH('LISTA - Setembro2024'!AH$3,Auxiliar!$B$5:$B$10,0),MATCH('LISTA - Setembro2024'!$AG330,Auxiliar!$D$4:$I$4,0))</f>
        <v>0</v>
      </c>
      <c r="AI330" s="87">
        <f>INDEX(Auxiliar!$D$5:$I$10,MATCH('LISTA - Setembro2024'!AI$3,Auxiliar!$B$5:$B$10,0),MATCH('LISTA - Setembro2024'!$AC330,Auxiliar!$D$4:$I$4,0))</f>
        <v>0</v>
      </c>
      <c r="AJ330" s="87">
        <f>INDEX(Auxiliar!$D$5:$I$10,MATCH('LISTA - Setembro2024'!AJ$3,Auxiliar!$B$5:$B$10,0),MATCH('LISTA - Setembro2024'!$AC330,Auxiliar!$D$4:$I$4,0))</f>
        <v>0</v>
      </c>
      <c r="AK330" s="160">
        <f t="shared" si="83"/>
        <v>0</v>
      </c>
      <c r="AL330" s="87"/>
    </row>
    <row r="331" spans="1:38" ht="13.8" x14ac:dyDescent="0.25">
      <c r="A331" s="158" t="s">
        <v>846</v>
      </c>
      <c r="B331" s="81" t="str">
        <f t="shared" si="82"/>
        <v>INSTRUMENT_ASST_SCRT_CLSS</v>
      </c>
      <c r="C331" s="82" t="s">
        <v>414</v>
      </c>
      <c r="D331" s="83" t="s">
        <v>847</v>
      </c>
      <c r="E331" s="84" t="s">
        <v>848</v>
      </c>
      <c r="F331" s="85" t="s">
        <v>13</v>
      </c>
      <c r="G331" s="85" t="s">
        <v>11</v>
      </c>
      <c r="H331" s="85" t="s">
        <v>11</v>
      </c>
      <c r="I331" s="85" t="s">
        <v>11</v>
      </c>
      <c r="J331" s="85" t="s">
        <v>11</v>
      </c>
      <c r="K331" s="85" t="s">
        <v>11</v>
      </c>
      <c r="L331" s="86" t="str">
        <f>IFERROR(VLOOKUP($B331,'LISTA - Atual'!$B$1:$I$444,5,0),"Novo")</f>
        <v>Y</v>
      </c>
      <c r="M331" s="86" t="str">
        <f t="shared" si="77"/>
        <v>Igual</v>
      </c>
      <c r="N331" s="86" t="str">
        <f>IFERROR(VLOOKUP($B331,'LISTA - Atual'!$B$1:$I$444,6,0),"Novo")</f>
        <v>N</v>
      </c>
      <c r="O331" s="86" t="str">
        <f t="shared" si="78"/>
        <v>Igual</v>
      </c>
      <c r="P331" s="86" t="str">
        <f>IFERROR(VLOOKUP($B331,'LISTA - Atual'!$B$1:$I$444,7,0),"Novo")</f>
        <v>N</v>
      </c>
      <c r="Q331" s="86" t="str">
        <f t="shared" si="79"/>
        <v>Igual</v>
      </c>
      <c r="R331" s="86" t="s">
        <v>1563</v>
      </c>
      <c r="S331" s="86" t="str">
        <f>IFERROR(VLOOKUP($B331,'LISTA - Atual'!$B$1:$I$444,8,0),"Novo")</f>
        <v>N</v>
      </c>
      <c r="T331" s="86" t="str">
        <f t="shared" si="80"/>
        <v>Igual</v>
      </c>
      <c r="U331" s="86" t="s">
        <v>1563</v>
      </c>
      <c r="V331" s="86" t="s">
        <v>11</v>
      </c>
      <c r="W331" s="87" t="str">
        <f>IFERROR(VLOOKUP(B331,#REF!,11,0),"n/a")</f>
        <v>n/a</v>
      </c>
      <c r="X331" s="87" t="str">
        <f>IFERROR(VLOOKUP(B331,#REF!,8,0),"n/a")</f>
        <v>n/a</v>
      </c>
      <c r="Y331" s="87" t="str">
        <f t="shared" si="76"/>
        <v>ESTR</v>
      </c>
      <c r="Z331" s="131" t="s">
        <v>1605</v>
      </c>
      <c r="AA331" s="227" t="e">
        <f>VLOOKUP(Table1[[#This Row],[CONCAT]],'Campos Resumo Prop2.0'!A:H,8,0)</f>
        <v>#N/A</v>
      </c>
      <c r="AB331" s="87" t="s">
        <v>1650</v>
      </c>
      <c r="AC331" s="135" t="s">
        <v>1625</v>
      </c>
      <c r="AD331" s="91">
        <f>INDEX(Auxiliar!$D$5:$I$10,MATCH('LISTA - Setembro2024'!AD$3,Auxiliar!$B$5:$B$10,0),MATCH('LISTA - Setembro2024'!$AC331,Auxiliar!$D$4:$I$4,0))</f>
        <v>0</v>
      </c>
      <c r="AE331" s="91">
        <f>INDEX(Auxiliar!$D$5:$I$10,MATCH('LISTA - Setembro2024'!AE$3,Auxiliar!$B$5:$B$10,0),MATCH('LISTA - Setembro2024'!$AC331,Auxiliar!$D$4:$I$4,0))</f>
        <v>0</v>
      </c>
      <c r="AF331" s="87">
        <f>INDEX(Auxiliar!$D$5:$I$10,MATCH('LISTA - Setembro2024'!AF$3,Auxiliar!$B$5:$B$10,0),MATCH('LISTA - Setembro2024'!$AC331,Auxiliar!$D$4:$I$4,0))</f>
        <v>0</v>
      </c>
      <c r="AG331" s="87" t="str">
        <f t="shared" si="81"/>
        <v>n.a.</v>
      </c>
      <c r="AH331" s="87">
        <f>INDEX(Auxiliar!$D$5:$I$10,MATCH('LISTA - Setembro2024'!AH$3,Auxiliar!$B$5:$B$10,0),MATCH('LISTA - Setembro2024'!$AG331,Auxiliar!$D$4:$I$4,0))</f>
        <v>0</v>
      </c>
      <c r="AI331" s="87">
        <f>INDEX(Auxiliar!$D$5:$I$10,MATCH('LISTA - Setembro2024'!AI$3,Auxiliar!$B$5:$B$10,0),MATCH('LISTA - Setembro2024'!$AC331,Auxiliar!$D$4:$I$4,0))</f>
        <v>0</v>
      </c>
      <c r="AJ331" s="87">
        <f>INDEX(Auxiliar!$D$5:$I$10,MATCH('LISTA - Setembro2024'!AJ$3,Auxiliar!$B$5:$B$10,0),MATCH('LISTA - Setembro2024'!$AC331,Auxiliar!$D$4:$I$4,0))</f>
        <v>0</v>
      </c>
      <c r="AK331" s="160">
        <f t="shared" si="83"/>
        <v>0</v>
      </c>
      <c r="AL331" s="87"/>
    </row>
    <row r="332" spans="1:38" ht="13.8" x14ac:dyDescent="0.25">
      <c r="A332" s="158" t="s">
        <v>849</v>
      </c>
      <c r="B332" s="81" t="str">
        <f t="shared" si="82"/>
        <v>INSTRUMENT_CPN_CRRNCY</v>
      </c>
      <c r="C332" s="82" t="s">
        <v>414</v>
      </c>
      <c r="D332" s="83" t="s">
        <v>850</v>
      </c>
      <c r="E332" s="84" t="s">
        <v>851</v>
      </c>
      <c r="F332" s="85" t="s">
        <v>13</v>
      </c>
      <c r="G332" s="85" t="s">
        <v>11</v>
      </c>
      <c r="H332" s="85" t="s">
        <v>11</v>
      </c>
      <c r="I332" s="85" t="s">
        <v>11</v>
      </c>
      <c r="J332" s="85" t="s">
        <v>11</v>
      </c>
      <c r="K332" s="85" t="s">
        <v>11</v>
      </c>
      <c r="L332" s="86" t="str">
        <f>IFERROR(VLOOKUP($B332,'LISTA - Atual'!$B$1:$I$444,5,0),"Novo")</f>
        <v>Y</v>
      </c>
      <c r="M332" s="86" t="str">
        <f t="shared" si="77"/>
        <v>Igual</v>
      </c>
      <c r="N332" s="86" t="str">
        <f>IFERROR(VLOOKUP($B332,'LISTA - Atual'!$B$1:$I$444,6,0),"Novo")</f>
        <v>N</v>
      </c>
      <c r="O332" s="86" t="str">
        <f t="shared" si="78"/>
        <v>Igual</v>
      </c>
      <c r="P332" s="86" t="str">
        <f>IFERROR(VLOOKUP($B332,'LISTA - Atual'!$B$1:$I$444,7,0),"Novo")</f>
        <v>N</v>
      </c>
      <c r="Q332" s="86" t="str">
        <f t="shared" si="79"/>
        <v>Igual</v>
      </c>
      <c r="R332" s="86" t="s">
        <v>1563</v>
      </c>
      <c r="S332" s="86" t="str">
        <f>IFERROR(VLOOKUP($B332,'LISTA - Atual'!$B$1:$I$444,8,0),"Novo")</f>
        <v>N</v>
      </c>
      <c r="T332" s="86" t="str">
        <f t="shared" si="80"/>
        <v>Igual</v>
      </c>
      <c r="U332" s="86" t="s">
        <v>1563</v>
      </c>
      <c r="V332" s="86" t="s">
        <v>11</v>
      </c>
      <c r="W332" s="87" t="str">
        <f>IFERROR(VLOOKUP(B332,#REF!,11,0),"n/a")</f>
        <v>n/a</v>
      </c>
      <c r="X332" s="87" t="str">
        <f>IFERROR(VLOOKUP(B332,#REF!,8,0),"n/a")</f>
        <v>n/a</v>
      </c>
      <c r="Y332" s="87" t="str">
        <f t="shared" si="76"/>
        <v>ESTR</v>
      </c>
      <c r="Z332" s="131" t="s">
        <v>1605</v>
      </c>
      <c r="AA332" s="227" t="e">
        <f>VLOOKUP(Table1[[#This Row],[CONCAT]],'Campos Resumo Prop2.0'!A:H,8,0)</f>
        <v>#N/A</v>
      </c>
      <c r="AB332" s="87" t="s">
        <v>1650</v>
      </c>
      <c r="AC332" s="135" t="s">
        <v>1625</v>
      </c>
      <c r="AD332" s="91">
        <f>INDEX(Auxiliar!$D$5:$I$10,MATCH('LISTA - Setembro2024'!AD$3,Auxiliar!$B$5:$B$10,0),MATCH('LISTA - Setembro2024'!$AC332,Auxiliar!$D$4:$I$4,0))</f>
        <v>0</v>
      </c>
      <c r="AE332" s="91">
        <f>INDEX(Auxiliar!$D$5:$I$10,MATCH('LISTA - Setembro2024'!AE$3,Auxiliar!$B$5:$B$10,0),MATCH('LISTA - Setembro2024'!$AC332,Auxiliar!$D$4:$I$4,0))</f>
        <v>0</v>
      </c>
      <c r="AF332" s="87">
        <f>INDEX(Auxiliar!$D$5:$I$10,MATCH('LISTA - Setembro2024'!AF$3,Auxiliar!$B$5:$B$10,0),MATCH('LISTA - Setembro2024'!$AC332,Auxiliar!$D$4:$I$4,0))</f>
        <v>0</v>
      </c>
      <c r="AG332" s="87" t="str">
        <f t="shared" si="81"/>
        <v>n.a.</v>
      </c>
      <c r="AH332" s="87">
        <f>INDEX(Auxiliar!$D$5:$I$10,MATCH('LISTA - Setembro2024'!AH$3,Auxiliar!$B$5:$B$10,0),MATCH('LISTA - Setembro2024'!$AG332,Auxiliar!$D$4:$I$4,0))</f>
        <v>0</v>
      </c>
      <c r="AI332" s="87">
        <f>INDEX(Auxiliar!$D$5:$I$10,MATCH('LISTA - Setembro2024'!AI$3,Auxiliar!$B$5:$B$10,0),MATCH('LISTA - Setembro2024'!$AC332,Auxiliar!$D$4:$I$4,0))</f>
        <v>0</v>
      </c>
      <c r="AJ332" s="87">
        <f>INDEX(Auxiliar!$D$5:$I$10,MATCH('LISTA - Setembro2024'!AJ$3,Auxiliar!$B$5:$B$10,0),MATCH('LISTA - Setembro2024'!$AC332,Auxiliar!$D$4:$I$4,0))</f>
        <v>0</v>
      </c>
      <c r="AK332" s="160">
        <f t="shared" si="83"/>
        <v>0</v>
      </c>
      <c r="AL332" s="87"/>
    </row>
    <row r="333" spans="1:38" ht="13.8" x14ac:dyDescent="0.25">
      <c r="A333" s="158" t="s">
        <v>852</v>
      </c>
      <c r="B333" s="81" t="str">
        <f t="shared" si="82"/>
        <v>INSTRUMENT_CPN_RT_FXD</v>
      </c>
      <c r="C333" s="82" t="s">
        <v>414</v>
      </c>
      <c r="D333" s="83" t="s">
        <v>1328</v>
      </c>
      <c r="E333" s="102" t="s">
        <v>855</v>
      </c>
      <c r="F333" s="85" t="s">
        <v>13</v>
      </c>
      <c r="G333" s="85" t="s">
        <v>11</v>
      </c>
      <c r="H333" s="85" t="s">
        <v>11</v>
      </c>
      <c r="I333" s="85" t="s">
        <v>11</v>
      </c>
      <c r="J333" s="85" t="s">
        <v>11</v>
      </c>
      <c r="K333" s="85" t="s">
        <v>11</v>
      </c>
      <c r="L333" s="86" t="str">
        <f>IFERROR(VLOOKUP($B333,'LISTA - Atual'!$B$1:$I$444,5,0),"Novo")</f>
        <v>Novo</v>
      </c>
      <c r="M333" s="86" t="str">
        <f t="shared" si="77"/>
        <v>Novo Campo</v>
      </c>
      <c r="N333" s="86" t="str">
        <f>IFERROR(VLOOKUP($B333,'LISTA - Atual'!$B$1:$I$444,6,0),"Novo")</f>
        <v>Novo</v>
      </c>
      <c r="O333" s="86" t="str">
        <f t="shared" si="78"/>
        <v>Novo Campo</v>
      </c>
      <c r="P333" s="86" t="str">
        <f>IFERROR(VLOOKUP($B333,'LISTA - Atual'!$B$1:$I$444,7,0),"Novo")</f>
        <v>Novo</v>
      </c>
      <c r="Q333" s="86" t="str">
        <f t="shared" si="79"/>
        <v>Novo Campo</v>
      </c>
      <c r="R333" s="86" t="s">
        <v>1563</v>
      </c>
      <c r="S333" s="86" t="str">
        <f>IFERROR(VLOOKUP($B333,'LISTA - Atual'!$B$1:$I$444,8,0),"Novo")</f>
        <v>Novo</v>
      </c>
      <c r="T333" s="86" t="str">
        <f t="shared" si="80"/>
        <v>Novo Campo</v>
      </c>
      <c r="U333" s="86" t="s">
        <v>1563</v>
      </c>
      <c r="V333" s="86" t="s">
        <v>11</v>
      </c>
      <c r="W333" s="87" t="str">
        <f>IFERROR(VLOOKUP(B333,#REF!,11,0),"n/a")</f>
        <v>n/a</v>
      </c>
      <c r="X333" s="87" t="str">
        <f>IFERROR(VLOOKUP(B333,#REF!,8,0),"n/a")</f>
        <v>n/a</v>
      </c>
      <c r="Y333" s="87" t="str">
        <f t="shared" si="76"/>
        <v>ESTR</v>
      </c>
      <c r="Z333" s="131" t="s">
        <v>1570</v>
      </c>
      <c r="AA333" s="227" t="e">
        <f>VLOOKUP(Table1[[#This Row],[CONCAT]],'Campos Resumo Prop2.0'!A:H,8,0)</f>
        <v>#N/A</v>
      </c>
      <c r="AB333" s="87" t="s">
        <v>1656</v>
      </c>
      <c r="AC333" s="88" t="s">
        <v>1625</v>
      </c>
      <c r="AD333" s="91">
        <f>INDEX(Auxiliar!$D$5:$I$10,MATCH('LISTA - Setembro2024'!AD$3,Auxiliar!$B$5:$B$10,0),MATCH('LISTA - Setembro2024'!$AC333,Auxiliar!$D$4:$I$4,0))</f>
        <v>0</v>
      </c>
      <c r="AE333" s="91">
        <f>INDEX(Auxiliar!$D$5:$I$10,MATCH('LISTA - Setembro2024'!AE$3,Auxiliar!$B$5:$B$10,0),MATCH('LISTA - Setembro2024'!$AC333,Auxiliar!$D$4:$I$4,0))</f>
        <v>0</v>
      </c>
      <c r="AF333" s="87">
        <f>INDEX(Auxiliar!$D$5:$I$10,MATCH('LISTA - Setembro2024'!AF$3,Auxiliar!$B$5:$B$10,0),MATCH('LISTA - Setembro2024'!$AC333,Auxiliar!$D$4:$I$4,0))</f>
        <v>0</v>
      </c>
      <c r="AG333" s="87" t="str">
        <f t="shared" si="81"/>
        <v>n.a.</v>
      </c>
      <c r="AH333" s="87">
        <f>INDEX(Auxiliar!$D$5:$I$10,MATCH('LISTA - Setembro2024'!AH$3,Auxiliar!$B$5:$B$10,0),MATCH('LISTA - Setembro2024'!$AG333,Auxiliar!$D$4:$I$4,0))</f>
        <v>0</v>
      </c>
      <c r="AI333" s="87">
        <f>INDEX(Auxiliar!$D$5:$I$10,MATCH('LISTA - Setembro2024'!AI$3,Auxiliar!$B$5:$B$10,0),MATCH('LISTA - Setembro2024'!$AC333,Auxiliar!$D$4:$I$4,0))</f>
        <v>0</v>
      </c>
      <c r="AJ333" s="87">
        <f>INDEX(Auxiliar!$D$5:$I$10,MATCH('LISTA - Setembro2024'!AJ$3,Auxiliar!$B$5:$B$10,0),MATCH('LISTA - Setembro2024'!$AC333,Auxiliar!$D$4:$I$4,0))</f>
        <v>0</v>
      </c>
      <c r="AK333" s="160">
        <f t="shared" si="83"/>
        <v>0</v>
      </c>
      <c r="AL333" s="87"/>
    </row>
    <row r="334" spans="1:38" ht="13.8" x14ac:dyDescent="0.25">
      <c r="A334" s="158" t="s">
        <v>856</v>
      </c>
      <c r="B334" s="81" t="str">
        <f t="shared" si="82"/>
        <v>INSTRUMENT_DT_VLTN</v>
      </c>
      <c r="C334" s="82" t="s">
        <v>414</v>
      </c>
      <c r="D334" s="83" t="s">
        <v>857</v>
      </c>
      <c r="E334" s="84" t="s">
        <v>858</v>
      </c>
      <c r="F334" s="85" t="s">
        <v>13</v>
      </c>
      <c r="G334" s="85" t="s">
        <v>11</v>
      </c>
      <c r="H334" s="85" t="s">
        <v>11</v>
      </c>
      <c r="I334" s="85" t="s">
        <v>11</v>
      </c>
      <c r="J334" s="85" t="s">
        <v>11</v>
      </c>
      <c r="K334" s="85" t="s">
        <v>11</v>
      </c>
      <c r="L334" s="86" t="str">
        <f>IFERROR(VLOOKUP($B334,'LISTA - Atual'!$B$1:$I$444,5,0),"Novo")</f>
        <v>Y</v>
      </c>
      <c r="M334" s="86" t="str">
        <f t="shared" si="77"/>
        <v>Igual</v>
      </c>
      <c r="N334" s="86" t="str">
        <f>IFERROR(VLOOKUP($B334,'LISTA - Atual'!$B$1:$I$444,6,0),"Novo")</f>
        <v>N</v>
      </c>
      <c r="O334" s="86" t="str">
        <f t="shared" si="78"/>
        <v>Igual</v>
      </c>
      <c r="P334" s="86" t="str">
        <f>IFERROR(VLOOKUP($B334,'LISTA - Atual'!$B$1:$I$444,7,0),"Novo")</f>
        <v>N</v>
      </c>
      <c r="Q334" s="86" t="str">
        <f t="shared" si="79"/>
        <v>Igual</v>
      </c>
      <c r="R334" s="86" t="s">
        <v>1563</v>
      </c>
      <c r="S334" s="86" t="str">
        <f>IFERROR(VLOOKUP($B334,'LISTA - Atual'!$B$1:$I$444,8,0),"Novo")</f>
        <v>N</v>
      </c>
      <c r="T334" s="86" t="str">
        <f t="shared" si="80"/>
        <v>Igual</v>
      </c>
      <c r="U334" s="86" t="s">
        <v>1563</v>
      </c>
      <c r="V334" s="86" t="s">
        <v>11</v>
      </c>
      <c r="W334" s="87" t="str">
        <f>IFERROR(VLOOKUP(B334,#REF!,11,0),"n/a")</f>
        <v>n/a</v>
      </c>
      <c r="X334" s="87" t="str">
        <f>IFERROR(VLOOKUP(B334,#REF!,8,0),"n/a")</f>
        <v>n/a</v>
      </c>
      <c r="Y334" s="87" t="str">
        <f t="shared" si="76"/>
        <v>ESTR</v>
      </c>
      <c r="Z334" s="131" t="s">
        <v>1605</v>
      </c>
      <c r="AA334" s="227" t="e">
        <f>VLOOKUP(Table1[[#This Row],[CONCAT]],'Campos Resumo Prop2.0'!A:H,8,0)</f>
        <v>#N/A</v>
      </c>
      <c r="AB334" s="87" t="s">
        <v>1651</v>
      </c>
      <c r="AC334" s="135" t="s">
        <v>1625</v>
      </c>
      <c r="AD334" s="91">
        <f>INDEX(Auxiliar!$D$5:$I$10,MATCH('LISTA - Setembro2024'!AD$3,Auxiliar!$B$5:$B$10,0),MATCH('LISTA - Setembro2024'!$AC334,Auxiliar!$D$4:$I$4,0))</f>
        <v>0</v>
      </c>
      <c r="AE334" s="91">
        <f>INDEX(Auxiliar!$D$5:$I$10,MATCH('LISTA - Setembro2024'!AE$3,Auxiliar!$B$5:$B$10,0),MATCH('LISTA - Setembro2024'!$AC334,Auxiliar!$D$4:$I$4,0))</f>
        <v>0</v>
      </c>
      <c r="AF334" s="87">
        <f>INDEX(Auxiliar!$D$5:$I$10,MATCH('LISTA - Setembro2024'!AF$3,Auxiliar!$B$5:$B$10,0),MATCH('LISTA - Setembro2024'!$AC334,Auxiliar!$D$4:$I$4,0))</f>
        <v>0</v>
      </c>
      <c r="AG334" s="87" t="str">
        <f t="shared" si="81"/>
        <v>n.a.</v>
      </c>
      <c r="AH334" s="87">
        <f>INDEX(Auxiliar!$D$5:$I$10,MATCH('LISTA - Setembro2024'!AH$3,Auxiliar!$B$5:$B$10,0),MATCH('LISTA - Setembro2024'!$AG334,Auxiliar!$D$4:$I$4,0))</f>
        <v>0</v>
      </c>
      <c r="AI334" s="87">
        <f>INDEX(Auxiliar!$D$5:$I$10,MATCH('LISTA - Setembro2024'!AI$3,Auxiliar!$B$5:$B$10,0),MATCH('LISTA - Setembro2024'!$AC334,Auxiliar!$D$4:$I$4,0))</f>
        <v>0</v>
      </c>
      <c r="AJ334" s="87">
        <f>INDEX(Auxiliar!$D$5:$I$10,MATCH('LISTA - Setembro2024'!AJ$3,Auxiliar!$B$5:$B$10,0),MATCH('LISTA - Setembro2024'!$AC334,Auxiliar!$D$4:$I$4,0))</f>
        <v>0</v>
      </c>
      <c r="AK334" s="160">
        <f t="shared" si="83"/>
        <v>0</v>
      </c>
      <c r="AL334" s="87"/>
    </row>
    <row r="335" spans="1:38" ht="13.8" x14ac:dyDescent="0.25">
      <c r="A335" s="158" t="s">
        <v>859</v>
      </c>
      <c r="B335" s="81" t="str">
        <f t="shared" si="82"/>
        <v>INSTRUMENT_ELGBLTY_ECB</v>
      </c>
      <c r="C335" s="82" t="s">
        <v>414</v>
      </c>
      <c r="D335" s="83" t="s">
        <v>860</v>
      </c>
      <c r="E335" s="84" t="s">
        <v>861</v>
      </c>
      <c r="F335" s="85" t="s">
        <v>13</v>
      </c>
      <c r="G335" s="85" t="s">
        <v>11</v>
      </c>
      <c r="H335" s="85" t="s">
        <v>11</v>
      </c>
      <c r="I335" s="85" t="s">
        <v>11</v>
      </c>
      <c r="J335" s="85" t="s">
        <v>11</v>
      </c>
      <c r="K335" s="85" t="s">
        <v>11</v>
      </c>
      <c r="L335" s="86" t="str">
        <f>IFERROR(VLOOKUP($B335,'LISTA - Atual'!$B$1:$I$444,5,0),"Novo")</f>
        <v>Y</v>
      </c>
      <c r="M335" s="86" t="str">
        <f t="shared" si="77"/>
        <v>Igual</v>
      </c>
      <c r="N335" s="86" t="str">
        <f>IFERROR(VLOOKUP($B335,'LISTA - Atual'!$B$1:$I$444,6,0),"Novo")</f>
        <v>N</v>
      </c>
      <c r="O335" s="86" t="str">
        <f t="shared" si="78"/>
        <v>Igual</v>
      </c>
      <c r="P335" s="86" t="str">
        <f>IFERROR(VLOOKUP($B335,'LISTA - Atual'!$B$1:$I$444,7,0),"Novo")</f>
        <v>N</v>
      </c>
      <c r="Q335" s="86" t="str">
        <f t="shared" si="79"/>
        <v>Igual</v>
      </c>
      <c r="R335" s="86" t="s">
        <v>1563</v>
      </c>
      <c r="S335" s="86" t="str">
        <f>IFERROR(VLOOKUP($B335,'LISTA - Atual'!$B$1:$I$444,8,0),"Novo")</f>
        <v>N</v>
      </c>
      <c r="T335" s="86" t="str">
        <f t="shared" si="80"/>
        <v>Igual</v>
      </c>
      <c r="U335" s="86" t="s">
        <v>1563</v>
      </c>
      <c r="V335" s="86" t="s">
        <v>11</v>
      </c>
      <c r="W335" s="87" t="str">
        <f>IFERROR(VLOOKUP(B335,#REF!,11,0),"n/a")</f>
        <v>n/a</v>
      </c>
      <c r="X335" s="87" t="str">
        <f>IFERROR(VLOOKUP(B335,#REF!,8,0),"n/a")</f>
        <v>n/a</v>
      </c>
      <c r="Y335" s="87" t="str">
        <f t="shared" si="76"/>
        <v>ESTR</v>
      </c>
      <c r="Z335" s="131" t="s">
        <v>1605</v>
      </c>
      <c r="AA335" s="227" t="e">
        <f>VLOOKUP(Table1[[#This Row],[CONCAT]],'Campos Resumo Prop2.0'!A:H,8,0)</f>
        <v>#N/A</v>
      </c>
      <c r="AB335" s="87" t="s">
        <v>1654</v>
      </c>
      <c r="AC335" s="135" t="s">
        <v>1625</v>
      </c>
      <c r="AD335" s="91">
        <f>INDEX(Auxiliar!$D$5:$I$10,MATCH('LISTA - Setembro2024'!AD$3,Auxiliar!$B$5:$B$10,0),MATCH('LISTA - Setembro2024'!$AC335,Auxiliar!$D$4:$I$4,0))</f>
        <v>0</v>
      </c>
      <c r="AE335" s="91">
        <f>INDEX(Auxiliar!$D$5:$I$10,MATCH('LISTA - Setembro2024'!AE$3,Auxiliar!$B$5:$B$10,0),MATCH('LISTA - Setembro2024'!$AC335,Auxiliar!$D$4:$I$4,0))</f>
        <v>0</v>
      </c>
      <c r="AF335" s="87">
        <f>INDEX(Auxiliar!$D$5:$I$10,MATCH('LISTA - Setembro2024'!AF$3,Auxiliar!$B$5:$B$10,0),MATCH('LISTA - Setembro2024'!$AC335,Auxiliar!$D$4:$I$4,0))</f>
        <v>0</v>
      </c>
      <c r="AG335" s="87" t="str">
        <f t="shared" si="81"/>
        <v>n.a.</v>
      </c>
      <c r="AH335" s="87">
        <f>INDEX(Auxiliar!$D$5:$I$10,MATCH('LISTA - Setembro2024'!AH$3,Auxiliar!$B$5:$B$10,0),MATCH('LISTA - Setembro2024'!$AG335,Auxiliar!$D$4:$I$4,0))</f>
        <v>0</v>
      </c>
      <c r="AI335" s="87">
        <f>INDEX(Auxiliar!$D$5:$I$10,MATCH('LISTA - Setembro2024'!AI$3,Auxiliar!$B$5:$B$10,0),MATCH('LISTA - Setembro2024'!$AC335,Auxiliar!$D$4:$I$4,0))</f>
        <v>0</v>
      </c>
      <c r="AJ335" s="87">
        <f>INDEX(Auxiliar!$D$5:$I$10,MATCH('LISTA - Setembro2024'!AJ$3,Auxiliar!$B$5:$B$10,0),MATCH('LISTA - Setembro2024'!$AC335,Auxiliar!$D$4:$I$4,0))</f>
        <v>0</v>
      </c>
      <c r="AK335" s="160">
        <f t="shared" si="83"/>
        <v>0</v>
      </c>
      <c r="AL335" s="87"/>
    </row>
    <row r="336" spans="1:38" ht="13.8" x14ac:dyDescent="0.25">
      <c r="A336" s="158" t="s">
        <v>862</v>
      </c>
      <c r="B336" s="81" t="str">
        <f t="shared" si="82"/>
        <v>INSTRUMENT_GRNTR_ID</v>
      </c>
      <c r="C336" s="82" t="s">
        <v>414</v>
      </c>
      <c r="D336" s="83" t="s">
        <v>863</v>
      </c>
      <c r="E336" s="84" t="s">
        <v>864</v>
      </c>
      <c r="F336" s="85" t="s">
        <v>13</v>
      </c>
      <c r="G336" s="85" t="s">
        <v>11</v>
      </c>
      <c r="H336" s="85" t="s">
        <v>11</v>
      </c>
      <c r="I336" s="85" t="s">
        <v>11</v>
      </c>
      <c r="J336" s="85" t="s">
        <v>11</v>
      </c>
      <c r="K336" s="85" t="s">
        <v>11</v>
      </c>
      <c r="L336" s="86" t="str">
        <f>IFERROR(VLOOKUP($B336,'LISTA - Atual'!$B$1:$I$444,5,0),"Novo")</f>
        <v>Y</v>
      </c>
      <c r="M336" s="86" t="str">
        <f t="shared" si="77"/>
        <v>Igual</v>
      </c>
      <c r="N336" s="86" t="str">
        <f>IFERROR(VLOOKUP($B336,'LISTA - Atual'!$B$1:$I$444,6,0),"Novo")</f>
        <v>N</v>
      </c>
      <c r="O336" s="86" t="str">
        <f t="shared" si="78"/>
        <v>Igual</v>
      </c>
      <c r="P336" s="86" t="str">
        <f>IFERROR(VLOOKUP($B336,'LISTA - Atual'!$B$1:$I$444,7,0),"Novo")</f>
        <v>N</v>
      </c>
      <c r="Q336" s="86" t="str">
        <f t="shared" si="79"/>
        <v>Igual</v>
      </c>
      <c r="R336" s="86" t="s">
        <v>1563</v>
      </c>
      <c r="S336" s="86" t="str">
        <f>IFERROR(VLOOKUP($B336,'LISTA - Atual'!$B$1:$I$444,8,0),"Novo")</f>
        <v>N</v>
      </c>
      <c r="T336" s="86" t="str">
        <f t="shared" si="80"/>
        <v>Igual</v>
      </c>
      <c r="U336" s="86" t="s">
        <v>1563</v>
      </c>
      <c r="V336" s="86" t="s">
        <v>11</v>
      </c>
      <c r="W336" s="87" t="str">
        <f>IFERROR(VLOOKUP(B336,#REF!,11,0),"n/a")</f>
        <v>n/a</v>
      </c>
      <c r="X336" s="87" t="str">
        <f>IFERROR(VLOOKUP(B336,#REF!,8,0),"n/a")</f>
        <v>n/a</v>
      </c>
      <c r="Y336" s="87" t="str">
        <f t="shared" si="76"/>
        <v>ESTR</v>
      </c>
      <c r="Z336" s="131" t="s">
        <v>1605</v>
      </c>
      <c r="AA336" s="227" t="e">
        <f>VLOOKUP(Table1[[#This Row],[CONCAT]],'Campos Resumo Prop2.0'!A:H,8,0)</f>
        <v>#N/A</v>
      </c>
      <c r="AB336" s="87" t="s">
        <v>1662</v>
      </c>
      <c r="AC336" s="135" t="s">
        <v>1625</v>
      </c>
      <c r="AD336" s="91">
        <f>INDEX(Auxiliar!$D$5:$I$10,MATCH('LISTA - Setembro2024'!AD$3,Auxiliar!$B$5:$B$10,0),MATCH('LISTA - Setembro2024'!$AC336,Auxiliar!$D$4:$I$4,0))</f>
        <v>0</v>
      </c>
      <c r="AE336" s="91">
        <f>INDEX(Auxiliar!$D$5:$I$10,MATCH('LISTA - Setembro2024'!AE$3,Auxiliar!$B$5:$B$10,0),MATCH('LISTA - Setembro2024'!$AC336,Auxiliar!$D$4:$I$4,0))</f>
        <v>0</v>
      </c>
      <c r="AF336" s="87">
        <f>INDEX(Auxiliar!$D$5:$I$10,MATCH('LISTA - Setembro2024'!AF$3,Auxiliar!$B$5:$B$10,0),MATCH('LISTA - Setembro2024'!$AC336,Auxiliar!$D$4:$I$4,0))</f>
        <v>0</v>
      </c>
      <c r="AG336" s="87" t="str">
        <f t="shared" si="81"/>
        <v>n.a.</v>
      </c>
      <c r="AH336" s="87">
        <f>INDEX(Auxiliar!$D$5:$I$10,MATCH('LISTA - Setembro2024'!AH$3,Auxiliar!$B$5:$B$10,0),MATCH('LISTA - Setembro2024'!$AG336,Auxiliar!$D$4:$I$4,0))</f>
        <v>0</v>
      </c>
      <c r="AI336" s="87">
        <f>INDEX(Auxiliar!$D$5:$I$10,MATCH('LISTA - Setembro2024'!AI$3,Auxiliar!$B$5:$B$10,0),MATCH('LISTA - Setembro2024'!$AC336,Auxiliar!$D$4:$I$4,0))</f>
        <v>0</v>
      </c>
      <c r="AJ336" s="87">
        <f>INDEX(Auxiliar!$D$5:$I$10,MATCH('LISTA - Setembro2024'!AJ$3,Auxiliar!$B$5:$B$10,0),MATCH('LISTA - Setembro2024'!$AC336,Auxiliar!$D$4:$I$4,0))</f>
        <v>0</v>
      </c>
      <c r="AK336" s="160">
        <f t="shared" si="83"/>
        <v>0</v>
      </c>
      <c r="AL336" s="87"/>
    </row>
    <row r="337" spans="1:38" ht="13.8" x14ac:dyDescent="0.25">
      <c r="A337" s="158" t="s">
        <v>865</v>
      </c>
      <c r="B337" s="81" t="str">
        <f t="shared" si="82"/>
        <v>INSTRUMENT_GRNTR_ID_TYP</v>
      </c>
      <c r="C337" s="82" t="s">
        <v>414</v>
      </c>
      <c r="D337" s="83" t="s">
        <v>866</v>
      </c>
      <c r="E337" s="84" t="s">
        <v>867</v>
      </c>
      <c r="F337" s="85" t="s">
        <v>13</v>
      </c>
      <c r="G337" s="85" t="s">
        <v>11</v>
      </c>
      <c r="H337" s="85" t="s">
        <v>11</v>
      </c>
      <c r="I337" s="85" t="s">
        <v>11</v>
      </c>
      <c r="J337" s="85" t="s">
        <v>11</v>
      </c>
      <c r="K337" s="85" t="s">
        <v>11</v>
      </c>
      <c r="L337" s="86" t="str">
        <f>IFERROR(VLOOKUP($B337,'LISTA - Atual'!$B$1:$I$444,5,0),"Novo")</f>
        <v>Y</v>
      </c>
      <c r="M337" s="86" t="str">
        <f t="shared" si="77"/>
        <v>Igual</v>
      </c>
      <c r="N337" s="86" t="str">
        <f>IFERROR(VLOOKUP($B337,'LISTA - Atual'!$B$1:$I$444,6,0),"Novo")</f>
        <v>N</v>
      </c>
      <c r="O337" s="86" t="str">
        <f t="shared" si="78"/>
        <v>Igual</v>
      </c>
      <c r="P337" s="86" t="str">
        <f>IFERROR(VLOOKUP($B337,'LISTA - Atual'!$B$1:$I$444,7,0),"Novo")</f>
        <v>N</v>
      </c>
      <c r="Q337" s="86" t="str">
        <f t="shared" si="79"/>
        <v>Igual</v>
      </c>
      <c r="R337" s="86" t="s">
        <v>1563</v>
      </c>
      <c r="S337" s="86" t="str">
        <f>IFERROR(VLOOKUP($B337,'LISTA - Atual'!$B$1:$I$444,8,0),"Novo")</f>
        <v>N</v>
      </c>
      <c r="T337" s="86" t="str">
        <f t="shared" si="80"/>
        <v>Igual</v>
      </c>
      <c r="U337" s="86" t="s">
        <v>1563</v>
      </c>
      <c r="V337" s="86" t="s">
        <v>11</v>
      </c>
      <c r="W337" s="87" t="str">
        <f>IFERROR(VLOOKUP(B337,#REF!,11,0),"n/a")</f>
        <v>n/a</v>
      </c>
      <c r="X337" s="87" t="str">
        <f>IFERROR(VLOOKUP(B337,#REF!,8,0),"n/a")</f>
        <v>n/a</v>
      </c>
      <c r="Y337" s="87" t="str">
        <f t="shared" si="76"/>
        <v>ESTR</v>
      </c>
      <c r="Z337" s="131" t="s">
        <v>1605</v>
      </c>
      <c r="AA337" s="227" t="e">
        <f>VLOOKUP(Table1[[#This Row],[CONCAT]],'Campos Resumo Prop2.0'!A:H,8,0)</f>
        <v>#N/A</v>
      </c>
      <c r="AB337" s="87" t="s">
        <v>1650</v>
      </c>
      <c r="AC337" s="135" t="s">
        <v>1625</v>
      </c>
      <c r="AD337" s="91">
        <f>INDEX(Auxiliar!$D$5:$I$10,MATCH('LISTA - Setembro2024'!AD$3,Auxiliar!$B$5:$B$10,0),MATCH('LISTA - Setembro2024'!$AC337,Auxiliar!$D$4:$I$4,0))</f>
        <v>0</v>
      </c>
      <c r="AE337" s="91">
        <f>INDEX(Auxiliar!$D$5:$I$10,MATCH('LISTA - Setembro2024'!AE$3,Auxiliar!$B$5:$B$10,0),MATCH('LISTA - Setembro2024'!$AC337,Auxiliar!$D$4:$I$4,0))</f>
        <v>0</v>
      </c>
      <c r="AF337" s="87">
        <f>INDEX(Auxiliar!$D$5:$I$10,MATCH('LISTA - Setembro2024'!AF$3,Auxiliar!$B$5:$B$10,0),MATCH('LISTA - Setembro2024'!$AC337,Auxiliar!$D$4:$I$4,0))</f>
        <v>0</v>
      </c>
      <c r="AG337" s="87" t="str">
        <f t="shared" si="81"/>
        <v>n.a.</v>
      </c>
      <c r="AH337" s="87">
        <f>INDEX(Auxiliar!$D$5:$I$10,MATCH('LISTA - Setembro2024'!AH$3,Auxiliar!$B$5:$B$10,0),MATCH('LISTA - Setembro2024'!$AG337,Auxiliar!$D$4:$I$4,0))</f>
        <v>0</v>
      </c>
      <c r="AI337" s="87">
        <f>INDEX(Auxiliar!$D$5:$I$10,MATCH('LISTA - Setembro2024'!AI$3,Auxiliar!$B$5:$B$10,0),MATCH('LISTA - Setembro2024'!$AC337,Auxiliar!$D$4:$I$4,0))</f>
        <v>0</v>
      </c>
      <c r="AJ337" s="87">
        <f>INDEX(Auxiliar!$D$5:$I$10,MATCH('LISTA - Setembro2024'!AJ$3,Auxiliar!$B$5:$B$10,0),MATCH('LISTA - Setembro2024'!$AC337,Auxiliar!$D$4:$I$4,0))</f>
        <v>0</v>
      </c>
      <c r="AK337" s="160">
        <f t="shared" si="83"/>
        <v>0</v>
      </c>
      <c r="AL337" s="87"/>
    </row>
    <row r="338" spans="1:38" ht="13.8" x14ac:dyDescent="0.25">
      <c r="A338" s="158" t="s">
        <v>868</v>
      </c>
      <c r="B338" s="81" t="str">
        <f t="shared" si="82"/>
        <v>INSTRUMENT_HEDGE_ID</v>
      </c>
      <c r="C338" s="82" t="s">
        <v>414</v>
      </c>
      <c r="D338" s="83" t="s">
        <v>869</v>
      </c>
      <c r="E338" s="84" t="s">
        <v>870</v>
      </c>
      <c r="F338" s="85" t="s">
        <v>13</v>
      </c>
      <c r="G338" s="85" t="s">
        <v>11</v>
      </c>
      <c r="H338" s="85" t="s">
        <v>11</v>
      </c>
      <c r="I338" s="85" t="s">
        <v>11</v>
      </c>
      <c r="J338" s="85" t="s">
        <v>11</v>
      </c>
      <c r="K338" s="85" t="s">
        <v>11</v>
      </c>
      <c r="L338" s="86" t="str">
        <f>IFERROR(VLOOKUP($B338,'LISTA - Atual'!$B$1:$I$444,5,0),"Novo")</f>
        <v>Y</v>
      </c>
      <c r="M338" s="86" t="str">
        <f t="shared" si="77"/>
        <v>Igual</v>
      </c>
      <c r="N338" s="86" t="str">
        <f>IFERROR(VLOOKUP($B338,'LISTA - Atual'!$B$1:$I$444,6,0),"Novo")</f>
        <v>N</v>
      </c>
      <c r="O338" s="86" t="str">
        <f t="shared" si="78"/>
        <v>Igual</v>
      </c>
      <c r="P338" s="86" t="str">
        <f>IFERROR(VLOOKUP($B338,'LISTA - Atual'!$B$1:$I$444,7,0),"Novo")</f>
        <v>N</v>
      </c>
      <c r="Q338" s="86" t="str">
        <f t="shared" si="79"/>
        <v>Igual</v>
      </c>
      <c r="R338" s="86" t="s">
        <v>1563</v>
      </c>
      <c r="S338" s="86" t="str">
        <f>IFERROR(VLOOKUP($B338,'LISTA - Atual'!$B$1:$I$444,8,0),"Novo")</f>
        <v>N</v>
      </c>
      <c r="T338" s="86" t="str">
        <f t="shared" si="80"/>
        <v>Igual</v>
      </c>
      <c r="U338" s="86" t="s">
        <v>1563</v>
      </c>
      <c r="V338" s="86" t="s">
        <v>11</v>
      </c>
      <c r="W338" s="87" t="str">
        <f>IFERROR(VLOOKUP(B338,#REF!,11,0),"n/a")</f>
        <v>n/a</v>
      </c>
      <c r="X338" s="87" t="str">
        <f>IFERROR(VLOOKUP(B338,#REF!,8,0),"n/a")</f>
        <v>n/a</v>
      </c>
      <c r="Y338" s="87" t="str">
        <f t="shared" si="76"/>
        <v>ESTR</v>
      </c>
      <c r="Z338" s="131" t="s">
        <v>1605</v>
      </c>
      <c r="AA338" s="227" t="e">
        <f>VLOOKUP(Table1[[#This Row],[CONCAT]],'Campos Resumo Prop2.0'!A:H,8,0)</f>
        <v>#N/A</v>
      </c>
      <c r="AB338" s="87" t="s">
        <v>1662</v>
      </c>
      <c r="AC338" s="135" t="s">
        <v>1625</v>
      </c>
      <c r="AD338" s="91">
        <f>INDEX(Auxiliar!$D$5:$I$10,MATCH('LISTA - Setembro2024'!AD$3,Auxiliar!$B$5:$B$10,0),MATCH('LISTA - Setembro2024'!$AC338,Auxiliar!$D$4:$I$4,0))</f>
        <v>0</v>
      </c>
      <c r="AE338" s="91">
        <f>INDEX(Auxiliar!$D$5:$I$10,MATCH('LISTA - Setembro2024'!AE$3,Auxiliar!$B$5:$B$10,0),MATCH('LISTA - Setembro2024'!$AC338,Auxiliar!$D$4:$I$4,0))</f>
        <v>0</v>
      </c>
      <c r="AF338" s="87">
        <f>INDEX(Auxiliar!$D$5:$I$10,MATCH('LISTA - Setembro2024'!AF$3,Auxiliar!$B$5:$B$10,0),MATCH('LISTA - Setembro2024'!$AC338,Auxiliar!$D$4:$I$4,0))</f>
        <v>0</v>
      </c>
      <c r="AG338" s="87" t="str">
        <f t="shared" si="81"/>
        <v>n.a.</v>
      </c>
      <c r="AH338" s="87">
        <f>INDEX(Auxiliar!$D$5:$I$10,MATCH('LISTA - Setembro2024'!AH$3,Auxiliar!$B$5:$B$10,0),MATCH('LISTA - Setembro2024'!$AG338,Auxiliar!$D$4:$I$4,0))</f>
        <v>0</v>
      </c>
      <c r="AI338" s="87">
        <f>INDEX(Auxiliar!$D$5:$I$10,MATCH('LISTA - Setembro2024'!AI$3,Auxiliar!$B$5:$B$10,0),MATCH('LISTA - Setembro2024'!$AC338,Auxiliar!$D$4:$I$4,0))</f>
        <v>0</v>
      </c>
      <c r="AJ338" s="87">
        <f>INDEX(Auxiliar!$D$5:$I$10,MATCH('LISTA - Setembro2024'!AJ$3,Auxiliar!$B$5:$B$10,0),MATCH('LISTA - Setembro2024'!$AC338,Auxiliar!$D$4:$I$4,0))</f>
        <v>0</v>
      </c>
      <c r="AK338" s="160">
        <f t="shared" si="83"/>
        <v>0</v>
      </c>
      <c r="AL338" s="87"/>
    </row>
    <row r="339" spans="1:38" ht="13.8" x14ac:dyDescent="0.25">
      <c r="A339" s="158" t="s">
        <v>871</v>
      </c>
      <c r="B339" s="81" t="str">
        <f t="shared" si="82"/>
        <v>INSTRUMENT_INSTR_SNRTY_CLSS</v>
      </c>
      <c r="C339" s="82" t="s">
        <v>414</v>
      </c>
      <c r="D339" s="83" t="s">
        <v>872</v>
      </c>
      <c r="E339" s="84" t="s">
        <v>873</v>
      </c>
      <c r="F339" s="85" t="s">
        <v>13</v>
      </c>
      <c r="G339" s="85" t="s">
        <v>11</v>
      </c>
      <c r="H339" s="85" t="s">
        <v>11</v>
      </c>
      <c r="I339" s="85" t="s">
        <v>11</v>
      </c>
      <c r="J339" s="85" t="s">
        <v>11</v>
      </c>
      <c r="K339" s="85" t="s">
        <v>13</v>
      </c>
      <c r="L339" s="86" t="str">
        <f>IFERROR(VLOOKUP($B339,'LISTA - Atual'!$B$1:$I$444,5,0),"Novo")</f>
        <v>Y</v>
      </c>
      <c r="M339" s="86" t="str">
        <f t="shared" si="77"/>
        <v>Igual</v>
      </c>
      <c r="N339" s="86" t="str">
        <f>IFERROR(VLOOKUP($B339,'LISTA - Atual'!$B$1:$I$444,6,0),"Novo")</f>
        <v>N</v>
      </c>
      <c r="O339" s="86" t="str">
        <f t="shared" si="78"/>
        <v>Igual</v>
      </c>
      <c r="P339" s="86" t="str">
        <f>IFERROR(VLOOKUP($B339,'LISTA - Atual'!$B$1:$I$444,7,0),"Novo")</f>
        <v>N</v>
      </c>
      <c r="Q339" s="86" t="str">
        <f t="shared" si="79"/>
        <v>Igual</v>
      </c>
      <c r="R339" s="86" t="s">
        <v>1563</v>
      </c>
      <c r="S339" s="86" t="str">
        <f>IFERROR(VLOOKUP($B339,'LISTA - Atual'!$B$1:$I$444,8,0),"Novo")</f>
        <v>N</v>
      </c>
      <c r="T339" s="86" t="str">
        <f t="shared" si="80"/>
        <v>Igual</v>
      </c>
      <c r="U339" s="86" t="s">
        <v>1563</v>
      </c>
      <c r="V339" s="86" t="s">
        <v>11</v>
      </c>
      <c r="W339" s="87" t="str">
        <f>IFERROR(VLOOKUP(B339,#REF!,11,0),"n/a")</f>
        <v>n/a</v>
      </c>
      <c r="X339" s="87" t="str">
        <f>IFERROR(VLOOKUP(B339,#REF!,8,0),"n/a")</f>
        <v>n/a</v>
      </c>
      <c r="Y339" s="87" t="str">
        <f t="shared" si="76"/>
        <v>ESTR</v>
      </c>
      <c r="Z339" s="131" t="s">
        <v>1605</v>
      </c>
      <c r="AA339" s="227" t="e">
        <f>VLOOKUP(Table1[[#This Row],[CONCAT]],'Campos Resumo Prop2.0'!A:H,8,0)</f>
        <v>#N/A</v>
      </c>
      <c r="AB339" s="87" t="s">
        <v>1650</v>
      </c>
      <c r="AC339" s="135" t="s">
        <v>1625</v>
      </c>
      <c r="AD339" s="91">
        <f>INDEX(Auxiliar!$D$5:$I$10,MATCH('LISTA - Setembro2024'!AD$3,Auxiliar!$B$5:$B$10,0),MATCH('LISTA - Setembro2024'!$AC339,Auxiliar!$D$4:$I$4,0))</f>
        <v>0</v>
      </c>
      <c r="AE339" s="91">
        <f>INDEX(Auxiliar!$D$5:$I$10,MATCH('LISTA - Setembro2024'!AE$3,Auxiliar!$B$5:$B$10,0),MATCH('LISTA - Setembro2024'!$AC339,Auxiliar!$D$4:$I$4,0))</f>
        <v>0</v>
      </c>
      <c r="AF339" s="87">
        <f>INDEX(Auxiliar!$D$5:$I$10,MATCH('LISTA - Setembro2024'!AF$3,Auxiliar!$B$5:$B$10,0),MATCH('LISTA - Setembro2024'!$AC339,Auxiliar!$D$4:$I$4,0))</f>
        <v>0</v>
      </c>
      <c r="AG339" s="87" t="str">
        <f t="shared" si="81"/>
        <v>n.a.</v>
      </c>
      <c r="AH339" s="87">
        <f>INDEX(Auxiliar!$D$5:$I$10,MATCH('LISTA - Setembro2024'!AH$3,Auxiliar!$B$5:$B$10,0),MATCH('LISTA - Setembro2024'!$AG339,Auxiliar!$D$4:$I$4,0))</f>
        <v>0</v>
      </c>
      <c r="AI339" s="87">
        <f>INDEX(Auxiliar!$D$5:$I$10,MATCH('LISTA - Setembro2024'!AI$3,Auxiliar!$B$5:$B$10,0),MATCH('LISTA - Setembro2024'!$AC339,Auxiliar!$D$4:$I$4,0))</f>
        <v>0</v>
      </c>
      <c r="AJ339" s="87">
        <f>INDEX(Auxiliar!$D$5:$I$10,MATCH('LISTA - Setembro2024'!AJ$3,Auxiliar!$B$5:$B$10,0),MATCH('LISTA - Setembro2024'!$AC339,Auxiliar!$D$4:$I$4,0))</f>
        <v>0</v>
      </c>
      <c r="AK339" s="160">
        <f t="shared" si="83"/>
        <v>0</v>
      </c>
      <c r="AL339" s="87"/>
    </row>
    <row r="340" spans="1:38" ht="13.8" x14ac:dyDescent="0.25">
      <c r="A340" s="158" t="s">
        <v>874</v>
      </c>
      <c r="B340" s="81" t="str">
        <f t="shared" si="82"/>
        <v>INSTRUMENT_INSTRMNT_CLSS</v>
      </c>
      <c r="C340" s="82" t="s">
        <v>414</v>
      </c>
      <c r="D340" s="83" t="s">
        <v>875</v>
      </c>
      <c r="E340" s="84" t="s">
        <v>876</v>
      </c>
      <c r="F340" s="85" t="s">
        <v>13</v>
      </c>
      <c r="G340" s="85" t="s">
        <v>11</v>
      </c>
      <c r="H340" s="85" t="s">
        <v>11</v>
      </c>
      <c r="I340" s="85" t="s">
        <v>11</v>
      </c>
      <c r="J340" s="85" t="s">
        <v>11</v>
      </c>
      <c r="K340" s="85" t="s">
        <v>11</v>
      </c>
      <c r="L340" s="86" t="str">
        <f>IFERROR(VLOOKUP($B340,'LISTA - Atual'!$B$1:$I$444,5,0),"Novo")</f>
        <v>Y</v>
      </c>
      <c r="M340" s="86" t="str">
        <f t="shared" si="77"/>
        <v>Igual</v>
      </c>
      <c r="N340" s="86" t="str">
        <f>IFERROR(VLOOKUP($B340,'LISTA - Atual'!$B$1:$I$444,6,0),"Novo")</f>
        <v>N</v>
      </c>
      <c r="O340" s="86" t="str">
        <f t="shared" si="78"/>
        <v>Igual</v>
      </c>
      <c r="P340" s="86" t="str">
        <f>IFERROR(VLOOKUP($B340,'LISTA - Atual'!$B$1:$I$444,7,0),"Novo")</f>
        <v>N</v>
      </c>
      <c r="Q340" s="86" t="str">
        <f t="shared" si="79"/>
        <v>Igual</v>
      </c>
      <c r="R340" s="86" t="s">
        <v>1563</v>
      </c>
      <c r="S340" s="86" t="str">
        <f>IFERROR(VLOOKUP($B340,'LISTA - Atual'!$B$1:$I$444,8,0),"Novo")</f>
        <v>N</v>
      </c>
      <c r="T340" s="86" t="str">
        <f t="shared" si="80"/>
        <v>Igual</v>
      </c>
      <c r="U340" s="86" t="s">
        <v>1563</v>
      </c>
      <c r="V340" s="86" t="s">
        <v>11</v>
      </c>
      <c r="W340" s="87" t="str">
        <f>IFERROR(VLOOKUP(B340,#REF!,11,0),"n/a")</f>
        <v>n/a</v>
      </c>
      <c r="X340" s="87" t="str">
        <f>IFERROR(VLOOKUP(B340,#REF!,8,0),"n/a")</f>
        <v>n/a</v>
      </c>
      <c r="Y340" s="87" t="str">
        <f t="shared" si="76"/>
        <v>ESTR</v>
      </c>
      <c r="Z340" s="131" t="s">
        <v>1605</v>
      </c>
      <c r="AA340" s="227" t="e">
        <f>VLOOKUP(Table1[[#This Row],[CONCAT]],'Campos Resumo Prop2.0'!A:H,8,0)</f>
        <v>#N/A</v>
      </c>
      <c r="AB340" s="87" t="s">
        <v>1650</v>
      </c>
      <c r="AC340" s="135" t="s">
        <v>1625</v>
      </c>
      <c r="AD340" s="91">
        <f>INDEX(Auxiliar!$D$5:$I$10,MATCH('LISTA - Setembro2024'!AD$3,Auxiliar!$B$5:$B$10,0),MATCH('LISTA - Setembro2024'!$AC340,Auxiliar!$D$4:$I$4,0))</f>
        <v>0</v>
      </c>
      <c r="AE340" s="91">
        <f>INDEX(Auxiliar!$D$5:$I$10,MATCH('LISTA - Setembro2024'!AE$3,Auxiliar!$B$5:$B$10,0),MATCH('LISTA - Setembro2024'!$AC340,Auxiliar!$D$4:$I$4,0))</f>
        <v>0</v>
      </c>
      <c r="AF340" s="87">
        <f>INDEX(Auxiliar!$D$5:$I$10,MATCH('LISTA - Setembro2024'!AF$3,Auxiliar!$B$5:$B$10,0),MATCH('LISTA - Setembro2024'!$AC340,Auxiliar!$D$4:$I$4,0))</f>
        <v>0</v>
      </c>
      <c r="AG340" s="87" t="str">
        <f t="shared" si="81"/>
        <v>n.a.</v>
      </c>
      <c r="AH340" s="87">
        <f>INDEX(Auxiliar!$D$5:$I$10,MATCH('LISTA - Setembro2024'!AH$3,Auxiliar!$B$5:$B$10,0),MATCH('LISTA - Setembro2024'!$AG340,Auxiliar!$D$4:$I$4,0))</f>
        <v>0</v>
      </c>
      <c r="AI340" s="87">
        <f>INDEX(Auxiliar!$D$5:$I$10,MATCH('LISTA - Setembro2024'!AI$3,Auxiliar!$B$5:$B$10,0),MATCH('LISTA - Setembro2024'!$AC340,Auxiliar!$D$4:$I$4,0))</f>
        <v>0</v>
      </c>
      <c r="AJ340" s="87">
        <f>INDEX(Auxiliar!$D$5:$I$10,MATCH('LISTA - Setembro2024'!AJ$3,Auxiliar!$B$5:$B$10,0),MATCH('LISTA - Setembro2024'!$AC340,Auxiliar!$D$4:$I$4,0))</f>
        <v>0</v>
      </c>
      <c r="AK340" s="160">
        <f t="shared" si="83"/>
        <v>0</v>
      </c>
      <c r="AL340" s="87"/>
    </row>
    <row r="341" spans="1:38" ht="13.8" x14ac:dyDescent="0.25">
      <c r="A341" s="158" t="s">
        <v>877</v>
      </c>
      <c r="B341" s="81" t="str">
        <f t="shared" si="82"/>
        <v>INSTRUMENT_ISIN</v>
      </c>
      <c r="C341" s="82" t="s">
        <v>414</v>
      </c>
      <c r="D341" s="83" t="s">
        <v>347</v>
      </c>
      <c r="E341" s="84" t="s">
        <v>347</v>
      </c>
      <c r="F341" s="85" t="s">
        <v>13</v>
      </c>
      <c r="G341" s="85" t="s">
        <v>11</v>
      </c>
      <c r="H341" s="85" t="s">
        <v>11</v>
      </c>
      <c r="I341" s="85" t="s">
        <v>11</v>
      </c>
      <c r="J341" s="85" t="s">
        <v>11</v>
      </c>
      <c r="K341" s="85" t="s">
        <v>11</v>
      </c>
      <c r="L341" s="86" t="str">
        <f>IFERROR(VLOOKUP($B341,'LISTA - Atual'!$B$1:$I$444,5,0),"Novo")</f>
        <v>Y</v>
      </c>
      <c r="M341" s="86" t="str">
        <f t="shared" si="77"/>
        <v>Igual</v>
      </c>
      <c r="N341" s="86" t="str">
        <f>IFERROR(VLOOKUP($B341,'LISTA - Atual'!$B$1:$I$444,6,0),"Novo")</f>
        <v>N</v>
      </c>
      <c r="O341" s="86" t="str">
        <f t="shared" si="78"/>
        <v>Igual</v>
      </c>
      <c r="P341" s="86" t="str">
        <f>IFERROR(VLOOKUP($B341,'LISTA - Atual'!$B$1:$I$444,7,0),"Novo")</f>
        <v>N</v>
      </c>
      <c r="Q341" s="86" t="str">
        <f t="shared" si="79"/>
        <v>Igual</v>
      </c>
      <c r="R341" s="86" t="s">
        <v>1563</v>
      </c>
      <c r="S341" s="86" t="str">
        <f>IFERROR(VLOOKUP($B341,'LISTA - Atual'!$B$1:$I$444,8,0),"Novo")</f>
        <v>N</v>
      </c>
      <c r="T341" s="86" t="str">
        <f t="shared" si="80"/>
        <v>Igual</v>
      </c>
      <c r="U341" s="86" t="s">
        <v>1563</v>
      </c>
      <c r="V341" s="86" t="s">
        <v>11</v>
      </c>
      <c r="W341" s="87" t="str">
        <f>IFERROR(VLOOKUP(B341,#REF!,11,0),"n/a")</f>
        <v>n/a</v>
      </c>
      <c r="X341" s="87" t="str">
        <f>IFERROR(VLOOKUP(B341,#REF!,8,0),"n/a")</f>
        <v>n/a</v>
      </c>
      <c r="Y341" s="87" t="str">
        <f t="shared" si="76"/>
        <v>ESTR</v>
      </c>
      <c r="Z341" s="131" t="s">
        <v>1605</v>
      </c>
      <c r="AA341" s="227" t="e">
        <f>VLOOKUP(Table1[[#This Row],[CONCAT]],'Campos Resumo Prop2.0'!A:H,8,0)</f>
        <v>#N/A</v>
      </c>
      <c r="AB341" s="87" t="s">
        <v>1657</v>
      </c>
      <c r="AC341" s="135" t="s">
        <v>1625</v>
      </c>
      <c r="AD341" s="91">
        <f>INDEX(Auxiliar!$D$5:$I$10,MATCH('LISTA - Setembro2024'!AD$3,Auxiliar!$B$5:$B$10,0),MATCH('LISTA - Setembro2024'!$AC341,Auxiliar!$D$4:$I$4,0))</f>
        <v>0</v>
      </c>
      <c r="AE341" s="91">
        <f>INDEX(Auxiliar!$D$5:$I$10,MATCH('LISTA - Setembro2024'!AE$3,Auxiliar!$B$5:$B$10,0),MATCH('LISTA - Setembro2024'!$AC341,Auxiliar!$D$4:$I$4,0))</f>
        <v>0</v>
      </c>
      <c r="AF341" s="87">
        <f>INDEX(Auxiliar!$D$5:$I$10,MATCH('LISTA - Setembro2024'!AF$3,Auxiliar!$B$5:$B$10,0),MATCH('LISTA - Setembro2024'!$AC341,Auxiliar!$D$4:$I$4,0))</f>
        <v>0</v>
      </c>
      <c r="AG341" s="87" t="str">
        <f t="shared" si="81"/>
        <v>n.a.</v>
      </c>
      <c r="AH341" s="87">
        <f>INDEX(Auxiliar!$D$5:$I$10,MATCH('LISTA - Setembro2024'!AH$3,Auxiliar!$B$5:$B$10,0),MATCH('LISTA - Setembro2024'!$AG341,Auxiliar!$D$4:$I$4,0))</f>
        <v>0</v>
      </c>
      <c r="AI341" s="87">
        <f>INDEX(Auxiliar!$D$5:$I$10,MATCH('LISTA - Setembro2024'!AI$3,Auxiliar!$B$5:$B$10,0),MATCH('LISTA - Setembro2024'!$AC341,Auxiliar!$D$4:$I$4,0))</f>
        <v>0</v>
      </c>
      <c r="AJ341" s="87">
        <f>INDEX(Auxiliar!$D$5:$I$10,MATCH('LISTA - Setembro2024'!AJ$3,Auxiliar!$B$5:$B$10,0),MATCH('LISTA - Setembro2024'!$AC341,Auxiliar!$D$4:$I$4,0))</f>
        <v>0</v>
      </c>
      <c r="AK341" s="160">
        <f t="shared" si="83"/>
        <v>0</v>
      </c>
      <c r="AL341" s="87"/>
    </row>
    <row r="342" spans="1:38" ht="13.8" x14ac:dyDescent="0.25">
      <c r="A342" s="158" t="s">
        <v>878</v>
      </c>
      <c r="B342" s="81" t="str">
        <f t="shared" si="82"/>
        <v>INSTRUMENT_ISSR_CNTRY</v>
      </c>
      <c r="C342" s="82" t="s">
        <v>414</v>
      </c>
      <c r="D342" s="83" t="s">
        <v>879</v>
      </c>
      <c r="E342" s="84" t="s">
        <v>880</v>
      </c>
      <c r="F342" s="85" t="s">
        <v>13</v>
      </c>
      <c r="G342" s="85" t="s">
        <v>11</v>
      </c>
      <c r="H342" s="85" t="s">
        <v>13</v>
      </c>
      <c r="I342" s="85" t="s">
        <v>11</v>
      </c>
      <c r="J342" s="85" t="s">
        <v>11</v>
      </c>
      <c r="K342" s="85" t="s">
        <v>11</v>
      </c>
      <c r="L342" s="86" t="str">
        <f>IFERROR(VLOOKUP($B342,'LISTA - Atual'!$B$1:$I$444,5,0),"Novo")</f>
        <v>Y</v>
      </c>
      <c r="M342" s="86" t="str">
        <f t="shared" si="77"/>
        <v>Igual</v>
      </c>
      <c r="N342" s="86" t="str">
        <f>IFERROR(VLOOKUP($B342,'LISTA - Atual'!$B$1:$I$444,6,0),"Novo")</f>
        <v>N</v>
      </c>
      <c r="O342" s="86" t="str">
        <f t="shared" si="78"/>
        <v>Igual</v>
      </c>
      <c r="P342" s="86" t="str">
        <f>IFERROR(VLOOKUP($B342,'LISTA - Atual'!$B$1:$I$444,7,0),"Novo")</f>
        <v>Y</v>
      </c>
      <c r="Q342" s="86" t="str">
        <f t="shared" si="79"/>
        <v>Igual</v>
      </c>
      <c r="R342" s="86" t="s">
        <v>1563</v>
      </c>
      <c r="S342" s="86" t="str">
        <f>IFERROR(VLOOKUP($B342,'LISTA - Atual'!$B$1:$I$444,8,0),"Novo")</f>
        <v>N</v>
      </c>
      <c r="T342" s="86" t="str">
        <f t="shared" si="80"/>
        <v>Igual</v>
      </c>
      <c r="U342" s="86" t="s">
        <v>1563</v>
      </c>
      <c r="V342" s="86" t="s">
        <v>11</v>
      </c>
      <c r="W342" s="87" t="str">
        <f>IFERROR(VLOOKUP(B342,#REF!,11,0),"n/a")</f>
        <v>n/a</v>
      </c>
      <c r="X342" s="87" t="str">
        <f>IFERROR(VLOOKUP(B342,#REF!,8,0),"n/a")</f>
        <v>n/a</v>
      </c>
      <c r="Y342" s="87" t="str">
        <f>$F$2&amp;$Y$1&amp;$H$2</f>
        <v>ESTR &amp; PILAR3</v>
      </c>
      <c r="Z342" s="131" t="s">
        <v>1605</v>
      </c>
      <c r="AA342" s="227" t="e">
        <f>VLOOKUP(Table1[[#This Row],[CONCAT]],'Campos Resumo Prop2.0'!A:H,8,0)</f>
        <v>#N/A</v>
      </c>
      <c r="AB342" s="87" t="s">
        <v>1650</v>
      </c>
      <c r="AC342" s="135" t="s">
        <v>1625</v>
      </c>
      <c r="AD342" s="91">
        <f>INDEX(Auxiliar!$D$5:$I$10,MATCH('LISTA - Setembro2024'!AD$3,Auxiliar!$B$5:$B$10,0),MATCH('LISTA - Setembro2024'!$AC342,Auxiliar!$D$4:$I$4,0))</f>
        <v>0</v>
      </c>
      <c r="AE342" s="91">
        <f>INDEX(Auxiliar!$D$5:$I$10,MATCH('LISTA - Setembro2024'!AE$3,Auxiliar!$B$5:$B$10,0),MATCH('LISTA - Setembro2024'!$AC342,Auxiliar!$D$4:$I$4,0))</f>
        <v>0</v>
      </c>
      <c r="AF342" s="87">
        <f>INDEX(Auxiliar!$D$5:$I$10,MATCH('LISTA - Setembro2024'!AF$3,Auxiliar!$B$5:$B$10,0),MATCH('LISTA - Setembro2024'!$AC342,Auxiliar!$D$4:$I$4,0))</f>
        <v>0</v>
      </c>
      <c r="AG342" s="87" t="str">
        <f t="shared" si="81"/>
        <v>n.a.</v>
      </c>
      <c r="AH342" s="87">
        <f>INDEX(Auxiliar!$D$5:$I$10,MATCH('LISTA - Setembro2024'!AH$3,Auxiliar!$B$5:$B$10,0),MATCH('LISTA - Setembro2024'!$AG342,Auxiliar!$D$4:$I$4,0))</f>
        <v>0</v>
      </c>
      <c r="AI342" s="87">
        <f>INDEX(Auxiliar!$D$5:$I$10,MATCH('LISTA - Setembro2024'!AI$3,Auxiliar!$B$5:$B$10,0),MATCH('LISTA - Setembro2024'!$AC342,Auxiliar!$D$4:$I$4,0))</f>
        <v>0</v>
      </c>
      <c r="AJ342" s="87">
        <f>INDEX(Auxiliar!$D$5:$I$10,MATCH('LISTA - Setembro2024'!AJ$3,Auxiliar!$B$5:$B$10,0),MATCH('LISTA - Setembro2024'!$AC342,Auxiliar!$D$4:$I$4,0))</f>
        <v>0</v>
      </c>
      <c r="AK342" s="160">
        <f t="shared" si="83"/>
        <v>0</v>
      </c>
      <c r="AL342" s="87"/>
    </row>
    <row r="343" spans="1:38" ht="13.8" x14ac:dyDescent="0.25">
      <c r="A343" s="158" t="s">
        <v>881</v>
      </c>
      <c r="B343" s="81" t="str">
        <f t="shared" si="82"/>
        <v>INSTRUMENT_ISSR_ESA_2010</v>
      </c>
      <c r="C343" s="82" t="s">
        <v>414</v>
      </c>
      <c r="D343" s="83" t="s">
        <v>882</v>
      </c>
      <c r="E343" s="84" t="s">
        <v>883</v>
      </c>
      <c r="F343" s="85" t="s">
        <v>13</v>
      </c>
      <c r="G343" s="85" t="s">
        <v>11</v>
      </c>
      <c r="H343" s="85" t="s">
        <v>11</v>
      </c>
      <c r="I343" s="85" t="s">
        <v>11</v>
      </c>
      <c r="J343" s="85" t="s">
        <v>11</v>
      </c>
      <c r="K343" s="85" t="s">
        <v>11</v>
      </c>
      <c r="L343" s="86" t="str">
        <f>IFERROR(VLOOKUP($B343,'LISTA - Atual'!$B$1:$I$444,5,0),"Novo")</f>
        <v>Y</v>
      </c>
      <c r="M343" s="86" t="str">
        <f t="shared" si="77"/>
        <v>Igual</v>
      </c>
      <c r="N343" s="86" t="str">
        <f>IFERROR(VLOOKUP($B343,'LISTA - Atual'!$B$1:$I$444,6,0),"Novo")</f>
        <v>N</v>
      </c>
      <c r="O343" s="86" t="str">
        <f t="shared" si="78"/>
        <v>Igual</v>
      </c>
      <c r="P343" s="86" t="str">
        <f>IFERROR(VLOOKUP($B343,'LISTA - Atual'!$B$1:$I$444,7,0),"Novo")</f>
        <v>N</v>
      </c>
      <c r="Q343" s="86" t="str">
        <f t="shared" si="79"/>
        <v>Igual</v>
      </c>
      <c r="R343" s="86" t="s">
        <v>1563</v>
      </c>
      <c r="S343" s="86" t="str">
        <f>IFERROR(VLOOKUP($B343,'LISTA - Atual'!$B$1:$I$444,8,0),"Novo")</f>
        <v>N</v>
      </c>
      <c r="T343" s="86" t="str">
        <f t="shared" si="80"/>
        <v>Igual</v>
      </c>
      <c r="U343" s="86" t="s">
        <v>1563</v>
      </c>
      <c r="V343" s="86" t="s">
        <v>11</v>
      </c>
      <c r="W343" s="87" t="str">
        <f>IFERROR(VLOOKUP(B343,#REF!,11,0),"n/a")</f>
        <v>n/a</v>
      </c>
      <c r="X343" s="87" t="str">
        <f>IFERROR(VLOOKUP(B343,#REF!,8,0),"n/a")</f>
        <v>n/a</v>
      </c>
      <c r="Y343" s="87" t="str">
        <f t="shared" ref="Y343:Y345" si="84">$F$2</f>
        <v>ESTR</v>
      </c>
      <c r="Z343" s="131" t="s">
        <v>1605</v>
      </c>
      <c r="AA343" s="227" t="e">
        <f>VLOOKUP(Table1[[#This Row],[CONCAT]],'Campos Resumo Prop2.0'!A:H,8,0)</f>
        <v>#N/A</v>
      </c>
      <c r="AB343" s="87" t="s">
        <v>1650</v>
      </c>
      <c r="AC343" s="135" t="s">
        <v>1625</v>
      </c>
      <c r="AD343" s="91">
        <f>INDEX(Auxiliar!$D$5:$I$10,MATCH('LISTA - Setembro2024'!AD$3,Auxiliar!$B$5:$B$10,0),MATCH('LISTA - Setembro2024'!$AC343,Auxiliar!$D$4:$I$4,0))</f>
        <v>0</v>
      </c>
      <c r="AE343" s="91">
        <f>INDEX(Auxiliar!$D$5:$I$10,MATCH('LISTA - Setembro2024'!AE$3,Auxiliar!$B$5:$B$10,0),MATCH('LISTA - Setembro2024'!$AC343,Auxiliar!$D$4:$I$4,0))</f>
        <v>0</v>
      </c>
      <c r="AF343" s="87">
        <f>INDEX(Auxiliar!$D$5:$I$10,MATCH('LISTA - Setembro2024'!AF$3,Auxiliar!$B$5:$B$10,0),MATCH('LISTA - Setembro2024'!$AC343,Auxiliar!$D$4:$I$4,0))</f>
        <v>0</v>
      </c>
      <c r="AG343" s="87" t="str">
        <f t="shared" si="81"/>
        <v>n.a.</v>
      </c>
      <c r="AH343" s="87">
        <f>INDEX(Auxiliar!$D$5:$I$10,MATCH('LISTA - Setembro2024'!AH$3,Auxiliar!$B$5:$B$10,0),MATCH('LISTA - Setembro2024'!$AG343,Auxiliar!$D$4:$I$4,0))</f>
        <v>0</v>
      </c>
      <c r="AI343" s="87">
        <f>INDEX(Auxiliar!$D$5:$I$10,MATCH('LISTA - Setembro2024'!AI$3,Auxiliar!$B$5:$B$10,0),MATCH('LISTA - Setembro2024'!$AC343,Auxiliar!$D$4:$I$4,0))</f>
        <v>0</v>
      </c>
      <c r="AJ343" s="87">
        <f>INDEX(Auxiliar!$D$5:$I$10,MATCH('LISTA - Setembro2024'!AJ$3,Auxiliar!$B$5:$B$10,0),MATCH('LISTA - Setembro2024'!$AC343,Auxiliar!$D$4:$I$4,0))</f>
        <v>0</v>
      </c>
      <c r="AK343" s="160">
        <f t="shared" si="83"/>
        <v>0</v>
      </c>
      <c r="AL343" s="87"/>
    </row>
    <row r="344" spans="1:38" ht="13.8" x14ac:dyDescent="0.25">
      <c r="A344" s="158" t="s">
        <v>884</v>
      </c>
      <c r="B344" s="81" t="str">
        <f t="shared" si="82"/>
        <v>INSTRUMENT_ISSR_ID</v>
      </c>
      <c r="C344" s="82" t="s">
        <v>414</v>
      </c>
      <c r="D344" s="83" t="s">
        <v>885</v>
      </c>
      <c r="E344" s="84" t="s">
        <v>886</v>
      </c>
      <c r="F344" s="85" t="s">
        <v>13</v>
      </c>
      <c r="G344" s="85" t="s">
        <v>11</v>
      </c>
      <c r="H344" s="85" t="s">
        <v>11</v>
      </c>
      <c r="I344" s="85" t="s">
        <v>11</v>
      </c>
      <c r="J344" s="85" t="s">
        <v>11</v>
      </c>
      <c r="K344" s="85" t="s">
        <v>11</v>
      </c>
      <c r="L344" s="86" t="str">
        <f>IFERROR(VLOOKUP($B344,'LISTA - Atual'!$B$1:$I$444,5,0),"Novo")</f>
        <v>Y</v>
      </c>
      <c r="M344" s="86" t="str">
        <f t="shared" si="77"/>
        <v>Igual</v>
      </c>
      <c r="N344" s="86" t="str">
        <f>IFERROR(VLOOKUP($B344,'LISTA - Atual'!$B$1:$I$444,6,0),"Novo")</f>
        <v>N</v>
      </c>
      <c r="O344" s="86" t="str">
        <f t="shared" si="78"/>
        <v>Igual</v>
      </c>
      <c r="P344" s="86" t="str">
        <f>IFERROR(VLOOKUP($B344,'LISTA - Atual'!$B$1:$I$444,7,0),"Novo")</f>
        <v>N</v>
      </c>
      <c r="Q344" s="86" t="str">
        <f t="shared" si="79"/>
        <v>Igual</v>
      </c>
      <c r="R344" s="86" t="s">
        <v>1563</v>
      </c>
      <c r="S344" s="86" t="str">
        <f>IFERROR(VLOOKUP($B344,'LISTA - Atual'!$B$1:$I$444,8,0),"Novo")</f>
        <v>N</v>
      </c>
      <c r="T344" s="86" t="str">
        <f t="shared" si="80"/>
        <v>Igual</v>
      </c>
      <c r="U344" s="86" t="s">
        <v>1563</v>
      </c>
      <c r="V344" s="86" t="s">
        <v>11</v>
      </c>
      <c r="W344" s="87" t="str">
        <f>IFERROR(VLOOKUP(B344,#REF!,11,0),"n/a")</f>
        <v>n/a</v>
      </c>
      <c r="X344" s="87" t="str">
        <f>IFERROR(VLOOKUP(B344,#REF!,8,0),"n/a")</f>
        <v>n/a</v>
      </c>
      <c r="Y344" s="87" t="str">
        <f t="shared" si="84"/>
        <v>ESTR</v>
      </c>
      <c r="Z344" s="131" t="s">
        <v>1605</v>
      </c>
      <c r="AA344" s="227" t="e">
        <f>VLOOKUP(Table1[[#This Row],[CONCAT]],'Campos Resumo Prop2.0'!A:H,8,0)</f>
        <v>#N/A</v>
      </c>
      <c r="AB344" s="87" t="s">
        <v>1662</v>
      </c>
      <c r="AC344" s="135" t="s">
        <v>1625</v>
      </c>
      <c r="AD344" s="91">
        <f>INDEX(Auxiliar!$D$5:$I$10,MATCH('LISTA - Setembro2024'!AD$3,Auxiliar!$B$5:$B$10,0),MATCH('LISTA - Setembro2024'!$AC344,Auxiliar!$D$4:$I$4,0))</f>
        <v>0</v>
      </c>
      <c r="AE344" s="91">
        <f>INDEX(Auxiliar!$D$5:$I$10,MATCH('LISTA - Setembro2024'!AE$3,Auxiliar!$B$5:$B$10,0),MATCH('LISTA - Setembro2024'!$AC344,Auxiliar!$D$4:$I$4,0))</f>
        <v>0</v>
      </c>
      <c r="AF344" s="87">
        <f>INDEX(Auxiliar!$D$5:$I$10,MATCH('LISTA - Setembro2024'!AF$3,Auxiliar!$B$5:$B$10,0),MATCH('LISTA - Setembro2024'!$AC344,Auxiliar!$D$4:$I$4,0))</f>
        <v>0</v>
      </c>
      <c r="AG344" s="87" t="str">
        <f t="shared" si="81"/>
        <v>n.a.</v>
      </c>
      <c r="AH344" s="87">
        <f>INDEX(Auxiliar!$D$5:$I$10,MATCH('LISTA - Setembro2024'!AH$3,Auxiliar!$B$5:$B$10,0),MATCH('LISTA - Setembro2024'!$AG344,Auxiliar!$D$4:$I$4,0))</f>
        <v>0</v>
      </c>
      <c r="AI344" s="87">
        <f>INDEX(Auxiliar!$D$5:$I$10,MATCH('LISTA - Setembro2024'!AI$3,Auxiliar!$B$5:$B$10,0),MATCH('LISTA - Setembro2024'!$AC344,Auxiliar!$D$4:$I$4,0))</f>
        <v>0</v>
      </c>
      <c r="AJ344" s="87">
        <f>INDEX(Auxiliar!$D$5:$I$10,MATCH('LISTA - Setembro2024'!AJ$3,Auxiliar!$B$5:$B$10,0),MATCH('LISTA - Setembro2024'!$AC344,Auxiliar!$D$4:$I$4,0))</f>
        <v>0</v>
      </c>
      <c r="AK344" s="160">
        <f t="shared" si="83"/>
        <v>0</v>
      </c>
      <c r="AL344" s="87"/>
    </row>
    <row r="345" spans="1:38" ht="13.8" x14ac:dyDescent="0.25">
      <c r="A345" s="158" t="s">
        <v>887</v>
      </c>
      <c r="B345" s="81" t="str">
        <f t="shared" si="82"/>
        <v>INSTRUMENT_ISSR_ID_TYP</v>
      </c>
      <c r="C345" s="82" t="s">
        <v>414</v>
      </c>
      <c r="D345" s="83" t="s">
        <v>888</v>
      </c>
      <c r="E345" s="84" t="s">
        <v>889</v>
      </c>
      <c r="F345" s="85" t="s">
        <v>13</v>
      </c>
      <c r="G345" s="85" t="s">
        <v>11</v>
      </c>
      <c r="H345" s="85" t="s">
        <v>11</v>
      </c>
      <c r="I345" s="85" t="s">
        <v>11</v>
      </c>
      <c r="J345" s="85" t="s">
        <v>11</v>
      </c>
      <c r="K345" s="85" t="s">
        <v>11</v>
      </c>
      <c r="L345" s="86" t="str">
        <f>IFERROR(VLOOKUP($B345,'LISTA - Atual'!$B$1:$I$444,5,0),"Novo")</f>
        <v>Y</v>
      </c>
      <c r="M345" s="86" t="str">
        <f t="shared" si="77"/>
        <v>Igual</v>
      </c>
      <c r="N345" s="86" t="str">
        <f>IFERROR(VLOOKUP($B345,'LISTA - Atual'!$B$1:$I$444,6,0),"Novo")</f>
        <v>N</v>
      </c>
      <c r="O345" s="86" t="str">
        <f t="shared" si="78"/>
        <v>Igual</v>
      </c>
      <c r="P345" s="86" t="str">
        <f>IFERROR(VLOOKUP($B345,'LISTA - Atual'!$B$1:$I$444,7,0),"Novo")</f>
        <v>N</v>
      </c>
      <c r="Q345" s="86" t="str">
        <f t="shared" si="79"/>
        <v>Igual</v>
      </c>
      <c r="R345" s="86" t="s">
        <v>1563</v>
      </c>
      <c r="S345" s="86" t="str">
        <f>IFERROR(VLOOKUP($B345,'LISTA - Atual'!$B$1:$I$444,8,0),"Novo")</f>
        <v>N</v>
      </c>
      <c r="T345" s="86" t="str">
        <f t="shared" si="80"/>
        <v>Igual</v>
      </c>
      <c r="U345" s="86" t="s">
        <v>1563</v>
      </c>
      <c r="V345" s="86" t="s">
        <v>11</v>
      </c>
      <c r="W345" s="87" t="str">
        <f>IFERROR(VLOOKUP(B345,#REF!,11,0),"n/a")</f>
        <v>n/a</v>
      </c>
      <c r="X345" s="87" t="str">
        <f>IFERROR(VLOOKUP(B345,#REF!,8,0),"n/a")</f>
        <v>n/a</v>
      </c>
      <c r="Y345" s="87" t="str">
        <f t="shared" si="84"/>
        <v>ESTR</v>
      </c>
      <c r="Z345" s="131" t="s">
        <v>1605</v>
      </c>
      <c r="AA345" s="227" t="e">
        <f>VLOOKUP(Table1[[#This Row],[CONCAT]],'Campos Resumo Prop2.0'!A:H,8,0)</f>
        <v>#N/A</v>
      </c>
      <c r="AB345" s="87" t="s">
        <v>1650</v>
      </c>
      <c r="AC345" s="135" t="s">
        <v>1625</v>
      </c>
      <c r="AD345" s="91">
        <f>INDEX(Auxiliar!$D$5:$I$10,MATCH('LISTA - Setembro2024'!AD$3,Auxiliar!$B$5:$B$10,0),MATCH('LISTA - Setembro2024'!$AC345,Auxiliar!$D$4:$I$4,0))</f>
        <v>0</v>
      </c>
      <c r="AE345" s="91">
        <f>INDEX(Auxiliar!$D$5:$I$10,MATCH('LISTA - Setembro2024'!AE$3,Auxiliar!$B$5:$B$10,0),MATCH('LISTA - Setembro2024'!$AC345,Auxiliar!$D$4:$I$4,0))</f>
        <v>0</v>
      </c>
      <c r="AF345" s="87">
        <f>INDEX(Auxiliar!$D$5:$I$10,MATCH('LISTA - Setembro2024'!AF$3,Auxiliar!$B$5:$B$10,0),MATCH('LISTA - Setembro2024'!$AC345,Auxiliar!$D$4:$I$4,0))</f>
        <v>0</v>
      </c>
      <c r="AG345" s="87" t="str">
        <f t="shared" si="81"/>
        <v>n.a.</v>
      </c>
      <c r="AH345" s="87">
        <f>INDEX(Auxiliar!$D$5:$I$10,MATCH('LISTA - Setembro2024'!AH$3,Auxiliar!$B$5:$B$10,0),MATCH('LISTA - Setembro2024'!$AG345,Auxiliar!$D$4:$I$4,0))</f>
        <v>0</v>
      </c>
      <c r="AI345" s="87">
        <f>INDEX(Auxiliar!$D$5:$I$10,MATCH('LISTA - Setembro2024'!AI$3,Auxiliar!$B$5:$B$10,0),MATCH('LISTA - Setembro2024'!$AC345,Auxiliar!$D$4:$I$4,0))</f>
        <v>0</v>
      </c>
      <c r="AJ345" s="87">
        <f>INDEX(Auxiliar!$D$5:$I$10,MATCH('LISTA - Setembro2024'!AJ$3,Auxiliar!$B$5:$B$10,0),MATCH('LISTA - Setembro2024'!$AC345,Auxiliar!$D$4:$I$4,0))</f>
        <v>0</v>
      </c>
      <c r="AK345" s="160">
        <f t="shared" si="83"/>
        <v>0</v>
      </c>
      <c r="AL345" s="87"/>
    </row>
    <row r="346" spans="1:38" ht="13.8" x14ac:dyDescent="0.25">
      <c r="A346" s="158" t="s">
        <v>890</v>
      </c>
      <c r="B346" s="81" t="str">
        <f t="shared" si="82"/>
        <v>INSTRUMENT_ISSR_NACE_SCTR</v>
      </c>
      <c r="C346" s="82" t="s">
        <v>414</v>
      </c>
      <c r="D346" s="83" t="s">
        <v>891</v>
      </c>
      <c r="E346" s="84" t="s">
        <v>892</v>
      </c>
      <c r="F346" s="85" t="s">
        <v>13</v>
      </c>
      <c r="G346" s="85" t="s">
        <v>11</v>
      </c>
      <c r="H346" s="85" t="s">
        <v>13</v>
      </c>
      <c r="I346" s="85" t="s">
        <v>11</v>
      </c>
      <c r="J346" s="85" t="s">
        <v>11</v>
      </c>
      <c r="K346" s="85" t="s">
        <v>11</v>
      </c>
      <c r="L346" s="86" t="str">
        <f>IFERROR(VLOOKUP($B346,'LISTA - Atual'!$B$1:$I$444,5,0),"Novo")</f>
        <v>Y</v>
      </c>
      <c r="M346" s="86" t="str">
        <f t="shared" si="77"/>
        <v>Igual</v>
      </c>
      <c r="N346" s="86" t="str">
        <f>IFERROR(VLOOKUP($B346,'LISTA - Atual'!$B$1:$I$444,6,0),"Novo")</f>
        <v>N</v>
      </c>
      <c r="O346" s="86" t="str">
        <f t="shared" si="78"/>
        <v>Igual</v>
      </c>
      <c r="P346" s="86" t="str">
        <f>IFERROR(VLOOKUP($B346,'LISTA - Atual'!$B$1:$I$444,7,0),"Novo")</f>
        <v>Y</v>
      </c>
      <c r="Q346" s="86" t="str">
        <f t="shared" si="79"/>
        <v>Igual</v>
      </c>
      <c r="R346" s="86" t="s">
        <v>1563</v>
      </c>
      <c r="S346" s="86" t="str">
        <f>IFERROR(VLOOKUP($B346,'LISTA - Atual'!$B$1:$I$444,8,0),"Novo")</f>
        <v>N</v>
      </c>
      <c r="T346" s="86" t="str">
        <f t="shared" si="80"/>
        <v>Igual</v>
      </c>
      <c r="U346" s="86" t="s">
        <v>1563</v>
      </c>
      <c r="V346" s="86" t="s">
        <v>11</v>
      </c>
      <c r="W346" s="87" t="str">
        <f>IFERROR(VLOOKUP(B346,#REF!,11,0),"n/a")</f>
        <v>n/a</v>
      </c>
      <c r="X346" s="87" t="str">
        <f>IFERROR(VLOOKUP(B346,#REF!,8,0),"n/a")</f>
        <v>n/a</v>
      </c>
      <c r="Y346" s="87" t="str">
        <f>$F$2&amp;$Y$1&amp;$H$2</f>
        <v>ESTR &amp; PILAR3</v>
      </c>
      <c r="Z346" s="131" t="s">
        <v>1605</v>
      </c>
      <c r="AA346" s="227" t="e">
        <f>VLOOKUP(Table1[[#This Row],[CONCAT]],'Campos Resumo Prop2.0'!A:H,8,0)</f>
        <v>#N/A</v>
      </c>
      <c r="AB346" s="87" t="s">
        <v>1650</v>
      </c>
      <c r="AC346" s="135" t="s">
        <v>1625</v>
      </c>
      <c r="AD346" s="91">
        <f>INDEX(Auxiliar!$D$5:$I$10,MATCH('LISTA - Setembro2024'!AD$3,Auxiliar!$B$5:$B$10,0),MATCH('LISTA - Setembro2024'!$AC346,Auxiliar!$D$4:$I$4,0))</f>
        <v>0</v>
      </c>
      <c r="AE346" s="91">
        <f>INDEX(Auxiliar!$D$5:$I$10,MATCH('LISTA - Setembro2024'!AE$3,Auxiliar!$B$5:$B$10,0),MATCH('LISTA - Setembro2024'!$AC346,Auxiliar!$D$4:$I$4,0))</f>
        <v>0</v>
      </c>
      <c r="AF346" s="87">
        <f>INDEX(Auxiliar!$D$5:$I$10,MATCH('LISTA - Setembro2024'!AF$3,Auxiliar!$B$5:$B$10,0),MATCH('LISTA - Setembro2024'!$AC346,Auxiliar!$D$4:$I$4,0))</f>
        <v>0</v>
      </c>
      <c r="AG346" s="87" t="str">
        <f t="shared" si="81"/>
        <v>n.a.</v>
      </c>
      <c r="AH346" s="87">
        <f>INDEX(Auxiliar!$D$5:$I$10,MATCH('LISTA - Setembro2024'!AH$3,Auxiliar!$B$5:$B$10,0),MATCH('LISTA - Setembro2024'!$AG346,Auxiliar!$D$4:$I$4,0))</f>
        <v>0</v>
      </c>
      <c r="AI346" s="87">
        <f>INDEX(Auxiliar!$D$5:$I$10,MATCH('LISTA - Setembro2024'!AI$3,Auxiliar!$B$5:$B$10,0),MATCH('LISTA - Setembro2024'!$AC346,Auxiliar!$D$4:$I$4,0))</f>
        <v>0</v>
      </c>
      <c r="AJ346" s="87">
        <f>INDEX(Auxiliar!$D$5:$I$10,MATCH('LISTA - Setembro2024'!AJ$3,Auxiliar!$B$5:$B$10,0),MATCH('LISTA - Setembro2024'!$AC346,Auxiliar!$D$4:$I$4,0))</f>
        <v>0</v>
      </c>
      <c r="AK346" s="160">
        <f t="shared" si="83"/>
        <v>0</v>
      </c>
      <c r="AL346" s="87"/>
    </row>
    <row r="347" spans="1:38" ht="13.8" x14ac:dyDescent="0.25">
      <c r="A347" s="158" t="s">
        <v>893</v>
      </c>
      <c r="B347" s="81" t="str">
        <f t="shared" si="82"/>
        <v>INSTRUMENT_ISSR_RTNG</v>
      </c>
      <c r="C347" s="82" t="s">
        <v>414</v>
      </c>
      <c r="D347" s="92" t="s">
        <v>894</v>
      </c>
      <c r="E347" s="84" t="s">
        <v>895</v>
      </c>
      <c r="F347" s="85" t="s">
        <v>13</v>
      </c>
      <c r="G347" s="85" t="s">
        <v>11</v>
      </c>
      <c r="H347" s="85" t="s">
        <v>11</v>
      </c>
      <c r="I347" s="85" t="s">
        <v>11</v>
      </c>
      <c r="J347" s="85" t="s">
        <v>11</v>
      </c>
      <c r="K347" s="85" t="s">
        <v>11</v>
      </c>
      <c r="L347" s="86" t="str">
        <f>IFERROR(VLOOKUP($B347,'LISTA - Atual'!$B$1:$I$444,5,0),"Novo")</f>
        <v>Y</v>
      </c>
      <c r="M347" s="86" t="str">
        <f t="shared" si="77"/>
        <v>Igual</v>
      </c>
      <c r="N347" s="86" t="str">
        <f>IFERROR(VLOOKUP($B347,'LISTA - Atual'!$B$1:$I$444,6,0),"Novo")</f>
        <v>N</v>
      </c>
      <c r="O347" s="86" t="str">
        <f t="shared" si="78"/>
        <v>Igual</v>
      </c>
      <c r="P347" s="86" t="str">
        <f>IFERROR(VLOOKUP($B347,'LISTA - Atual'!$B$1:$I$444,7,0),"Novo")</f>
        <v>N</v>
      </c>
      <c r="Q347" s="86" t="str">
        <f t="shared" si="79"/>
        <v>Igual</v>
      </c>
      <c r="R347" s="86" t="s">
        <v>1563</v>
      </c>
      <c r="S347" s="86" t="str">
        <f>IFERROR(VLOOKUP($B347,'LISTA - Atual'!$B$1:$I$444,8,0),"Novo")</f>
        <v>N</v>
      </c>
      <c r="T347" s="86" t="str">
        <f t="shared" si="80"/>
        <v>Igual</v>
      </c>
      <c r="U347" s="86" t="s">
        <v>1563</v>
      </c>
      <c r="V347" s="86" t="s">
        <v>11</v>
      </c>
      <c r="W347" s="87" t="str">
        <f>IFERROR(VLOOKUP(B347,#REF!,11,0),"n/a")</f>
        <v>n/a</v>
      </c>
      <c r="X347" s="87" t="str">
        <f>IFERROR(VLOOKUP(B347,#REF!,8,0),"n/a")</f>
        <v>n/a</v>
      </c>
      <c r="Y347" s="87" t="str">
        <f t="shared" ref="Y347:Y352" si="85">$F$2</f>
        <v>ESTR</v>
      </c>
      <c r="Z347" s="131" t="s">
        <v>1605</v>
      </c>
      <c r="AA347" s="227" t="e">
        <f>VLOOKUP(Table1[[#This Row],[CONCAT]],'Campos Resumo Prop2.0'!A:H,8,0)</f>
        <v>#N/A</v>
      </c>
      <c r="AB347" s="87" t="s">
        <v>1650</v>
      </c>
      <c r="AC347" s="135" t="s">
        <v>1625</v>
      </c>
      <c r="AD347" s="91">
        <f>INDEX(Auxiliar!$D$5:$I$10,MATCH('LISTA - Setembro2024'!AD$3,Auxiliar!$B$5:$B$10,0),MATCH('LISTA - Setembro2024'!$AC347,Auxiliar!$D$4:$I$4,0))</f>
        <v>0</v>
      </c>
      <c r="AE347" s="91">
        <f>INDEX(Auxiliar!$D$5:$I$10,MATCH('LISTA - Setembro2024'!AE$3,Auxiliar!$B$5:$B$10,0),MATCH('LISTA - Setembro2024'!$AC347,Auxiliar!$D$4:$I$4,0))</f>
        <v>0</v>
      </c>
      <c r="AF347" s="87">
        <f>INDEX(Auxiliar!$D$5:$I$10,MATCH('LISTA - Setembro2024'!AF$3,Auxiliar!$B$5:$B$10,0),MATCH('LISTA - Setembro2024'!$AC347,Auxiliar!$D$4:$I$4,0))</f>
        <v>0</v>
      </c>
      <c r="AG347" s="87" t="str">
        <f t="shared" si="81"/>
        <v>n.a.</v>
      </c>
      <c r="AH347" s="87">
        <f>INDEX(Auxiliar!$D$5:$I$10,MATCH('LISTA - Setembro2024'!AH$3,Auxiliar!$B$5:$B$10,0),MATCH('LISTA - Setembro2024'!$AG347,Auxiliar!$D$4:$I$4,0))</f>
        <v>0</v>
      </c>
      <c r="AI347" s="87">
        <f>INDEX(Auxiliar!$D$5:$I$10,MATCH('LISTA - Setembro2024'!AI$3,Auxiliar!$B$5:$B$10,0),MATCH('LISTA - Setembro2024'!$AC347,Auxiliar!$D$4:$I$4,0))</f>
        <v>0</v>
      </c>
      <c r="AJ347" s="87">
        <f>INDEX(Auxiliar!$D$5:$I$10,MATCH('LISTA - Setembro2024'!AJ$3,Auxiliar!$B$5:$B$10,0),MATCH('LISTA - Setembro2024'!$AC347,Auxiliar!$D$4:$I$4,0))</f>
        <v>0</v>
      </c>
      <c r="AK347" s="160">
        <f t="shared" si="83"/>
        <v>0</v>
      </c>
      <c r="AL347" s="87"/>
    </row>
    <row r="348" spans="1:38" ht="13.8" x14ac:dyDescent="0.25">
      <c r="A348" s="158" t="s">
        <v>896</v>
      </c>
      <c r="B348" s="81" t="str">
        <f t="shared" si="82"/>
        <v>INSTRUMENT_ISSR_RTNG_SRC</v>
      </c>
      <c r="C348" s="82" t="s">
        <v>414</v>
      </c>
      <c r="D348" s="83" t="s">
        <v>897</v>
      </c>
      <c r="E348" s="84" t="s">
        <v>898</v>
      </c>
      <c r="F348" s="85" t="s">
        <v>13</v>
      </c>
      <c r="G348" s="85" t="s">
        <v>11</v>
      </c>
      <c r="H348" s="85" t="s">
        <v>11</v>
      </c>
      <c r="I348" s="85" t="s">
        <v>11</v>
      </c>
      <c r="J348" s="85" t="s">
        <v>11</v>
      </c>
      <c r="K348" s="85" t="s">
        <v>11</v>
      </c>
      <c r="L348" s="86" t="str">
        <f>IFERROR(VLOOKUP($B348,'LISTA - Atual'!$B$1:$I$444,5,0),"Novo")</f>
        <v>Y</v>
      </c>
      <c r="M348" s="86" t="str">
        <f t="shared" si="77"/>
        <v>Igual</v>
      </c>
      <c r="N348" s="86" t="str">
        <f>IFERROR(VLOOKUP($B348,'LISTA - Atual'!$B$1:$I$444,6,0),"Novo")</f>
        <v>N</v>
      </c>
      <c r="O348" s="86" t="str">
        <f t="shared" si="78"/>
        <v>Igual</v>
      </c>
      <c r="P348" s="86" t="str">
        <f>IFERROR(VLOOKUP($B348,'LISTA - Atual'!$B$1:$I$444,7,0),"Novo")</f>
        <v>N</v>
      </c>
      <c r="Q348" s="86" t="str">
        <f t="shared" si="79"/>
        <v>Igual</v>
      </c>
      <c r="R348" s="86" t="s">
        <v>1563</v>
      </c>
      <c r="S348" s="86" t="str">
        <f>IFERROR(VLOOKUP($B348,'LISTA - Atual'!$B$1:$I$444,8,0),"Novo")</f>
        <v>N</v>
      </c>
      <c r="T348" s="86" t="str">
        <f t="shared" si="80"/>
        <v>Igual</v>
      </c>
      <c r="U348" s="86" t="s">
        <v>1563</v>
      </c>
      <c r="V348" s="86" t="s">
        <v>11</v>
      </c>
      <c r="W348" s="87" t="str">
        <f>IFERROR(VLOOKUP(B348,#REF!,11,0),"n/a")</f>
        <v>n/a</v>
      </c>
      <c r="X348" s="87" t="str">
        <f>IFERROR(VLOOKUP(B348,#REF!,8,0),"n/a")</f>
        <v>n/a</v>
      </c>
      <c r="Y348" s="87" t="str">
        <f t="shared" si="85"/>
        <v>ESTR</v>
      </c>
      <c r="Z348" s="131" t="s">
        <v>1605</v>
      </c>
      <c r="AA348" s="227" t="e">
        <f>VLOOKUP(Table1[[#This Row],[CONCAT]],'Campos Resumo Prop2.0'!A:H,8,0)</f>
        <v>#N/A</v>
      </c>
      <c r="AB348" s="87" t="s">
        <v>1662</v>
      </c>
      <c r="AC348" s="135" t="s">
        <v>1625</v>
      </c>
      <c r="AD348" s="91">
        <f>INDEX(Auxiliar!$D$5:$I$10,MATCH('LISTA - Setembro2024'!AD$3,Auxiliar!$B$5:$B$10,0),MATCH('LISTA - Setembro2024'!$AC348,Auxiliar!$D$4:$I$4,0))</f>
        <v>0</v>
      </c>
      <c r="AE348" s="91">
        <f>INDEX(Auxiliar!$D$5:$I$10,MATCH('LISTA - Setembro2024'!AE$3,Auxiliar!$B$5:$B$10,0),MATCH('LISTA - Setembro2024'!$AC348,Auxiliar!$D$4:$I$4,0))</f>
        <v>0</v>
      </c>
      <c r="AF348" s="87">
        <f>INDEX(Auxiliar!$D$5:$I$10,MATCH('LISTA - Setembro2024'!AF$3,Auxiliar!$B$5:$B$10,0),MATCH('LISTA - Setembro2024'!$AC348,Auxiliar!$D$4:$I$4,0))</f>
        <v>0</v>
      </c>
      <c r="AG348" s="87" t="str">
        <f t="shared" si="81"/>
        <v>n.a.</v>
      </c>
      <c r="AH348" s="87">
        <f>INDEX(Auxiliar!$D$5:$I$10,MATCH('LISTA - Setembro2024'!AH$3,Auxiliar!$B$5:$B$10,0),MATCH('LISTA - Setembro2024'!$AG348,Auxiliar!$D$4:$I$4,0))</f>
        <v>0</v>
      </c>
      <c r="AI348" s="87">
        <f>INDEX(Auxiliar!$D$5:$I$10,MATCH('LISTA - Setembro2024'!AI$3,Auxiliar!$B$5:$B$10,0),MATCH('LISTA - Setembro2024'!$AC348,Auxiliar!$D$4:$I$4,0))</f>
        <v>0</v>
      </c>
      <c r="AJ348" s="87">
        <f>INDEX(Auxiliar!$D$5:$I$10,MATCH('LISTA - Setembro2024'!AJ$3,Auxiliar!$B$5:$B$10,0),MATCH('LISTA - Setembro2024'!$AC348,Auxiliar!$D$4:$I$4,0))</f>
        <v>0</v>
      </c>
      <c r="AK348" s="160">
        <f t="shared" si="83"/>
        <v>0</v>
      </c>
      <c r="AL348" s="87"/>
    </row>
    <row r="349" spans="1:38" ht="13.8" x14ac:dyDescent="0.25">
      <c r="A349" s="158" t="s">
        <v>899</v>
      </c>
      <c r="B349" s="81" t="str">
        <f t="shared" si="82"/>
        <v>INSTRUMENT_ISSR_TYP</v>
      </c>
      <c r="C349" s="82" t="s">
        <v>414</v>
      </c>
      <c r="D349" s="83" t="s">
        <v>900</v>
      </c>
      <c r="E349" s="84" t="s">
        <v>901</v>
      </c>
      <c r="F349" s="85" t="s">
        <v>13</v>
      </c>
      <c r="G349" s="85" t="s">
        <v>11</v>
      </c>
      <c r="H349" s="85" t="s">
        <v>11</v>
      </c>
      <c r="I349" s="85" t="s">
        <v>11</v>
      </c>
      <c r="J349" s="85" t="s">
        <v>11</v>
      </c>
      <c r="K349" s="85" t="s">
        <v>11</v>
      </c>
      <c r="L349" s="86" t="str">
        <f>IFERROR(VLOOKUP($B349,'LISTA - Atual'!$B$1:$I$444,5,0),"Novo")</f>
        <v>Y</v>
      </c>
      <c r="M349" s="86" t="str">
        <f t="shared" si="77"/>
        <v>Igual</v>
      </c>
      <c r="N349" s="86" t="str">
        <f>IFERROR(VLOOKUP($B349,'LISTA - Atual'!$B$1:$I$444,6,0),"Novo")</f>
        <v>N</v>
      </c>
      <c r="O349" s="86" t="str">
        <f t="shared" si="78"/>
        <v>Igual</v>
      </c>
      <c r="P349" s="86" t="str">
        <f>IFERROR(VLOOKUP($B349,'LISTA - Atual'!$B$1:$I$444,7,0),"Novo")</f>
        <v>N</v>
      </c>
      <c r="Q349" s="86" t="str">
        <f t="shared" si="79"/>
        <v>Igual</v>
      </c>
      <c r="R349" s="86" t="s">
        <v>1563</v>
      </c>
      <c r="S349" s="86" t="str">
        <f>IFERROR(VLOOKUP($B349,'LISTA - Atual'!$B$1:$I$444,8,0),"Novo")</f>
        <v>N</v>
      </c>
      <c r="T349" s="86" t="str">
        <f t="shared" si="80"/>
        <v>Igual</v>
      </c>
      <c r="U349" s="86" t="s">
        <v>1563</v>
      </c>
      <c r="V349" s="86" t="s">
        <v>11</v>
      </c>
      <c r="W349" s="87" t="str">
        <f>IFERROR(VLOOKUP(B349,#REF!,11,0),"n/a")</f>
        <v>n/a</v>
      </c>
      <c r="X349" s="87" t="str">
        <f>IFERROR(VLOOKUP(B349,#REF!,8,0),"n/a")</f>
        <v>n/a</v>
      </c>
      <c r="Y349" s="87" t="str">
        <f t="shared" si="85"/>
        <v>ESTR</v>
      </c>
      <c r="Z349" s="131" t="s">
        <v>1605</v>
      </c>
      <c r="AA349" s="227" t="e">
        <f>VLOOKUP(Table1[[#This Row],[CONCAT]],'Campos Resumo Prop2.0'!A:H,8,0)</f>
        <v>#N/A</v>
      </c>
      <c r="AB349" s="87" t="s">
        <v>1650</v>
      </c>
      <c r="AC349" s="135" t="s">
        <v>1625</v>
      </c>
      <c r="AD349" s="91">
        <f>INDEX(Auxiliar!$D$5:$I$10,MATCH('LISTA - Setembro2024'!AD$3,Auxiliar!$B$5:$B$10,0),MATCH('LISTA - Setembro2024'!$AC349,Auxiliar!$D$4:$I$4,0))</f>
        <v>0</v>
      </c>
      <c r="AE349" s="91">
        <f>INDEX(Auxiliar!$D$5:$I$10,MATCH('LISTA - Setembro2024'!AE$3,Auxiliar!$B$5:$B$10,0),MATCH('LISTA - Setembro2024'!$AC349,Auxiliar!$D$4:$I$4,0))</f>
        <v>0</v>
      </c>
      <c r="AF349" s="87">
        <f>INDEX(Auxiliar!$D$5:$I$10,MATCH('LISTA - Setembro2024'!AF$3,Auxiliar!$B$5:$B$10,0),MATCH('LISTA - Setembro2024'!$AC349,Auxiliar!$D$4:$I$4,0))</f>
        <v>0</v>
      </c>
      <c r="AG349" s="87" t="str">
        <f t="shared" si="81"/>
        <v>n.a.</v>
      </c>
      <c r="AH349" s="87">
        <f>INDEX(Auxiliar!$D$5:$I$10,MATCH('LISTA - Setembro2024'!AH$3,Auxiliar!$B$5:$B$10,0),MATCH('LISTA - Setembro2024'!$AG349,Auxiliar!$D$4:$I$4,0))</f>
        <v>0</v>
      </c>
      <c r="AI349" s="87">
        <f>INDEX(Auxiliar!$D$5:$I$10,MATCH('LISTA - Setembro2024'!AI$3,Auxiliar!$B$5:$B$10,0),MATCH('LISTA - Setembro2024'!$AC349,Auxiliar!$D$4:$I$4,0))</f>
        <v>0</v>
      </c>
      <c r="AJ349" s="87">
        <f>INDEX(Auxiliar!$D$5:$I$10,MATCH('LISTA - Setembro2024'!AJ$3,Auxiliar!$B$5:$B$10,0),MATCH('LISTA - Setembro2024'!$AC349,Auxiliar!$D$4:$I$4,0))</f>
        <v>0</v>
      </c>
      <c r="AK349" s="160">
        <f t="shared" si="83"/>
        <v>0</v>
      </c>
      <c r="AL349" s="87"/>
    </row>
    <row r="350" spans="1:38" ht="13.8" x14ac:dyDescent="0.25">
      <c r="A350" s="158" t="s">
        <v>902</v>
      </c>
      <c r="B350" s="81" t="str">
        <f t="shared" si="82"/>
        <v>INSTRUMENT_LCR_BFFR_CTGRY</v>
      </c>
      <c r="C350" s="82" t="s">
        <v>414</v>
      </c>
      <c r="D350" s="83" t="s">
        <v>903</v>
      </c>
      <c r="E350" s="84" t="s">
        <v>904</v>
      </c>
      <c r="F350" s="85" t="s">
        <v>13</v>
      </c>
      <c r="G350" s="85" t="s">
        <v>11</v>
      </c>
      <c r="H350" s="85" t="s">
        <v>11</v>
      </c>
      <c r="I350" s="85" t="s">
        <v>11</v>
      </c>
      <c r="J350" s="85" t="s">
        <v>11</v>
      </c>
      <c r="K350" s="85" t="s">
        <v>11</v>
      </c>
      <c r="L350" s="86" t="str">
        <f>IFERROR(VLOOKUP($B350,'LISTA - Atual'!$B$1:$I$444,5,0),"Novo")</f>
        <v>Y</v>
      </c>
      <c r="M350" s="86" t="str">
        <f t="shared" si="77"/>
        <v>Igual</v>
      </c>
      <c r="N350" s="86" t="str">
        <f>IFERROR(VLOOKUP($B350,'LISTA - Atual'!$B$1:$I$444,6,0),"Novo")</f>
        <v>N</v>
      </c>
      <c r="O350" s="86" t="str">
        <f t="shared" si="78"/>
        <v>Igual</v>
      </c>
      <c r="P350" s="86" t="str">
        <f>IFERROR(VLOOKUP($B350,'LISTA - Atual'!$B$1:$I$444,7,0),"Novo")</f>
        <v>N</v>
      </c>
      <c r="Q350" s="86" t="str">
        <f t="shared" si="79"/>
        <v>Igual</v>
      </c>
      <c r="R350" s="86" t="s">
        <v>1563</v>
      </c>
      <c r="S350" s="86" t="str">
        <f>IFERROR(VLOOKUP($B350,'LISTA - Atual'!$B$1:$I$444,8,0),"Novo")</f>
        <v>N</v>
      </c>
      <c r="T350" s="86" t="str">
        <f t="shared" si="80"/>
        <v>Igual</v>
      </c>
      <c r="U350" s="86" t="s">
        <v>1563</v>
      </c>
      <c r="V350" s="86" t="s">
        <v>11</v>
      </c>
      <c r="W350" s="87" t="str">
        <f>IFERROR(VLOOKUP(B350,#REF!,11,0),"n/a")</f>
        <v>n/a</v>
      </c>
      <c r="X350" s="87" t="str">
        <f>IFERROR(VLOOKUP(B350,#REF!,8,0),"n/a")</f>
        <v>n/a</v>
      </c>
      <c r="Y350" s="87" t="str">
        <f t="shared" si="85"/>
        <v>ESTR</v>
      </c>
      <c r="Z350" s="131" t="s">
        <v>1605</v>
      </c>
      <c r="AA350" s="227" t="e">
        <f>VLOOKUP(Table1[[#This Row],[CONCAT]],'Campos Resumo Prop2.0'!A:H,8,0)</f>
        <v>#N/A</v>
      </c>
      <c r="AB350" s="87" t="s">
        <v>1650</v>
      </c>
      <c r="AC350" s="135" t="s">
        <v>1625</v>
      </c>
      <c r="AD350" s="91">
        <f>INDEX(Auxiliar!$D$5:$I$10,MATCH('LISTA - Setembro2024'!AD$3,Auxiliar!$B$5:$B$10,0),MATCH('LISTA - Setembro2024'!$AC350,Auxiliar!$D$4:$I$4,0))</f>
        <v>0</v>
      </c>
      <c r="AE350" s="91">
        <f>INDEX(Auxiliar!$D$5:$I$10,MATCH('LISTA - Setembro2024'!AE$3,Auxiliar!$B$5:$B$10,0),MATCH('LISTA - Setembro2024'!$AC350,Auxiliar!$D$4:$I$4,0))</f>
        <v>0</v>
      </c>
      <c r="AF350" s="87">
        <f>INDEX(Auxiliar!$D$5:$I$10,MATCH('LISTA - Setembro2024'!AF$3,Auxiliar!$B$5:$B$10,0),MATCH('LISTA - Setembro2024'!$AC350,Auxiliar!$D$4:$I$4,0))</f>
        <v>0</v>
      </c>
      <c r="AG350" s="87" t="str">
        <f t="shared" si="81"/>
        <v>n.a.</v>
      </c>
      <c r="AH350" s="87">
        <f>INDEX(Auxiliar!$D$5:$I$10,MATCH('LISTA - Setembro2024'!AH$3,Auxiliar!$B$5:$B$10,0),MATCH('LISTA - Setembro2024'!$AG350,Auxiliar!$D$4:$I$4,0))</f>
        <v>0</v>
      </c>
      <c r="AI350" s="87">
        <f>INDEX(Auxiliar!$D$5:$I$10,MATCH('LISTA - Setembro2024'!AI$3,Auxiliar!$B$5:$B$10,0),MATCH('LISTA - Setembro2024'!$AC350,Auxiliar!$D$4:$I$4,0))</f>
        <v>0</v>
      </c>
      <c r="AJ350" s="87">
        <f>INDEX(Auxiliar!$D$5:$I$10,MATCH('LISTA - Setembro2024'!AJ$3,Auxiliar!$B$5:$B$10,0),MATCH('LISTA - Setembro2024'!$AC350,Auxiliar!$D$4:$I$4,0))</f>
        <v>0</v>
      </c>
      <c r="AK350" s="160">
        <f t="shared" si="83"/>
        <v>0</v>
      </c>
      <c r="AL350" s="87"/>
    </row>
    <row r="351" spans="1:38" ht="13.8" x14ac:dyDescent="0.25">
      <c r="A351" s="158" t="s">
        <v>905</v>
      </c>
      <c r="B351" s="81" t="str">
        <f t="shared" si="82"/>
        <v>INSTRUMENT_PRCH_UNDR_RSL_AGR</v>
      </c>
      <c r="C351" s="82" t="s">
        <v>414</v>
      </c>
      <c r="D351" s="83" t="s">
        <v>906</v>
      </c>
      <c r="E351" s="84" t="s">
        <v>907</v>
      </c>
      <c r="F351" s="85" t="s">
        <v>13</v>
      </c>
      <c r="G351" s="85" t="s">
        <v>11</v>
      </c>
      <c r="H351" s="85" t="s">
        <v>11</v>
      </c>
      <c r="I351" s="85" t="s">
        <v>11</v>
      </c>
      <c r="J351" s="85" t="s">
        <v>11</v>
      </c>
      <c r="K351" s="85" t="s">
        <v>11</v>
      </c>
      <c r="L351" s="86" t="str">
        <f>IFERROR(VLOOKUP($B351,'LISTA - Atual'!$B$1:$I$444,5,0),"Novo")</f>
        <v>Y</v>
      </c>
      <c r="M351" s="86" t="str">
        <f t="shared" si="77"/>
        <v>Igual</v>
      </c>
      <c r="N351" s="86" t="str">
        <f>IFERROR(VLOOKUP($B351,'LISTA - Atual'!$B$1:$I$444,6,0),"Novo")</f>
        <v>N</v>
      </c>
      <c r="O351" s="86" t="str">
        <f t="shared" si="78"/>
        <v>Igual</v>
      </c>
      <c r="P351" s="86" t="str">
        <f>IFERROR(VLOOKUP($B351,'LISTA - Atual'!$B$1:$I$444,7,0),"Novo")</f>
        <v>N</v>
      </c>
      <c r="Q351" s="86" t="str">
        <f t="shared" si="79"/>
        <v>Igual</v>
      </c>
      <c r="R351" s="86" t="s">
        <v>1563</v>
      </c>
      <c r="S351" s="86" t="str">
        <f>IFERROR(VLOOKUP($B351,'LISTA - Atual'!$B$1:$I$444,8,0),"Novo")</f>
        <v>N</v>
      </c>
      <c r="T351" s="86" t="str">
        <f t="shared" si="80"/>
        <v>Igual</v>
      </c>
      <c r="U351" s="86" t="s">
        <v>1563</v>
      </c>
      <c r="V351" s="86" t="s">
        <v>11</v>
      </c>
      <c r="W351" s="87" t="str">
        <f>IFERROR(VLOOKUP(B351,#REF!,11,0),"n/a")</f>
        <v>n/a</v>
      </c>
      <c r="X351" s="87" t="str">
        <f>IFERROR(VLOOKUP(B351,#REF!,8,0),"n/a")</f>
        <v>n/a</v>
      </c>
      <c r="Y351" s="87" t="str">
        <f t="shared" si="85"/>
        <v>ESTR</v>
      </c>
      <c r="Z351" s="131" t="s">
        <v>1605</v>
      </c>
      <c r="AA351" s="227" t="e">
        <f>VLOOKUP(Table1[[#This Row],[CONCAT]],'Campos Resumo Prop2.0'!A:H,8,0)</f>
        <v>#N/A</v>
      </c>
      <c r="AB351" s="87" t="s">
        <v>1654</v>
      </c>
      <c r="AC351" s="135" t="s">
        <v>1625</v>
      </c>
      <c r="AD351" s="91">
        <f>INDEX(Auxiliar!$D$5:$I$10,MATCH('LISTA - Setembro2024'!AD$3,Auxiliar!$B$5:$B$10,0),MATCH('LISTA - Setembro2024'!$AC351,Auxiliar!$D$4:$I$4,0))</f>
        <v>0</v>
      </c>
      <c r="AE351" s="91">
        <f>INDEX(Auxiliar!$D$5:$I$10,MATCH('LISTA - Setembro2024'!AE$3,Auxiliar!$B$5:$B$10,0),MATCH('LISTA - Setembro2024'!$AC351,Auxiliar!$D$4:$I$4,0))</f>
        <v>0</v>
      </c>
      <c r="AF351" s="87">
        <f>INDEX(Auxiliar!$D$5:$I$10,MATCH('LISTA - Setembro2024'!AF$3,Auxiliar!$B$5:$B$10,0),MATCH('LISTA - Setembro2024'!$AC351,Auxiliar!$D$4:$I$4,0))</f>
        <v>0</v>
      </c>
      <c r="AG351" s="87" t="str">
        <f t="shared" si="81"/>
        <v>n.a.</v>
      </c>
      <c r="AH351" s="87">
        <f>INDEX(Auxiliar!$D$5:$I$10,MATCH('LISTA - Setembro2024'!AH$3,Auxiliar!$B$5:$B$10,0),MATCH('LISTA - Setembro2024'!$AG351,Auxiliar!$D$4:$I$4,0))</f>
        <v>0</v>
      </c>
      <c r="AI351" s="87">
        <f>INDEX(Auxiliar!$D$5:$I$10,MATCH('LISTA - Setembro2024'!AI$3,Auxiliar!$B$5:$B$10,0),MATCH('LISTA - Setembro2024'!$AC351,Auxiliar!$D$4:$I$4,0))</f>
        <v>0</v>
      </c>
      <c r="AJ351" s="87">
        <f>INDEX(Auxiliar!$D$5:$I$10,MATCH('LISTA - Setembro2024'!AJ$3,Auxiliar!$B$5:$B$10,0),MATCH('LISTA - Setembro2024'!$AC351,Auxiliar!$D$4:$I$4,0))</f>
        <v>0</v>
      </c>
      <c r="AK351" s="160">
        <f t="shared" si="83"/>
        <v>0</v>
      </c>
      <c r="AL351" s="87"/>
    </row>
    <row r="352" spans="1:38" ht="13.8" x14ac:dyDescent="0.25">
      <c r="A352" s="158" t="s">
        <v>908</v>
      </c>
      <c r="B352" s="81" t="str">
        <f t="shared" si="82"/>
        <v>INSTRUMENT_PRDNTL_PRTFL</v>
      </c>
      <c r="C352" s="82" t="s">
        <v>414</v>
      </c>
      <c r="D352" s="83" t="s">
        <v>909</v>
      </c>
      <c r="E352" s="84" t="s">
        <v>910</v>
      </c>
      <c r="F352" s="85" t="s">
        <v>13</v>
      </c>
      <c r="G352" s="85" t="s">
        <v>11</v>
      </c>
      <c r="H352" s="85" t="s">
        <v>11</v>
      </c>
      <c r="I352" s="85" t="s">
        <v>11</v>
      </c>
      <c r="J352" s="85" t="s">
        <v>11</v>
      </c>
      <c r="K352" s="85" t="s">
        <v>13</v>
      </c>
      <c r="L352" s="86" t="str">
        <f>IFERROR(VLOOKUP($B352,'LISTA - Atual'!$B$1:$I$444,5,0),"Novo")</f>
        <v>Y</v>
      </c>
      <c r="M352" s="86" t="str">
        <f t="shared" si="77"/>
        <v>Igual</v>
      </c>
      <c r="N352" s="86" t="str">
        <f>IFERROR(VLOOKUP($B352,'LISTA - Atual'!$B$1:$I$444,6,0),"Novo")</f>
        <v>N</v>
      </c>
      <c r="O352" s="86" t="str">
        <f t="shared" si="78"/>
        <v>Igual</v>
      </c>
      <c r="P352" s="86" t="str">
        <f>IFERROR(VLOOKUP($B352,'LISTA - Atual'!$B$1:$I$444,7,0),"Novo")</f>
        <v>N</v>
      </c>
      <c r="Q352" s="86" t="str">
        <f t="shared" si="79"/>
        <v>Igual</v>
      </c>
      <c r="R352" s="86" t="s">
        <v>1563</v>
      </c>
      <c r="S352" s="86" t="str">
        <f>IFERROR(VLOOKUP($B352,'LISTA - Atual'!$B$1:$I$444,8,0),"Novo")</f>
        <v>N</v>
      </c>
      <c r="T352" s="86" t="str">
        <f t="shared" si="80"/>
        <v>Igual</v>
      </c>
      <c r="U352" s="86" t="s">
        <v>1563</v>
      </c>
      <c r="V352" s="86" t="s">
        <v>11</v>
      </c>
      <c r="W352" s="87" t="str">
        <f>IFERROR(VLOOKUP(B352,#REF!,11,0),"n/a")</f>
        <v>n/a</v>
      </c>
      <c r="X352" s="87" t="str">
        <f>IFERROR(VLOOKUP(B352,#REF!,8,0),"n/a")</f>
        <v>n/a</v>
      </c>
      <c r="Y352" s="87" t="str">
        <f t="shared" si="85"/>
        <v>ESTR</v>
      </c>
      <c r="Z352" s="131" t="s">
        <v>1605</v>
      </c>
      <c r="AA352" s="227" t="e">
        <f>VLOOKUP(Table1[[#This Row],[CONCAT]],'Campos Resumo Prop2.0'!A:H,8,0)</f>
        <v>#N/A</v>
      </c>
      <c r="AB352" s="87" t="s">
        <v>1650</v>
      </c>
      <c r="AC352" s="135" t="s">
        <v>1625</v>
      </c>
      <c r="AD352" s="91">
        <f>INDEX(Auxiliar!$D$5:$I$10,MATCH('LISTA - Setembro2024'!AD$3,Auxiliar!$B$5:$B$10,0),MATCH('LISTA - Setembro2024'!$AC352,Auxiliar!$D$4:$I$4,0))</f>
        <v>0</v>
      </c>
      <c r="AE352" s="91">
        <f>INDEX(Auxiliar!$D$5:$I$10,MATCH('LISTA - Setembro2024'!AE$3,Auxiliar!$B$5:$B$10,0),MATCH('LISTA - Setembro2024'!$AC352,Auxiliar!$D$4:$I$4,0))</f>
        <v>0</v>
      </c>
      <c r="AF352" s="87">
        <f>INDEX(Auxiliar!$D$5:$I$10,MATCH('LISTA - Setembro2024'!AF$3,Auxiliar!$B$5:$B$10,0),MATCH('LISTA - Setembro2024'!$AC352,Auxiliar!$D$4:$I$4,0))</f>
        <v>0</v>
      </c>
      <c r="AG352" s="87" t="str">
        <f t="shared" si="81"/>
        <v>n.a.</v>
      </c>
      <c r="AH352" s="87">
        <f>INDEX(Auxiliar!$D$5:$I$10,MATCH('LISTA - Setembro2024'!AH$3,Auxiliar!$B$5:$B$10,0),MATCH('LISTA - Setembro2024'!$AG352,Auxiliar!$D$4:$I$4,0))</f>
        <v>0</v>
      </c>
      <c r="AI352" s="87">
        <f>INDEX(Auxiliar!$D$5:$I$10,MATCH('LISTA - Setembro2024'!AI$3,Auxiliar!$B$5:$B$10,0),MATCH('LISTA - Setembro2024'!$AC352,Auxiliar!$D$4:$I$4,0))</f>
        <v>0</v>
      </c>
      <c r="AJ352" s="87">
        <f>INDEX(Auxiliar!$D$5:$I$10,MATCH('LISTA - Setembro2024'!AJ$3,Auxiliar!$B$5:$B$10,0),MATCH('LISTA - Setembro2024'!$AC352,Auxiliar!$D$4:$I$4,0))</f>
        <v>0</v>
      </c>
      <c r="AK352" s="160">
        <f t="shared" si="83"/>
        <v>0</v>
      </c>
      <c r="AL352" s="87"/>
    </row>
    <row r="353" spans="1:38" ht="13.8" x14ac:dyDescent="0.25">
      <c r="A353" s="158" t="s">
        <v>911</v>
      </c>
      <c r="B353" s="81" t="str">
        <f t="shared" si="82"/>
        <v>INSTRUMENT_PRMRY_ASST_CLSSF</v>
      </c>
      <c r="C353" s="82" t="s">
        <v>414</v>
      </c>
      <c r="D353" s="83" t="s">
        <v>912</v>
      </c>
      <c r="E353" s="84" t="s">
        <v>913</v>
      </c>
      <c r="F353" s="85" t="s">
        <v>13</v>
      </c>
      <c r="G353" s="85" t="s">
        <v>11</v>
      </c>
      <c r="H353" s="85" t="s">
        <v>13</v>
      </c>
      <c r="I353" s="85" t="s">
        <v>11</v>
      </c>
      <c r="J353" s="85" t="s">
        <v>11</v>
      </c>
      <c r="K353" s="85" t="s">
        <v>11</v>
      </c>
      <c r="L353" s="86" t="str">
        <f>IFERROR(VLOOKUP($B353,'LISTA - Atual'!$B$1:$I$444,5,0),"Novo")</f>
        <v>Y</v>
      </c>
      <c r="M353" s="86" t="str">
        <f t="shared" si="77"/>
        <v>Igual</v>
      </c>
      <c r="N353" s="86" t="str">
        <f>IFERROR(VLOOKUP($B353,'LISTA - Atual'!$B$1:$I$444,6,0),"Novo")</f>
        <v>N</v>
      </c>
      <c r="O353" s="86" t="str">
        <f t="shared" si="78"/>
        <v>Igual</v>
      </c>
      <c r="P353" s="86" t="str">
        <f>IFERROR(VLOOKUP($B353,'LISTA - Atual'!$B$1:$I$444,7,0),"Novo")</f>
        <v>Y</v>
      </c>
      <c r="Q353" s="86" t="str">
        <f t="shared" si="79"/>
        <v>Igual</v>
      </c>
      <c r="R353" s="86" t="s">
        <v>1563</v>
      </c>
      <c r="S353" s="86" t="str">
        <f>IFERROR(VLOOKUP($B353,'LISTA - Atual'!$B$1:$I$444,8,0),"Novo")</f>
        <v>N</v>
      </c>
      <c r="T353" s="86" t="str">
        <f t="shared" si="80"/>
        <v>Igual</v>
      </c>
      <c r="U353" s="86" t="s">
        <v>1563</v>
      </c>
      <c r="V353" s="86" t="s">
        <v>11</v>
      </c>
      <c r="W353" s="87" t="str">
        <f>IFERROR(VLOOKUP(B353,#REF!,11,0),"n/a")</f>
        <v>n/a</v>
      </c>
      <c r="X353" s="87" t="str">
        <f>IFERROR(VLOOKUP(B353,#REF!,8,0),"n/a")</f>
        <v>n/a</v>
      </c>
      <c r="Y353" s="87" t="str">
        <f>$F$2&amp;$Y$1&amp;$H$2</f>
        <v>ESTR &amp; PILAR3</v>
      </c>
      <c r="Z353" s="131" t="s">
        <v>1605</v>
      </c>
      <c r="AA353" s="227" t="e">
        <f>VLOOKUP(Table1[[#This Row],[CONCAT]],'Campos Resumo Prop2.0'!A:H,8,0)</f>
        <v>#N/A</v>
      </c>
      <c r="AB353" s="87" t="s">
        <v>1650</v>
      </c>
      <c r="AC353" s="135" t="s">
        <v>1625</v>
      </c>
      <c r="AD353" s="91">
        <f>INDEX(Auxiliar!$D$5:$I$10,MATCH('LISTA - Setembro2024'!AD$3,Auxiliar!$B$5:$B$10,0),MATCH('LISTA - Setembro2024'!$AC353,Auxiliar!$D$4:$I$4,0))</f>
        <v>0</v>
      </c>
      <c r="AE353" s="91">
        <f>INDEX(Auxiliar!$D$5:$I$10,MATCH('LISTA - Setembro2024'!AE$3,Auxiliar!$B$5:$B$10,0),MATCH('LISTA - Setembro2024'!$AC353,Auxiliar!$D$4:$I$4,0))</f>
        <v>0</v>
      </c>
      <c r="AF353" s="87">
        <f>INDEX(Auxiliar!$D$5:$I$10,MATCH('LISTA - Setembro2024'!AF$3,Auxiliar!$B$5:$B$10,0),MATCH('LISTA - Setembro2024'!$AC353,Auxiliar!$D$4:$I$4,0))</f>
        <v>0</v>
      </c>
      <c r="AG353" s="87" t="str">
        <f t="shared" si="81"/>
        <v>n.a.</v>
      </c>
      <c r="AH353" s="87">
        <f>INDEX(Auxiliar!$D$5:$I$10,MATCH('LISTA - Setembro2024'!AH$3,Auxiliar!$B$5:$B$10,0),MATCH('LISTA - Setembro2024'!$AG353,Auxiliar!$D$4:$I$4,0))</f>
        <v>0</v>
      </c>
      <c r="AI353" s="87">
        <f>INDEX(Auxiliar!$D$5:$I$10,MATCH('LISTA - Setembro2024'!AI$3,Auxiliar!$B$5:$B$10,0),MATCH('LISTA - Setembro2024'!$AC353,Auxiliar!$D$4:$I$4,0))</f>
        <v>0</v>
      </c>
      <c r="AJ353" s="87">
        <f>INDEX(Auxiliar!$D$5:$I$10,MATCH('LISTA - Setembro2024'!AJ$3,Auxiliar!$B$5:$B$10,0),MATCH('LISTA - Setembro2024'!$AC353,Auxiliar!$D$4:$I$4,0))</f>
        <v>0</v>
      </c>
      <c r="AK353" s="160">
        <f t="shared" si="83"/>
        <v>0</v>
      </c>
      <c r="AL353" s="87"/>
    </row>
    <row r="354" spans="1:38" ht="13.8" x14ac:dyDescent="0.25">
      <c r="A354" s="158" t="s">
        <v>914</v>
      </c>
      <c r="B354" s="81" t="str">
        <f t="shared" si="82"/>
        <v>INSTRUMENT_PRT_LCR_BFFR</v>
      </c>
      <c r="C354" s="82" t="s">
        <v>414</v>
      </c>
      <c r="D354" s="83" t="s">
        <v>915</v>
      </c>
      <c r="E354" s="84" t="s">
        <v>916</v>
      </c>
      <c r="F354" s="85" t="s">
        <v>13</v>
      </c>
      <c r="G354" s="85" t="s">
        <v>11</v>
      </c>
      <c r="H354" s="85" t="s">
        <v>11</v>
      </c>
      <c r="I354" s="85" t="s">
        <v>11</v>
      </c>
      <c r="J354" s="85" t="s">
        <v>11</v>
      </c>
      <c r="K354" s="85" t="s">
        <v>11</v>
      </c>
      <c r="L354" s="86" t="str">
        <f>IFERROR(VLOOKUP($B354,'LISTA - Atual'!$B$1:$I$444,5,0),"Novo")</f>
        <v>Y</v>
      </c>
      <c r="M354" s="86" t="str">
        <f t="shared" si="77"/>
        <v>Igual</v>
      </c>
      <c r="N354" s="86" t="str">
        <f>IFERROR(VLOOKUP($B354,'LISTA - Atual'!$B$1:$I$444,6,0),"Novo")</f>
        <v>N</v>
      </c>
      <c r="O354" s="86" t="str">
        <f t="shared" si="78"/>
        <v>Igual</v>
      </c>
      <c r="P354" s="86" t="str">
        <f>IFERROR(VLOOKUP($B354,'LISTA - Atual'!$B$1:$I$444,7,0),"Novo")</f>
        <v>N</v>
      </c>
      <c r="Q354" s="86" t="str">
        <f t="shared" si="79"/>
        <v>Igual</v>
      </c>
      <c r="R354" s="86" t="s">
        <v>1563</v>
      </c>
      <c r="S354" s="86" t="str">
        <f>IFERROR(VLOOKUP($B354,'LISTA - Atual'!$B$1:$I$444,8,0),"Novo")</f>
        <v>N</v>
      </c>
      <c r="T354" s="86" t="str">
        <f t="shared" si="80"/>
        <v>Igual</v>
      </c>
      <c r="U354" s="86" t="s">
        <v>1563</v>
      </c>
      <c r="V354" s="86" t="s">
        <v>11</v>
      </c>
      <c r="W354" s="87" t="str">
        <f>IFERROR(VLOOKUP(B354,#REF!,11,0),"n/a")</f>
        <v>n/a</v>
      </c>
      <c r="X354" s="87" t="str">
        <f>IFERROR(VLOOKUP(B354,#REF!,8,0),"n/a")</f>
        <v>n/a</v>
      </c>
      <c r="Y354" s="87" t="str">
        <f t="shared" ref="Y354:Y367" si="86">$F$2</f>
        <v>ESTR</v>
      </c>
      <c r="Z354" s="131" t="s">
        <v>1605</v>
      </c>
      <c r="AA354" s="227" t="e">
        <f>VLOOKUP(Table1[[#This Row],[CONCAT]],'Campos Resumo Prop2.0'!A:H,8,0)</f>
        <v>#N/A</v>
      </c>
      <c r="AB354" s="87" t="s">
        <v>1654</v>
      </c>
      <c r="AC354" s="135" t="s">
        <v>1625</v>
      </c>
      <c r="AD354" s="91">
        <f>INDEX(Auxiliar!$D$5:$I$10,MATCH('LISTA - Setembro2024'!AD$3,Auxiliar!$B$5:$B$10,0),MATCH('LISTA - Setembro2024'!$AC354,Auxiliar!$D$4:$I$4,0))</f>
        <v>0</v>
      </c>
      <c r="AE354" s="91">
        <f>INDEX(Auxiliar!$D$5:$I$10,MATCH('LISTA - Setembro2024'!AE$3,Auxiliar!$B$5:$B$10,0),MATCH('LISTA - Setembro2024'!$AC354,Auxiliar!$D$4:$I$4,0))</f>
        <v>0</v>
      </c>
      <c r="AF354" s="87">
        <f>INDEX(Auxiliar!$D$5:$I$10,MATCH('LISTA - Setembro2024'!AF$3,Auxiliar!$B$5:$B$10,0),MATCH('LISTA - Setembro2024'!$AC354,Auxiliar!$D$4:$I$4,0))</f>
        <v>0</v>
      </c>
      <c r="AG354" s="87" t="str">
        <f t="shared" si="81"/>
        <v>n.a.</v>
      </c>
      <c r="AH354" s="87">
        <f>INDEX(Auxiliar!$D$5:$I$10,MATCH('LISTA - Setembro2024'!AH$3,Auxiliar!$B$5:$B$10,0),MATCH('LISTA - Setembro2024'!$AG354,Auxiliar!$D$4:$I$4,0))</f>
        <v>0</v>
      </c>
      <c r="AI354" s="87">
        <f>INDEX(Auxiliar!$D$5:$I$10,MATCH('LISTA - Setembro2024'!AI$3,Auxiliar!$B$5:$B$10,0),MATCH('LISTA - Setembro2024'!$AC354,Auxiliar!$D$4:$I$4,0))</f>
        <v>0</v>
      </c>
      <c r="AJ354" s="87">
        <f>INDEX(Auxiliar!$D$5:$I$10,MATCH('LISTA - Setembro2024'!AJ$3,Auxiliar!$B$5:$B$10,0),MATCH('LISTA - Setembro2024'!$AC354,Auxiliar!$D$4:$I$4,0))</f>
        <v>0</v>
      </c>
      <c r="AK354" s="160">
        <f t="shared" si="83"/>
        <v>0</v>
      </c>
      <c r="AL354" s="87"/>
    </row>
    <row r="355" spans="1:38" ht="13.8" x14ac:dyDescent="0.25">
      <c r="A355" s="158" t="s">
        <v>917</v>
      </c>
      <c r="B355" s="81" t="str">
        <f t="shared" si="82"/>
        <v>INSTRUMENT_CPN_RT_FLTNG</v>
      </c>
      <c r="C355" s="82" t="s">
        <v>414</v>
      </c>
      <c r="D355" s="83" t="s">
        <v>1329</v>
      </c>
      <c r="E355" s="102" t="s">
        <v>920</v>
      </c>
      <c r="F355" s="85" t="s">
        <v>13</v>
      </c>
      <c r="G355" s="85" t="s">
        <v>11</v>
      </c>
      <c r="H355" s="85" t="s">
        <v>11</v>
      </c>
      <c r="I355" s="85" t="s">
        <v>11</v>
      </c>
      <c r="J355" s="85" t="s">
        <v>11</v>
      </c>
      <c r="K355" s="85" t="s">
        <v>11</v>
      </c>
      <c r="L355" s="86" t="str">
        <f>IFERROR(VLOOKUP($B355,'LISTA - Atual'!$B$1:$I$444,5,0),"Novo")</f>
        <v>Novo</v>
      </c>
      <c r="M355" s="86" t="str">
        <f t="shared" si="77"/>
        <v>Novo Campo</v>
      </c>
      <c r="N355" s="86" t="str">
        <f>IFERROR(VLOOKUP($B355,'LISTA - Atual'!$B$1:$I$444,6,0),"Novo")</f>
        <v>Novo</v>
      </c>
      <c r="O355" s="86" t="str">
        <f t="shared" si="78"/>
        <v>Novo Campo</v>
      </c>
      <c r="P355" s="86" t="str">
        <f>IFERROR(VLOOKUP($B355,'LISTA - Atual'!$B$1:$I$444,7,0),"Novo")</f>
        <v>Novo</v>
      </c>
      <c r="Q355" s="86" t="str">
        <f t="shared" si="79"/>
        <v>Novo Campo</v>
      </c>
      <c r="R355" s="86" t="s">
        <v>1563</v>
      </c>
      <c r="S355" s="86" t="str">
        <f>IFERROR(VLOOKUP($B355,'LISTA - Atual'!$B$1:$I$444,8,0),"Novo")</f>
        <v>Novo</v>
      </c>
      <c r="T355" s="86" t="str">
        <f t="shared" si="80"/>
        <v>Novo Campo</v>
      </c>
      <c r="U355" s="86" t="s">
        <v>1563</v>
      </c>
      <c r="V355" s="86" t="s">
        <v>11</v>
      </c>
      <c r="W355" s="87" t="str">
        <f>IFERROR(VLOOKUP(B355,#REF!,11,0),"n/a")</f>
        <v>n/a</v>
      </c>
      <c r="X355" s="87" t="str">
        <f>IFERROR(VLOOKUP(B355,#REF!,8,0),"n/a")</f>
        <v>n/a</v>
      </c>
      <c r="Y355" s="87" t="str">
        <f t="shared" si="86"/>
        <v>ESTR</v>
      </c>
      <c r="Z355" s="131" t="s">
        <v>1570</v>
      </c>
      <c r="AA355" s="227" t="e">
        <f>VLOOKUP(Table1[[#This Row],[CONCAT]],'Campos Resumo Prop2.0'!A:H,8,0)</f>
        <v>#N/A</v>
      </c>
      <c r="AB355" s="87" t="s">
        <v>1656</v>
      </c>
      <c r="AC355" s="88" t="s">
        <v>1625</v>
      </c>
      <c r="AD355" s="91">
        <f>INDEX(Auxiliar!$D$5:$I$10,MATCH('LISTA - Setembro2024'!AD$3,Auxiliar!$B$5:$B$10,0),MATCH('LISTA - Setembro2024'!$AC355,Auxiliar!$D$4:$I$4,0))</f>
        <v>0</v>
      </c>
      <c r="AE355" s="91">
        <f>INDEX(Auxiliar!$D$5:$I$10,MATCH('LISTA - Setembro2024'!AE$3,Auxiliar!$B$5:$B$10,0),MATCH('LISTA - Setembro2024'!$AC355,Auxiliar!$D$4:$I$4,0))</f>
        <v>0</v>
      </c>
      <c r="AF355" s="87">
        <f>INDEX(Auxiliar!$D$5:$I$10,MATCH('LISTA - Setembro2024'!AF$3,Auxiliar!$B$5:$B$10,0),MATCH('LISTA - Setembro2024'!$AC355,Auxiliar!$D$4:$I$4,0))</f>
        <v>0</v>
      </c>
      <c r="AG355" s="87" t="str">
        <f t="shared" si="81"/>
        <v>n.a.</v>
      </c>
      <c r="AH355" s="87">
        <f>INDEX(Auxiliar!$D$5:$I$10,MATCH('LISTA - Setembro2024'!AH$3,Auxiliar!$B$5:$B$10,0),MATCH('LISTA - Setembro2024'!$AG355,Auxiliar!$D$4:$I$4,0))</f>
        <v>0</v>
      </c>
      <c r="AI355" s="87">
        <f>INDEX(Auxiliar!$D$5:$I$10,MATCH('LISTA - Setembro2024'!AI$3,Auxiliar!$B$5:$B$10,0),MATCH('LISTA - Setembro2024'!$AC355,Auxiliar!$D$4:$I$4,0))</f>
        <v>0</v>
      </c>
      <c r="AJ355" s="87">
        <f>INDEX(Auxiliar!$D$5:$I$10,MATCH('LISTA - Setembro2024'!AJ$3,Auxiliar!$B$5:$B$10,0),MATCH('LISTA - Setembro2024'!$AC355,Auxiliar!$D$4:$I$4,0))</f>
        <v>0</v>
      </c>
      <c r="AK355" s="160">
        <f t="shared" si="83"/>
        <v>0</v>
      </c>
      <c r="AL355" s="87"/>
    </row>
    <row r="356" spans="1:38" ht="13.8" x14ac:dyDescent="0.25">
      <c r="A356" s="158" t="s">
        <v>921</v>
      </c>
      <c r="B356" s="81" t="str">
        <f t="shared" si="82"/>
        <v>INSTRUMENT_SPRD</v>
      </c>
      <c r="C356" s="82" t="s">
        <v>414</v>
      </c>
      <c r="D356" s="83" t="s">
        <v>922</v>
      </c>
      <c r="E356" s="84" t="s">
        <v>923</v>
      </c>
      <c r="F356" s="85" t="s">
        <v>13</v>
      </c>
      <c r="G356" s="85" t="s">
        <v>11</v>
      </c>
      <c r="H356" s="85" t="s">
        <v>11</v>
      </c>
      <c r="I356" s="85" t="s">
        <v>11</v>
      </c>
      <c r="J356" s="85" t="s">
        <v>11</v>
      </c>
      <c r="K356" s="85" t="s">
        <v>11</v>
      </c>
      <c r="L356" s="86" t="str">
        <f>IFERROR(VLOOKUP($B356,'LISTA - Atual'!$B$1:$I$444,5,0),"Novo")</f>
        <v>Y</v>
      </c>
      <c r="M356" s="86" t="str">
        <f t="shared" si="77"/>
        <v>Igual</v>
      </c>
      <c r="N356" s="86" t="str">
        <f>IFERROR(VLOOKUP($B356,'LISTA - Atual'!$B$1:$I$444,6,0),"Novo")</f>
        <v>N</v>
      </c>
      <c r="O356" s="86" t="str">
        <f t="shared" si="78"/>
        <v>Igual</v>
      </c>
      <c r="P356" s="86" t="str">
        <f>IFERROR(VLOOKUP($B356,'LISTA - Atual'!$B$1:$I$444,7,0),"Novo")</f>
        <v>N</v>
      </c>
      <c r="Q356" s="86" t="str">
        <f t="shared" si="79"/>
        <v>Igual</v>
      </c>
      <c r="R356" s="86" t="s">
        <v>1563</v>
      </c>
      <c r="S356" s="86" t="str">
        <f>IFERROR(VLOOKUP($B356,'LISTA - Atual'!$B$1:$I$444,8,0),"Novo")</f>
        <v>N</v>
      </c>
      <c r="T356" s="86" t="str">
        <f t="shared" si="80"/>
        <v>Igual</v>
      </c>
      <c r="U356" s="86" t="s">
        <v>1563</v>
      </c>
      <c r="V356" s="86" t="s">
        <v>11</v>
      </c>
      <c r="W356" s="87" t="str">
        <f>IFERROR(VLOOKUP(B356,#REF!,11,0),"n/a")</f>
        <v>n/a</v>
      </c>
      <c r="X356" s="87" t="str">
        <f>IFERROR(VLOOKUP(B356,#REF!,8,0),"n/a")</f>
        <v>n/a</v>
      </c>
      <c r="Y356" s="87" t="str">
        <f t="shared" si="86"/>
        <v>ESTR</v>
      </c>
      <c r="Z356" s="131" t="s">
        <v>1605</v>
      </c>
      <c r="AA356" s="227" t="e">
        <f>VLOOKUP(Table1[[#This Row],[CONCAT]],'Campos Resumo Prop2.0'!A:H,8,0)</f>
        <v>#N/A</v>
      </c>
      <c r="AB356" s="87" t="s">
        <v>1656</v>
      </c>
      <c r="AC356" s="135" t="s">
        <v>1625</v>
      </c>
      <c r="AD356" s="91">
        <f>INDEX(Auxiliar!$D$5:$I$10,MATCH('LISTA - Setembro2024'!AD$3,Auxiliar!$B$5:$B$10,0),MATCH('LISTA - Setembro2024'!$AC356,Auxiliar!$D$4:$I$4,0))</f>
        <v>0</v>
      </c>
      <c r="AE356" s="91">
        <f>INDEX(Auxiliar!$D$5:$I$10,MATCH('LISTA - Setembro2024'!AE$3,Auxiliar!$B$5:$B$10,0),MATCH('LISTA - Setembro2024'!$AC356,Auxiliar!$D$4:$I$4,0))</f>
        <v>0</v>
      </c>
      <c r="AF356" s="87">
        <f>INDEX(Auxiliar!$D$5:$I$10,MATCH('LISTA - Setembro2024'!AF$3,Auxiliar!$B$5:$B$10,0),MATCH('LISTA - Setembro2024'!$AC356,Auxiliar!$D$4:$I$4,0))</f>
        <v>0</v>
      </c>
      <c r="AG356" s="87" t="str">
        <f t="shared" si="81"/>
        <v>n.a.</v>
      </c>
      <c r="AH356" s="87">
        <f>INDEX(Auxiliar!$D$5:$I$10,MATCH('LISTA - Setembro2024'!AH$3,Auxiliar!$B$5:$B$10,0),MATCH('LISTA - Setembro2024'!$AG356,Auxiliar!$D$4:$I$4,0))</f>
        <v>0</v>
      </c>
      <c r="AI356" s="87">
        <f>INDEX(Auxiliar!$D$5:$I$10,MATCH('LISTA - Setembro2024'!AI$3,Auxiliar!$B$5:$B$10,0),MATCH('LISTA - Setembro2024'!$AC356,Auxiliar!$D$4:$I$4,0))</f>
        <v>0</v>
      </c>
      <c r="AJ356" s="87">
        <f>INDEX(Auxiliar!$D$5:$I$10,MATCH('LISTA - Setembro2024'!AJ$3,Auxiliar!$B$5:$B$10,0),MATCH('LISTA - Setembro2024'!$AC356,Auxiliar!$D$4:$I$4,0))</f>
        <v>0</v>
      </c>
      <c r="AK356" s="160">
        <f t="shared" si="83"/>
        <v>0</v>
      </c>
      <c r="AL356" s="87"/>
    </row>
    <row r="357" spans="1:38" ht="13.8" x14ac:dyDescent="0.25">
      <c r="A357" s="158" t="s">
        <v>924</v>
      </c>
      <c r="B357" s="81" t="str">
        <f t="shared" si="82"/>
        <v>INSTRUMENT_SRCS_ENCMBRNC</v>
      </c>
      <c r="C357" s="82" t="s">
        <v>414</v>
      </c>
      <c r="D357" s="83" t="s">
        <v>925</v>
      </c>
      <c r="E357" s="84" t="s">
        <v>926</v>
      </c>
      <c r="F357" s="85" t="s">
        <v>13</v>
      </c>
      <c r="G357" s="85" t="s">
        <v>11</v>
      </c>
      <c r="H357" s="85" t="s">
        <v>11</v>
      </c>
      <c r="I357" s="85" t="s">
        <v>11</v>
      </c>
      <c r="J357" s="85" t="s">
        <v>11</v>
      </c>
      <c r="K357" s="85" t="s">
        <v>11</v>
      </c>
      <c r="L357" s="86" t="str">
        <f>IFERROR(VLOOKUP($B357,'LISTA - Atual'!$B$1:$I$444,5,0),"Novo")</f>
        <v>Y</v>
      </c>
      <c r="M357" s="86" t="str">
        <f t="shared" si="77"/>
        <v>Igual</v>
      </c>
      <c r="N357" s="86" t="str">
        <f>IFERROR(VLOOKUP($B357,'LISTA - Atual'!$B$1:$I$444,6,0),"Novo")</f>
        <v>N</v>
      </c>
      <c r="O357" s="86" t="str">
        <f t="shared" si="78"/>
        <v>Igual</v>
      </c>
      <c r="P357" s="86" t="str">
        <f>IFERROR(VLOOKUP($B357,'LISTA - Atual'!$B$1:$I$444,7,0),"Novo")</f>
        <v>N</v>
      </c>
      <c r="Q357" s="86" t="str">
        <f t="shared" si="79"/>
        <v>Igual</v>
      </c>
      <c r="R357" s="86" t="s">
        <v>1563</v>
      </c>
      <c r="S357" s="86" t="str">
        <f>IFERROR(VLOOKUP($B357,'LISTA - Atual'!$B$1:$I$444,8,0),"Novo")</f>
        <v>N</v>
      </c>
      <c r="T357" s="86" t="str">
        <f t="shared" si="80"/>
        <v>Igual</v>
      </c>
      <c r="U357" s="86" t="s">
        <v>1563</v>
      </c>
      <c r="V357" s="86" t="s">
        <v>11</v>
      </c>
      <c r="W357" s="87" t="str">
        <f>IFERROR(VLOOKUP(B357,#REF!,11,0),"n/a")</f>
        <v>n/a</v>
      </c>
      <c r="X357" s="87" t="str">
        <f>IFERROR(VLOOKUP(B357,#REF!,8,0),"n/a")</f>
        <v>n/a</v>
      </c>
      <c r="Y357" s="87" t="str">
        <f t="shared" si="86"/>
        <v>ESTR</v>
      </c>
      <c r="Z357" s="131" t="s">
        <v>1605</v>
      </c>
      <c r="AA357" s="227" t="e">
        <f>VLOOKUP(Table1[[#This Row],[CONCAT]],'Campos Resumo Prop2.0'!A:H,8,0)</f>
        <v>#N/A</v>
      </c>
      <c r="AB357" s="87" t="s">
        <v>1650</v>
      </c>
      <c r="AC357" s="135" t="s">
        <v>1625</v>
      </c>
      <c r="AD357" s="91">
        <f>INDEX(Auxiliar!$D$5:$I$10,MATCH('LISTA - Setembro2024'!AD$3,Auxiliar!$B$5:$B$10,0),MATCH('LISTA - Setembro2024'!$AC357,Auxiliar!$D$4:$I$4,0))</f>
        <v>0</v>
      </c>
      <c r="AE357" s="91">
        <f>INDEX(Auxiliar!$D$5:$I$10,MATCH('LISTA - Setembro2024'!AE$3,Auxiliar!$B$5:$B$10,0),MATCH('LISTA - Setembro2024'!$AC357,Auxiliar!$D$4:$I$4,0))</f>
        <v>0</v>
      </c>
      <c r="AF357" s="87">
        <f>INDEX(Auxiliar!$D$5:$I$10,MATCH('LISTA - Setembro2024'!AF$3,Auxiliar!$B$5:$B$10,0),MATCH('LISTA - Setembro2024'!$AC357,Auxiliar!$D$4:$I$4,0))</f>
        <v>0</v>
      </c>
      <c r="AG357" s="87" t="str">
        <f t="shared" si="81"/>
        <v>n.a.</v>
      </c>
      <c r="AH357" s="87">
        <f>INDEX(Auxiliar!$D$5:$I$10,MATCH('LISTA - Setembro2024'!AH$3,Auxiliar!$B$5:$B$10,0),MATCH('LISTA - Setembro2024'!$AG357,Auxiliar!$D$4:$I$4,0))</f>
        <v>0</v>
      </c>
      <c r="AI357" s="87">
        <f>INDEX(Auxiliar!$D$5:$I$10,MATCH('LISTA - Setembro2024'!AI$3,Auxiliar!$B$5:$B$10,0),MATCH('LISTA - Setembro2024'!$AC357,Auxiliar!$D$4:$I$4,0))</f>
        <v>0</v>
      </c>
      <c r="AJ357" s="87">
        <f>INDEX(Auxiliar!$D$5:$I$10,MATCH('LISTA - Setembro2024'!AJ$3,Auxiliar!$B$5:$B$10,0),MATCH('LISTA - Setembro2024'!$AC357,Auxiliar!$D$4:$I$4,0))</f>
        <v>0</v>
      </c>
      <c r="AK357" s="160">
        <f t="shared" si="83"/>
        <v>0</v>
      </c>
      <c r="AL357" s="87"/>
    </row>
    <row r="358" spans="1:38" ht="13.8" x14ac:dyDescent="0.25">
      <c r="A358" s="158" t="s">
        <v>927</v>
      </c>
      <c r="B358" s="81" t="str">
        <f t="shared" si="82"/>
        <v>INSTRUMENT_TYPE_OF_PLCMNT</v>
      </c>
      <c r="C358" s="82" t="s">
        <v>414</v>
      </c>
      <c r="D358" s="83" t="s">
        <v>928</v>
      </c>
      <c r="E358" s="84" t="s">
        <v>929</v>
      </c>
      <c r="F358" s="85" t="s">
        <v>13</v>
      </c>
      <c r="G358" s="85" t="s">
        <v>11</v>
      </c>
      <c r="H358" s="85" t="s">
        <v>11</v>
      </c>
      <c r="I358" s="85" t="s">
        <v>11</v>
      </c>
      <c r="J358" s="85" t="s">
        <v>11</v>
      </c>
      <c r="K358" s="85" t="s">
        <v>11</v>
      </c>
      <c r="L358" s="86" t="str">
        <f>IFERROR(VLOOKUP($B358,'LISTA - Atual'!$B$1:$I$444,5,0),"Novo")</f>
        <v>Y</v>
      </c>
      <c r="M358" s="86" t="str">
        <f t="shared" si="77"/>
        <v>Igual</v>
      </c>
      <c r="N358" s="86" t="str">
        <f>IFERROR(VLOOKUP($B358,'LISTA - Atual'!$B$1:$I$444,6,0),"Novo")</f>
        <v>N</v>
      </c>
      <c r="O358" s="86" t="str">
        <f t="shared" si="78"/>
        <v>Igual</v>
      </c>
      <c r="P358" s="86" t="str">
        <f>IFERROR(VLOOKUP($B358,'LISTA - Atual'!$B$1:$I$444,7,0),"Novo")</f>
        <v>N</v>
      </c>
      <c r="Q358" s="86" t="str">
        <f t="shared" si="79"/>
        <v>Igual</v>
      </c>
      <c r="R358" s="86" t="s">
        <v>1563</v>
      </c>
      <c r="S358" s="86" t="str">
        <f>IFERROR(VLOOKUP($B358,'LISTA - Atual'!$B$1:$I$444,8,0),"Novo")</f>
        <v>N</v>
      </c>
      <c r="T358" s="86" t="str">
        <f t="shared" si="80"/>
        <v>Igual</v>
      </c>
      <c r="U358" s="86" t="s">
        <v>1563</v>
      </c>
      <c r="V358" s="86" t="s">
        <v>11</v>
      </c>
      <c r="W358" s="87" t="str">
        <f>IFERROR(VLOOKUP(B358,#REF!,11,0),"n/a")</f>
        <v>n/a</v>
      </c>
      <c r="X358" s="87" t="str">
        <f>IFERROR(VLOOKUP(B358,#REF!,8,0),"n/a")</f>
        <v>n/a</v>
      </c>
      <c r="Y358" s="87" t="str">
        <f t="shared" si="86"/>
        <v>ESTR</v>
      </c>
      <c r="Z358" s="131" t="s">
        <v>1605</v>
      </c>
      <c r="AA358" s="227" t="e">
        <f>VLOOKUP(Table1[[#This Row],[CONCAT]],'Campos Resumo Prop2.0'!A:H,8,0)</f>
        <v>#N/A</v>
      </c>
      <c r="AB358" s="87" t="s">
        <v>1650</v>
      </c>
      <c r="AC358" s="135" t="s">
        <v>1625</v>
      </c>
      <c r="AD358" s="91">
        <f>INDEX(Auxiliar!$D$5:$I$10,MATCH('LISTA - Setembro2024'!AD$3,Auxiliar!$B$5:$B$10,0),MATCH('LISTA - Setembro2024'!$AC358,Auxiliar!$D$4:$I$4,0))</f>
        <v>0</v>
      </c>
      <c r="AE358" s="91">
        <f>INDEX(Auxiliar!$D$5:$I$10,MATCH('LISTA - Setembro2024'!AE$3,Auxiliar!$B$5:$B$10,0),MATCH('LISTA - Setembro2024'!$AC358,Auxiliar!$D$4:$I$4,0))</f>
        <v>0</v>
      </c>
      <c r="AF358" s="87">
        <f>INDEX(Auxiliar!$D$5:$I$10,MATCH('LISTA - Setembro2024'!AF$3,Auxiliar!$B$5:$B$10,0),MATCH('LISTA - Setembro2024'!$AC358,Auxiliar!$D$4:$I$4,0))</f>
        <v>0</v>
      </c>
      <c r="AG358" s="87" t="str">
        <f t="shared" si="81"/>
        <v>n.a.</v>
      </c>
      <c r="AH358" s="87">
        <f>INDEX(Auxiliar!$D$5:$I$10,MATCH('LISTA - Setembro2024'!AH$3,Auxiliar!$B$5:$B$10,0),MATCH('LISTA - Setembro2024'!$AG358,Auxiliar!$D$4:$I$4,0))</f>
        <v>0</v>
      </c>
      <c r="AI358" s="87">
        <f>INDEX(Auxiliar!$D$5:$I$10,MATCH('LISTA - Setembro2024'!AI$3,Auxiliar!$B$5:$B$10,0),MATCH('LISTA - Setembro2024'!$AC358,Auxiliar!$D$4:$I$4,0))</f>
        <v>0</v>
      </c>
      <c r="AJ358" s="87">
        <f>INDEX(Auxiliar!$D$5:$I$10,MATCH('LISTA - Setembro2024'!AJ$3,Auxiliar!$B$5:$B$10,0),MATCH('LISTA - Setembro2024'!$AC358,Auxiliar!$D$4:$I$4,0))</f>
        <v>0</v>
      </c>
      <c r="AK358" s="160">
        <f t="shared" si="83"/>
        <v>0</v>
      </c>
      <c r="AL358" s="87"/>
    </row>
    <row r="359" spans="1:38" ht="13.8" x14ac:dyDescent="0.25">
      <c r="A359" s="158" t="s">
        <v>930</v>
      </c>
      <c r="B359" s="81" t="str">
        <f t="shared" si="82"/>
        <v>INSTRUMENT_VLTN_CRRNCY</v>
      </c>
      <c r="C359" s="82" t="s">
        <v>414</v>
      </c>
      <c r="D359" s="83" t="s">
        <v>931</v>
      </c>
      <c r="E359" s="84" t="s">
        <v>932</v>
      </c>
      <c r="F359" s="85" t="s">
        <v>13</v>
      </c>
      <c r="G359" s="85" t="s">
        <v>11</v>
      </c>
      <c r="H359" s="85" t="s">
        <v>11</v>
      </c>
      <c r="I359" s="85" t="s">
        <v>11</v>
      </c>
      <c r="J359" s="85" t="s">
        <v>11</v>
      </c>
      <c r="K359" s="85" t="s">
        <v>11</v>
      </c>
      <c r="L359" s="86" t="str">
        <f>IFERROR(VLOOKUP($B359,'LISTA - Atual'!$B$1:$I$444,5,0),"Novo")</f>
        <v>Y</v>
      </c>
      <c r="M359" s="86" t="str">
        <f t="shared" si="77"/>
        <v>Igual</v>
      </c>
      <c r="N359" s="86" t="str">
        <f>IFERROR(VLOOKUP($B359,'LISTA - Atual'!$B$1:$I$444,6,0),"Novo")</f>
        <v>N</v>
      </c>
      <c r="O359" s="86" t="str">
        <f t="shared" si="78"/>
        <v>Igual</v>
      </c>
      <c r="P359" s="86" t="str">
        <f>IFERROR(VLOOKUP($B359,'LISTA - Atual'!$B$1:$I$444,7,0),"Novo")</f>
        <v>N</v>
      </c>
      <c r="Q359" s="86" t="str">
        <f t="shared" si="79"/>
        <v>Igual</v>
      </c>
      <c r="R359" s="86" t="s">
        <v>1563</v>
      </c>
      <c r="S359" s="86" t="str">
        <f>IFERROR(VLOOKUP($B359,'LISTA - Atual'!$B$1:$I$444,8,0),"Novo")</f>
        <v>N</v>
      </c>
      <c r="T359" s="86" t="str">
        <f t="shared" si="80"/>
        <v>Igual</v>
      </c>
      <c r="U359" s="86" t="s">
        <v>1563</v>
      </c>
      <c r="V359" s="86" t="s">
        <v>11</v>
      </c>
      <c r="W359" s="87" t="str">
        <f>IFERROR(VLOOKUP(B359,#REF!,11,0),"n/a")</f>
        <v>n/a</v>
      </c>
      <c r="X359" s="87" t="str">
        <f>IFERROR(VLOOKUP(B359,#REF!,8,0),"n/a")</f>
        <v>n/a</v>
      </c>
      <c r="Y359" s="87" t="str">
        <f t="shared" si="86"/>
        <v>ESTR</v>
      </c>
      <c r="Z359" s="131" t="s">
        <v>1605</v>
      </c>
      <c r="AA359" s="227" t="e">
        <f>VLOOKUP(Table1[[#This Row],[CONCAT]],'Campos Resumo Prop2.0'!A:H,8,0)</f>
        <v>#N/A</v>
      </c>
      <c r="AB359" s="87" t="s">
        <v>1650</v>
      </c>
      <c r="AC359" s="135" t="s">
        <v>1625</v>
      </c>
      <c r="AD359" s="91">
        <f>INDEX(Auxiliar!$D$5:$I$10,MATCH('LISTA - Setembro2024'!AD$3,Auxiliar!$B$5:$B$10,0),MATCH('LISTA - Setembro2024'!$AC359,Auxiliar!$D$4:$I$4,0))</f>
        <v>0</v>
      </c>
      <c r="AE359" s="91">
        <f>INDEX(Auxiliar!$D$5:$I$10,MATCH('LISTA - Setembro2024'!AE$3,Auxiliar!$B$5:$B$10,0),MATCH('LISTA - Setembro2024'!$AC359,Auxiliar!$D$4:$I$4,0))</f>
        <v>0</v>
      </c>
      <c r="AF359" s="87">
        <f>INDEX(Auxiliar!$D$5:$I$10,MATCH('LISTA - Setembro2024'!AF$3,Auxiliar!$B$5:$B$10,0),MATCH('LISTA - Setembro2024'!$AC359,Auxiliar!$D$4:$I$4,0))</f>
        <v>0</v>
      </c>
      <c r="AG359" s="87" t="str">
        <f t="shared" si="81"/>
        <v>n.a.</v>
      </c>
      <c r="AH359" s="87">
        <f>INDEX(Auxiliar!$D$5:$I$10,MATCH('LISTA - Setembro2024'!AH$3,Auxiliar!$B$5:$B$10,0),MATCH('LISTA - Setembro2024'!$AG359,Auxiliar!$D$4:$I$4,0))</f>
        <v>0</v>
      </c>
      <c r="AI359" s="87">
        <f>INDEX(Auxiliar!$D$5:$I$10,MATCH('LISTA - Setembro2024'!AI$3,Auxiliar!$B$5:$B$10,0),MATCH('LISTA - Setembro2024'!$AC359,Auxiliar!$D$4:$I$4,0))</f>
        <v>0</v>
      </c>
      <c r="AJ359" s="87">
        <f>INDEX(Auxiliar!$D$5:$I$10,MATCH('LISTA - Setembro2024'!AJ$3,Auxiliar!$B$5:$B$10,0),MATCH('LISTA - Setembro2024'!$AC359,Auxiliar!$D$4:$I$4,0))</f>
        <v>0</v>
      </c>
      <c r="AK359" s="160">
        <f t="shared" si="83"/>
        <v>0</v>
      </c>
      <c r="AL359" s="87"/>
    </row>
    <row r="360" spans="1:38" ht="13.8" x14ac:dyDescent="0.25">
      <c r="A360" s="158" t="s">
        <v>933</v>
      </c>
      <c r="B360" s="81" t="str">
        <f t="shared" si="82"/>
        <v>INSTRUMENT_VLTN_TYP</v>
      </c>
      <c r="C360" s="82" t="s">
        <v>414</v>
      </c>
      <c r="D360" s="83" t="s">
        <v>934</v>
      </c>
      <c r="E360" s="84" t="s">
        <v>935</v>
      </c>
      <c r="F360" s="85" t="s">
        <v>13</v>
      </c>
      <c r="G360" s="85" t="s">
        <v>11</v>
      </c>
      <c r="H360" s="85" t="s">
        <v>11</v>
      </c>
      <c r="I360" s="85" t="s">
        <v>11</v>
      </c>
      <c r="J360" s="85" t="s">
        <v>11</v>
      </c>
      <c r="K360" s="85" t="s">
        <v>11</v>
      </c>
      <c r="L360" s="86" t="str">
        <f>IFERROR(VLOOKUP($B360,'LISTA - Atual'!$B$1:$I$444,5,0),"Novo")</f>
        <v>Y</v>
      </c>
      <c r="M360" s="86" t="str">
        <f t="shared" si="77"/>
        <v>Igual</v>
      </c>
      <c r="N360" s="86" t="str">
        <f>IFERROR(VLOOKUP($B360,'LISTA - Atual'!$B$1:$I$444,6,0),"Novo")</f>
        <v>N</v>
      </c>
      <c r="O360" s="86" t="str">
        <f t="shared" si="78"/>
        <v>Igual</v>
      </c>
      <c r="P360" s="86" t="str">
        <f>IFERROR(VLOOKUP($B360,'LISTA - Atual'!$B$1:$I$444,7,0),"Novo")</f>
        <v>N</v>
      </c>
      <c r="Q360" s="86" t="str">
        <f t="shared" si="79"/>
        <v>Igual</v>
      </c>
      <c r="R360" s="86" t="s">
        <v>1563</v>
      </c>
      <c r="S360" s="86" t="str">
        <f>IFERROR(VLOOKUP($B360,'LISTA - Atual'!$B$1:$I$444,8,0),"Novo")</f>
        <v>N</v>
      </c>
      <c r="T360" s="86" t="str">
        <f t="shared" si="80"/>
        <v>Igual</v>
      </c>
      <c r="U360" s="86" t="s">
        <v>1563</v>
      </c>
      <c r="V360" s="86" t="s">
        <v>11</v>
      </c>
      <c r="W360" s="87" t="str">
        <f>IFERROR(VLOOKUP(B360,#REF!,11,0),"n/a")</f>
        <v>n/a</v>
      </c>
      <c r="X360" s="87" t="str">
        <f>IFERROR(VLOOKUP(B360,#REF!,8,0),"n/a")</f>
        <v>n/a</v>
      </c>
      <c r="Y360" s="87" t="str">
        <f t="shared" si="86"/>
        <v>ESTR</v>
      </c>
      <c r="Z360" s="131" t="s">
        <v>1605</v>
      </c>
      <c r="AA360" s="227" t="e">
        <f>VLOOKUP(Table1[[#This Row],[CONCAT]],'Campos Resumo Prop2.0'!A:H,8,0)</f>
        <v>#N/A</v>
      </c>
      <c r="AB360" s="87" t="s">
        <v>1650</v>
      </c>
      <c r="AC360" s="135" t="s">
        <v>1625</v>
      </c>
      <c r="AD360" s="91">
        <f>INDEX(Auxiliar!$D$5:$I$10,MATCH('LISTA - Setembro2024'!AD$3,Auxiliar!$B$5:$B$10,0),MATCH('LISTA - Setembro2024'!$AC360,Auxiliar!$D$4:$I$4,0))</f>
        <v>0</v>
      </c>
      <c r="AE360" s="91">
        <f>INDEX(Auxiliar!$D$5:$I$10,MATCH('LISTA - Setembro2024'!AE$3,Auxiliar!$B$5:$B$10,0),MATCH('LISTA - Setembro2024'!$AC360,Auxiliar!$D$4:$I$4,0))</f>
        <v>0</v>
      </c>
      <c r="AF360" s="87">
        <f>INDEX(Auxiliar!$D$5:$I$10,MATCH('LISTA - Setembro2024'!AF$3,Auxiliar!$B$5:$B$10,0),MATCH('LISTA - Setembro2024'!$AC360,Auxiliar!$D$4:$I$4,0))</f>
        <v>0</v>
      </c>
      <c r="AG360" s="87" t="str">
        <f t="shared" si="81"/>
        <v>n.a.</v>
      </c>
      <c r="AH360" s="87">
        <f>INDEX(Auxiliar!$D$5:$I$10,MATCH('LISTA - Setembro2024'!AH$3,Auxiliar!$B$5:$B$10,0),MATCH('LISTA - Setembro2024'!$AG360,Auxiliar!$D$4:$I$4,0))</f>
        <v>0</v>
      </c>
      <c r="AI360" s="87">
        <f>INDEX(Auxiliar!$D$5:$I$10,MATCH('LISTA - Setembro2024'!AI$3,Auxiliar!$B$5:$B$10,0),MATCH('LISTA - Setembro2024'!$AC360,Auxiliar!$D$4:$I$4,0))</f>
        <v>0</v>
      </c>
      <c r="AJ360" s="87">
        <f>INDEX(Auxiliar!$D$5:$I$10,MATCH('LISTA - Setembro2024'!AJ$3,Auxiliar!$B$5:$B$10,0),MATCH('LISTA - Setembro2024'!$AC360,Auxiliar!$D$4:$I$4,0))</f>
        <v>0</v>
      </c>
      <c r="AK360" s="160">
        <f t="shared" si="83"/>
        <v>0</v>
      </c>
      <c r="AL360" s="87"/>
    </row>
    <row r="361" spans="1:38" ht="13.8" x14ac:dyDescent="0.25">
      <c r="A361" s="158" t="s">
        <v>936</v>
      </c>
      <c r="B361" s="81" t="str">
        <f t="shared" si="82"/>
        <v>INSTRUMENT_LVRG_FNNC_FLG</v>
      </c>
      <c r="C361" s="82" t="s">
        <v>414</v>
      </c>
      <c r="D361" s="83" t="s">
        <v>937</v>
      </c>
      <c r="E361" s="84" t="s">
        <v>938</v>
      </c>
      <c r="F361" s="85" t="s">
        <v>13</v>
      </c>
      <c r="G361" s="85" t="s">
        <v>11</v>
      </c>
      <c r="H361" s="85" t="s">
        <v>11</v>
      </c>
      <c r="I361" s="85" t="s">
        <v>11</v>
      </c>
      <c r="J361" s="85" t="s">
        <v>11</v>
      </c>
      <c r="K361" s="85" t="s">
        <v>13</v>
      </c>
      <c r="L361" s="86" t="str">
        <f>IFERROR(VLOOKUP($B361,'LISTA - Atual'!$B$1:$I$444,5,0),"Novo")</f>
        <v>Y</v>
      </c>
      <c r="M361" s="86" t="str">
        <f t="shared" si="77"/>
        <v>Igual</v>
      </c>
      <c r="N361" s="86" t="str">
        <f>IFERROR(VLOOKUP($B361,'LISTA - Atual'!$B$1:$I$444,6,0),"Novo")</f>
        <v>N</v>
      </c>
      <c r="O361" s="86" t="str">
        <f t="shared" si="78"/>
        <v>Igual</v>
      </c>
      <c r="P361" s="86" t="str">
        <f>IFERROR(VLOOKUP($B361,'LISTA - Atual'!$B$1:$I$444,7,0),"Novo")</f>
        <v>N</v>
      </c>
      <c r="Q361" s="86" t="str">
        <f t="shared" si="79"/>
        <v>Igual</v>
      </c>
      <c r="R361" s="86" t="s">
        <v>1563</v>
      </c>
      <c r="S361" s="86" t="str">
        <f>IFERROR(VLOOKUP($B361,'LISTA - Atual'!$B$1:$I$444,8,0),"Novo")</f>
        <v>N</v>
      </c>
      <c r="T361" s="86" t="str">
        <f t="shared" si="80"/>
        <v>Igual</v>
      </c>
      <c r="U361" s="86" t="s">
        <v>1563</v>
      </c>
      <c r="V361" s="90" t="s">
        <v>13</v>
      </c>
      <c r="W361" s="87" t="str">
        <f>IFERROR(VLOOKUP(B361,#REF!,11,0),"n/a")</f>
        <v>n/a</v>
      </c>
      <c r="X361" s="91" t="str">
        <f>IFERROR(VLOOKUP(B361,#REF!,8,0),"n/a")</f>
        <v>n/a</v>
      </c>
      <c r="Y361" s="87" t="str">
        <f t="shared" si="86"/>
        <v>ESTR</v>
      </c>
      <c r="Z361" s="131" t="s">
        <v>1605</v>
      </c>
      <c r="AA361" s="227" t="e">
        <f>VLOOKUP(Table1[[#This Row],[CONCAT]],'Campos Resumo Prop2.0'!A:H,8,0)</f>
        <v>#N/A</v>
      </c>
      <c r="AB361" s="87" t="s">
        <v>1654</v>
      </c>
      <c r="AC361" s="135" t="s">
        <v>1625</v>
      </c>
      <c r="AD361" s="135">
        <v>10</v>
      </c>
      <c r="AE361" s="135">
        <v>8</v>
      </c>
      <c r="AF361" s="87">
        <f>INDEX(Auxiliar!$D$5:$I$10,MATCH('LISTA - Setembro2024'!AF$3,Auxiliar!$B$5:$B$10,0),MATCH('LISTA - Setembro2024'!$AC361,Auxiliar!$D$4:$I$4,0))</f>
        <v>0</v>
      </c>
      <c r="AG361" s="87" t="str">
        <f t="shared" si="81"/>
        <v>n.a.</v>
      </c>
      <c r="AH361" s="87">
        <f>INDEX(Auxiliar!$D$5:$I$10,MATCH('LISTA - Setembro2024'!AH$3,Auxiliar!$B$5:$B$10,0),MATCH('LISTA - Setembro2024'!$AG361,Auxiliar!$D$4:$I$4,0))</f>
        <v>0</v>
      </c>
      <c r="AI361" s="87">
        <f>INDEX(Auxiliar!$D$5:$I$10,MATCH('LISTA - Setembro2024'!AI$3,Auxiliar!$B$5:$B$10,0),MATCH('LISTA - Setembro2024'!$AC361,Auxiliar!$D$4:$I$4,0))</f>
        <v>0</v>
      </c>
      <c r="AJ361" s="87">
        <f>INDEX(Auxiliar!$D$5:$I$10,MATCH('LISTA - Setembro2024'!AJ$3,Auxiliar!$B$5:$B$10,0),MATCH('LISTA - Setembro2024'!$AC361,Auxiliar!$D$4:$I$4,0))</f>
        <v>0</v>
      </c>
      <c r="AK361" s="160">
        <f t="shared" si="83"/>
        <v>0</v>
      </c>
      <c r="AL361" s="87" t="s">
        <v>1697</v>
      </c>
    </row>
    <row r="362" spans="1:38" ht="13.8" x14ac:dyDescent="0.25">
      <c r="A362" s="158" t="s">
        <v>939</v>
      </c>
      <c r="B362" s="81" t="str">
        <f t="shared" si="82"/>
        <v>INSTRUMENT_INTRNL_SGMNT_IFRS9</v>
      </c>
      <c r="C362" s="82" t="s">
        <v>414</v>
      </c>
      <c r="D362" s="83" t="s">
        <v>940</v>
      </c>
      <c r="E362" s="84" t="s">
        <v>941</v>
      </c>
      <c r="F362" s="85" t="s">
        <v>13</v>
      </c>
      <c r="G362" s="85" t="s">
        <v>11</v>
      </c>
      <c r="H362" s="85" t="s">
        <v>11</v>
      </c>
      <c r="I362" s="85" t="s">
        <v>11</v>
      </c>
      <c r="J362" s="85" t="s">
        <v>11</v>
      </c>
      <c r="K362" s="85" t="s">
        <v>11</v>
      </c>
      <c r="L362" s="86" t="str">
        <f>IFERROR(VLOOKUP($B362,'LISTA - Atual'!$B$1:$I$444,5,0),"Novo")</f>
        <v>Y</v>
      </c>
      <c r="M362" s="86" t="str">
        <f t="shared" si="77"/>
        <v>Igual</v>
      </c>
      <c r="N362" s="86" t="str">
        <f>IFERROR(VLOOKUP($B362,'LISTA - Atual'!$B$1:$I$444,6,0),"Novo")</f>
        <v>N</v>
      </c>
      <c r="O362" s="86" t="str">
        <f t="shared" si="78"/>
        <v>Igual</v>
      </c>
      <c r="P362" s="86" t="str">
        <f>IFERROR(VLOOKUP($B362,'LISTA - Atual'!$B$1:$I$444,7,0),"Novo")</f>
        <v>N</v>
      </c>
      <c r="Q362" s="86" t="str">
        <f t="shared" si="79"/>
        <v>Igual</v>
      </c>
      <c r="R362" s="86" t="s">
        <v>1563</v>
      </c>
      <c r="S362" s="86" t="str">
        <f>IFERROR(VLOOKUP($B362,'LISTA - Atual'!$B$1:$I$444,8,0),"Novo")</f>
        <v>N</v>
      </c>
      <c r="T362" s="86" t="str">
        <f t="shared" si="80"/>
        <v>Igual</v>
      </c>
      <c r="U362" s="86" t="s">
        <v>1563</v>
      </c>
      <c r="V362" s="86" t="s">
        <v>11</v>
      </c>
      <c r="W362" s="87" t="str">
        <f>IFERROR(VLOOKUP(B362,#REF!,11,0),"n/a")</f>
        <v>n/a</v>
      </c>
      <c r="X362" s="87" t="str">
        <f>IFERROR(VLOOKUP(B362,#REF!,8,0),"n/a")</f>
        <v>n/a</v>
      </c>
      <c r="Y362" s="87" t="str">
        <f t="shared" si="86"/>
        <v>ESTR</v>
      </c>
      <c r="Z362" s="131" t="s">
        <v>1605</v>
      </c>
      <c r="AA362" s="227" t="e">
        <f>VLOOKUP(Table1[[#This Row],[CONCAT]],'Campos Resumo Prop2.0'!A:H,8,0)</f>
        <v>#N/A</v>
      </c>
      <c r="AB362" s="87" t="s">
        <v>1652</v>
      </c>
      <c r="AC362" s="135" t="s">
        <v>1625</v>
      </c>
      <c r="AD362" s="91">
        <f>INDEX(Auxiliar!$D$5:$I$10,MATCH('LISTA - Setembro2024'!AD$3,Auxiliar!$B$5:$B$10,0),MATCH('LISTA - Setembro2024'!$AC362,Auxiliar!$D$4:$I$4,0))</f>
        <v>0</v>
      </c>
      <c r="AE362" s="91">
        <f>INDEX(Auxiliar!$D$5:$I$10,MATCH('LISTA - Setembro2024'!AE$3,Auxiliar!$B$5:$B$10,0),MATCH('LISTA - Setembro2024'!$AC362,Auxiliar!$D$4:$I$4,0))</f>
        <v>0</v>
      </c>
      <c r="AF362" s="87">
        <f>INDEX(Auxiliar!$D$5:$I$10,MATCH('LISTA - Setembro2024'!AF$3,Auxiliar!$B$5:$B$10,0),MATCH('LISTA - Setembro2024'!$AC362,Auxiliar!$D$4:$I$4,0))</f>
        <v>0</v>
      </c>
      <c r="AG362" s="87" t="str">
        <f t="shared" si="81"/>
        <v>n.a.</v>
      </c>
      <c r="AH362" s="87">
        <f>INDEX(Auxiliar!$D$5:$I$10,MATCH('LISTA - Setembro2024'!AH$3,Auxiliar!$B$5:$B$10,0),MATCH('LISTA - Setembro2024'!$AG362,Auxiliar!$D$4:$I$4,0))</f>
        <v>0</v>
      </c>
      <c r="AI362" s="87">
        <f>INDEX(Auxiliar!$D$5:$I$10,MATCH('LISTA - Setembro2024'!AI$3,Auxiliar!$B$5:$B$10,0),MATCH('LISTA - Setembro2024'!$AC362,Auxiliar!$D$4:$I$4,0))</f>
        <v>0</v>
      </c>
      <c r="AJ362" s="87">
        <f>INDEX(Auxiliar!$D$5:$I$10,MATCH('LISTA - Setembro2024'!AJ$3,Auxiliar!$B$5:$B$10,0),MATCH('LISTA - Setembro2024'!$AC362,Auxiliar!$D$4:$I$4,0))</f>
        <v>0</v>
      </c>
      <c r="AK362" s="160">
        <f t="shared" si="83"/>
        <v>0</v>
      </c>
      <c r="AL362" s="87"/>
    </row>
    <row r="363" spans="1:38" s="20" customFormat="1" ht="13.8" x14ac:dyDescent="0.25">
      <c r="A363" s="158" t="s">
        <v>942</v>
      </c>
      <c r="B363" s="81" t="str">
        <f t="shared" si="82"/>
        <v>INSTRUMENT_INTRNL_SGMNT_CAT_MSTA</v>
      </c>
      <c r="C363" s="82" t="s">
        <v>414</v>
      </c>
      <c r="D363" s="83" t="s">
        <v>943</v>
      </c>
      <c r="E363" s="84" t="s">
        <v>944</v>
      </c>
      <c r="F363" s="85" t="s">
        <v>13</v>
      </c>
      <c r="G363" s="85" t="s">
        <v>11</v>
      </c>
      <c r="H363" s="85" t="s">
        <v>11</v>
      </c>
      <c r="I363" s="85" t="s">
        <v>11</v>
      </c>
      <c r="J363" s="85" t="s">
        <v>13</v>
      </c>
      <c r="K363" s="85" t="s">
        <v>11</v>
      </c>
      <c r="L363" s="86" t="str">
        <f>IFERROR(VLOOKUP($B363,'LISTA - Atual'!$B$1:$I$444,5,0),"Novo")</f>
        <v>Y</v>
      </c>
      <c r="M363" s="86" t="str">
        <f t="shared" si="77"/>
        <v>Igual</v>
      </c>
      <c r="N363" s="86" t="str">
        <f>IFERROR(VLOOKUP($B363,'LISTA - Atual'!$B$1:$I$444,6,0),"Novo")</f>
        <v>N</v>
      </c>
      <c r="O363" s="86" t="str">
        <f t="shared" si="78"/>
        <v>Igual</v>
      </c>
      <c r="P363" s="86" t="str">
        <f>IFERROR(VLOOKUP($B363,'LISTA - Atual'!$B$1:$I$444,7,0),"Novo")</f>
        <v>N</v>
      </c>
      <c r="Q363" s="86" t="str">
        <f t="shared" si="79"/>
        <v>Igual</v>
      </c>
      <c r="R363" s="86" t="s">
        <v>1563</v>
      </c>
      <c r="S363" s="86" t="str">
        <f>IFERROR(VLOOKUP($B363,'LISTA - Atual'!$B$1:$I$444,8,0),"Novo")</f>
        <v>Y</v>
      </c>
      <c r="T363" s="86" t="str">
        <f t="shared" si="80"/>
        <v>Igual</v>
      </c>
      <c r="U363" s="86" t="s">
        <v>1563</v>
      </c>
      <c r="V363" s="86" t="s">
        <v>11</v>
      </c>
      <c r="W363" s="87" t="str">
        <f>IFERROR(VLOOKUP(B363,#REF!,11,0),"n/a")</f>
        <v>n/a</v>
      </c>
      <c r="X363" s="87" t="str">
        <f>IFERROR(VLOOKUP(B363,#REF!,8,0),"n/a")</f>
        <v>n/a</v>
      </c>
      <c r="Y363" s="87" t="str">
        <f>"ESG_RISKS &amp; "&amp;$F$2</f>
        <v>ESG_RISKS &amp; ESTR</v>
      </c>
      <c r="Z363" s="213" t="s">
        <v>1570</v>
      </c>
      <c r="AA363" s="227" t="str">
        <f>VLOOKUP(Table1[[#This Row],[CONCAT]],'Campos Resumo Prop2.0'!A:H,8,0)</f>
        <v>Âmbito de proposta - Especificação</v>
      </c>
      <c r="AB363" s="87" t="s">
        <v>1650</v>
      </c>
      <c r="AC363" s="135" t="s">
        <v>1636</v>
      </c>
      <c r="AD363" s="91">
        <f>INDEX(Auxiliar!$D$5:$I$10,MATCH('LISTA - Setembro2024'!AD$3,Auxiliar!$B$5:$B$10,0),MATCH('LISTA - Setembro2024'!$AC363,Auxiliar!$D$4:$I$4,0))</f>
        <v>2</v>
      </c>
      <c r="AE363" s="242">
        <v>0</v>
      </c>
      <c r="AF363" s="87">
        <f>INDEX(Auxiliar!$D$5:$I$10,MATCH('LISTA - Setembro2024'!AF$3,Auxiliar!$B$5:$B$10,0),MATCH('LISTA - Setembro2024'!$AC363,Auxiliar!$D$4:$I$4,0))</f>
        <v>1.5</v>
      </c>
      <c r="AG363" s="87" t="str">
        <f t="shared" si="81"/>
        <v>Baixa</v>
      </c>
      <c r="AH363" s="87">
        <f>INDEX(Auxiliar!$D$5:$I$10,MATCH('LISTA - Setembro2024'!AH$3,Auxiliar!$B$5:$B$10,0),MATCH('LISTA - Setembro2024'!$AG363,Auxiliar!$D$4:$I$4,0))</f>
        <v>0.5</v>
      </c>
      <c r="AI363" s="87">
        <f>INDEX(Auxiliar!$D$5:$I$10,MATCH('LISTA - Setembro2024'!AI$3,Auxiliar!$B$5:$B$10,0),MATCH('LISTA - Setembro2024'!$AC363,Auxiliar!$D$4:$I$4,0))</f>
        <v>0.5</v>
      </c>
      <c r="AJ363" s="87">
        <f>INDEX(Auxiliar!$D$5:$I$10,MATCH('LISTA - Setembro2024'!AJ$3,Auxiliar!$B$5:$B$10,0),MATCH('LISTA - Setembro2024'!$AC363,Auxiliar!$D$4:$I$4,0))</f>
        <v>1</v>
      </c>
      <c r="AK363" s="242">
        <v>0</v>
      </c>
      <c r="AL363" s="161"/>
    </row>
    <row r="364" spans="1:38" s="31" customFormat="1" ht="13.8" x14ac:dyDescent="0.25">
      <c r="A364" s="158" t="s">
        <v>945</v>
      </c>
      <c r="B364" s="81" t="str">
        <f t="shared" si="82"/>
        <v>INSTRUMENT_INTRNL_SGMNT_CATGSUB</v>
      </c>
      <c r="C364" s="82" t="s">
        <v>414</v>
      </c>
      <c r="D364" s="83" t="s">
        <v>946</v>
      </c>
      <c r="E364" s="84" t="s">
        <v>947</v>
      </c>
      <c r="F364" s="85" t="s">
        <v>13</v>
      </c>
      <c r="G364" s="85" t="s">
        <v>11</v>
      </c>
      <c r="H364" s="85" t="s">
        <v>11</v>
      </c>
      <c r="I364" s="85" t="s">
        <v>11</v>
      </c>
      <c r="J364" s="85" t="s">
        <v>13</v>
      </c>
      <c r="K364" s="85" t="s">
        <v>11</v>
      </c>
      <c r="L364" s="86" t="str">
        <f>IFERROR(VLOOKUP($B364,'LISTA - Atual'!$B$1:$I$444,5,0),"Novo")</f>
        <v>Y</v>
      </c>
      <c r="M364" s="86" t="str">
        <f t="shared" si="77"/>
        <v>Igual</v>
      </c>
      <c r="N364" s="86" t="str">
        <f>IFERROR(VLOOKUP($B364,'LISTA - Atual'!$B$1:$I$444,6,0),"Novo")</f>
        <v>N</v>
      </c>
      <c r="O364" s="86" t="str">
        <f t="shared" si="78"/>
        <v>Igual</v>
      </c>
      <c r="P364" s="86" t="str">
        <f>IFERROR(VLOOKUP($B364,'LISTA - Atual'!$B$1:$I$444,7,0),"Novo")</f>
        <v>N</v>
      </c>
      <c r="Q364" s="86" t="str">
        <f t="shared" si="79"/>
        <v>Igual</v>
      </c>
      <c r="R364" s="86" t="s">
        <v>1563</v>
      </c>
      <c r="S364" s="86" t="str">
        <f>IFERROR(VLOOKUP($B364,'LISTA - Atual'!$B$1:$I$444,8,0),"Novo")</f>
        <v>Y</v>
      </c>
      <c r="T364" s="86" t="str">
        <f t="shared" si="80"/>
        <v>Igual</v>
      </c>
      <c r="U364" s="86" t="s">
        <v>1563</v>
      </c>
      <c r="V364" s="86" t="s">
        <v>11</v>
      </c>
      <c r="W364" s="87" t="str">
        <f>IFERROR(VLOOKUP(B364,#REF!,11,0),"n/a")</f>
        <v>n/a</v>
      </c>
      <c r="X364" s="87" t="str">
        <f>IFERROR(VLOOKUP(B364,#REF!,8,0),"n/a")</f>
        <v>n/a</v>
      </c>
      <c r="Y364" s="87" t="str">
        <f>"ESG_RISKS &amp; "&amp;$F$2</f>
        <v>ESG_RISKS &amp; ESTR</v>
      </c>
      <c r="Z364" s="213" t="s">
        <v>1570</v>
      </c>
      <c r="AA364" s="227" t="str">
        <f>VLOOKUP(Table1[[#This Row],[CONCAT]],'Campos Resumo Prop2.0'!A:H,8,0)</f>
        <v>Âmbito de proposta - Especificação</v>
      </c>
      <c r="AB364" s="87" t="s">
        <v>1650</v>
      </c>
      <c r="AC364" s="135" t="s">
        <v>1636</v>
      </c>
      <c r="AD364" s="91">
        <f>INDEX(Auxiliar!$D$5:$I$10,MATCH('LISTA - Setembro2024'!AD$3,Auxiliar!$B$5:$B$10,0),MATCH('LISTA - Setembro2024'!$AC364,Auxiliar!$D$4:$I$4,0))</f>
        <v>2</v>
      </c>
      <c r="AE364" s="242">
        <v>0</v>
      </c>
      <c r="AF364" s="87">
        <f>INDEX(Auxiliar!$D$5:$I$10,MATCH('LISTA - Setembro2024'!AF$3,Auxiliar!$B$5:$B$10,0),MATCH('LISTA - Setembro2024'!$AC364,Auxiliar!$D$4:$I$4,0))</f>
        <v>1.5</v>
      </c>
      <c r="AG364" s="87" t="str">
        <f t="shared" si="81"/>
        <v>Baixa</v>
      </c>
      <c r="AH364" s="87">
        <f>INDEX(Auxiliar!$D$5:$I$10,MATCH('LISTA - Setembro2024'!AH$3,Auxiliar!$B$5:$B$10,0),MATCH('LISTA - Setembro2024'!$AG364,Auxiliar!$D$4:$I$4,0))</f>
        <v>0.5</v>
      </c>
      <c r="AI364" s="87">
        <f>INDEX(Auxiliar!$D$5:$I$10,MATCH('LISTA - Setembro2024'!AI$3,Auxiliar!$B$5:$B$10,0),MATCH('LISTA - Setembro2024'!$AC364,Auxiliar!$D$4:$I$4,0))</f>
        <v>0.5</v>
      </c>
      <c r="AJ364" s="87">
        <f>INDEX(Auxiliar!$D$5:$I$10,MATCH('LISTA - Setembro2024'!AJ$3,Auxiliar!$B$5:$B$10,0),MATCH('LISTA - Setembro2024'!$AC364,Auxiliar!$D$4:$I$4,0))</f>
        <v>1</v>
      </c>
      <c r="AK364" s="242">
        <v>0</v>
      </c>
      <c r="AL364" s="98"/>
    </row>
    <row r="365" spans="1:38" ht="13.8" x14ac:dyDescent="0.25">
      <c r="A365" s="158" t="s">
        <v>948</v>
      </c>
      <c r="B365" s="81" t="str">
        <f t="shared" si="82"/>
        <v>INSTRUMENT_CRRLTN_CFFCNT</v>
      </c>
      <c r="C365" s="82" t="s">
        <v>414</v>
      </c>
      <c r="D365" s="83" t="s">
        <v>949</v>
      </c>
      <c r="E365" s="84" t="s">
        <v>950</v>
      </c>
      <c r="F365" s="85" t="s">
        <v>13</v>
      </c>
      <c r="G365" s="85" t="s">
        <v>11</v>
      </c>
      <c r="H365" s="85" t="s">
        <v>11</v>
      </c>
      <c r="I365" s="85" t="s">
        <v>11</v>
      </c>
      <c r="J365" s="85" t="s">
        <v>11</v>
      </c>
      <c r="K365" s="85" t="s">
        <v>11</v>
      </c>
      <c r="L365" s="86" t="str">
        <f>IFERROR(VLOOKUP($B365,'LISTA - Atual'!$B$1:$I$444,5,0),"Novo")</f>
        <v>Y</v>
      </c>
      <c r="M365" s="86" t="str">
        <f t="shared" si="77"/>
        <v>Igual</v>
      </c>
      <c r="N365" s="86" t="str">
        <f>IFERROR(VLOOKUP($B365,'LISTA - Atual'!$B$1:$I$444,6,0),"Novo")</f>
        <v>N</v>
      </c>
      <c r="O365" s="86" t="str">
        <f t="shared" si="78"/>
        <v>Igual</v>
      </c>
      <c r="P365" s="86" t="str">
        <f>IFERROR(VLOOKUP($B365,'LISTA - Atual'!$B$1:$I$444,7,0),"Novo")</f>
        <v>N</v>
      </c>
      <c r="Q365" s="86" t="str">
        <f t="shared" si="79"/>
        <v>Igual</v>
      </c>
      <c r="R365" s="86" t="s">
        <v>1563</v>
      </c>
      <c r="S365" s="86" t="str">
        <f>IFERROR(VLOOKUP($B365,'LISTA - Atual'!$B$1:$I$444,8,0),"Novo")</f>
        <v>N</v>
      </c>
      <c r="T365" s="86" t="str">
        <f t="shared" si="80"/>
        <v>Igual</v>
      </c>
      <c r="U365" s="86" t="s">
        <v>1563</v>
      </c>
      <c r="V365" s="86" t="s">
        <v>11</v>
      </c>
      <c r="W365" s="87" t="str">
        <f>IFERROR(VLOOKUP(B365,#REF!,11,0),"n/a")</f>
        <v>n/a</v>
      </c>
      <c r="X365" s="87" t="str">
        <f>IFERROR(VLOOKUP(B365,#REF!,8,0),"n/a")</f>
        <v>n/a</v>
      </c>
      <c r="Y365" s="87" t="str">
        <f t="shared" si="86"/>
        <v>ESTR</v>
      </c>
      <c r="Z365" s="131" t="s">
        <v>1605</v>
      </c>
      <c r="AA365" s="227" t="e">
        <f>VLOOKUP(Table1[[#This Row],[CONCAT]],'Campos Resumo Prop2.0'!A:H,8,0)</f>
        <v>#N/A</v>
      </c>
      <c r="AB365" s="87" t="s">
        <v>1656</v>
      </c>
      <c r="AC365" s="135" t="s">
        <v>1625</v>
      </c>
      <c r="AD365" s="91">
        <f>INDEX(Auxiliar!$D$5:$I$10,MATCH('LISTA - Setembro2024'!AD$3,Auxiliar!$B$5:$B$10,0),MATCH('LISTA - Setembro2024'!$AC365,Auxiliar!$D$4:$I$4,0))</f>
        <v>0</v>
      </c>
      <c r="AE365" s="91">
        <f>INDEX(Auxiliar!$D$5:$I$10,MATCH('LISTA - Setembro2024'!AE$3,Auxiliar!$B$5:$B$10,0),MATCH('LISTA - Setembro2024'!$AC365,Auxiliar!$D$4:$I$4,0))</f>
        <v>0</v>
      </c>
      <c r="AF365" s="87">
        <f>INDEX(Auxiliar!$D$5:$I$10,MATCH('LISTA - Setembro2024'!AF$3,Auxiliar!$B$5:$B$10,0),MATCH('LISTA - Setembro2024'!$AC365,Auxiliar!$D$4:$I$4,0))</f>
        <v>0</v>
      </c>
      <c r="AG365" s="87" t="str">
        <f t="shared" si="81"/>
        <v>n.a.</v>
      </c>
      <c r="AH365" s="87">
        <f>INDEX(Auxiliar!$D$5:$I$10,MATCH('LISTA - Setembro2024'!AH$3,Auxiliar!$B$5:$B$10,0),MATCH('LISTA - Setembro2024'!$AG365,Auxiliar!$D$4:$I$4,0))</f>
        <v>0</v>
      </c>
      <c r="AI365" s="87">
        <f>INDEX(Auxiliar!$D$5:$I$10,MATCH('LISTA - Setembro2024'!AI$3,Auxiliar!$B$5:$B$10,0),MATCH('LISTA - Setembro2024'!$AC365,Auxiliar!$D$4:$I$4,0))</f>
        <v>0</v>
      </c>
      <c r="AJ365" s="87">
        <f>INDEX(Auxiliar!$D$5:$I$10,MATCH('LISTA - Setembro2024'!AJ$3,Auxiliar!$B$5:$B$10,0),MATCH('LISTA - Setembro2024'!$AC365,Auxiliar!$D$4:$I$4,0))</f>
        <v>0</v>
      </c>
      <c r="AK365" s="160">
        <f t="shared" si="83"/>
        <v>0</v>
      </c>
      <c r="AL365" s="87"/>
    </row>
    <row r="366" spans="1:38" ht="13.8" x14ac:dyDescent="0.25">
      <c r="A366" s="158" t="s">
        <v>951</v>
      </c>
      <c r="B366" s="81" t="str">
        <f t="shared" si="82"/>
        <v>INSTRUMENT_ISIN_SCRTSTN</v>
      </c>
      <c r="C366" s="82" t="s">
        <v>414</v>
      </c>
      <c r="D366" s="83" t="s">
        <v>952</v>
      </c>
      <c r="E366" s="84" t="s">
        <v>953</v>
      </c>
      <c r="F366" s="85" t="s">
        <v>13</v>
      </c>
      <c r="G366" s="85" t="s">
        <v>11</v>
      </c>
      <c r="H366" s="85" t="s">
        <v>11</v>
      </c>
      <c r="I366" s="85" t="s">
        <v>11</v>
      </c>
      <c r="J366" s="85" t="s">
        <v>11</v>
      </c>
      <c r="K366" s="85" t="s">
        <v>11</v>
      </c>
      <c r="L366" s="86" t="str">
        <f>IFERROR(VLOOKUP($B366,'LISTA - Atual'!$B$1:$I$444,5,0),"Novo")</f>
        <v>Y</v>
      </c>
      <c r="M366" s="86" t="str">
        <f t="shared" si="77"/>
        <v>Igual</v>
      </c>
      <c r="N366" s="86" t="str">
        <f>IFERROR(VLOOKUP($B366,'LISTA - Atual'!$B$1:$I$444,6,0),"Novo")</f>
        <v>N</v>
      </c>
      <c r="O366" s="86" t="str">
        <f t="shared" si="78"/>
        <v>Igual</v>
      </c>
      <c r="P366" s="86" t="str">
        <f>IFERROR(VLOOKUP($B366,'LISTA - Atual'!$B$1:$I$444,7,0),"Novo")</f>
        <v>N</v>
      </c>
      <c r="Q366" s="86" t="str">
        <f t="shared" si="79"/>
        <v>Igual</v>
      </c>
      <c r="R366" s="86" t="s">
        <v>1563</v>
      </c>
      <c r="S366" s="86" t="str">
        <f>IFERROR(VLOOKUP($B366,'LISTA - Atual'!$B$1:$I$444,8,0),"Novo")</f>
        <v>N</v>
      </c>
      <c r="T366" s="86" t="str">
        <f t="shared" si="80"/>
        <v>Igual</v>
      </c>
      <c r="U366" s="86" t="s">
        <v>1563</v>
      </c>
      <c r="V366" s="86" t="s">
        <v>11</v>
      </c>
      <c r="W366" s="87" t="str">
        <f>IFERROR(VLOOKUP(B366,#REF!,11,0),"n/a")</f>
        <v>n/a</v>
      </c>
      <c r="X366" s="87" t="str">
        <f>IFERROR(VLOOKUP(B366,#REF!,8,0),"n/a")</f>
        <v>n/a</v>
      </c>
      <c r="Y366" s="87" t="str">
        <f t="shared" si="86"/>
        <v>ESTR</v>
      </c>
      <c r="Z366" s="131" t="s">
        <v>1605</v>
      </c>
      <c r="AA366" s="227" t="e">
        <f>VLOOKUP(Table1[[#This Row],[CONCAT]],'Campos Resumo Prop2.0'!A:H,8,0)</f>
        <v>#N/A</v>
      </c>
      <c r="AB366" s="87" t="s">
        <v>1652</v>
      </c>
      <c r="AC366" s="135" t="s">
        <v>1625</v>
      </c>
      <c r="AD366" s="91">
        <f>INDEX(Auxiliar!$D$5:$I$10,MATCH('LISTA - Setembro2024'!AD$3,Auxiliar!$B$5:$B$10,0),MATCH('LISTA - Setembro2024'!$AC366,Auxiliar!$D$4:$I$4,0))</f>
        <v>0</v>
      </c>
      <c r="AE366" s="91">
        <f>INDEX(Auxiliar!$D$5:$I$10,MATCH('LISTA - Setembro2024'!AE$3,Auxiliar!$B$5:$B$10,0),MATCH('LISTA - Setembro2024'!$AC366,Auxiliar!$D$4:$I$4,0))</f>
        <v>0</v>
      </c>
      <c r="AF366" s="87">
        <f>INDEX(Auxiliar!$D$5:$I$10,MATCH('LISTA - Setembro2024'!AF$3,Auxiliar!$B$5:$B$10,0),MATCH('LISTA - Setembro2024'!$AC366,Auxiliar!$D$4:$I$4,0))</f>
        <v>0</v>
      </c>
      <c r="AG366" s="87" t="str">
        <f t="shared" si="81"/>
        <v>n.a.</v>
      </c>
      <c r="AH366" s="87">
        <f>INDEX(Auxiliar!$D$5:$I$10,MATCH('LISTA - Setembro2024'!AH$3,Auxiliar!$B$5:$B$10,0),MATCH('LISTA - Setembro2024'!$AG366,Auxiliar!$D$4:$I$4,0))</f>
        <v>0</v>
      </c>
      <c r="AI366" s="87">
        <f>INDEX(Auxiliar!$D$5:$I$10,MATCH('LISTA - Setembro2024'!AI$3,Auxiliar!$B$5:$B$10,0),MATCH('LISTA - Setembro2024'!$AC366,Auxiliar!$D$4:$I$4,0))</f>
        <v>0</v>
      </c>
      <c r="AJ366" s="87">
        <f>INDEX(Auxiliar!$D$5:$I$10,MATCH('LISTA - Setembro2024'!AJ$3,Auxiliar!$B$5:$B$10,0),MATCH('LISTA - Setembro2024'!$AC366,Auxiliar!$D$4:$I$4,0))</f>
        <v>0</v>
      </c>
      <c r="AK366" s="160">
        <f t="shared" si="83"/>
        <v>0</v>
      </c>
      <c r="AL366" s="87"/>
    </row>
    <row r="367" spans="1:38" ht="13.8" x14ac:dyDescent="0.25">
      <c r="A367" s="158" t="s">
        <v>954</v>
      </c>
      <c r="B367" s="81" t="str">
        <f t="shared" si="82"/>
        <v>INSTRUMENT_CNTRCT_ID_BDR</v>
      </c>
      <c r="C367" s="82" t="s">
        <v>414</v>
      </c>
      <c r="D367" s="83" t="s">
        <v>955</v>
      </c>
      <c r="E367" s="84" t="s">
        <v>956</v>
      </c>
      <c r="F367" s="85" t="s">
        <v>13</v>
      </c>
      <c r="G367" s="85" t="s">
        <v>11</v>
      </c>
      <c r="H367" s="85" t="s">
        <v>11</v>
      </c>
      <c r="I367" s="85" t="s">
        <v>11</v>
      </c>
      <c r="J367" s="85" t="s">
        <v>11</v>
      </c>
      <c r="K367" s="85" t="s">
        <v>11</v>
      </c>
      <c r="L367" s="86" t="str">
        <f>IFERROR(VLOOKUP($B367,'LISTA - Atual'!$B$1:$I$444,5,0),"Novo")</f>
        <v>Y</v>
      </c>
      <c r="M367" s="86" t="str">
        <f t="shared" si="77"/>
        <v>Igual</v>
      </c>
      <c r="N367" s="86" t="str">
        <f>IFERROR(VLOOKUP($B367,'LISTA - Atual'!$B$1:$I$444,6,0),"Novo")</f>
        <v>N</v>
      </c>
      <c r="O367" s="86" t="str">
        <f t="shared" si="78"/>
        <v>Igual</v>
      </c>
      <c r="P367" s="86" t="str">
        <f>IFERROR(VLOOKUP($B367,'LISTA - Atual'!$B$1:$I$444,7,0),"Novo")</f>
        <v>N</v>
      </c>
      <c r="Q367" s="86" t="str">
        <f t="shared" si="79"/>
        <v>Igual</v>
      </c>
      <c r="R367" s="86" t="s">
        <v>1563</v>
      </c>
      <c r="S367" s="86" t="str">
        <f>IFERROR(VLOOKUP($B367,'LISTA - Atual'!$B$1:$I$444,8,0),"Novo")</f>
        <v>N</v>
      </c>
      <c r="T367" s="86" t="str">
        <f t="shared" si="80"/>
        <v>Igual</v>
      </c>
      <c r="U367" s="86" t="s">
        <v>1563</v>
      </c>
      <c r="V367" s="86" t="s">
        <v>11</v>
      </c>
      <c r="W367" s="87" t="str">
        <f>IFERROR(VLOOKUP(B367,#REF!,11,0),"n/a")</f>
        <v>n/a</v>
      </c>
      <c r="X367" s="87" t="str">
        <f>IFERROR(VLOOKUP(B367,#REF!,8,0),"n/a")</f>
        <v>n/a</v>
      </c>
      <c r="Y367" s="87" t="str">
        <f t="shared" si="86"/>
        <v>ESTR</v>
      </c>
      <c r="Z367" s="131" t="s">
        <v>1605</v>
      </c>
      <c r="AA367" s="227" t="e">
        <f>VLOOKUP(Table1[[#This Row],[CONCAT]],'Campos Resumo Prop2.0'!A:H,8,0)</f>
        <v>#N/A</v>
      </c>
      <c r="AB367" s="87" t="s">
        <v>1659</v>
      </c>
      <c r="AC367" s="135" t="s">
        <v>1625</v>
      </c>
      <c r="AD367" s="91">
        <f>INDEX(Auxiliar!$D$5:$I$10,MATCH('LISTA - Setembro2024'!AD$3,Auxiliar!$B$5:$B$10,0),MATCH('LISTA - Setembro2024'!$AC367,Auxiliar!$D$4:$I$4,0))</f>
        <v>0</v>
      </c>
      <c r="AE367" s="91">
        <f>INDEX(Auxiliar!$D$5:$I$10,MATCH('LISTA - Setembro2024'!AE$3,Auxiliar!$B$5:$B$10,0),MATCH('LISTA - Setembro2024'!$AC367,Auxiliar!$D$4:$I$4,0))</f>
        <v>0</v>
      </c>
      <c r="AF367" s="87">
        <f>INDEX(Auxiliar!$D$5:$I$10,MATCH('LISTA - Setembro2024'!AF$3,Auxiliar!$B$5:$B$10,0),MATCH('LISTA - Setembro2024'!$AC367,Auxiliar!$D$4:$I$4,0))</f>
        <v>0</v>
      </c>
      <c r="AG367" s="87" t="str">
        <f t="shared" si="81"/>
        <v>n.a.</v>
      </c>
      <c r="AH367" s="87">
        <f>INDEX(Auxiliar!$D$5:$I$10,MATCH('LISTA - Setembro2024'!AH$3,Auxiliar!$B$5:$B$10,0),MATCH('LISTA - Setembro2024'!$AG367,Auxiliar!$D$4:$I$4,0))</f>
        <v>0</v>
      </c>
      <c r="AI367" s="87">
        <f>INDEX(Auxiliar!$D$5:$I$10,MATCH('LISTA - Setembro2024'!AI$3,Auxiliar!$B$5:$B$10,0),MATCH('LISTA - Setembro2024'!$AC367,Auxiliar!$D$4:$I$4,0))</f>
        <v>0</v>
      </c>
      <c r="AJ367" s="87">
        <f>INDEX(Auxiliar!$D$5:$I$10,MATCH('LISTA - Setembro2024'!AJ$3,Auxiliar!$B$5:$B$10,0),MATCH('LISTA - Setembro2024'!$AC367,Auxiliar!$D$4:$I$4,0))</f>
        <v>0</v>
      </c>
      <c r="AK367" s="160">
        <f t="shared" si="83"/>
        <v>0</v>
      </c>
      <c r="AL367" s="87"/>
    </row>
    <row r="368" spans="1:38" ht="13.8" x14ac:dyDescent="0.25">
      <c r="A368" s="158" t="s">
        <v>957</v>
      </c>
      <c r="B368" s="81" t="str">
        <f t="shared" si="82"/>
        <v>INSTRUMENT_COD_SOC_INTRGRP</v>
      </c>
      <c r="C368" s="82" t="s">
        <v>414</v>
      </c>
      <c r="D368" s="83" t="s">
        <v>958</v>
      </c>
      <c r="E368" s="98" t="s">
        <v>959</v>
      </c>
      <c r="F368" s="85" t="s">
        <v>13</v>
      </c>
      <c r="G368" s="85" t="s">
        <v>13</v>
      </c>
      <c r="H368" s="85" t="s">
        <v>11</v>
      </c>
      <c r="I368" s="85" t="s">
        <v>11</v>
      </c>
      <c r="J368" s="85" t="s">
        <v>11</v>
      </c>
      <c r="K368" s="85" t="s">
        <v>11</v>
      </c>
      <c r="L368" s="86" t="str">
        <f>IFERROR(VLOOKUP($B368,'LISTA - Atual'!$B$1:$I$444,5,0),"Novo")</f>
        <v>Y</v>
      </c>
      <c r="M368" s="86" t="str">
        <f t="shared" si="77"/>
        <v>Igual</v>
      </c>
      <c r="N368" s="86" t="str">
        <f>IFERROR(VLOOKUP($B368,'LISTA - Atual'!$B$1:$I$444,6,0),"Novo")</f>
        <v>Y</v>
      </c>
      <c r="O368" s="86" t="str">
        <f t="shared" si="78"/>
        <v>Igual</v>
      </c>
      <c r="P368" s="86" t="str">
        <f>IFERROR(VLOOKUP($B368,'LISTA - Atual'!$B$1:$I$444,7,0),"Novo")</f>
        <v>N</v>
      </c>
      <c r="Q368" s="86" t="str">
        <f t="shared" si="79"/>
        <v>Igual</v>
      </c>
      <c r="R368" s="86" t="s">
        <v>1563</v>
      </c>
      <c r="S368" s="86" t="str">
        <f>IFERROR(VLOOKUP($B368,'LISTA - Atual'!$B$1:$I$444,8,0),"Novo")</f>
        <v>N</v>
      </c>
      <c r="T368" s="86" t="str">
        <f t="shared" si="80"/>
        <v>Igual</v>
      </c>
      <c r="U368" s="86" t="s">
        <v>1563</v>
      </c>
      <c r="V368" s="86" t="s">
        <v>11</v>
      </c>
      <c r="W368" s="87" t="str">
        <f>IFERROR(VLOOKUP(B368,#REF!,11,0),"n/a")</f>
        <v>n/a</v>
      </c>
      <c r="X368" s="87" t="str">
        <f>IFERROR(VLOOKUP(B368,#REF!,8,0),"n/a")</f>
        <v>n/a</v>
      </c>
      <c r="Y368" s="87" t="str">
        <f>$F$2&amp;$Y$1&amp;$G$2</f>
        <v>ESTR &amp; GD</v>
      </c>
      <c r="Z368" s="131" t="s">
        <v>1605</v>
      </c>
      <c r="AA368" s="227" t="e">
        <f>VLOOKUP(Table1[[#This Row],[CONCAT]],'Campos Resumo Prop2.0'!A:H,8,0)</f>
        <v>#N/A</v>
      </c>
      <c r="AB368" s="87" t="s">
        <v>1649</v>
      </c>
      <c r="AC368" s="135" t="s">
        <v>1625</v>
      </c>
      <c r="AD368" s="91">
        <f>INDEX(Auxiliar!$D$5:$I$10,MATCH('LISTA - Setembro2024'!AD$3,Auxiliar!$B$5:$B$10,0),MATCH('LISTA - Setembro2024'!$AC368,Auxiliar!$D$4:$I$4,0))</f>
        <v>0</v>
      </c>
      <c r="AE368" s="91">
        <f>INDEX(Auxiliar!$D$5:$I$10,MATCH('LISTA - Setembro2024'!AE$3,Auxiliar!$B$5:$B$10,0),MATCH('LISTA - Setembro2024'!$AC368,Auxiliar!$D$4:$I$4,0))</f>
        <v>0</v>
      </c>
      <c r="AF368" s="87">
        <f>INDEX(Auxiliar!$D$5:$I$10,MATCH('LISTA - Setembro2024'!AF$3,Auxiliar!$B$5:$B$10,0),MATCH('LISTA - Setembro2024'!$AC368,Auxiliar!$D$4:$I$4,0))</f>
        <v>0</v>
      </c>
      <c r="AG368" s="87" t="str">
        <f t="shared" si="81"/>
        <v>n.a.</v>
      </c>
      <c r="AH368" s="87">
        <f>INDEX(Auxiliar!$D$5:$I$10,MATCH('LISTA - Setembro2024'!AH$3,Auxiliar!$B$5:$B$10,0),MATCH('LISTA - Setembro2024'!$AG368,Auxiliar!$D$4:$I$4,0))</f>
        <v>0</v>
      </c>
      <c r="AI368" s="87">
        <f>INDEX(Auxiliar!$D$5:$I$10,MATCH('LISTA - Setembro2024'!AI$3,Auxiliar!$B$5:$B$10,0),MATCH('LISTA - Setembro2024'!$AC368,Auxiliar!$D$4:$I$4,0))</f>
        <v>0</v>
      </c>
      <c r="AJ368" s="87">
        <f>INDEX(Auxiliar!$D$5:$I$10,MATCH('LISTA - Setembro2024'!AJ$3,Auxiliar!$B$5:$B$10,0),MATCH('LISTA - Setembro2024'!$AC368,Auxiliar!$D$4:$I$4,0))</f>
        <v>0</v>
      </c>
      <c r="AK368" s="160">
        <f t="shared" si="83"/>
        <v>0</v>
      </c>
      <c r="AL368" s="87"/>
    </row>
    <row r="369" spans="1:38" ht="13.8" x14ac:dyDescent="0.25">
      <c r="A369" s="158" t="s">
        <v>960</v>
      </c>
      <c r="B369" s="81" t="str">
        <f t="shared" si="82"/>
        <v>INSTRUMENT_LCL_INSTMRNT_ID</v>
      </c>
      <c r="C369" s="82" t="s">
        <v>414</v>
      </c>
      <c r="D369" s="83" t="s">
        <v>961</v>
      </c>
      <c r="E369" s="98" t="s">
        <v>962</v>
      </c>
      <c r="F369" s="85" t="s">
        <v>13</v>
      </c>
      <c r="G369" s="85" t="s">
        <v>13</v>
      </c>
      <c r="H369" s="85" t="s">
        <v>13</v>
      </c>
      <c r="I369" s="85" t="s">
        <v>11</v>
      </c>
      <c r="J369" s="85" t="s">
        <v>11</v>
      </c>
      <c r="K369" s="85" t="s">
        <v>11</v>
      </c>
      <c r="L369" s="86" t="str">
        <f>IFERROR(VLOOKUP($B369,'LISTA - Atual'!$B$1:$I$444,5,0),"Novo")</f>
        <v>Y</v>
      </c>
      <c r="M369" s="86" t="str">
        <f t="shared" si="77"/>
        <v>Igual</v>
      </c>
      <c r="N369" s="86" t="str">
        <f>IFERROR(VLOOKUP($B369,'LISTA - Atual'!$B$1:$I$444,6,0),"Novo")</f>
        <v>Y</v>
      </c>
      <c r="O369" s="86" t="str">
        <f t="shared" si="78"/>
        <v>Igual</v>
      </c>
      <c r="P369" s="86" t="str">
        <f>IFERROR(VLOOKUP($B369,'LISTA - Atual'!$B$1:$I$444,7,0),"Novo")</f>
        <v>Y</v>
      </c>
      <c r="Q369" s="86" t="str">
        <f t="shared" si="79"/>
        <v>Igual</v>
      </c>
      <c r="R369" s="86" t="s">
        <v>1563</v>
      </c>
      <c r="S369" s="86" t="str">
        <f>IFERROR(VLOOKUP($B369,'LISTA - Atual'!$B$1:$I$444,8,0),"Novo")</f>
        <v>N</v>
      </c>
      <c r="T369" s="86" t="str">
        <f t="shared" si="80"/>
        <v>Igual</v>
      </c>
      <c r="U369" s="86" t="s">
        <v>1563</v>
      </c>
      <c r="V369" s="86" t="s">
        <v>11</v>
      </c>
      <c r="W369" s="87" t="str">
        <f>IFERROR(VLOOKUP(B369,#REF!,11,0),"n/a")</f>
        <v>n/a</v>
      </c>
      <c r="X369" s="87" t="str">
        <f>IFERROR(VLOOKUP(B369,#REF!,8,0),"n/a")</f>
        <v>n/a</v>
      </c>
      <c r="Y369" s="87" t="str">
        <f>$F$2&amp;$Y$1&amp;$G$2&amp;$Y$1&amp;$H$2</f>
        <v>ESTR &amp; GD &amp; PILAR3</v>
      </c>
      <c r="Z369" s="131" t="s">
        <v>1605</v>
      </c>
      <c r="AA369" s="227" t="e">
        <f>VLOOKUP(Table1[[#This Row],[CONCAT]],'Campos Resumo Prop2.0'!A:H,8,0)</f>
        <v>#N/A</v>
      </c>
      <c r="AB369" s="87" t="s">
        <v>1659</v>
      </c>
      <c r="AC369" s="135" t="s">
        <v>1625</v>
      </c>
      <c r="AD369" s="91">
        <f>INDEX(Auxiliar!$D$5:$I$10,MATCH('LISTA - Setembro2024'!AD$3,Auxiliar!$B$5:$B$10,0),MATCH('LISTA - Setembro2024'!$AC369,Auxiliar!$D$4:$I$4,0))</f>
        <v>0</v>
      </c>
      <c r="AE369" s="91">
        <f>INDEX(Auxiliar!$D$5:$I$10,MATCH('LISTA - Setembro2024'!AE$3,Auxiliar!$B$5:$B$10,0),MATCH('LISTA - Setembro2024'!$AC369,Auxiliar!$D$4:$I$4,0))</f>
        <v>0</v>
      </c>
      <c r="AF369" s="87">
        <f>INDEX(Auxiliar!$D$5:$I$10,MATCH('LISTA - Setembro2024'!AF$3,Auxiliar!$B$5:$B$10,0),MATCH('LISTA - Setembro2024'!$AC369,Auxiliar!$D$4:$I$4,0))</f>
        <v>0</v>
      </c>
      <c r="AG369" s="87" t="str">
        <f t="shared" si="81"/>
        <v>n.a.</v>
      </c>
      <c r="AH369" s="87">
        <f>INDEX(Auxiliar!$D$5:$I$10,MATCH('LISTA - Setembro2024'!AH$3,Auxiliar!$B$5:$B$10,0),MATCH('LISTA - Setembro2024'!$AG369,Auxiliar!$D$4:$I$4,0))</f>
        <v>0</v>
      </c>
      <c r="AI369" s="87">
        <f>INDEX(Auxiliar!$D$5:$I$10,MATCH('LISTA - Setembro2024'!AI$3,Auxiliar!$B$5:$B$10,0),MATCH('LISTA - Setembro2024'!$AC369,Auxiliar!$D$4:$I$4,0))</f>
        <v>0</v>
      </c>
      <c r="AJ369" s="87">
        <f>INDEX(Auxiliar!$D$5:$I$10,MATCH('LISTA - Setembro2024'!AJ$3,Auxiliar!$B$5:$B$10,0),MATCH('LISTA - Setembro2024'!$AC369,Auxiliar!$D$4:$I$4,0))</f>
        <v>0</v>
      </c>
      <c r="AK369" s="160">
        <f t="shared" si="83"/>
        <v>0</v>
      </c>
      <c r="AL369" s="87"/>
    </row>
    <row r="370" spans="1:38" ht="13.8" x14ac:dyDescent="0.25">
      <c r="A370" s="158" t="s">
        <v>963</v>
      </c>
      <c r="B370" s="81" t="str">
        <f t="shared" si="82"/>
        <v>INSTRUMENT_SSTNBL_INDCTR</v>
      </c>
      <c r="C370" s="82" t="s">
        <v>414</v>
      </c>
      <c r="D370" s="103" t="s">
        <v>964</v>
      </c>
      <c r="E370" s="104" t="s">
        <v>965</v>
      </c>
      <c r="F370" s="105" t="s">
        <v>11</v>
      </c>
      <c r="G370" s="105" t="s">
        <v>13</v>
      </c>
      <c r="H370" s="105" t="s">
        <v>13</v>
      </c>
      <c r="I370" s="85" t="s">
        <v>11</v>
      </c>
      <c r="J370" s="105" t="s">
        <v>11</v>
      </c>
      <c r="K370" s="85" t="s">
        <v>11</v>
      </c>
      <c r="L370" s="86" t="str">
        <f>IFERROR(VLOOKUP($B370,'LISTA - Atual'!$B$1:$I$444,5,0),"Novo")</f>
        <v>N</v>
      </c>
      <c r="M370" s="86" t="s">
        <v>1565</v>
      </c>
      <c r="N370" s="86" t="str">
        <f>IFERROR(VLOOKUP($B370,'LISTA - Atual'!$B$1:$I$444,6,0),"Novo")</f>
        <v>Y</v>
      </c>
      <c r="O370" s="86" t="s">
        <v>1565</v>
      </c>
      <c r="P370" s="86" t="str">
        <f>IFERROR(VLOOKUP($B370,'LISTA - Atual'!$B$1:$I$444,7,0),"Novo")</f>
        <v>Y</v>
      </c>
      <c r="Q370" s="86" t="s">
        <v>1565</v>
      </c>
      <c r="R370" s="86" t="s">
        <v>1563</v>
      </c>
      <c r="S370" s="86" t="str">
        <f>IFERROR(VLOOKUP($B370,'LISTA - Atual'!$B$1:$I$444,8,0),"Novo")</f>
        <v>N</v>
      </c>
      <c r="T370" s="86" t="s">
        <v>1565</v>
      </c>
      <c r="U370" s="86" t="s">
        <v>1563</v>
      </c>
      <c r="V370" s="86" t="s">
        <v>11</v>
      </c>
      <c r="W370" s="87" t="str">
        <f>IFERROR(VLOOKUP(B370,#REF!,11,0),"n/a")</f>
        <v>n/a</v>
      </c>
      <c r="X370" s="87" t="str">
        <f>IFERROR(VLOOKUP(B370,#REF!,8,0),"n/a")</f>
        <v>n/a</v>
      </c>
      <c r="Y370" s="87" t="str">
        <f>$G$2&amp;$Y$1&amp;$H$2</f>
        <v>GD &amp; PILAR3</v>
      </c>
      <c r="Z370" s="131" t="s">
        <v>1609</v>
      </c>
      <c r="AA370" s="227" t="e">
        <f>VLOOKUP(Table1[[#This Row],[CONCAT]],'Campos Resumo Prop2.0'!A:H,8,0)</f>
        <v>#N/A</v>
      </c>
      <c r="AB370" s="87" t="s">
        <v>1650</v>
      </c>
      <c r="AC370" s="137" t="s">
        <v>1625</v>
      </c>
      <c r="AD370" s="91">
        <f>INDEX(Auxiliar!$D$5:$I$10,MATCH('LISTA - Setembro2024'!AD$3,Auxiliar!$B$5:$B$10,0),MATCH('LISTA - Setembro2024'!$AC370,Auxiliar!$D$4:$I$4,0))</f>
        <v>0</v>
      </c>
      <c r="AE370" s="91">
        <f>INDEX(Auxiliar!$D$5:$I$10,MATCH('LISTA - Setembro2024'!AE$3,Auxiliar!$B$5:$B$10,0),MATCH('LISTA - Setembro2024'!$AC370,Auxiliar!$D$4:$I$4,0))</f>
        <v>0</v>
      </c>
      <c r="AF370" s="87">
        <f>INDEX(Auxiliar!$D$5:$I$10,MATCH('LISTA - Setembro2024'!AF$3,Auxiliar!$B$5:$B$10,0),MATCH('LISTA - Setembro2024'!$AC370,Auxiliar!$D$4:$I$4,0))</f>
        <v>0</v>
      </c>
      <c r="AG370" s="87" t="str">
        <f t="shared" si="81"/>
        <v>n.a.</v>
      </c>
      <c r="AH370" s="87">
        <f>INDEX(Auxiliar!$D$5:$I$10,MATCH('LISTA - Setembro2024'!AH$3,Auxiliar!$B$5:$B$10,0),MATCH('LISTA - Setembro2024'!$AG370,Auxiliar!$D$4:$I$4,0))</f>
        <v>0</v>
      </c>
      <c r="AI370" s="87">
        <f>INDEX(Auxiliar!$D$5:$I$10,MATCH('LISTA - Setembro2024'!AI$3,Auxiliar!$B$5:$B$10,0),MATCH('LISTA - Setembro2024'!$AC370,Auxiliar!$D$4:$I$4,0))</f>
        <v>0</v>
      </c>
      <c r="AJ370" s="87">
        <f>INDEX(Auxiliar!$D$5:$I$10,MATCH('LISTA - Setembro2024'!AJ$3,Auxiliar!$B$5:$B$10,0),MATCH('LISTA - Setembro2024'!$AC370,Auxiliar!$D$4:$I$4,0))</f>
        <v>0</v>
      </c>
      <c r="AK370" s="160">
        <f t="shared" si="83"/>
        <v>0</v>
      </c>
      <c r="AL370" s="87"/>
    </row>
    <row r="371" spans="1:38" ht="13.8" x14ac:dyDescent="0.25">
      <c r="A371" s="158" t="s">
        <v>966</v>
      </c>
      <c r="B371" s="81" t="str">
        <f t="shared" si="82"/>
        <v>INSTRUMENT_SSTNBL_CTGRY</v>
      </c>
      <c r="C371" s="82" t="s">
        <v>414</v>
      </c>
      <c r="D371" s="103" t="s">
        <v>967</v>
      </c>
      <c r="E371" s="104" t="s">
        <v>968</v>
      </c>
      <c r="F371" s="105" t="s">
        <v>11</v>
      </c>
      <c r="G371" s="105" t="s">
        <v>13</v>
      </c>
      <c r="H371" s="105" t="s">
        <v>13</v>
      </c>
      <c r="I371" s="85" t="s">
        <v>11</v>
      </c>
      <c r="J371" s="105" t="s">
        <v>11</v>
      </c>
      <c r="K371" s="85" t="s">
        <v>11</v>
      </c>
      <c r="L371" s="86" t="str">
        <f>IFERROR(VLOOKUP($B371,'LISTA - Atual'!$B$1:$I$444,5,0),"Novo")</f>
        <v>N</v>
      </c>
      <c r="M371" s="86" t="s">
        <v>1565</v>
      </c>
      <c r="N371" s="86" t="str">
        <f>IFERROR(VLOOKUP($B371,'LISTA - Atual'!$B$1:$I$444,6,0),"Novo")</f>
        <v>Y</v>
      </c>
      <c r="O371" s="86" t="s">
        <v>1565</v>
      </c>
      <c r="P371" s="86" t="str">
        <f>IFERROR(VLOOKUP($B371,'LISTA - Atual'!$B$1:$I$444,7,0),"Novo")</f>
        <v>Y</v>
      </c>
      <c r="Q371" s="86" t="s">
        <v>1565</v>
      </c>
      <c r="R371" s="86" t="s">
        <v>1563</v>
      </c>
      <c r="S371" s="86" t="str">
        <f>IFERROR(VLOOKUP($B371,'LISTA - Atual'!$B$1:$I$444,8,0),"Novo")</f>
        <v>N</v>
      </c>
      <c r="T371" s="86" t="s">
        <v>1565</v>
      </c>
      <c r="U371" s="86" t="s">
        <v>1563</v>
      </c>
      <c r="V371" s="86" t="s">
        <v>11</v>
      </c>
      <c r="W371" s="87" t="str">
        <f>IFERROR(VLOOKUP(B371,#REF!,11,0),"n/a")</f>
        <v>n/a</v>
      </c>
      <c r="X371" s="87" t="str">
        <f>IFERROR(VLOOKUP(B371,#REF!,8,0),"n/a")</f>
        <v>n/a</v>
      </c>
      <c r="Y371" s="87" t="str">
        <f>$G$2&amp;$Y$1&amp;$H$2</f>
        <v>GD &amp; PILAR3</v>
      </c>
      <c r="Z371" s="131" t="s">
        <v>1609</v>
      </c>
      <c r="AA371" s="227" t="e">
        <f>VLOOKUP(Table1[[#This Row],[CONCAT]],'Campos Resumo Prop2.0'!A:H,8,0)</f>
        <v>#N/A</v>
      </c>
      <c r="AB371" s="87" t="s">
        <v>1650</v>
      </c>
      <c r="AC371" s="137" t="s">
        <v>1625</v>
      </c>
      <c r="AD371" s="91">
        <f>INDEX(Auxiliar!$D$5:$I$10,MATCH('LISTA - Setembro2024'!AD$3,Auxiliar!$B$5:$B$10,0),MATCH('LISTA - Setembro2024'!$AC371,Auxiliar!$D$4:$I$4,0))</f>
        <v>0</v>
      </c>
      <c r="AE371" s="91">
        <f>INDEX(Auxiliar!$D$5:$I$10,MATCH('LISTA - Setembro2024'!AE$3,Auxiliar!$B$5:$B$10,0),MATCH('LISTA - Setembro2024'!$AC371,Auxiliar!$D$4:$I$4,0))</f>
        <v>0</v>
      </c>
      <c r="AF371" s="87">
        <f>INDEX(Auxiliar!$D$5:$I$10,MATCH('LISTA - Setembro2024'!AF$3,Auxiliar!$B$5:$B$10,0),MATCH('LISTA - Setembro2024'!$AC371,Auxiliar!$D$4:$I$4,0))</f>
        <v>0</v>
      </c>
      <c r="AG371" s="87" t="str">
        <f t="shared" si="81"/>
        <v>n.a.</v>
      </c>
      <c r="AH371" s="87">
        <f>INDEX(Auxiliar!$D$5:$I$10,MATCH('LISTA - Setembro2024'!AH$3,Auxiliar!$B$5:$B$10,0),MATCH('LISTA - Setembro2024'!$AG371,Auxiliar!$D$4:$I$4,0))</f>
        <v>0</v>
      </c>
      <c r="AI371" s="87">
        <f>INDEX(Auxiliar!$D$5:$I$10,MATCH('LISTA - Setembro2024'!AI$3,Auxiliar!$B$5:$B$10,0),MATCH('LISTA - Setembro2024'!$AC371,Auxiliar!$D$4:$I$4,0))</f>
        <v>0</v>
      </c>
      <c r="AJ371" s="87">
        <f>INDEX(Auxiliar!$D$5:$I$10,MATCH('LISTA - Setembro2024'!AJ$3,Auxiliar!$B$5:$B$10,0),MATCH('LISTA - Setembro2024'!$AC371,Auxiliar!$D$4:$I$4,0))</f>
        <v>0</v>
      </c>
      <c r="AK371" s="160">
        <f t="shared" si="83"/>
        <v>0</v>
      </c>
      <c r="AL371" s="87"/>
    </row>
    <row r="372" spans="1:38" ht="13.8" x14ac:dyDescent="0.25">
      <c r="A372" s="158" t="s">
        <v>969</v>
      </c>
      <c r="B372" s="81" t="str">
        <f t="shared" si="82"/>
        <v>INSTRUMENT_AVRG_BLNC</v>
      </c>
      <c r="C372" s="82" t="s">
        <v>414</v>
      </c>
      <c r="D372" s="83" t="s">
        <v>970</v>
      </c>
      <c r="E372" s="84" t="s">
        <v>971</v>
      </c>
      <c r="F372" s="85" t="s">
        <v>11</v>
      </c>
      <c r="G372" s="85" t="s">
        <v>13</v>
      </c>
      <c r="H372" s="85" t="s">
        <v>11</v>
      </c>
      <c r="I372" s="85" t="s">
        <v>11</v>
      </c>
      <c r="J372" s="85" t="s">
        <v>11</v>
      </c>
      <c r="K372" s="85" t="s">
        <v>11</v>
      </c>
      <c r="L372" s="86" t="str">
        <f>IFERROR(VLOOKUP($B372,'LISTA - Atual'!$B$1:$I$444,5,0),"Novo")</f>
        <v>N</v>
      </c>
      <c r="M372" s="86" t="str">
        <f t="shared" ref="M372:M400" si="87">IF(L372="Novo","Novo Campo",IF(L372=F372,"Igual","Diferente"))</f>
        <v>Igual</v>
      </c>
      <c r="N372" s="86" t="str">
        <f>IFERROR(VLOOKUP($B372,'LISTA - Atual'!$B$1:$I$444,6,0),"Novo")</f>
        <v>Y</v>
      </c>
      <c r="O372" s="86" t="str">
        <f t="shared" ref="O372:O400" si="88">IF(N372="Novo","Novo Campo",IF(N372=G372,"Igual","Diferente"))</f>
        <v>Igual</v>
      </c>
      <c r="P372" s="86" t="str">
        <f>IFERROR(VLOOKUP($B372,'LISTA - Atual'!$B$1:$I$444,7,0),"Novo")</f>
        <v>N</v>
      </c>
      <c r="Q372" s="86" t="str">
        <f t="shared" ref="Q372:Q400" si="89">IF(P372="Novo","Novo Campo",IF(P372=H372,"Igual","Diferente"))</f>
        <v>Igual</v>
      </c>
      <c r="R372" s="86" t="s">
        <v>1563</v>
      </c>
      <c r="S372" s="86" t="str">
        <f>IFERROR(VLOOKUP($B372,'LISTA - Atual'!$B$1:$I$444,8,0),"Novo")</f>
        <v>N</v>
      </c>
      <c r="T372" s="86" t="str">
        <f t="shared" ref="T372:T400" si="90">IF(S372="Novo","Novo Campo",IF(S372=J372,"Igual","Diferente"))</f>
        <v>Igual</v>
      </c>
      <c r="U372" s="86" t="s">
        <v>1563</v>
      </c>
      <c r="V372" s="86" t="s">
        <v>11</v>
      </c>
      <c r="W372" s="87" t="str">
        <f>IFERROR(VLOOKUP(B372,#REF!,11,0),"n/a")</f>
        <v>n/a</v>
      </c>
      <c r="X372" s="87" t="str">
        <f>IFERROR(VLOOKUP(B372,#REF!,8,0),"n/a")</f>
        <v>n/a</v>
      </c>
      <c r="Y372" s="87" t="str">
        <f>$G$2</f>
        <v>GD</v>
      </c>
      <c r="Z372" s="131" t="s">
        <v>1605</v>
      </c>
      <c r="AA372" s="227" t="e">
        <f>VLOOKUP(Table1[[#This Row],[CONCAT]],'Campos Resumo Prop2.0'!A:H,8,0)</f>
        <v>#N/A</v>
      </c>
      <c r="AB372" s="87" t="s">
        <v>1655</v>
      </c>
      <c r="AC372" s="137" t="s">
        <v>1625</v>
      </c>
      <c r="AD372" s="91">
        <f>INDEX(Auxiliar!$D$5:$I$10,MATCH('LISTA - Setembro2024'!AD$3,Auxiliar!$B$5:$B$10,0),MATCH('LISTA - Setembro2024'!$AC372,Auxiliar!$D$4:$I$4,0))</f>
        <v>0</v>
      </c>
      <c r="AE372" s="91">
        <f>INDEX(Auxiliar!$D$5:$I$10,MATCH('LISTA - Setembro2024'!AE$3,Auxiliar!$B$5:$B$10,0),MATCH('LISTA - Setembro2024'!$AC372,Auxiliar!$D$4:$I$4,0))</f>
        <v>0</v>
      </c>
      <c r="AF372" s="87">
        <f>INDEX(Auxiliar!$D$5:$I$10,MATCH('LISTA - Setembro2024'!AF$3,Auxiliar!$B$5:$B$10,0),MATCH('LISTA - Setembro2024'!$AC372,Auxiliar!$D$4:$I$4,0))</f>
        <v>0</v>
      </c>
      <c r="AG372" s="87" t="str">
        <f t="shared" si="81"/>
        <v>n.a.</v>
      </c>
      <c r="AH372" s="87">
        <f>INDEX(Auxiliar!$D$5:$I$10,MATCH('LISTA - Setembro2024'!AH$3,Auxiliar!$B$5:$B$10,0),MATCH('LISTA - Setembro2024'!$AG372,Auxiliar!$D$4:$I$4,0))</f>
        <v>0</v>
      </c>
      <c r="AI372" s="87">
        <f>INDEX(Auxiliar!$D$5:$I$10,MATCH('LISTA - Setembro2024'!AI$3,Auxiliar!$B$5:$B$10,0),MATCH('LISTA - Setembro2024'!$AC372,Auxiliar!$D$4:$I$4,0))</f>
        <v>0</v>
      </c>
      <c r="AJ372" s="87">
        <f>INDEX(Auxiliar!$D$5:$I$10,MATCH('LISTA - Setembro2024'!AJ$3,Auxiliar!$B$5:$B$10,0),MATCH('LISTA - Setembro2024'!$AC372,Auxiliar!$D$4:$I$4,0))</f>
        <v>0</v>
      </c>
      <c r="AK372" s="160">
        <f t="shared" si="83"/>
        <v>0</v>
      </c>
      <c r="AL372" s="87"/>
    </row>
    <row r="373" spans="1:38" ht="13.8" x14ac:dyDescent="0.25">
      <c r="A373" s="158" t="s">
        <v>972</v>
      </c>
      <c r="B373" s="81" t="str">
        <f t="shared" si="82"/>
        <v>INSTRUMENT_NW_BSNSS</v>
      </c>
      <c r="C373" s="82" t="s">
        <v>414</v>
      </c>
      <c r="D373" s="83" t="s">
        <v>973</v>
      </c>
      <c r="E373" s="84" t="s">
        <v>974</v>
      </c>
      <c r="F373" s="85" t="s">
        <v>11</v>
      </c>
      <c r="G373" s="85" t="s">
        <v>13</v>
      </c>
      <c r="H373" s="89" t="s">
        <v>13</v>
      </c>
      <c r="I373" s="85" t="s">
        <v>11</v>
      </c>
      <c r="J373" s="85" t="s">
        <v>11</v>
      </c>
      <c r="K373" s="85" t="s">
        <v>11</v>
      </c>
      <c r="L373" s="86" t="str">
        <f>IFERROR(VLOOKUP($B373,'LISTA - Atual'!$B$1:$I$444,5,0),"Novo")</f>
        <v>N</v>
      </c>
      <c r="M373" s="86" t="str">
        <f t="shared" si="87"/>
        <v>Igual</v>
      </c>
      <c r="N373" s="86" t="str">
        <f>IFERROR(VLOOKUP($B373,'LISTA - Atual'!$B$1:$I$444,6,0),"Novo")</f>
        <v>Y</v>
      </c>
      <c r="O373" s="86" t="str">
        <f t="shared" si="88"/>
        <v>Igual</v>
      </c>
      <c r="P373" s="86" t="str">
        <f>IFERROR(VLOOKUP($B373,'LISTA - Atual'!$B$1:$I$444,7,0),"Novo")</f>
        <v>N</v>
      </c>
      <c r="Q373" s="86" t="str">
        <f t="shared" si="89"/>
        <v>Diferente</v>
      </c>
      <c r="R373" s="86" t="s">
        <v>1563</v>
      </c>
      <c r="S373" s="86" t="str">
        <f>IFERROR(VLOOKUP($B373,'LISTA - Atual'!$B$1:$I$444,8,0),"Novo")</f>
        <v>N</v>
      </c>
      <c r="T373" s="86" t="str">
        <f t="shared" si="90"/>
        <v>Igual</v>
      </c>
      <c r="U373" s="86" t="s">
        <v>1563</v>
      </c>
      <c r="V373" s="86" t="s">
        <v>11</v>
      </c>
      <c r="W373" s="87" t="str">
        <f>IFERROR(VLOOKUP(B373,#REF!,11,0),"n/a")</f>
        <v>n/a</v>
      </c>
      <c r="X373" s="87" t="str">
        <f>IFERROR(VLOOKUP(B373,#REF!,8,0),"n/a")</f>
        <v>n/a</v>
      </c>
      <c r="Y373" s="87" t="str">
        <f>$G$2&amp;$Y$1&amp;$H$2</f>
        <v>GD &amp; PILAR3</v>
      </c>
      <c r="Z373" s="213" t="s">
        <v>1570</v>
      </c>
      <c r="AA373" s="227" t="str">
        <f>VLOOKUP(Table1[[#This Row],[CONCAT]],'Campos Resumo Prop2.0'!A:H,8,0)</f>
        <v>SB - Validar com CdG</v>
      </c>
      <c r="AB373" s="87" t="s">
        <v>1654</v>
      </c>
      <c r="AC373" s="135" t="s">
        <v>1677</v>
      </c>
      <c r="AD373" s="91">
        <f>INDEX(Auxiliar!$D$5:$I$10,MATCH('LISTA - Setembro2024'!AD$3,Auxiliar!$B$5:$B$10,0),MATCH('LISTA - Setembro2024'!$AC373,Auxiliar!$D$4:$I$4,0))</f>
        <v>10</v>
      </c>
      <c r="AE373" s="91">
        <f>INDEX(Auxiliar!$D$5:$I$10,MATCH('LISTA - Setembro2024'!AE$3,Auxiliar!$B$5:$B$10,0),MATCH('LISTA - Setembro2024'!$AC373,Auxiliar!$D$4:$I$4,0))</f>
        <v>8</v>
      </c>
      <c r="AF373" s="87">
        <f>INDEX(Auxiliar!$D$5:$I$10,MATCH('LISTA - Setembro2024'!AF$3,Auxiliar!$B$5:$B$10,0),MATCH('LISTA - Setembro2024'!$AC373,Auxiliar!$D$4:$I$4,0))</f>
        <v>3</v>
      </c>
      <c r="AG373" s="87" t="str">
        <f t="shared" si="81"/>
        <v>M. Alta</v>
      </c>
      <c r="AH373" s="87">
        <f>INDEX(Auxiliar!$D$5:$I$10,MATCH('LISTA - Setembro2024'!AH$3,Auxiliar!$B$5:$B$10,0),MATCH('LISTA - Setembro2024'!$AG373,Auxiliar!$D$4:$I$4,0))</f>
        <v>1</v>
      </c>
      <c r="AI373" s="87">
        <f>INDEX(Auxiliar!$D$5:$I$10,MATCH('LISTA - Setembro2024'!AI$3,Auxiliar!$B$5:$B$10,0),MATCH('LISTA - Setembro2024'!$AC373,Auxiliar!$D$4:$I$4,0))</f>
        <v>1</v>
      </c>
      <c r="AJ373" s="87">
        <f>INDEX(Auxiliar!$D$5:$I$10,MATCH('LISTA - Setembro2024'!AJ$3,Auxiliar!$B$5:$B$10,0),MATCH('LISTA - Setembro2024'!$AC373,Auxiliar!$D$4:$I$4,0))</f>
        <v>2</v>
      </c>
      <c r="AK373" s="160">
        <f t="shared" si="83"/>
        <v>7</v>
      </c>
      <c r="AL373" s="87"/>
    </row>
    <row r="374" spans="1:38" ht="13.8" x14ac:dyDescent="0.25">
      <c r="A374" s="158" t="s">
        <v>975</v>
      </c>
      <c r="B374" s="81" t="str">
        <f t="shared" si="82"/>
        <v>INSTRUMENT_GRSS_INTRST_INCM</v>
      </c>
      <c r="C374" s="82" t="s">
        <v>414</v>
      </c>
      <c r="D374" s="83" t="s">
        <v>976</v>
      </c>
      <c r="E374" s="84" t="s">
        <v>977</v>
      </c>
      <c r="F374" s="85" t="s">
        <v>11</v>
      </c>
      <c r="G374" s="85" t="s">
        <v>13</v>
      </c>
      <c r="H374" s="85" t="s">
        <v>13</v>
      </c>
      <c r="I374" s="85" t="s">
        <v>11</v>
      </c>
      <c r="J374" s="85" t="s">
        <v>11</v>
      </c>
      <c r="K374" s="85" t="s">
        <v>11</v>
      </c>
      <c r="L374" s="86" t="str">
        <f>IFERROR(VLOOKUP($B374,'LISTA - Atual'!$B$1:$I$444,5,0),"Novo")</f>
        <v>N</v>
      </c>
      <c r="M374" s="86" t="str">
        <f t="shared" si="87"/>
        <v>Igual</v>
      </c>
      <c r="N374" s="86" t="str">
        <f>IFERROR(VLOOKUP($B374,'LISTA - Atual'!$B$1:$I$444,6,0),"Novo")</f>
        <v>Y</v>
      </c>
      <c r="O374" s="86" t="str">
        <f t="shared" si="88"/>
        <v>Igual</v>
      </c>
      <c r="P374" s="86" t="str">
        <f>IFERROR(VLOOKUP($B374,'LISTA - Atual'!$B$1:$I$444,7,0),"Novo")</f>
        <v>Y</v>
      </c>
      <c r="Q374" s="86" t="str">
        <f t="shared" si="89"/>
        <v>Igual</v>
      </c>
      <c r="R374" s="86" t="s">
        <v>1563</v>
      </c>
      <c r="S374" s="86" t="str">
        <f>IFERROR(VLOOKUP($B374,'LISTA - Atual'!$B$1:$I$444,8,0),"Novo")</f>
        <v>N</v>
      </c>
      <c r="T374" s="86" t="str">
        <f t="shared" si="90"/>
        <v>Igual</v>
      </c>
      <c r="U374" s="86" t="s">
        <v>1563</v>
      </c>
      <c r="V374" s="86" t="s">
        <v>11</v>
      </c>
      <c r="W374" s="87" t="str">
        <f>IFERROR(VLOOKUP(B374,#REF!,11,0),"n/a")</f>
        <v>n/a</v>
      </c>
      <c r="X374" s="87" t="str">
        <f>IFERROR(VLOOKUP(B374,#REF!,8,0),"n/a")</f>
        <v>n/a</v>
      </c>
      <c r="Y374" s="87" t="str">
        <f>$G$2&amp;$Y$1&amp;$H$2</f>
        <v>GD &amp; PILAR3</v>
      </c>
      <c r="Z374" s="131" t="s">
        <v>1605</v>
      </c>
      <c r="AA374" s="227" t="e">
        <f>VLOOKUP(Table1[[#This Row],[CONCAT]],'Campos Resumo Prop2.0'!A:H,8,0)</f>
        <v>#N/A</v>
      </c>
      <c r="AB374" s="87" t="s">
        <v>1655</v>
      </c>
      <c r="AC374" s="137" t="s">
        <v>1625</v>
      </c>
      <c r="AD374" s="91">
        <f>INDEX(Auxiliar!$D$5:$I$10,MATCH('LISTA - Setembro2024'!AD$3,Auxiliar!$B$5:$B$10,0),MATCH('LISTA - Setembro2024'!$AC374,Auxiliar!$D$4:$I$4,0))</f>
        <v>0</v>
      </c>
      <c r="AE374" s="91">
        <f>INDEX(Auxiliar!$D$5:$I$10,MATCH('LISTA - Setembro2024'!AE$3,Auxiliar!$B$5:$B$10,0),MATCH('LISTA - Setembro2024'!$AC374,Auxiliar!$D$4:$I$4,0))</f>
        <v>0</v>
      </c>
      <c r="AF374" s="87">
        <f>INDEX(Auxiliar!$D$5:$I$10,MATCH('LISTA - Setembro2024'!AF$3,Auxiliar!$B$5:$B$10,0),MATCH('LISTA - Setembro2024'!$AC374,Auxiliar!$D$4:$I$4,0))</f>
        <v>0</v>
      </c>
      <c r="AG374" s="87" t="str">
        <f t="shared" si="81"/>
        <v>n.a.</v>
      </c>
      <c r="AH374" s="87">
        <f>INDEX(Auxiliar!$D$5:$I$10,MATCH('LISTA - Setembro2024'!AH$3,Auxiliar!$B$5:$B$10,0),MATCH('LISTA - Setembro2024'!$AG374,Auxiliar!$D$4:$I$4,0))</f>
        <v>0</v>
      </c>
      <c r="AI374" s="87">
        <f>INDEX(Auxiliar!$D$5:$I$10,MATCH('LISTA - Setembro2024'!AI$3,Auxiliar!$B$5:$B$10,0),MATCH('LISTA - Setembro2024'!$AC374,Auxiliar!$D$4:$I$4,0))</f>
        <v>0</v>
      </c>
      <c r="AJ374" s="87">
        <f>INDEX(Auxiliar!$D$5:$I$10,MATCH('LISTA - Setembro2024'!AJ$3,Auxiliar!$B$5:$B$10,0),MATCH('LISTA - Setembro2024'!$AC374,Auxiliar!$D$4:$I$4,0))</f>
        <v>0</v>
      </c>
      <c r="AK374" s="160">
        <f t="shared" si="83"/>
        <v>0</v>
      </c>
      <c r="AL374" s="87"/>
    </row>
    <row r="375" spans="1:38" ht="13.8" x14ac:dyDescent="0.25">
      <c r="A375" s="158" t="s">
        <v>978</v>
      </c>
      <c r="B375" s="81" t="str">
        <f t="shared" si="82"/>
        <v>INSTRUMENT_GRSS_CMMSSN_INCM</v>
      </c>
      <c r="C375" s="82" t="s">
        <v>414</v>
      </c>
      <c r="D375" s="83" t="s">
        <v>979</v>
      </c>
      <c r="E375" s="84" t="s">
        <v>980</v>
      </c>
      <c r="F375" s="85" t="s">
        <v>11</v>
      </c>
      <c r="G375" s="85" t="s">
        <v>13</v>
      </c>
      <c r="H375" s="85" t="s">
        <v>13</v>
      </c>
      <c r="I375" s="85" t="s">
        <v>11</v>
      </c>
      <c r="J375" s="85" t="s">
        <v>11</v>
      </c>
      <c r="K375" s="85" t="s">
        <v>11</v>
      </c>
      <c r="L375" s="86" t="str">
        <f>IFERROR(VLOOKUP($B375,'LISTA - Atual'!$B$1:$I$444,5,0),"Novo")</f>
        <v>N</v>
      </c>
      <c r="M375" s="86" t="str">
        <f t="shared" si="87"/>
        <v>Igual</v>
      </c>
      <c r="N375" s="86" t="str">
        <f>IFERROR(VLOOKUP($B375,'LISTA - Atual'!$B$1:$I$444,6,0),"Novo")</f>
        <v>Y</v>
      </c>
      <c r="O375" s="86" t="str">
        <f t="shared" si="88"/>
        <v>Igual</v>
      </c>
      <c r="P375" s="86" t="str">
        <f>IFERROR(VLOOKUP($B375,'LISTA - Atual'!$B$1:$I$444,7,0),"Novo")</f>
        <v>Y</v>
      </c>
      <c r="Q375" s="86" t="str">
        <f t="shared" si="89"/>
        <v>Igual</v>
      </c>
      <c r="R375" s="86" t="s">
        <v>1563</v>
      </c>
      <c r="S375" s="86" t="str">
        <f>IFERROR(VLOOKUP($B375,'LISTA - Atual'!$B$1:$I$444,8,0),"Novo")</f>
        <v>N</v>
      </c>
      <c r="T375" s="86" t="str">
        <f t="shared" si="90"/>
        <v>Igual</v>
      </c>
      <c r="U375" s="86" t="s">
        <v>1563</v>
      </c>
      <c r="V375" s="86" t="s">
        <v>11</v>
      </c>
      <c r="W375" s="87" t="str">
        <f>IFERROR(VLOOKUP(B375,#REF!,11,0),"n/a")</f>
        <v>n/a</v>
      </c>
      <c r="X375" s="87" t="str">
        <f>IFERROR(VLOOKUP(B375,#REF!,8,0),"n/a")</f>
        <v>n/a</v>
      </c>
      <c r="Y375" s="87" t="str">
        <f>$G$2&amp;$Y$1&amp;$H$2</f>
        <v>GD &amp; PILAR3</v>
      </c>
      <c r="Z375" s="131" t="s">
        <v>1605</v>
      </c>
      <c r="AA375" s="227" t="e">
        <f>VLOOKUP(Table1[[#This Row],[CONCAT]],'Campos Resumo Prop2.0'!A:H,8,0)</f>
        <v>#N/A</v>
      </c>
      <c r="AB375" s="87" t="s">
        <v>1655</v>
      </c>
      <c r="AC375" s="137" t="s">
        <v>1625</v>
      </c>
      <c r="AD375" s="91">
        <f>INDEX(Auxiliar!$D$5:$I$10,MATCH('LISTA - Setembro2024'!AD$3,Auxiliar!$B$5:$B$10,0),MATCH('LISTA - Setembro2024'!$AC375,Auxiliar!$D$4:$I$4,0))</f>
        <v>0</v>
      </c>
      <c r="AE375" s="91">
        <f>INDEX(Auxiliar!$D$5:$I$10,MATCH('LISTA - Setembro2024'!AE$3,Auxiliar!$B$5:$B$10,0),MATCH('LISTA - Setembro2024'!$AC375,Auxiliar!$D$4:$I$4,0))</f>
        <v>0</v>
      </c>
      <c r="AF375" s="87">
        <f>INDEX(Auxiliar!$D$5:$I$10,MATCH('LISTA - Setembro2024'!AF$3,Auxiliar!$B$5:$B$10,0),MATCH('LISTA - Setembro2024'!$AC375,Auxiliar!$D$4:$I$4,0))</f>
        <v>0</v>
      </c>
      <c r="AG375" s="87" t="str">
        <f t="shared" si="81"/>
        <v>n.a.</v>
      </c>
      <c r="AH375" s="87">
        <f>INDEX(Auxiliar!$D$5:$I$10,MATCH('LISTA - Setembro2024'!AH$3,Auxiliar!$B$5:$B$10,0),MATCH('LISTA - Setembro2024'!$AG375,Auxiliar!$D$4:$I$4,0))</f>
        <v>0</v>
      </c>
      <c r="AI375" s="87">
        <f>INDEX(Auxiliar!$D$5:$I$10,MATCH('LISTA - Setembro2024'!AI$3,Auxiliar!$B$5:$B$10,0),MATCH('LISTA - Setembro2024'!$AC375,Auxiliar!$D$4:$I$4,0))</f>
        <v>0</v>
      </c>
      <c r="AJ375" s="87">
        <f>INDEX(Auxiliar!$D$5:$I$10,MATCH('LISTA - Setembro2024'!AJ$3,Auxiliar!$B$5:$B$10,0),MATCH('LISTA - Setembro2024'!$AC375,Auxiliar!$D$4:$I$4,0))</f>
        <v>0</v>
      </c>
      <c r="AK375" s="160">
        <f t="shared" si="83"/>
        <v>0</v>
      </c>
      <c r="AL375" s="87"/>
    </row>
    <row r="376" spans="1:38" ht="13.8" x14ac:dyDescent="0.25">
      <c r="A376" s="158" t="s">
        <v>981</v>
      </c>
      <c r="B376" s="81" t="str">
        <f t="shared" si="82"/>
        <v>INSTRUMENT_INTRNL_TRNSFR_RT</v>
      </c>
      <c r="C376" s="82" t="s">
        <v>414</v>
      </c>
      <c r="D376" s="83" t="s">
        <v>982</v>
      </c>
      <c r="E376" s="84" t="s">
        <v>983</v>
      </c>
      <c r="F376" s="85" t="s">
        <v>11</v>
      </c>
      <c r="G376" s="85" t="s">
        <v>13</v>
      </c>
      <c r="H376" s="85" t="s">
        <v>11</v>
      </c>
      <c r="I376" s="85" t="s">
        <v>11</v>
      </c>
      <c r="J376" s="85" t="s">
        <v>11</v>
      </c>
      <c r="K376" s="85" t="s">
        <v>11</v>
      </c>
      <c r="L376" s="86" t="str">
        <f>IFERROR(VLOOKUP($B376,'LISTA - Atual'!$B$1:$I$444,5,0),"Novo")</f>
        <v>N</v>
      </c>
      <c r="M376" s="86" t="str">
        <f t="shared" si="87"/>
        <v>Igual</v>
      </c>
      <c r="N376" s="86" t="str">
        <f>IFERROR(VLOOKUP($B376,'LISTA - Atual'!$B$1:$I$444,6,0),"Novo")</f>
        <v>Y</v>
      </c>
      <c r="O376" s="86" t="str">
        <f t="shared" si="88"/>
        <v>Igual</v>
      </c>
      <c r="P376" s="86" t="str">
        <f>IFERROR(VLOOKUP($B376,'LISTA - Atual'!$B$1:$I$444,7,0),"Novo")</f>
        <v>N</v>
      </c>
      <c r="Q376" s="86" t="str">
        <f t="shared" si="89"/>
        <v>Igual</v>
      </c>
      <c r="R376" s="86" t="s">
        <v>1563</v>
      </c>
      <c r="S376" s="86" t="str">
        <f>IFERROR(VLOOKUP($B376,'LISTA - Atual'!$B$1:$I$444,8,0),"Novo")</f>
        <v>N</v>
      </c>
      <c r="T376" s="86" t="str">
        <f t="shared" si="90"/>
        <v>Igual</v>
      </c>
      <c r="U376" s="86" t="s">
        <v>1563</v>
      </c>
      <c r="V376" s="86" t="s">
        <v>11</v>
      </c>
      <c r="W376" s="87" t="str">
        <f>IFERROR(VLOOKUP(B376,#REF!,11,0),"n/a")</f>
        <v>n/a</v>
      </c>
      <c r="X376" s="87" t="str">
        <f>IFERROR(VLOOKUP(B376,#REF!,8,0),"n/a")</f>
        <v>n/a</v>
      </c>
      <c r="Y376" s="87" t="str">
        <f t="shared" ref="Y376:Y387" si="91">$G$2</f>
        <v>GD</v>
      </c>
      <c r="Z376" s="131" t="s">
        <v>1605</v>
      </c>
      <c r="AA376" s="227" t="e">
        <f>VLOOKUP(Table1[[#This Row],[CONCAT]],'Campos Resumo Prop2.0'!A:H,8,0)</f>
        <v>#N/A</v>
      </c>
      <c r="AB376" s="87" t="s">
        <v>1655</v>
      </c>
      <c r="AC376" s="137" t="s">
        <v>1625</v>
      </c>
      <c r="AD376" s="91">
        <f>INDEX(Auxiliar!$D$5:$I$10,MATCH('LISTA - Setembro2024'!AD$3,Auxiliar!$B$5:$B$10,0),MATCH('LISTA - Setembro2024'!$AC376,Auxiliar!$D$4:$I$4,0))</f>
        <v>0</v>
      </c>
      <c r="AE376" s="91">
        <f>INDEX(Auxiliar!$D$5:$I$10,MATCH('LISTA - Setembro2024'!AE$3,Auxiliar!$B$5:$B$10,0),MATCH('LISTA - Setembro2024'!$AC376,Auxiliar!$D$4:$I$4,0))</f>
        <v>0</v>
      </c>
      <c r="AF376" s="87">
        <f>INDEX(Auxiliar!$D$5:$I$10,MATCH('LISTA - Setembro2024'!AF$3,Auxiliar!$B$5:$B$10,0),MATCH('LISTA - Setembro2024'!$AC376,Auxiliar!$D$4:$I$4,0))</f>
        <v>0</v>
      </c>
      <c r="AG376" s="87" t="str">
        <f t="shared" si="81"/>
        <v>n.a.</v>
      </c>
      <c r="AH376" s="87">
        <f>INDEX(Auxiliar!$D$5:$I$10,MATCH('LISTA - Setembro2024'!AH$3,Auxiliar!$B$5:$B$10,0),MATCH('LISTA - Setembro2024'!$AG376,Auxiliar!$D$4:$I$4,0))</f>
        <v>0</v>
      </c>
      <c r="AI376" s="87">
        <f>INDEX(Auxiliar!$D$5:$I$10,MATCH('LISTA - Setembro2024'!AI$3,Auxiliar!$B$5:$B$10,0),MATCH('LISTA - Setembro2024'!$AC376,Auxiliar!$D$4:$I$4,0))</f>
        <v>0</v>
      </c>
      <c r="AJ376" s="87">
        <f>INDEX(Auxiliar!$D$5:$I$10,MATCH('LISTA - Setembro2024'!AJ$3,Auxiliar!$B$5:$B$10,0),MATCH('LISTA - Setembro2024'!$AC376,Auxiliar!$D$4:$I$4,0))</f>
        <v>0</v>
      </c>
      <c r="AK376" s="160">
        <f t="shared" si="83"/>
        <v>0</v>
      </c>
      <c r="AL376" s="87"/>
    </row>
    <row r="377" spans="1:38" ht="13.8" x14ac:dyDescent="0.25">
      <c r="A377" s="158" t="s">
        <v>984</v>
      </c>
      <c r="B377" s="81" t="str">
        <f t="shared" si="82"/>
        <v>INSTRUMENT_NT_LN_LSS_PRVSN</v>
      </c>
      <c r="C377" s="82" t="s">
        <v>414</v>
      </c>
      <c r="D377" s="83" t="s">
        <v>985</v>
      </c>
      <c r="E377" s="84" t="s">
        <v>986</v>
      </c>
      <c r="F377" s="85" t="s">
        <v>11</v>
      </c>
      <c r="G377" s="85" t="s">
        <v>13</v>
      </c>
      <c r="H377" s="85" t="s">
        <v>11</v>
      </c>
      <c r="I377" s="85" t="s">
        <v>11</v>
      </c>
      <c r="J377" s="85" t="s">
        <v>11</v>
      </c>
      <c r="K377" s="85" t="s">
        <v>11</v>
      </c>
      <c r="L377" s="86" t="str">
        <f>IFERROR(VLOOKUP($B377,'LISTA - Atual'!$B$1:$I$444,5,0),"Novo")</f>
        <v>N</v>
      </c>
      <c r="M377" s="86" t="str">
        <f t="shared" si="87"/>
        <v>Igual</v>
      </c>
      <c r="N377" s="86" t="str">
        <f>IFERROR(VLOOKUP($B377,'LISTA - Atual'!$B$1:$I$444,6,0),"Novo")</f>
        <v>Y</v>
      </c>
      <c r="O377" s="86" t="str">
        <f t="shared" si="88"/>
        <v>Igual</v>
      </c>
      <c r="P377" s="86" t="str">
        <f>IFERROR(VLOOKUP($B377,'LISTA - Atual'!$B$1:$I$444,7,0),"Novo")</f>
        <v>N</v>
      </c>
      <c r="Q377" s="86" t="str">
        <f t="shared" si="89"/>
        <v>Igual</v>
      </c>
      <c r="R377" s="86" t="s">
        <v>1563</v>
      </c>
      <c r="S377" s="86" t="str">
        <f>IFERROR(VLOOKUP($B377,'LISTA - Atual'!$B$1:$I$444,8,0),"Novo")</f>
        <v>N</v>
      </c>
      <c r="T377" s="86" t="str">
        <f t="shared" si="90"/>
        <v>Igual</v>
      </c>
      <c r="U377" s="86" t="s">
        <v>1563</v>
      </c>
      <c r="V377" s="86" t="s">
        <v>11</v>
      </c>
      <c r="W377" s="87" t="str">
        <f>IFERROR(VLOOKUP(B377,#REF!,11,0),"n/a")</f>
        <v>n/a</v>
      </c>
      <c r="X377" s="87" t="str">
        <f>IFERROR(VLOOKUP(B377,#REF!,8,0),"n/a")</f>
        <v>n/a</v>
      </c>
      <c r="Y377" s="87" t="str">
        <f t="shared" si="91"/>
        <v>GD</v>
      </c>
      <c r="Z377" s="131" t="s">
        <v>1605</v>
      </c>
      <c r="AA377" s="227" t="e">
        <f>VLOOKUP(Table1[[#This Row],[CONCAT]],'Campos Resumo Prop2.0'!A:H,8,0)</f>
        <v>#N/A</v>
      </c>
      <c r="AB377" s="87" t="s">
        <v>1655</v>
      </c>
      <c r="AC377" s="137" t="s">
        <v>1625</v>
      </c>
      <c r="AD377" s="91">
        <f>INDEX(Auxiliar!$D$5:$I$10,MATCH('LISTA - Setembro2024'!AD$3,Auxiliar!$B$5:$B$10,0),MATCH('LISTA - Setembro2024'!$AC377,Auxiliar!$D$4:$I$4,0))</f>
        <v>0</v>
      </c>
      <c r="AE377" s="91">
        <f>INDEX(Auxiliar!$D$5:$I$10,MATCH('LISTA - Setembro2024'!AE$3,Auxiliar!$B$5:$B$10,0),MATCH('LISTA - Setembro2024'!$AC377,Auxiliar!$D$4:$I$4,0))</f>
        <v>0</v>
      </c>
      <c r="AF377" s="87">
        <f>INDEX(Auxiliar!$D$5:$I$10,MATCH('LISTA - Setembro2024'!AF$3,Auxiliar!$B$5:$B$10,0),MATCH('LISTA - Setembro2024'!$AC377,Auxiliar!$D$4:$I$4,0))</f>
        <v>0</v>
      </c>
      <c r="AG377" s="87" t="str">
        <f t="shared" si="81"/>
        <v>n.a.</v>
      </c>
      <c r="AH377" s="87">
        <f>INDEX(Auxiliar!$D$5:$I$10,MATCH('LISTA - Setembro2024'!AH$3,Auxiliar!$B$5:$B$10,0),MATCH('LISTA - Setembro2024'!$AG377,Auxiliar!$D$4:$I$4,0))</f>
        <v>0</v>
      </c>
      <c r="AI377" s="87">
        <f>INDEX(Auxiliar!$D$5:$I$10,MATCH('LISTA - Setembro2024'!AI$3,Auxiliar!$B$5:$B$10,0),MATCH('LISTA - Setembro2024'!$AC377,Auxiliar!$D$4:$I$4,0))</f>
        <v>0</v>
      </c>
      <c r="AJ377" s="87">
        <f>INDEX(Auxiliar!$D$5:$I$10,MATCH('LISTA - Setembro2024'!AJ$3,Auxiliar!$B$5:$B$10,0),MATCH('LISTA - Setembro2024'!$AC377,Auxiliar!$D$4:$I$4,0))</f>
        <v>0</v>
      </c>
      <c r="AK377" s="160">
        <f t="shared" si="83"/>
        <v>0</v>
      </c>
      <c r="AL377" s="87"/>
    </row>
    <row r="378" spans="1:38" ht="13.8" x14ac:dyDescent="0.25">
      <c r="A378" s="158" t="s">
        <v>987</v>
      </c>
      <c r="B378" s="81" t="str">
        <f t="shared" si="82"/>
        <v>INSTRUMENT_BSNSS_AREA</v>
      </c>
      <c r="C378" s="82" t="s">
        <v>414</v>
      </c>
      <c r="D378" s="83" t="s">
        <v>988</v>
      </c>
      <c r="E378" s="84" t="s">
        <v>989</v>
      </c>
      <c r="F378" s="85" t="s">
        <v>11</v>
      </c>
      <c r="G378" s="85" t="s">
        <v>13</v>
      </c>
      <c r="H378" s="85" t="s">
        <v>11</v>
      </c>
      <c r="I378" s="85" t="s">
        <v>11</v>
      </c>
      <c r="J378" s="85" t="s">
        <v>11</v>
      </c>
      <c r="K378" s="85" t="s">
        <v>11</v>
      </c>
      <c r="L378" s="86" t="str">
        <f>IFERROR(VLOOKUP($B378,'LISTA - Atual'!$B$1:$I$444,5,0),"Novo")</f>
        <v>N</v>
      </c>
      <c r="M378" s="86" t="str">
        <f t="shared" si="87"/>
        <v>Igual</v>
      </c>
      <c r="N378" s="86" t="str">
        <f>IFERROR(VLOOKUP($B378,'LISTA - Atual'!$B$1:$I$444,6,0),"Novo")</f>
        <v>Y</v>
      </c>
      <c r="O378" s="86" t="str">
        <f t="shared" si="88"/>
        <v>Igual</v>
      </c>
      <c r="P378" s="86" t="str">
        <f>IFERROR(VLOOKUP($B378,'LISTA - Atual'!$B$1:$I$444,7,0),"Novo")</f>
        <v>N</v>
      </c>
      <c r="Q378" s="86" t="str">
        <f t="shared" si="89"/>
        <v>Igual</v>
      </c>
      <c r="R378" s="86" t="s">
        <v>1563</v>
      </c>
      <c r="S378" s="86" t="str">
        <f>IFERROR(VLOOKUP($B378,'LISTA - Atual'!$B$1:$I$444,8,0),"Novo")</f>
        <v>N</v>
      </c>
      <c r="T378" s="86" t="str">
        <f t="shared" si="90"/>
        <v>Igual</v>
      </c>
      <c r="U378" s="86" t="s">
        <v>1563</v>
      </c>
      <c r="V378" s="86" t="s">
        <v>11</v>
      </c>
      <c r="W378" s="87" t="str">
        <f>IFERROR(VLOOKUP(B378,#REF!,11,0),"n/a")</f>
        <v>n/a</v>
      </c>
      <c r="X378" s="87" t="str">
        <f>IFERROR(VLOOKUP(B378,#REF!,8,0),"n/a")</f>
        <v>n/a</v>
      </c>
      <c r="Y378" s="87" t="str">
        <f t="shared" si="91"/>
        <v>GD</v>
      </c>
      <c r="Z378" s="131" t="s">
        <v>1605</v>
      </c>
      <c r="AA378" s="227" t="e">
        <f>VLOOKUP(Table1[[#This Row],[CONCAT]],'Campos Resumo Prop2.0'!A:H,8,0)</f>
        <v>#N/A</v>
      </c>
      <c r="AB378" s="87" t="s">
        <v>1650</v>
      </c>
      <c r="AC378" s="137" t="s">
        <v>1625</v>
      </c>
      <c r="AD378" s="91">
        <f>INDEX(Auxiliar!$D$5:$I$10,MATCH('LISTA - Setembro2024'!AD$3,Auxiliar!$B$5:$B$10,0),MATCH('LISTA - Setembro2024'!$AC378,Auxiliar!$D$4:$I$4,0))</f>
        <v>0</v>
      </c>
      <c r="AE378" s="91">
        <f>INDEX(Auxiliar!$D$5:$I$10,MATCH('LISTA - Setembro2024'!AE$3,Auxiliar!$B$5:$B$10,0),MATCH('LISTA - Setembro2024'!$AC378,Auxiliar!$D$4:$I$4,0))</f>
        <v>0</v>
      </c>
      <c r="AF378" s="87">
        <f>INDEX(Auxiliar!$D$5:$I$10,MATCH('LISTA - Setembro2024'!AF$3,Auxiliar!$B$5:$B$10,0),MATCH('LISTA - Setembro2024'!$AC378,Auxiliar!$D$4:$I$4,0))</f>
        <v>0</v>
      </c>
      <c r="AG378" s="87" t="str">
        <f t="shared" si="81"/>
        <v>n.a.</v>
      </c>
      <c r="AH378" s="87">
        <f>INDEX(Auxiliar!$D$5:$I$10,MATCH('LISTA - Setembro2024'!AH$3,Auxiliar!$B$5:$B$10,0),MATCH('LISTA - Setembro2024'!$AG378,Auxiliar!$D$4:$I$4,0))</f>
        <v>0</v>
      </c>
      <c r="AI378" s="87">
        <f>INDEX(Auxiliar!$D$5:$I$10,MATCH('LISTA - Setembro2024'!AI$3,Auxiliar!$B$5:$B$10,0),MATCH('LISTA - Setembro2024'!$AC378,Auxiliar!$D$4:$I$4,0))</f>
        <v>0</v>
      </c>
      <c r="AJ378" s="87">
        <f>INDEX(Auxiliar!$D$5:$I$10,MATCH('LISTA - Setembro2024'!AJ$3,Auxiliar!$B$5:$B$10,0),MATCH('LISTA - Setembro2024'!$AC378,Auxiliar!$D$4:$I$4,0))</f>
        <v>0</v>
      </c>
      <c r="AK378" s="160">
        <f t="shared" si="83"/>
        <v>0</v>
      </c>
      <c r="AL378" s="87"/>
    </row>
    <row r="379" spans="1:38" ht="13.8" x14ac:dyDescent="0.25">
      <c r="A379" s="158" t="s">
        <v>990</v>
      </c>
      <c r="B379" s="81" t="str">
        <f t="shared" si="82"/>
        <v>INSTRUMENT_MNGMNT_PRDCT</v>
      </c>
      <c r="C379" s="82" t="s">
        <v>414</v>
      </c>
      <c r="D379" s="97" t="s">
        <v>991</v>
      </c>
      <c r="E379" s="98" t="s">
        <v>992</v>
      </c>
      <c r="F379" s="85" t="s">
        <v>11</v>
      </c>
      <c r="G379" s="85" t="s">
        <v>13</v>
      </c>
      <c r="H379" s="85" t="s">
        <v>11</v>
      </c>
      <c r="I379" s="85" t="s">
        <v>11</v>
      </c>
      <c r="J379" s="85" t="s">
        <v>11</v>
      </c>
      <c r="K379" s="85" t="s">
        <v>11</v>
      </c>
      <c r="L379" s="86" t="str">
        <f>IFERROR(VLOOKUP($B379,'LISTA - Atual'!$B$1:$I$444,5,0),"Novo")</f>
        <v>N</v>
      </c>
      <c r="M379" s="86" t="str">
        <f t="shared" si="87"/>
        <v>Igual</v>
      </c>
      <c r="N379" s="86" t="str">
        <f>IFERROR(VLOOKUP($B379,'LISTA - Atual'!$B$1:$I$444,6,0),"Novo")</f>
        <v>Y</v>
      </c>
      <c r="O379" s="86" t="str">
        <f t="shared" si="88"/>
        <v>Igual</v>
      </c>
      <c r="P379" s="86" t="str">
        <f>IFERROR(VLOOKUP($B379,'LISTA - Atual'!$B$1:$I$444,7,0),"Novo")</f>
        <v>N</v>
      </c>
      <c r="Q379" s="86" t="str">
        <f t="shared" si="89"/>
        <v>Igual</v>
      </c>
      <c r="R379" s="86" t="s">
        <v>1563</v>
      </c>
      <c r="S379" s="86" t="str">
        <f>IFERROR(VLOOKUP($B379,'LISTA - Atual'!$B$1:$I$444,8,0),"Novo")</f>
        <v>N</v>
      </c>
      <c r="T379" s="86" t="str">
        <f t="shared" si="90"/>
        <v>Igual</v>
      </c>
      <c r="U379" s="86" t="s">
        <v>1563</v>
      </c>
      <c r="V379" s="86" t="s">
        <v>11</v>
      </c>
      <c r="W379" s="87" t="str">
        <f>IFERROR(VLOOKUP(B379,#REF!,11,0),"n/a")</f>
        <v>n/a</v>
      </c>
      <c r="X379" s="87" t="str">
        <f>IFERROR(VLOOKUP(B379,#REF!,8,0),"n/a")</f>
        <v>n/a</v>
      </c>
      <c r="Y379" s="87" t="str">
        <f t="shared" si="91"/>
        <v>GD</v>
      </c>
      <c r="Z379" s="131" t="s">
        <v>1605</v>
      </c>
      <c r="AA379" s="227" t="e">
        <f>VLOOKUP(Table1[[#This Row],[CONCAT]],'Campos Resumo Prop2.0'!A:H,8,0)</f>
        <v>#N/A</v>
      </c>
      <c r="AB379" s="87" t="s">
        <v>1650</v>
      </c>
      <c r="AC379" s="137" t="s">
        <v>1625</v>
      </c>
      <c r="AD379" s="91">
        <f>INDEX(Auxiliar!$D$5:$I$10,MATCH('LISTA - Setembro2024'!AD$3,Auxiliar!$B$5:$B$10,0),MATCH('LISTA - Setembro2024'!$AC379,Auxiliar!$D$4:$I$4,0))</f>
        <v>0</v>
      </c>
      <c r="AE379" s="91">
        <f>INDEX(Auxiliar!$D$5:$I$10,MATCH('LISTA - Setembro2024'!AE$3,Auxiliar!$B$5:$B$10,0),MATCH('LISTA - Setembro2024'!$AC379,Auxiliar!$D$4:$I$4,0))</f>
        <v>0</v>
      </c>
      <c r="AF379" s="87">
        <f>INDEX(Auxiliar!$D$5:$I$10,MATCH('LISTA - Setembro2024'!AF$3,Auxiliar!$B$5:$B$10,0),MATCH('LISTA - Setembro2024'!$AC379,Auxiliar!$D$4:$I$4,0))</f>
        <v>0</v>
      </c>
      <c r="AG379" s="87" t="str">
        <f t="shared" si="81"/>
        <v>n.a.</v>
      </c>
      <c r="AH379" s="87">
        <f>INDEX(Auxiliar!$D$5:$I$10,MATCH('LISTA - Setembro2024'!AH$3,Auxiliar!$B$5:$B$10,0),MATCH('LISTA - Setembro2024'!$AG379,Auxiliar!$D$4:$I$4,0))</f>
        <v>0</v>
      </c>
      <c r="AI379" s="87">
        <f>INDEX(Auxiliar!$D$5:$I$10,MATCH('LISTA - Setembro2024'!AI$3,Auxiliar!$B$5:$B$10,0),MATCH('LISTA - Setembro2024'!$AC379,Auxiliar!$D$4:$I$4,0))</f>
        <v>0</v>
      </c>
      <c r="AJ379" s="87">
        <f>INDEX(Auxiliar!$D$5:$I$10,MATCH('LISTA - Setembro2024'!AJ$3,Auxiliar!$B$5:$B$10,0),MATCH('LISTA - Setembro2024'!$AC379,Auxiliar!$D$4:$I$4,0))</f>
        <v>0</v>
      </c>
      <c r="AK379" s="160">
        <f t="shared" si="83"/>
        <v>0</v>
      </c>
      <c r="AL379" s="87"/>
    </row>
    <row r="380" spans="1:38" ht="13.8" x14ac:dyDescent="0.25">
      <c r="A380" s="158" t="s">
        <v>993</v>
      </c>
      <c r="B380" s="81" t="str">
        <f t="shared" si="82"/>
        <v>INSTRUMENT_GRSS_CMMSSN_EXPNS</v>
      </c>
      <c r="C380" s="82" t="s">
        <v>414</v>
      </c>
      <c r="D380" s="83" t="s">
        <v>994</v>
      </c>
      <c r="E380" s="84" t="s">
        <v>995</v>
      </c>
      <c r="F380" s="85" t="s">
        <v>11</v>
      </c>
      <c r="G380" s="85" t="s">
        <v>13</v>
      </c>
      <c r="H380" s="85" t="s">
        <v>11</v>
      </c>
      <c r="I380" s="85" t="s">
        <v>11</v>
      </c>
      <c r="J380" s="85" t="s">
        <v>11</v>
      </c>
      <c r="K380" s="85" t="s">
        <v>11</v>
      </c>
      <c r="L380" s="86" t="str">
        <f>IFERROR(VLOOKUP($B380,'LISTA - Atual'!$B$1:$I$444,5,0),"Novo")</f>
        <v>N</v>
      </c>
      <c r="M380" s="86" t="str">
        <f t="shared" si="87"/>
        <v>Igual</v>
      </c>
      <c r="N380" s="86" t="str">
        <f>IFERROR(VLOOKUP($B380,'LISTA - Atual'!$B$1:$I$444,6,0),"Novo")</f>
        <v>Y</v>
      </c>
      <c r="O380" s="86" t="str">
        <f t="shared" si="88"/>
        <v>Igual</v>
      </c>
      <c r="P380" s="86" t="str">
        <f>IFERROR(VLOOKUP($B380,'LISTA - Atual'!$B$1:$I$444,7,0),"Novo")</f>
        <v>N</v>
      </c>
      <c r="Q380" s="86" t="str">
        <f t="shared" si="89"/>
        <v>Igual</v>
      </c>
      <c r="R380" s="86" t="s">
        <v>1563</v>
      </c>
      <c r="S380" s="86" t="str">
        <f>IFERROR(VLOOKUP($B380,'LISTA - Atual'!$B$1:$I$444,8,0),"Novo")</f>
        <v>N</v>
      </c>
      <c r="T380" s="86" t="str">
        <f t="shared" si="90"/>
        <v>Igual</v>
      </c>
      <c r="U380" s="86" t="s">
        <v>1563</v>
      </c>
      <c r="V380" s="86" t="s">
        <v>11</v>
      </c>
      <c r="W380" s="87" t="str">
        <f>IFERROR(VLOOKUP(B380,#REF!,11,0),"n/a")</f>
        <v>n/a</v>
      </c>
      <c r="X380" s="87" t="str">
        <f>IFERROR(VLOOKUP(B380,#REF!,8,0),"n/a")</f>
        <v>n/a</v>
      </c>
      <c r="Y380" s="87" t="str">
        <f t="shared" si="91"/>
        <v>GD</v>
      </c>
      <c r="Z380" s="131" t="s">
        <v>1605</v>
      </c>
      <c r="AA380" s="227" t="e">
        <f>VLOOKUP(Table1[[#This Row],[CONCAT]],'Campos Resumo Prop2.0'!A:H,8,0)</f>
        <v>#N/A</v>
      </c>
      <c r="AB380" s="87" t="s">
        <v>1655</v>
      </c>
      <c r="AC380" s="137" t="s">
        <v>1625</v>
      </c>
      <c r="AD380" s="91">
        <f>INDEX(Auxiliar!$D$5:$I$10,MATCH('LISTA - Setembro2024'!AD$3,Auxiliar!$B$5:$B$10,0),MATCH('LISTA - Setembro2024'!$AC380,Auxiliar!$D$4:$I$4,0))</f>
        <v>0</v>
      </c>
      <c r="AE380" s="91">
        <f>INDEX(Auxiliar!$D$5:$I$10,MATCH('LISTA - Setembro2024'!AE$3,Auxiliar!$B$5:$B$10,0),MATCH('LISTA - Setembro2024'!$AC380,Auxiliar!$D$4:$I$4,0))</f>
        <v>0</v>
      </c>
      <c r="AF380" s="87">
        <f>INDEX(Auxiliar!$D$5:$I$10,MATCH('LISTA - Setembro2024'!AF$3,Auxiliar!$B$5:$B$10,0),MATCH('LISTA - Setembro2024'!$AC380,Auxiliar!$D$4:$I$4,0))</f>
        <v>0</v>
      </c>
      <c r="AG380" s="87" t="str">
        <f t="shared" si="81"/>
        <v>n.a.</v>
      </c>
      <c r="AH380" s="87">
        <f>INDEX(Auxiliar!$D$5:$I$10,MATCH('LISTA - Setembro2024'!AH$3,Auxiliar!$B$5:$B$10,0),MATCH('LISTA - Setembro2024'!$AG380,Auxiliar!$D$4:$I$4,0))</f>
        <v>0</v>
      </c>
      <c r="AI380" s="87">
        <f>INDEX(Auxiliar!$D$5:$I$10,MATCH('LISTA - Setembro2024'!AI$3,Auxiliar!$B$5:$B$10,0),MATCH('LISTA - Setembro2024'!$AC380,Auxiliar!$D$4:$I$4,0))</f>
        <v>0</v>
      </c>
      <c r="AJ380" s="87">
        <f>INDEX(Auxiliar!$D$5:$I$10,MATCH('LISTA - Setembro2024'!AJ$3,Auxiliar!$B$5:$B$10,0),MATCH('LISTA - Setembro2024'!$AC380,Auxiliar!$D$4:$I$4,0))</f>
        <v>0</v>
      </c>
      <c r="AK380" s="160">
        <f t="shared" si="83"/>
        <v>0</v>
      </c>
      <c r="AL380" s="87"/>
    </row>
    <row r="381" spans="1:38" ht="13.8" x14ac:dyDescent="0.25">
      <c r="A381" s="158" t="s">
        <v>996</v>
      </c>
      <c r="B381" s="81" t="str">
        <f t="shared" si="82"/>
        <v>INSTRUMENT_GNS_FNNCL_TRNSCTN_EXCHNG_DFFRNCS</v>
      </c>
      <c r="C381" s="82" t="s">
        <v>414</v>
      </c>
      <c r="D381" s="83" t="s">
        <v>997</v>
      </c>
      <c r="E381" s="84" t="s">
        <v>998</v>
      </c>
      <c r="F381" s="85" t="s">
        <v>11</v>
      </c>
      <c r="G381" s="85" t="s">
        <v>13</v>
      </c>
      <c r="H381" s="85" t="s">
        <v>11</v>
      </c>
      <c r="I381" s="85" t="s">
        <v>11</v>
      </c>
      <c r="J381" s="85" t="s">
        <v>11</v>
      </c>
      <c r="K381" s="85" t="s">
        <v>11</v>
      </c>
      <c r="L381" s="86" t="str">
        <f>IFERROR(VLOOKUP($B381,'LISTA - Atual'!$B$1:$I$444,5,0),"Novo")</f>
        <v>N</v>
      </c>
      <c r="M381" s="86" t="str">
        <f t="shared" si="87"/>
        <v>Igual</v>
      </c>
      <c r="N381" s="86" t="str">
        <f>IFERROR(VLOOKUP($B381,'LISTA - Atual'!$B$1:$I$444,6,0),"Novo")</f>
        <v>Y</v>
      </c>
      <c r="O381" s="86" t="str">
        <f t="shared" si="88"/>
        <v>Igual</v>
      </c>
      <c r="P381" s="86" t="str">
        <f>IFERROR(VLOOKUP($B381,'LISTA - Atual'!$B$1:$I$444,7,0),"Novo")</f>
        <v>N</v>
      </c>
      <c r="Q381" s="86" t="str">
        <f t="shared" si="89"/>
        <v>Igual</v>
      </c>
      <c r="R381" s="86" t="s">
        <v>1563</v>
      </c>
      <c r="S381" s="86" t="str">
        <f>IFERROR(VLOOKUP($B381,'LISTA - Atual'!$B$1:$I$444,8,0),"Novo")</f>
        <v>N</v>
      </c>
      <c r="T381" s="86" t="str">
        <f t="shared" si="90"/>
        <v>Igual</v>
      </c>
      <c r="U381" s="86" t="s">
        <v>1563</v>
      </c>
      <c r="V381" s="86" t="s">
        <v>11</v>
      </c>
      <c r="W381" s="87" t="str">
        <f>IFERROR(VLOOKUP(B381,#REF!,11,0),"n/a")</f>
        <v>n/a</v>
      </c>
      <c r="X381" s="87" t="str">
        <f>IFERROR(VLOOKUP(B381,#REF!,8,0),"n/a")</f>
        <v>n/a</v>
      </c>
      <c r="Y381" s="87" t="str">
        <f t="shared" si="91"/>
        <v>GD</v>
      </c>
      <c r="Z381" s="131" t="s">
        <v>1605</v>
      </c>
      <c r="AA381" s="227" t="e">
        <f>VLOOKUP(Table1[[#This Row],[CONCAT]],'Campos Resumo Prop2.0'!A:H,8,0)</f>
        <v>#N/A</v>
      </c>
      <c r="AB381" s="87" t="s">
        <v>1655</v>
      </c>
      <c r="AC381" s="137" t="s">
        <v>1625</v>
      </c>
      <c r="AD381" s="91">
        <f>INDEX(Auxiliar!$D$5:$I$10,MATCH('LISTA - Setembro2024'!AD$3,Auxiliar!$B$5:$B$10,0),MATCH('LISTA - Setembro2024'!$AC381,Auxiliar!$D$4:$I$4,0))</f>
        <v>0</v>
      </c>
      <c r="AE381" s="91">
        <f>INDEX(Auxiliar!$D$5:$I$10,MATCH('LISTA - Setembro2024'!AE$3,Auxiliar!$B$5:$B$10,0),MATCH('LISTA - Setembro2024'!$AC381,Auxiliar!$D$4:$I$4,0))</f>
        <v>0</v>
      </c>
      <c r="AF381" s="87">
        <f>INDEX(Auxiliar!$D$5:$I$10,MATCH('LISTA - Setembro2024'!AF$3,Auxiliar!$B$5:$B$10,0),MATCH('LISTA - Setembro2024'!$AC381,Auxiliar!$D$4:$I$4,0))</f>
        <v>0</v>
      </c>
      <c r="AG381" s="87" t="str">
        <f t="shared" si="81"/>
        <v>n.a.</v>
      </c>
      <c r="AH381" s="87">
        <f>INDEX(Auxiliar!$D$5:$I$10,MATCH('LISTA - Setembro2024'!AH$3,Auxiliar!$B$5:$B$10,0),MATCH('LISTA - Setembro2024'!$AG381,Auxiliar!$D$4:$I$4,0))</f>
        <v>0</v>
      </c>
      <c r="AI381" s="87">
        <f>INDEX(Auxiliar!$D$5:$I$10,MATCH('LISTA - Setembro2024'!AI$3,Auxiliar!$B$5:$B$10,0),MATCH('LISTA - Setembro2024'!$AC381,Auxiliar!$D$4:$I$4,0))</f>
        <v>0</v>
      </c>
      <c r="AJ381" s="87">
        <f>INDEX(Auxiliar!$D$5:$I$10,MATCH('LISTA - Setembro2024'!AJ$3,Auxiliar!$B$5:$B$10,0),MATCH('LISTA - Setembro2024'!$AC381,Auxiliar!$D$4:$I$4,0))</f>
        <v>0</v>
      </c>
      <c r="AK381" s="160">
        <f t="shared" si="83"/>
        <v>0</v>
      </c>
      <c r="AL381" s="87"/>
    </row>
    <row r="382" spans="1:38" ht="13.8" x14ac:dyDescent="0.25">
      <c r="A382" s="158" t="s">
        <v>999</v>
      </c>
      <c r="B382" s="81" t="str">
        <f t="shared" si="82"/>
        <v>INSTRUMENT_FLG_INTRBSNSS</v>
      </c>
      <c r="C382" s="82" t="s">
        <v>414</v>
      </c>
      <c r="D382" s="83" t="s">
        <v>1000</v>
      </c>
      <c r="E382" s="84" t="s">
        <v>1001</v>
      </c>
      <c r="F382" s="85" t="s">
        <v>11</v>
      </c>
      <c r="G382" s="85" t="s">
        <v>13</v>
      </c>
      <c r="H382" s="85" t="s">
        <v>11</v>
      </c>
      <c r="I382" s="85" t="s">
        <v>11</v>
      </c>
      <c r="J382" s="85" t="s">
        <v>11</v>
      </c>
      <c r="K382" s="85" t="s">
        <v>11</v>
      </c>
      <c r="L382" s="86" t="str">
        <f>IFERROR(VLOOKUP($B382,'LISTA - Atual'!$B$1:$I$444,5,0),"Novo")</f>
        <v>N</v>
      </c>
      <c r="M382" s="86" t="str">
        <f t="shared" si="87"/>
        <v>Igual</v>
      </c>
      <c r="N382" s="86" t="str">
        <f>IFERROR(VLOOKUP($B382,'LISTA - Atual'!$B$1:$I$444,6,0),"Novo")</f>
        <v>Y</v>
      </c>
      <c r="O382" s="86" t="str">
        <f t="shared" si="88"/>
        <v>Igual</v>
      </c>
      <c r="P382" s="86" t="str">
        <f>IFERROR(VLOOKUP($B382,'LISTA - Atual'!$B$1:$I$444,7,0),"Novo")</f>
        <v>N</v>
      </c>
      <c r="Q382" s="86" t="str">
        <f t="shared" si="89"/>
        <v>Igual</v>
      </c>
      <c r="R382" s="86" t="s">
        <v>1563</v>
      </c>
      <c r="S382" s="86" t="str">
        <f>IFERROR(VLOOKUP($B382,'LISTA - Atual'!$B$1:$I$444,8,0),"Novo")</f>
        <v>N</v>
      </c>
      <c r="T382" s="86" t="str">
        <f t="shared" si="90"/>
        <v>Igual</v>
      </c>
      <c r="U382" s="86" t="s">
        <v>1563</v>
      </c>
      <c r="V382" s="86" t="s">
        <v>11</v>
      </c>
      <c r="W382" s="87" t="str">
        <f>IFERROR(VLOOKUP(B382,#REF!,11,0),"n/a")</f>
        <v>n/a</v>
      </c>
      <c r="X382" s="87" t="str">
        <f>IFERROR(VLOOKUP(B382,#REF!,8,0),"n/a")</f>
        <v>n/a</v>
      </c>
      <c r="Y382" s="87" t="str">
        <f t="shared" si="91"/>
        <v>GD</v>
      </c>
      <c r="Z382" s="131" t="s">
        <v>1605</v>
      </c>
      <c r="AA382" s="227" t="e">
        <f>VLOOKUP(Table1[[#This Row],[CONCAT]],'Campos Resumo Prop2.0'!A:H,8,0)</f>
        <v>#N/A</v>
      </c>
      <c r="AB382" s="87" t="s">
        <v>1654</v>
      </c>
      <c r="AC382" s="137" t="s">
        <v>1625</v>
      </c>
      <c r="AD382" s="91">
        <f>INDEX(Auxiliar!$D$5:$I$10,MATCH('LISTA - Setembro2024'!AD$3,Auxiliar!$B$5:$B$10,0),MATCH('LISTA - Setembro2024'!$AC382,Auxiliar!$D$4:$I$4,0))</f>
        <v>0</v>
      </c>
      <c r="AE382" s="91">
        <f>INDEX(Auxiliar!$D$5:$I$10,MATCH('LISTA - Setembro2024'!AE$3,Auxiliar!$B$5:$B$10,0),MATCH('LISTA - Setembro2024'!$AC382,Auxiliar!$D$4:$I$4,0))</f>
        <v>0</v>
      </c>
      <c r="AF382" s="87">
        <f>INDEX(Auxiliar!$D$5:$I$10,MATCH('LISTA - Setembro2024'!AF$3,Auxiliar!$B$5:$B$10,0),MATCH('LISTA - Setembro2024'!$AC382,Auxiliar!$D$4:$I$4,0))</f>
        <v>0</v>
      </c>
      <c r="AG382" s="87" t="str">
        <f t="shared" si="81"/>
        <v>n.a.</v>
      </c>
      <c r="AH382" s="87">
        <f>INDEX(Auxiliar!$D$5:$I$10,MATCH('LISTA - Setembro2024'!AH$3,Auxiliar!$B$5:$B$10,0),MATCH('LISTA - Setembro2024'!$AG382,Auxiliar!$D$4:$I$4,0))</f>
        <v>0</v>
      </c>
      <c r="AI382" s="87">
        <f>INDEX(Auxiliar!$D$5:$I$10,MATCH('LISTA - Setembro2024'!AI$3,Auxiliar!$B$5:$B$10,0),MATCH('LISTA - Setembro2024'!$AC382,Auxiliar!$D$4:$I$4,0))</f>
        <v>0</v>
      </c>
      <c r="AJ382" s="87">
        <f>INDEX(Auxiliar!$D$5:$I$10,MATCH('LISTA - Setembro2024'!AJ$3,Auxiliar!$B$5:$B$10,0),MATCH('LISTA - Setembro2024'!$AC382,Auxiliar!$D$4:$I$4,0))</f>
        <v>0</v>
      </c>
      <c r="AK382" s="160">
        <f t="shared" si="83"/>
        <v>0</v>
      </c>
      <c r="AL382" s="87"/>
    </row>
    <row r="383" spans="1:38" s="20" customFormat="1" ht="13.8" x14ac:dyDescent="0.25">
      <c r="A383" s="158" t="s">
        <v>1002</v>
      </c>
      <c r="B383" s="81" t="str">
        <f t="shared" si="82"/>
        <v>INSTRUMENT_INTRBSNSS_ADJ_COD</v>
      </c>
      <c r="C383" s="82" t="s">
        <v>414</v>
      </c>
      <c r="D383" s="83" t="s">
        <v>1003</v>
      </c>
      <c r="E383" s="84" t="s">
        <v>1004</v>
      </c>
      <c r="F383" s="85" t="s">
        <v>11</v>
      </c>
      <c r="G383" s="85" t="s">
        <v>13</v>
      </c>
      <c r="H383" s="85" t="s">
        <v>11</v>
      </c>
      <c r="I383" s="85" t="s">
        <v>11</v>
      </c>
      <c r="J383" s="85" t="s">
        <v>11</v>
      </c>
      <c r="K383" s="85" t="s">
        <v>11</v>
      </c>
      <c r="L383" s="86" t="str">
        <f>IFERROR(VLOOKUP($B383,'LISTA - Atual'!$B$1:$I$444,5,0),"Novo")</f>
        <v>N</v>
      </c>
      <c r="M383" s="86" t="str">
        <f t="shared" si="87"/>
        <v>Igual</v>
      </c>
      <c r="N383" s="86" t="str">
        <f>IFERROR(VLOOKUP($B383,'LISTA - Atual'!$B$1:$I$444,6,0),"Novo")</f>
        <v>Y</v>
      </c>
      <c r="O383" s="86" t="str">
        <f t="shared" si="88"/>
        <v>Igual</v>
      </c>
      <c r="P383" s="86" t="str">
        <f>IFERROR(VLOOKUP($B383,'LISTA - Atual'!$B$1:$I$444,7,0),"Novo")</f>
        <v>N</v>
      </c>
      <c r="Q383" s="86" t="str">
        <f t="shared" si="89"/>
        <v>Igual</v>
      </c>
      <c r="R383" s="86" t="s">
        <v>1563</v>
      </c>
      <c r="S383" s="86" t="str">
        <f>IFERROR(VLOOKUP($B383,'LISTA - Atual'!$B$1:$I$444,8,0),"Novo")</f>
        <v>N</v>
      </c>
      <c r="T383" s="86" t="str">
        <f t="shared" si="90"/>
        <v>Igual</v>
      </c>
      <c r="U383" s="86" t="s">
        <v>1563</v>
      </c>
      <c r="V383" s="86" t="s">
        <v>11</v>
      </c>
      <c r="W383" s="87" t="str">
        <f>IFERROR(VLOOKUP(B383,#REF!,11,0),"n/a")</f>
        <v>n/a</v>
      </c>
      <c r="X383" s="87" t="str">
        <f>IFERROR(VLOOKUP(B383,#REF!,8,0),"n/a")</f>
        <v>n/a</v>
      </c>
      <c r="Y383" s="87" t="str">
        <f t="shared" si="91"/>
        <v>GD</v>
      </c>
      <c r="Z383" s="131" t="s">
        <v>1605</v>
      </c>
      <c r="AA383" s="227" t="e">
        <f>VLOOKUP(Table1[[#This Row],[CONCAT]],'Campos Resumo Prop2.0'!A:H,8,0)</f>
        <v>#N/A</v>
      </c>
      <c r="AB383" s="87" t="s">
        <v>1650</v>
      </c>
      <c r="AC383" s="137" t="s">
        <v>1625</v>
      </c>
      <c r="AD383" s="91">
        <f>INDEX(Auxiliar!$D$5:$I$10,MATCH('LISTA - Setembro2024'!AD$3,Auxiliar!$B$5:$B$10,0),MATCH('LISTA - Setembro2024'!$AC383,Auxiliar!$D$4:$I$4,0))</f>
        <v>0</v>
      </c>
      <c r="AE383" s="91">
        <f>INDEX(Auxiliar!$D$5:$I$10,MATCH('LISTA - Setembro2024'!AE$3,Auxiliar!$B$5:$B$10,0),MATCH('LISTA - Setembro2024'!$AC383,Auxiliar!$D$4:$I$4,0))</f>
        <v>0</v>
      </c>
      <c r="AF383" s="87">
        <f>INDEX(Auxiliar!$D$5:$I$10,MATCH('LISTA - Setembro2024'!AF$3,Auxiliar!$B$5:$B$10,0),MATCH('LISTA - Setembro2024'!$AC383,Auxiliar!$D$4:$I$4,0))</f>
        <v>0</v>
      </c>
      <c r="AG383" s="87" t="str">
        <f t="shared" si="81"/>
        <v>n.a.</v>
      </c>
      <c r="AH383" s="87">
        <f>INDEX(Auxiliar!$D$5:$I$10,MATCH('LISTA - Setembro2024'!AH$3,Auxiliar!$B$5:$B$10,0),MATCH('LISTA - Setembro2024'!$AG383,Auxiliar!$D$4:$I$4,0))</f>
        <v>0</v>
      </c>
      <c r="AI383" s="87">
        <f>INDEX(Auxiliar!$D$5:$I$10,MATCH('LISTA - Setembro2024'!AI$3,Auxiliar!$B$5:$B$10,0),MATCH('LISTA - Setembro2024'!$AC383,Auxiliar!$D$4:$I$4,0))</f>
        <v>0</v>
      </c>
      <c r="AJ383" s="87">
        <f>INDEX(Auxiliar!$D$5:$I$10,MATCH('LISTA - Setembro2024'!AJ$3,Auxiliar!$B$5:$B$10,0),MATCH('LISTA - Setembro2024'!$AC383,Auxiliar!$D$4:$I$4,0))</f>
        <v>0</v>
      </c>
      <c r="AK383" s="160">
        <f t="shared" si="83"/>
        <v>0</v>
      </c>
      <c r="AL383" s="161"/>
    </row>
    <row r="384" spans="1:38" ht="13.8" x14ac:dyDescent="0.25">
      <c r="A384" s="158" t="s">
        <v>1005</v>
      </c>
      <c r="B384" s="81" t="str">
        <f t="shared" si="82"/>
        <v>INSTRUMENT_COD_SOC_DSTNTN</v>
      </c>
      <c r="C384" s="82" t="s">
        <v>414</v>
      </c>
      <c r="D384" s="83" t="s">
        <v>1006</v>
      </c>
      <c r="E384" s="84" t="s">
        <v>1007</v>
      </c>
      <c r="F384" s="85" t="s">
        <v>11</v>
      </c>
      <c r="G384" s="85" t="s">
        <v>13</v>
      </c>
      <c r="H384" s="85" t="s">
        <v>11</v>
      </c>
      <c r="I384" s="85" t="s">
        <v>11</v>
      </c>
      <c r="J384" s="85" t="s">
        <v>11</v>
      </c>
      <c r="K384" s="85" t="s">
        <v>11</v>
      </c>
      <c r="L384" s="86" t="str">
        <f>IFERROR(VLOOKUP($B384,'LISTA - Atual'!$B$1:$I$444,5,0),"Novo")</f>
        <v>N</v>
      </c>
      <c r="M384" s="86" t="str">
        <f t="shared" si="87"/>
        <v>Igual</v>
      </c>
      <c r="N384" s="86" t="str">
        <f>IFERROR(VLOOKUP($B384,'LISTA - Atual'!$B$1:$I$444,6,0),"Novo")</f>
        <v>Y</v>
      </c>
      <c r="O384" s="86" t="str">
        <f t="shared" si="88"/>
        <v>Igual</v>
      </c>
      <c r="P384" s="86" t="str">
        <f>IFERROR(VLOOKUP($B384,'LISTA - Atual'!$B$1:$I$444,7,0),"Novo")</f>
        <v>N</v>
      </c>
      <c r="Q384" s="86" t="str">
        <f t="shared" si="89"/>
        <v>Igual</v>
      </c>
      <c r="R384" s="86" t="s">
        <v>1563</v>
      </c>
      <c r="S384" s="86" t="str">
        <f>IFERROR(VLOOKUP($B384,'LISTA - Atual'!$B$1:$I$444,8,0),"Novo")</f>
        <v>N</v>
      </c>
      <c r="T384" s="86" t="str">
        <f t="shared" si="90"/>
        <v>Igual</v>
      </c>
      <c r="U384" s="86" t="s">
        <v>1563</v>
      </c>
      <c r="V384" s="86" t="s">
        <v>11</v>
      </c>
      <c r="W384" s="87" t="str">
        <f>IFERROR(VLOOKUP(B384,#REF!,11,0),"n/a")</f>
        <v>n/a</v>
      </c>
      <c r="X384" s="87" t="str">
        <f>IFERROR(VLOOKUP(B384,#REF!,8,0),"n/a")</f>
        <v>n/a</v>
      </c>
      <c r="Y384" s="87" t="str">
        <f t="shared" si="91"/>
        <v>GD</v>
      </c>
      <c r="Z384" s="131" t="s">
        <v>1605</v>
      </c>
      <c r="AA384" s="227" t="e">
        <f>VLOOKUP(Table1[[#This Row],[CONCAT]],'Campos Resumo Prop2.0'!A:H,8,0)</f>
        <v>#N/A</v>
      </c>
      <c r="AB384" s="87" t="s">
        <v>1649</v>
      </c>
      <c r="AC384" s="137" t="s">
        <v>1625</v>
      </c>
      <c r="AD384" s="91">
        <f>INDEX(Auxiliar!$D$5:$I$10,MATCH('LISTA - Setembro2024'!AD$3,Auxiliar!$B$5:$B$10,0),MATCH('LISTA - Setembro2024'!$AC384,Auxiliar!$D$4:$I$4,0))</f>
        <v>0</v>
      </c>
      <c r="AE384" s="91">
        <f>INDEX(Auxiliar!$D$5:$I$10,MATCH('LISTA - Setembro2024'!AE$3,Auxiliar!$B$5:$B$10,0),MATCH('LISTA - Setembro2024'!$AC384,Auxiliar!$D$4:$I$4,0))</f>
        <v>0</v>
      </c>
      <c r="AF384" s="87">
        <f>INDEX(Auxiliar!$D$5:$I$10,MATCH('LISTA - Setembro2024'!AF$3,Auxiliar!$B$5:$B$10,0),MATCH('LISTA - Setembro2024'!$AC384,Auxiliar!$D$4:$I$4,0))</f>
        <v>0</v>
      </c>
      <c r="AG384" s="87" t="str">
        <f t="shared" si="81"/>
        <v>n.a.</v>
      </c>
      <c r="AH384" s="87">
        <f>INDEX(Auxiliar!$D$5:$I$10,MATCH('LISTA - Setembro2024'!AH$3,Auxiliar!$B$5:$B$10,0),MATCH('LISTA - Setembro2024'!$AG384,Auxiliar!$D$4:$I$4,0))</f>
        <v>0</v>
      </c>
      <c r="AI384" s="87">
        <f>INDEX(Auxiliar!$D$5:$I$10,MATCH('LISTA - Setembro2024'!AI$3,Auxiliar!$B$5:$B$10,0),MATCH('LISTA - Setembro2024'!$AC384,Auxiliar!$D$4:$I$4,0))</f>
        <v>0</v>
      </c>
      <c r="AJ384" s="87">
        <f>INDEX(Auxiliar!$D$5:$I$10,MATCH('LISTA - Setembro2024'!AJ$3,Auxiliar!$B$5:$B$10,0),MATCH('LISTA - Setembro2024'!$AC384,Auxiliar!$D$4:$I$4,0))</f>
        <v>0</v>
      </c>
      <c r="AK384" s="160">
        <f t="shared" si="83"/>
        <v>0</v>
      </c>
      <c r="AL384" s="87"/>
    </row>
    <row r="385" spans="1:38" ht="13.8" x14ac:dyDescent="0.25">
      <c r="A385" s="158" t="s">
        <v>1008</v>
      </c>
      <c r="B385" s="81" t="str">
        <f t="shared" si="82"/>
        <v>INSTRUMENT_BSNSS_AREA_DSTNTN</v>
      </c>
      <c r="C385" s="82" t="s">
        <v>414</v>
      </c>
      <c r="D385" s="83" t="s">
        <v>1009</v>
      </c>
      <c r="E385" s="84" t="s">
        <v>1010</v>
      </c>
      <c r="F385" s="85" t="s">
        <v>11</v>
      </c>
      <c r="G385" s="85" t="s">
        <v>13</v>
      </c>
      <c r="H385" s="85" t="s">
        <v>11</v>
      </c>
      <c r="I385" s="85" t="s">
        <v>11</v>
      </c>
      <c r="J385" s="85" t="s">
        <v>11</v>
      </c>
      <c r="K385" s="85" t="s">
        <v>11</v>
      </c>
      <c r="L385" s="86" t="str">
        <f>IFERROR(VLOOKUP($B385,'LISTA - Atual'!$B$1:$I$444,5,0),"Novo")</f>
        <v>N</v>
      </c>
      <c r="M385" s="86" t="str">
        <f t="shared" si="87"/>
        <v>Igual</v>
      </c>
      <c r="N385" s="86" t="str">
        <f>IFERROR(VLOOKUP($B385,'LISTA - Atual'!$B$1:$I$444,6,0),"Novo")</f>
        <v>Y</v>
      </c>
      <c r="O385" s="86" t="str">
        <f t="shared" si="88"/>
        <v>Igual</v>
      </c>
      <c r="P385" s="86" t="str">
        <f>IFERROR(VLOOKUP($B385,'LISTA - Atual'!$B$1:$I$444,7,0),"Novo")</f>
        <v>N</v>
      </c>
      <c r="Q385" s="86" t="str">
        <f t="shared" si="89"/>
        <v>Igual</v>
      </c>
      <c r="R385" s="86" t="s">
        <v>1563</v>
      </c>
      <c r="S385" s="86" t="str">
        <f>IFERROR(VLOOKUP($B385,'LISTA - Atual'!$B$1:$I$444,8,0),"Novo")</f>
        <v>N</v>
      </c>
      <c r="T385" s="86" t="str">
        <f t="shared" si="90"/>
        <v>Igual</v>
      </c>
      <c r="U385" s="86" t="s">
        <v>1563</v>
      </c>
      <c r="V385" s="86" t="s">
        <v>11</v>
      </c>
      <c r="W385" s="87" t="str">
        <f>IFERROR(VLOOKUP(B385,#REF!,11,0),"n/a")</f>
        <v>n/a</v>
      </c>
      <c r="X385" s="87" t="str">
        <f>IFERROR(VLOOKUP(B385,#REF!,8,0),"n/a")</f>
        <v>n/a</v>
      </c>
      <c r="Y385" s="87" t="str">
        <f t="shared" si="91"/>
        <v>GD</v>
      </c>
      <c r="Z385" s="131" t="s">
        <v>1605</v>
      </c>
      <c r="AA385" s="227" t="e">
        <f>VLOOKUP(Table1[[#This Row],[CONCAT]],'Campos Resumo Prop2.0'!A:H,8,0)</f>
        <v>#N/A</v>
      </c>
      <c r="AB385" s="87" t="s">
        <v>1650</v>
      </c>
      <c r="AC385" s="137" t="s">
        <v>1625</v>
      </c>
      <c r="AD385" s="91">
        <f>INDEX(Auxiliar!$D$5:$I$10,MATCH('LISTA - Setembro2024'!AD$3,Auxiliar!$B$5:$B$10,0),MATCH('LISTA - Setembro2024'!$AC385,Auxiliar!$D$4:$I$4,0))</f>
        <v>0</v>
      </c>
      <c r="AE385" s="91">
        <f>INDEX(Auxiliar!$D$5:$I$10,MATCH('LISTA - Setembro2024'!AE$3,Auxiliar!$B$5:$B$10,0),MATCH('LISTA - Setembro2024'!$AC385,Auxiliar!$D$4:$I$4,0))</f>
        <v>0</v>
      </c>
      <c r="AF385" s="87">
        <f>INDEX(Auxiliar!$D$5:$I$10,MATCH('LISTA - Setembro2024'!AF$3,Auxiliar!$B$5:$B$10,0),MATCH('LISTA - Setembro2024'!$AC385,Auxiliar!$D$4:$I$4,0))</f>
        <v>0</v>
      </c>
      <c r="AG385" s="87" t="str">
        <f t="shared" si="81"/>
        <v>n.a.</v>
      </c>
      <c r="AH385" s="87">
        <f>INDEX(Auxiliar!$D$5:$I$10,MATCH('LISTA - Setembro2024'!AH$3,Auxiliar!$B$5:$B$10,0),MATCH('LISTA - Setembro2024'!$AG385,Auxiliar!$D$4:$I$4,0))</f>
        <v>0</v>
      </c>
      <c r="AI385" s="87">
        <f>INDEX(Auxiliar!$D$5:$I$10,MATCH('LISTA - Setembro2024'!AI$3,Auxiliar!$B$5:$B$10,0),MATCH('LISTA - Setembro2024'!$AC385,Auxiliar!$D$4:$I$4,0))</f>
        <v>0</v>
      </c>
      <c r="AJ385" s="87">
        <f>INDEX(Auxiliar!$D$5:$I$10,MATCH('LISTA - Setembro2024'!AJ$3,Auxiliar!$B$5:$B$10,0),MATCH('LISTA - Setembro2024'!$AC385,Auxiliar!$D$4:$I$4,0))</f>
        <v>0</v>
      </c>
      <c r="AK385" s="160">
        <f t="shared" si="83"/>
        <v>0</v>
      </c>
      <c r="AL385" s="87"/>
    </row>
    <row r="386" spans="1:38" ht="13.8" x14ac:dyDescent="0.25">
      <c r="A386" s="158" t="s">
        <v>1011</v>
      </c>
      <c r="B386" s="81" t="str">
        <f t="shared" si="82"/>
        <v>INSTRUMENT_AVRG_BLNC_OFF_BLNC</v>
      </c>
      <c r="C386" s="82" t="s">
        <v>414</v>
      </c>
      <c r="D386" s="83" t="s">
        <v>1012</v>
      </c>
      <c r="E386" s="84" t="s">
        <v>1013</v>
      </c>
      <c r="F386" s="85" t="s">
        <v>11</v>
      </c>
      <c r="G386" s="85" t="s">
        <v>13</v>
      </c>
      <c r="H386" s="85" t="s">
        <v>11</v>
      </c>
      <c r="I386" s="85" t="s">
        <v>11</v>
      </c>
      <c r="J386" s="85" t="s">
        <v>11</v>
      </c>
      <c r="K386" s="85" t="s">
        <v>11</v>
      </c>
      <c r="L386" s="86" t="str">
        <f>IFERROR(VLOOKUP($B386,'LISTA - Atual'!$B$1:$I$444,5,0),"Novo")</f>
        <v>N</v>
      </c>
      <c r="M386" s="86" t="str">
        <f t="shared" si="87"/>
        <v>Igual</v>
      </c>
      <c r="N386" s="86" t="str">
        <f>IFERROR(VLOOKUP($B386,'LISTA - Atual'!$B$1:$I$444,6,0),"Novo")</f>
        <v>Y</v>
      </c>
      <c r="O386" s="86" t="str">
        <f t="shared" si="88"/>
        <v>Igual</v>
      </c>
      <c r="P386" s="86" t="str">
        <f>IFERROR(VLOOKUP($B386,'LISTA - Atual'!$B$1:$I$444,7,0),"Novo")</f>
        <v>N</v>
      </c>
      <c r="Q386" s="86" t="str">
        <f t="shared" si="89"/>
        <v>Igual</v>
      </c>
      <c r="R386" s="86" t="s">
        <v>1563</v>
      </c>
      <c r="S386" s="86" t="str">
        <f>IFERROR(VLOOKUP($B386,'LISTA - Atual'!$B$1:$I$444,8,0),"Novo")</f>
        <v>N</v>
      </c>
      <c r="T386" s="86" t="str">
        <f t="shared" si="90"/>
        <v>Igual</v>
      </c>
      <c r="U386" s="86" t="s">
        <v>1563</v>
      </c>
      <c r="V386" s="86" t="s">
        <v>11</v>
      </c>
      <c r="W386" s="87" t="str">
        <f>IFERROR(VLOOKUP(B386,#REF!,11,0),"n/a")</f>
        <v>n/a</v>
      </c>
      <c r="X386" s="87" t="str">
        <f>IFERROR(VLOOKUP(B386,#REF!,8,0),"n/a")</f>
        <v>n/a</v>
      </c>
      <c r="Y386" s="87" t="str">
        <f t="shared" si="91"/>
        <v>GD</v>
      </c>
      <c r="Z386" s="131" t="s">
        <v>1605</v>
      </c>
      <c r="AA386" s="227" t="e">
        <f>VLOOKUP(Table1[[#This Row],[CONCAT]],'Campos Resumo Prop2.0'!A:H,8,0)</f>
        <v>#N/A</v>
      </c>
      <c r="AB386" s="87" t="s">
        <v>1655</v>
      </c>
      <c r="AC386" s="137" t="s">
        <v>1625</v>
      </c>
      <c r="AD386" s="91">
        <f>INDEX(Auxiliar!$D$5:$I$10,MATCH('LISTA - Setembro2024'!AD$3,Auxiliar!$B$5:$B$10,0),MATCH('LISTA - Setembro2024'!$AC386,Auxiliar!$D$4:$I$4,0))</f>
        <v>0</v>
      </c>
      <c r="AE386" s="91">
        <f>INDEX(Auxiliar!$D$5:$I$10,MATCH('LISTA - Setembro2024'!AE$3,Auxiliar!$B$5:$B$10,0),MATCH('LISTA - Setembro2024'!$AC386,Auxiliar!$D$4:$I$4,0))</f>
        <v>0</v>
      </c>
      <c r="AF386" s="87">
        <f>INDEX(Auxiliar!$D$5:$I$10,MATCH('LISTA - Setembro2024'!AF$3,Auxiliar!$B$5:$B$10,0),MATCH('LISTA - Setembro2024'!$AC386,Auxiliar!$D$4:$I$4,0))</f>
        <v>0</v>
      </c>
      <c r="AG386" s="87" t="str">
        <f t="shared" si="81"/>
        <v>n.a.</v>
      </c>
      <c r="AH386" s="87">
        <f>INDEX(Auxiliar!$D$5:$I$10,MATCH('LISTA - Setembro2024'!AH$3,Auxiliar!$B$5:$B$10,0),MATCH('LISTA - Setembro2024'!$AG386,Auxiliar!$D$4:$I$4,0))</f>
        <v>0</v>
      </c>
      <c r="AI386" s="87">
        <f>INDEX(Auxiliar!$D$5:$I$10,MATCH('LISTA - Setembro2024'!AI$3,Auxiliar!$B$5:$B$10,0),MATCH('LISTA - Setembro2024'!$AC386,Auxiliar!$D$4:$I$4,0))</f>
        <v>0</v>
      </c>
      <c r="AJ386" s="87">
        <f>INDEX(Auxiliar!$D$5:$I$10,MATCH('LISTA - Setembro2024'!AJ$3,Auxiliar!$B$5:$B$10,0),MATCH('LISTA - Setembro2024'!$AC386,Auxiliar!$D$4:$I$4,0))</f>
        <v>0</v>
      </c>
      <c r="AK386" s="160">
        <f t="shared" si="83"/>
        <v>0</v>
      </c>
      <c r="AL386" s="87"/>
    </row>
    <row r="387" spans="1:38" ht="13.8" x14ac:dyDescent="0.25">
      <c r="A387" s="158" t="s">
        <v>1014</v>
      </c>
      <c r="B387" s="81" t="str">
        <f t="shared" si="82"/>
        <v>INSTRUMENT_INTRNL_TRNSFR_RT_OFF_BLNC</v>
      </c>
      <c r="C387" s="82" t="s">
        <v>414</v>
      </c>
      <c r="D387" s="83" t="s">
        <v>1015</v>
      </c>
      <c r="E387" s="84" t="s">
        <v>1016</v>
      </c>
      <c r="F387" s="85" t="s">
        <v>11</v>
      </c>
      <c r="G387" s="85" t="s">
        <v>13</v>
      </c>
      <c r="H387" s="85" t="s">
        <v>11</v>
      </c>
      <c r="I387" s="85" t="s">
        <v>11</v>
      </c>
      <c r="J387" s="85" t="s">
        <v>11</v>
      </c>
      <c r="K387" s="85" t="s">
        <v>11</v>
      </c>
      <c r="L387" s="86" t="str">
        <f>IFERROR(VLOOKUP($B387,'LISTA - Atual'!$B$1:$I$444,5,0),"Novo")</f>
        <v>N</v>
      </c>
      <c r="M387" s="86" t="str">
        <f t="shared" si="87"/>
        <v>Igual</v>
      </c>
      <c r="N387" s="86" t="str">
        <f>IFERROR(VLOOKUP($B387,'LISTA - Atual'!$B$1:$I$444,6,0),"Novo")</f>
        <v>Y</v>
      </c>
      <c r="O387" s="86" t="str">
        <f t="shared" si="88"/>
        <v>Igual</v>
      </c>
      <c r="P387" s="86" t="str">
        <f>IFERROR(VLOOKUP($B387,'LISTA - Atual'!$B$1:$I$444,7,0),"Novo")</f>
        <v>N</v>
      </c>
      <c r="Q387" s="86" t="str">
        <f t="shared" si="89"/>
        <v>Igual</v>
      </c>
      <c r="R387" s="86" t="s">
        <v>1563</v>
      </c>
      <c r="S387" s="86" t="str">
        <f>IFERROR(VLOOKUP($B387,'LISTA - Atual'!$B$1:$I$444,8,0),"Novo")</f>
        <v>N</v>
      </c>
      <c r="T387" s="86" t="str">
        <f t="shared" si="90"/>
        <v>Igual</v>
      </c>
      <c r="U387" s="86" t="s">
        <v>1563</v>
      </c>
      <c r="V387" s="86" t="s">
        <v>11</v>
      </c>
      <c r="W387" s="87" t="str">
        <f>IFERROR(VLOOKUP(B387,#REF!,11,0),"n/a")</f>
        <v>n/a</v>
      </c>
      <c r="X387" s="87" t="str">
        <f>IFERROR(VLOOKUP(B387,#REF!,8,0),"n/a")</f>
        <v>n/a</v>
      </c>
      <c r="Y387" s="87" t="str">
        <f t="shared" si="91"/>
        <v>GD</v>
      </c>
      <c r="Z387" s="131" t="s">
        <v>1605</v>
      </c>
      <c r="AA387" s="227" t="e">
        <f>VLOOKUP(Table1[[#This Row],[CONCAT]],'Campos Resumo Prop2.0'!A:H,8,0)</f>
        <v>#N/A</v>
      </c>
      <c r="AB387" s="87" t="s">
        <v>1655</v>
      </c>
      <c r="AC387" s="137" t="s">
        <v>1625</v>
      </c>
      <c r="AD387" s="91">
        <f>INDEX(Auxiliar!$D$5:$I$10,MATCH('LISTA - Setembro2024'!AD$3,Auxiliar!$B$5:$B$10,0),MATCH('LISTA - Setembro2024'!$AC387,Auxiliar!$D$4:$I$4,0))</f>
        <v>0</v>
      </c>
      <c r="AE387" s="91">
        <f>INDEX(Auxiliar!$D$5:$I$10,MATCH('LISTA - Setembro2024'!AE$3,Auxiliar!$B$5:$B$10,0),MATCH('LISTA - Setembro2024'!$AC387,Auxiliar!$D$4:$I$4,0))</f>
        <v>0</v>
      </c>
      <c r="AF387" s="87">
        <f>INDEX(Auxiliar!$D$5:$I$10,MATCH('LISTA - Setembro2024'!AF$3,Auxiliar!$B$5:$B$10,0),MATCH('LISTA - Setembro2024'!$AC387,Auxiliar!$D$4:$I$4,0))</f>
        <v>0</v>
      </c>
      <c r="AG387" s="87" t="str">
        <f t="shared" si="81"/>
        <v>n.a.</v>
      </c>
      <c r="AH387" s="87">
        <f>INDEX(Auxiliar!$D$5:$I$10,MATCH('LISTA - Setembro2024'!AH$3,Auxiliar!$B$5:$B$10,0),MATCH('LISTA - Setembro2024'!$AG387,Auxiliar!$D$4:$I$4,0))</f>
        <v>0</v>
      </c>
      <c r="AI387" s="87">
        <f>INDEX(Auxiliar!$D$5:$I$10,MATCH('LISTA - Setembro2024'!AI$3,Auxiliar!$B$5:$B$10,0),MATCH('LISTA - Setembro2024'!$AC387,Auxiliar!$D$4:$I$4,0))</f>
        <v>0</v>
      </c>
      <c r="AJ387" s="87">
        <f>INDEX(Auxiliar!$D$5:$I$10,MATCH('LISTA - Setembro2024'!AJ$3,Auxiliar!$B$5:$B$10,0),MATCH('LISTA - Setembro2024'!$AC387,Auxiliar!$D$4:$I$4,0))</f>
        <v>0</v>
      </c>
      <c r="AK387" s="160">
        <f t="shared" si="83"/>
        <v>0</v>
      </c>
      <c r="AL387" s="87"/>
    </row>
    <row r="388" spans="1:38" ht="13.8" x14ac:dyDescent="0.25">
      <c r="A388" s="158" t="s">
        <v>1017</v>
      </c>
      <c r="B388" s="81" t="str">
        <f t="shared" si="82"/>
        <v>INSTRUMENT_GRSS_CMMSSN_INCM_OFF_BLNC</v>
      </c>
      <c r="C388" s="82" t="s">
        <v>414</v>
      </c>
      <c r="D388" s="83" t="s">
        <v>1018</v>
      </c>
      <c r="E388" s="84" t="s">
        <v>1019</v>
      </c>
      <c r="F388" s="85" t="s">
        <v>11</v>
      </c>
      <c r="G388" s="85" t="s">
        <v>13</v>
      </c>
      <c r="H388" s="85" t="s">
        <v>13</v>
      </c>
      <c r="I388" s="85" t="s">
        <v>11</v>
      </c>
      <c r="J388" s="85" t="s">
        <v>11</v>
      </c>
      <c r="K388" s="85" t="s">
        <v>11</v>
      </c>
      <c r="L388" s="86" t="str">
        <f>IFERROR(VLOOKUP($B388,'LISTA - Atual'!$B$1:$I$444,5,0),"Novo")</f>
        <v>N</v>
      </c>
      <c r="M388" s="86" t="str">
        <f t="shared" si="87"/>
        <v>Igual</v>
      </c>
      <c r="N388" s="86" t="str">
        <f>IFERROR(VLOOKUP($B388,'LISTA - Atual'!$B$1:$I$444,6,0),"Novo")</f>
        <v>Y</v>
      </c>
      <c r="O388" s="86" t="str">
        <f t="shared" si="88"/>
        <v>Igual</v>
      </c>
      <c r="P388" s="86" t="str">
        <f>IFERROR(VLOOKUP($B388,'LISTA - Atual'!$B$1:$I$444,7,0),"Novo")</f>
        <v>Y</v>
      </c>
      <c r="Q388" s="86" t="str">
        <f t="shared" si="89"/>
        <v>Igual</v>
      </c>
      <c r="R388" s="86" t="s">
        <v>1563</v>
      </c>
      <c r="S388" s="86" t="str">
        <f>IFERROR(VLOOKUP($B388,'LISTA - Atual'!$B$1:$I$444,8,0),"Novo")</f>
        <v>N</v>
      </c>
      <c r="T388" s="86" t="str">
        <f t="shared" si="90"/>
        <v>Igual</v>
      </c>
      <c r="U388" s="86" t="s">
        <v>1563</v>
      </c>
      <c r="V388" s="86" t="s">
        <v>11</v>
      </c>
      <c r="W388" s="87" t="str">
        <f>IFERROR(VLOOKUP(B388,#REF!,11,0),"n/a")</f>
        <v>n/a</v>
      </c>
      <c r="X388" s="87" t="str">
        <f>IFERROR(VLOOKUP(B388,#REF!,8,0),"n/a")</f>
        <v>n/a</v>
      </c>
      <c r="Y388" s="87" t="str">
        <f>$G$2&amp;$Y$1&amp;$H$2</f>
        <v>GD &amp; PILAR3</v>
      </c>
      <c r="Z388" s="131" t="s">
        <v>1605</v>
      </c>
      <c r="AA388" s="227" t="e">
        <f>VLOOKUP(Table1[[#This Row],[CONCAT]],'Campos Resumo Prop2.0'!A:H,8,0)</f>
        <v>#N/A</v>
      </c>
      <c r="AB388" s="87" t="s">
        <v>1655</v>
      </c>
      <c r="AC388" s="137" t="s">
        <v>1625</v>
      </c>
      <c r="AD388" s="91">
        <f>INDEX(Auxiliar!$D$5:$I$10,MATCH('LISTA - Setembro2024'!AD$3,Auxiliar!$B$5:$B$10,0),MATCH('LISTA - Setembro2024'!$AC388,Auxiliar!$D$4:$I$4,0))</f>
        <v>0</v>
      </c>
      <c r="AE388" s="91">
        <f>INDEX(Auxiliar!$D$5:$I$10,MATCH('LISTA - Setembro2024'!AE$3,Auxiliar!$B$5:$B$10,0),MATCH('LISTA - Setembro2024'!$AC388,Auxiliar!$D$4:$I$4,0))</f>
        <v>0</v>
      </c>
      <c r="AF388" s="87">
        <f>INDEX(Auxiliar!$D$5:$I$10,MATCH('LISTA - Setembro2024'!AF$3,Auxiliar!$B$5:$B$10,0),MATCH('LISTA - Setembro2024'!$AC388,Auxiliar!$D$4:$I$4,0))</f>
        <v>0</v>
      </c>
      <c r="AG388" s="87" t="str">
        <f t="shared" ref="AG388:AG451" si="92">IF(OR(AB388="Code List",AB388="Y, N"),AC388,"n.a.")</f>
        <v>n.a.</v>
      </c>
      <c r="AH388" s="87">
        <f>INDEX(Auxiliar!$D$5:$I$10,MATCH('LISTA - Setembro2024'!AH$3,Auxiliar!$B$5:$B$10,0),MATCH('LISTA - Setembro2024'!$AG388,Auxiliar!$D$4:$I$4,0))</f>
        <v>0</v>
      </c>
      <c r="AI388" s="87">
        <f>INDEX(Auxiliar!$D$5:$I$10,MATCH('LISTA - Setembro2024'!AI$3,Auxiliar!$B$5:$B$10,0),MATCH('LISTA - Setembro2024'!$AC388,Auxiliar!$D$4:$I$4,0))</f>
        <v>0</v>
      </c>
      <c r="AJ388" s="87">
        <f>INDEX(Auxiliar!$D$5:$I$10,MATCH('LISTA - Setembro2024'!AJ$3,Auxiliar!$B$5:$B$10,0),MATCH('LISTA - Setembro2024'!$AC388,Auxiliar!$D$4:$I$4,0))</f>
        <v>0</v>
      </c>
      <c r="AK388" s="160">
        <f t="shared" si="83"/>
        <v>0</v>
      </c>
      <c r="AL388" s="87"/>
    </row>
    <row r="389" spans="1:38" ht="13.8" x14ac:dyDescent="0.25">
      <c r="A389" s="158" t="s">
        <v>1020</v>
      </c>
      <c r="B389" s="81" t="str">
        <f t="shared" ref="B389:B452" si="93">C389&amp;"_"&amp;D389</f>
        <v>INSTRUMENT_GRSS_CMMSSN_EXPNS_OFF_BLNC</v>
      </c>
      <c r="C389" s="82" t="s">
        <v>414</v>
      </c>
      <c r="D389" s="83" t="s">
        <v>1021</v>
      </c>
      <c r="E389" s="84" t="s">
        <v>1022</v>
      </c>
      <c r="F389" s="85" t="s">
        <v>11</v>
      </c>
      <c r="G389" s="85" t="s">
        <v>13</v>
      </c>
      <c r="H389" s="85" t="s">
        <v>11</v>
      </c>
      <c r="I389" s="85" t="s">
        <v>11</v>
      </c>
      <c r="J389" s="85" t="s">
        <v>11</v>
      </c>
      <c r="K389" s="85" t="s">
        <v>11</v>
      </c>
      <c r="L389" s="86" t="str">
        <f>IFERROR(VLOOKUP($B389,'LISTA - Atual'!$B$1:$I$444,5,0),"Novo")</f>
        <v>N</v>
      </c>
      <c r="M389" s="86" t="str">
        <f t="shared" si="87"/>
        <v>Igual</v>
      </c>
      <c r="N389" s="86" t="str">
        <f>IFERROR(VLOOKUP($B389,'LISTA - Atual'!$B$1:$I$444,6,0),"Novo")</f>
        <v>Y</v>
      </c>
      <c r="O389" s="86" t="str">
        <f t="shared" si="88"/>
        <v>Igual</v>
      </c>
      <c r="P389" s="86" t="str">
        <f>IFERROR(VLOOKUP($B389,'LISTA - Atual'!$B$1:$I$444,7,0),"Novo")</f>
        <v>N</v>
      </c>
      <c r="Q389" s="86" t="str">
        <f t="shared" si="89"/>
        <v>Igual</v>
      </c>
      <c r="R389" s="86" t="s">
        <v>1563</v>
      </c>
      <c r="S389" s="86" t="str">
        <f>IFERROR(VLOOKUP($B389,'LISTA - Atual'!$B$1:$I$444,8,0),"Novo")</f>
        <v>N</v>
      </c>
      <c r="T389" s="86" t="str">
        <f t="shared" si="90"/>
        <v>Igual</v>
      </c>
      <c r="U389" s="86" t="s">
        <v>1563</v>
      </c>
      <c r="V389" s="86" t="s">
        <v>11</v>
      </c>
      <c r="W389" s="87" t="str">
        <f>IFERROR(VLOOKUP(B389,#REF!,11,0),"n/a")</f>
        <v>n/a</v>
      </c>
      <c r="X389" s="87" t="str">
        <f>IFERROR(VLOOKUP(B389,#REF!,8,0),"n/a")</f>
        <v>n/a</v>
      </c>
      <c r="Y389" s="87" t="str">
        <f t="shared" ref="Y389:Y400" si="94">$G$2</f>
        <v>GD</v>
      </c>
      <c r="Z389" s="131" t="s">
        <v>1605</v>
      </c>
      <c r="AA389" s="227" t="e">
        <f>VLOOKUP(Table1[[#This Row],[CONCAT]],'Campos Resumo Prop2.0'!A:H,8,0)</f>
        <v>#N/A</v>
      </c>
      <c r="AB389" s="87" t="s">
        <v>1655</v>
      </c>
      <c r="AC389" s="137" t="s">
        <v>1625</v>
      </c>
      <c r="AD389" s="91">
        <f>INDEX(Auxiliar!$D$5:$I$10,MATCH('LISTA - Setembro2024'!AD$3,Auxiliar!$B$5:$B$10,0),MATCH('LISTA - Setembro2024'!$AC389,Auxiliar!$D$4:$I$4,0))</f>
        <v>0</v>
      </c>
      <c r="AE389" s="91">
        <f>INDEX(Auxiliar!$D$5:$I$10,MATCH('LISTA - Setembro2024'!AE$3,Auxiliar!$B$5:$B$10,0),MATCH('LISTA - Setembro2024'!$AC389,Auxiliar!$D$4:$I$4,0))</f>
        <v>0</v>
      </c>
      <c r="AF389" s="87">
        <f>INDEX(Auxiliar!$D$5:$I$10,MATCH('LISTA - Setembro2024'!AF$3,Auxiliar!$B$5:$B$10,0),MATCH('LISTA - Setembro2024'!$AC389,Auxiliar!$D$4:$I$4,0))</f>
        <v>0</v>
      </c>
      <c r="AG389" s="87" t="str">
        <f t="shared" si="92"/>
        <v>n.a.</v>
      </c>
      <c r="AH389" s="87">
        <f>INDEX(Auxiliar!$D$5:$I$10,MATCH('LISTA - Setembro2024'!AH$3,Auxiliar!$B$5:$B$10,0),MATCH('LISTA - Setembro2024'!$AG389,Auxiliar!$D$4:$I$4,0))</f>
        <v>0</v>
      </c>
      <c r="AI389" s="87">
        <f>INDEX(Auxiliar!$D$5:$I$10,MATCH('LISTA - Setembro2024'!AI$3,Auxiliar!$B$5:$B$10,0),MATCH('LISTA - Setembro2024'!$AC389,Auxiliar!$D$4:$I$4,0))</f>
        <v>0</v>
      </c>
      <c r="AJ389" s="87">
        <f>INDEX(Auxiliar!$D$5:$I$10,MATCH('LISTA - Setembro2024'!AJ$3,Auxiliar!$B$5:$B$10,0),MATCH('LISTA - Setembro2024'!$AC389,Auxiliar!$D$4:$I$4,0))</f>
        <v>0</v>
      </c>
      <c r="AK389" s="160">
        <f t="shared" si="83"/>
        <v>0</v>
      </c>
      <c r="AL389" s="87"/>
    </row>
    <row r="390" spans="1:38" ht="13.8" x14ac:dyDescent="0.25">
      <c r="A390" s="158" t="s">
        <v>1023</v>
      </c>
      <c r="B390" s="81" t="str">
        <f t="shared" si="93"/>
        <v>INSTRUMENT_RWA_OFF_BLNC</v>
      </c>
      <c r="C390" s="82" t="s">
        <v>414</v>
      </c>
      <c r="D390" s="83" t="s">
        <v>1024</v>
      </c>
      <c r="E390" s="84" t="s">
        <v>1025</v>
      </c>
      <c r="F390" s="85" t="s">
        <v>11</v>
      </c>
      <c r="G390" s="85" t="s">
        <v>13</v>
      </c>
      <c r="H390" s="85" t="s">
        <v>11</v>
      </c>
      <c r="I390" s="85" t="s">
        <v>11</v>
      </c>
      <c r="J390" s="85" t="s">
        <v>11</v>
      </c>
      <c r="K390" s="85" t="s">
        <v>11</v>
      </c>
      <c r="L390" s="86" t="str">
        <f>IFERROR(VLOOKUP($B390,'LISTA - Atual'!$B$1:$I$444,5,0),"Novo")</f>
        <v>N</v>
      </c>
      <c r="M390" s="86" t="str">
        <f t="shared" si="87"/>
        <v>Igual</v>
      </c>
      <c r="N390" s="86" t="str">
        <f>IFERROR(VLOOKUP($B390,'LISTA - Atual'!$B$1:$I$444,6,0),"Novo")</f>
        <v>Y</v>
      </c>
      <c r="O390" s="86" t="str">
        <f t="shared" si="88"/>
        <v>Igual</v>
      </c>
      <c r="P390" s="86" t="str">
        <f>IFERROR(VLOOKUP($B390,'LISTA - Atual'!$B$1:$I$444,7,0),"Novo")</f>
        <v>N</v>
      </c>
      <c r="Q390" s="86" t="str">
        <f t="shared" si="89"/>
        <v>Igual</v>
      </c>
      <c r="R390" s="86" t="s">
        <v>1563</v>
      </c>
      <c r="S390" s="86" t="str">
        <f>IFERROR(VLOOKUP($B390,'LISTA - Atual'!$B$1:$I$444,8,0),"Novo")</f>
        <v>N</v>
      </c>
      <c r="T390" s="86" t="str">
        <f t="shared" si="90"/>
        <v>Igual</v>
      </c>
      <c r="U390" s="86" t="s">
        <v>1563</v>
      </c>
      <c r="V390" s="86" t="s">
        <v>11</v>
      </c>
      <c r="W390" s="87" t="str">
        <f>IFERROR(VLOOKUP(B390,#REF!,11,0),"n/a")</f>
        <v>n/a</v>
      </c>
      <c r="X390" s="87" t="str">
        <f>IFERROR(VLOOKUP(B390,#REF!,8,0),"n/a")</f>
        <v>n/a</v>
      </c>
      <c r="Y390" s="87" t="str">
        <f t="shared" si="94"/>
        <v>GD</v>
      </c>
      <c r="Z390" s="131" t="s">
        <v>1605</v>
      </c>
      <c r="AA390" s="227" t="e">
        <f>VLOOKUP(Table1[[#This Row],[CONCAT]],'Campos Resumo Prop2.0'!A:H,8,0)</f>
        <v>#N/A</v>
      </c>
      <c r="AB390" s="87" t="s">
        <v>1655</v>
      </c>
      <c r="AC390" s="137" t="s">
        <v>1625</v>
      </c>
      <c r="AD390" s="91">
        <f>INDEX(Auxiliar!$D$5:$I$10,MATCH('LISTA - Setembro2024'!AD$3,Auxiliar!$B$5:$B$10,0),MATCH('LISTA - Setembro2024'!$AC390,Auxiliar!$D$4:$I$4,0))</f>
        <v>0</v>
      </c>
      <c r="AE390" s="91">
        <f>INDEX(Auxiliar!$D$5:$I$10,MATCH('LISTA - Setembro2024'!AE$3,Auxiliar!$B$5:$B$10,0),MATCH('LISTA - Setembro2024'!$AC390,Auxiliar!$D$4:$I$4,0))</f>
        <v>0</v>
      </c>
      <c r="AF390" s="87">
        <f>INDEX(Auxiliar!$D$5:$I$10,MATCH('LISTA - Setembro2024'!AF$3,Auxiliar!$B$5:$B$10,0),MATCH('LISTA - Setembro2024'!$AC390,Auxiliar!$D$4:$I$4,0))</f>
        <v>0</v>
      </c>
      <c r="AG390" s="87" t="str">
        <f t="shared" si="92"/>
        <v>n.a.</v>
      </c>
      <c r="AH390" s="87">
        <f>INDEX(Auxiliar!$D$5:$I$10,MATCH('LISTA - Setembro2024'!AH$3,Auxiliar!$B$5:$B$10,0),MATCH('LISTA - Setembro2024'!$AG390,Auxiliar!$D$4:$I$4,0))</f>
        <v>0</v>
      </c>
      <c r="AI390" s="87">
        <f>INDEX(Auxiliar!$D$5:$I$10,MATCH('LISTA - Setembro2024'!AI$3,Auxiliar!$B$5:$B$10,0),MATCH('LISTA - Setembro2024'!$AC390,Auxiliar!$D$4:$I$4,0))</f>
        <v>0</v>
      </c>
      <c r="AJ390" s="87">
        <f>INDEX(Auxiliar!$D$5:$I$10,MATCH('LISTA - Setembro2024'!AJ$3,Auxiliar!$B$5:$B$10,0),MATCH('LISTA - Setembro2024'!$AC390,Auxiliar!$D$4:$I$4,0))</f>
        <v>0</v>
      </c>
      <c r="AK390" s="160">
        <f t="shared" ref="AK390:AK453" si="95">SUM(AF390,AH390:AJ390)</f>
        <v>0</v>
      </c>
      <c r="AL390" s="87"/>
    </row>
    <row r="391" spans="1:38" ht="13.8" x14ac:dyDescent="0.25">
      <c r="A391" s="158" t="s">
        <v>1026</v>
      </c>
      <c r="B391" s="81" t="str">
        <f t="shared" si="93"/>
        <v>INSTRUMENT_GRSS_INTRST_EXPNS</v>
      </c>
      <c r="C391" s="82" t="s">
        <v>414</v>
      </c>
      <c r="D391" s="83" t="s">
        <v>1027</v>
      </c>
      <c r="E391" s="84" t="s">
        <v>1028</v>
      </c>
      <c r="F391" s="85" t="s">
        <v>11</v>
      </c>
      <c r="G391" s="85" t="s">
        <v>13</v>
      </c>
      <c r="H391" s="85" t="s">
        <v>11</v>
      </c>
      <c r="I391" s="85" t="s">
        <v>11</v>
      </c>
      <c r="J391" s="85" t="s">
        <v>11</v>
      </c>
      <c r="K391" s="85" t="s">
        <v>11</v>
      </c>
      <c r="L391" s="86" t="str">
        <f>IFERROR(VLOOKUP($B391,'LISTA - Atual'!$B$1:$I$444,5,0),"Novo")</f>
        <v>N</v>
      </c>
      <c r="M391" s="86" t="str">
        <f t="shared" si="87"/>
        <v>Igual</v>
      </c>
      <c r="N391" s="86" t="str">
        <f>IFERROR(VLOOKUP($B391,'LISTA - Atual'!$B$1:$I$444,6,0),"Novo")</f>
        <v>Y</v>
      </c>
      <c r="O391" s="86" t="str">
        <f t="shared" si="88"/>
        <v>Igual</v>
      </c>
      <c r="P391" s="86" t="str">
        <f>IFERROR(VLOOKUP($B391,'LISTA - Atual'!$B$1:$I$444,7,0),"Novo")</f>
        <v>N</v>
      </c>
      <c r="Q391" s="86" t="str">
        <f t="shared" si="89"/>
        <v>Igual</v>
      </c>
      <c r="R391" s="86" t="s">
        <v>1563</v>
      </c>
      <c r="S391" s="86" t="str">
        <f>IFERROR(VLOOKUP($B391,'LISTA - Atual'!$B$1:$I$444,8,0),"Novo")</f>
        <v>N</v>
      </c>
      <c r="T391" s="86" t="str">
        <f t="shared" si="90"/>
        <v>Igual</v>
      </c>
      <c r="U391" s="86" t="s">
        <v>1563</v>
      </c>
      <c r="V391" s="86" t="s">
        <v>11</v>
      </c>
      <c r="W391" s="87" t="str">
        <f>IFERROR(VLOOKUP(B391,#REF!,11,0),"n/a")</f>
        <v>n/a</v>
      </c>
      <c r="X391" s="87" t="str">
        <f>IFERROR(VLOOKUP(B391,#REF!,8,0),"n/a")</f>
        <v>n/a</v>
      </c>
      <c r="Y391" s="87" t="str">
        <f t="shared" si="94"/>
        <v>GD</v>
      </c>
      <c r="Z391" s="131" t="s">
        <v>1605</v>
      </c>
      <c r="AA391" s="227" t="e">
        <f>VLOOKUP(Table1[[#This Row],[CONCAT]],'Campos Resumo Prop2.0'!A:H,8,0)</f>
        <v>#N/A</v>
      </c>
      <c r="AB391" s="87" t="s">
        <v>1655</v>
      </c>
      <c r="AC391" s="137" t="s">
        <v>1625</v>
      </c>
      <c r="AD391" s="91">
        <f>INDEX(Auxiliar!$D$5:$I$10,MATCH('LISTA - Setembro2024'!AD$3,Auxiliar!$B$5:$B$10,0),MATCH('LISTA - Setembro2024'!$AC391,Auxiliar!$D$4:$I$4,0))</f>
        <v>0</v>
      </c>
      <c r="AE391" s="91">
        <f>INDEX(Auxiliar!$D$5:$I$10,MATCH('LISTA - Setembro2024'!AE$3,Auxiliar!$B$5:$B$10,0),MATCH('LISTA - Setembro2024'!$AC391,Auxiliar!$D$4:$I$4,0))</f>
        <v>0</v>
      </c>
      <c r="AF391" s="87">
        <f>INDEX(Auxiliar!$D$5:$I$10,MATCH('LISTA - Setembro2024'!AF$3,Auxiliar!$B$5:$B$10,0),MATCH('LISTA - Setembro2024'!$AC391,Auxiliar!$D$4:$I$4,0))</f>
        <v>0</v>
      </c>
      <c r="AG391" s="87" t="str">
        <f t="shared" si="92"/>
        <v>n.a.</v>
      </c>
      <c r="AH391" s="87">
        <f>INDEX(Auxiliar!$D$5:$I$10,MATCH('LISTA - Setembro2024'!AH$3,Auxiliar!$B$5:$B$10,0),MATCH('LISTA - Setembro2024'!$AG391,Auxiliar!$D$4:$I$4,0))</f>
        <v>0</v>
      </c>
      <c r="AI391" s="87">
        <f>INDEX(Auxiliar!$D$5:$I$10,MATCH('LISTA - Setembro2024'!AI$3,Auxiliar!$B$5:$B$10,0),MATCH('LISTA - Setembro2024'!$AC391,Auxiliar!$D$4:$I$4,0))</f>
        <v>0</v>
      </c>
      <c r="AJ391" s="87">
        <f>INDEX(Auxiliar!$D$5:$I$10,MATCH('LISTA - Setembro2024'!AJ$3,Auxiliar!$B$5:$B$10,0),MATCH('LISTA - Setembro2024'!$AC391,Auxiliar!$D$4:$I$4,0))</f>
        <v>0</v>
      </c>
      <c r="AK391" s="160">
        <f t="shared" si="95"/>
        <v>0</v>
      </c>
      <c r="AL391" s="87"/>
    </row>
    <row r="392" spans="1:38" ht="13.8" x14ac:dyDescent="0.25">
      <c r="A392" s="158" t="s">
        <v>1029</v>
      </c>
      <c r="B392" s="81" t="str">
        <f t="shared" si="93"/>
        <v>INSTRUMENT_NT_LN_LSS_PRVSN_OFF_BLNC</v>
      </c>
      <c r="C392" s="82" t="s">
        <v>414</v>
      </c>
      <c r="D392" s="83" t="s">
        <v>1030</v>
      </c>
      <c r="E392" s="84" t="s">
        <v>1031</v>
      </c>
      <c r="F392" s="85" t="s">
        <v>11</v>
      </c>
      <c r="G392" s="85" t="s">
        <v>13</v>
      </c>
      <c r="H392" s="85" t="s">
        <v>11</v>
      </c>
      <c r="I392" s="85" t="s">
        <v>11</v>
      </c>
      <c r="J392" s="85" t="s">
        <v>11</v>
      </c>
      <c r="K392" s="85" t="s">
        <v>11</v>
      </c>
      <c r="L392" s="86" t="str">
        <f>IFERROR(VLOOKUP($B392,'LISTA - Atual'!$B$1:$I$444,5,0),"Novo")</f>
        <v>N</v>
      </c>
      <c r="M392" s="86" t="str">
        <f t="shared" si="87"/>
        <v>Igual</v>
      </c>
      <c r="N392" s="86" t="str">
        <f>IFERROR(VLOOKUP($B392,'LISTA - Atual'!$B$1:$I$444,6,0),"Novo")</f>
        <v>Y</v>
      </c>
      <c r="O392" s="86" t="str">
        <f t="shared" si="88"/>
        <v>Igual</v>
      </c>
      <c r="P392" s="86" t="str">
        <f>IFERROR(VLOOKUP($B392,'LISTA - Atual'!$B$1:$I$444,7,0),"Novo")</f>
        <v>N</v>
      </c>
      <c r="Q392" s="86" t="str">
        <f t="shared" si="89"/>
        <v>Igual</v>
      </c>
      <c r="R392" s="86" t="s">
        <v>1563</v>
      </c>
      <c r="S392" s="86" t="str">
        <f>IFERROR(VLOOKUP($B392,'LISTA - Atual'!$B$1:$I$444,8,0),"Novo")</f>
        <v>N</v>
      </c>
      <c r="T392" s="86" t="str">
        <f t="shared" si="90"/>
        <v>Igual</v>
      </c>
      <c r="U392" s="86" t="s">
        <v>1563</v>
      </c>
      <c r="V392" s="86" t="s">
        <v>11</v>
      </c>
      <c r="W392" s="87" t="str">
        <f>IFERROR(VLOOKUP(B392,#REF!,11,0),"n/a")</f>
        <v>n/a</v>
      </c>
      <c r="X392" s="87" t="str">
        <f>IFERROR(VLOOKUP(B392,#REF!,8,0),"n/a")</f>
        <v>n/a</v>
      </c>
      <c r="Y392" s="87" t="str">
        <f t="shared" si="94"/>
        <v>GD</v>
      </c>
      <c r="Z392" s="131" t="s">
        <v>1605</v>
      </c>
      <c r="AA392" s="227" t="e">
        <f>VLOOKUP(Table1[[#This Row],[CONCAT]],'Campos Resumo Prop2.0'!A:H,8,0)</f>
        <v>#N/A</v>
      </c>
      <c r="AB392" s="87" t="s">
        <v>1655</v>
      </c>
      <c r="AC392" s="137" t="s">
        <v>1625</v>
      </c>
      <c r="AD392" s="91">
        <f>INDEX(Auxiliar!$D$5:$I$10,MATCH('LISTA - Setembro2024'!AD$3,Auxiliar!$B$5:$B$10,0),MATCH('LISTA - Setembro2024'!$AC392,Auxiliar!$D$4:$I$4,0))</f>
        <v>0</v>
      </c>
      <c r="AE392" s="91">
        <f>INDEX(Auxiliar!$D$5:$I$10,MATCH('LISTA - Setembro2024'!AE$3,Auxiliar!$B$5:$B$10,0),MATCH('LISTA - Setembro2024'!$AC392,Auxiliar!$D$4:$I$4,0))</f>
        <v>0</v>
      </c>
      <c r="AF392" s="87">
        <f>INDEX(Auxiliar!$D$5:$I$10,MATCH('LISTA - Setembro2024'!AF$3,Auxiliar!$B$5:$B$10,0),MATCH('LISTA - Setembro2024'!$AC392,Auxiliar!$D$4:$I$4,0))</f>
        <v>0</v>
      </c>
      <c r="AG392" s="87" t="str">
        <f t="shared" si="92"/>
        <v>n.a.</v>
      </c>
      <c r="AH392" s="87">
        <f>INDEX(Auxiliar!$D$5:$I$10,MATCH('LISTA - Setembro2024'!AH$3,Auxiliar!$B$5:$B$10,0),MATCH('LISTA - Setembro2024'!$AG392,Auxiliar!$D$4:$I$4,0))</f>
        <v>0</v>
      </c>
      <c r="AI392" s="87">
        <f>INDEX(Auxiliar!$D$5:$I$10,MATCH('LISTA - Setembro2024'!AI$3,Auxiliar!$B$5:$B$10,0),MATCH('LISTA - Setembro2024'!$AC392,Auxiliar!$D$4:$I$4,0))</f>
        <v>0</v>
      </c>
      <c r="AJ392" s="87">
        <f>INDEX(Auxiliar!$D$5:$I$10,MATCH('LISTA - Setembro2024'!AJ$3,Auxiliar!$B$5:$B$10,0),MATCH('LISTA - Setembro2024'!$AC392,Auxiliar!$D$4:$I$4,0))</f>
        <v>0</v>
      </c>
      <c r="AK392" s="160">
        <f t="shared" si="95"/>
        <v>0</v>
      </c>
      <c r="AL392" s="87"/>
    </row>
    <row r="393" spans="1:38" ht="13.8" x14ac:dyDescent="0.25">
      <c r="A393" s="158" t="s">
        <v>1032</v>
      </c>
      <c r="B393" s="81" t="str">
        <f t="shared" si="93"/>
        <v>INSTRUMENT_GRSS_INTRST_INCM_CCRR</v>
      </c>
      <c r="C393" s="82" t="s">
        <v>414</v>
      </c>
      <c r="D393" s="83" t="s">
        <v>1033</v>
      </c>
      <c r="E393" s="84" t="s">
        <v>1034</v>
      </c>
      <c r="F393" s="85" t="s">
        <v>11</v>
      </c>
      <c r="G393" s="85" t="s">
        <v>13</v>
      </c>
      <c r="H393" s="85" t="s">
        <v>11</v>
      </c>
      <c r="I393" s="85" t="s">
        <v>11</v>
      </c>
      <c r="J393" s="85" t="s">
        <v>11</v>
      </c>
      <c r="K393" s="85" t="s">
        <v>11</v>
      </c>
      <c r="L393" s="86" t="str">
        <f>IFERROR(VLOOKUP($B393,'LISTA - Atual'!$B$1:$I$444,5,0),"Novo")</f>
        <v>N</v>
      </c>
      <c r="M393" s="86" t="str">
        <f t="shared" si="87"/>
        <v>Igual</v>
      </c>
      <c r="N393" s="86" t="str">
        <f>IFERROR(VLOOKUP($B393,'LISTA - Atual'!$B$1:$I$444,6,0),"Novo")</f>
        <v>Y</v>
      </c>
      <c r="O393" s="86" t="str">
        <f t="shared" si="88"/>
        <v>Igual</v>
      </c>
      <c r="P393" s="86" t="str">
        <f>IFERROR(VLOOKUP($B393,'LISTA - Atual'!$B$1:$I$444,7,0),"Novo")</f>
        <v>N</v>
      </c>
      <c r="Q393" s="86" t="str">
        <f t="shared" si="89"/>
        <v>Igual</v>
      </c>
      <c r="R393" s="86" t="s">
        <v>1563</v>
      </c>
      <c r="S393" s="86" t="str">
        <f>IFERROR(VLOOKUP($B393,'LISTA - Atual'!$B$1:$I$444,8,0),"Novo")</f>
        <v>N</v>
      </c>
      <c r="T393" s="86" t="str">
        <f t="shared" si="90"/>
        <v>Igual</v>
      </c>
      <c r="U393" s="86" t="s">
        <v>1563</v>
      </c>
      <c r="V393" s="86" t="s">
        <v>11</v>
      </c>
      <c r="W393" s="87" t="str">
        <f>IFERROR(VLOOKUP(B393,#REF!,11,0),"n/a")</f>
        <v>n/a</v>
      </c>
      <c r="X393" s="87" t="str">
        <f>IFERROR(VLOOKUP(B393,#REF!,8,0),"n/a")</f>
        <v>n/a</v>
      </c>
      <c r="Y393" s="87" t="str">
        <f t="shared" si="94"/>
        <v>GD</v>
      </c>
      <c r="Z393" s="131" t="s">
        <v>1605</v>
      </c>
      <c r="AA393" s="227" t="e">
        <f>VLOOKUP(Table1[[#This Row],[CONCAT]],'Campos Resumo Prop2.0'!A:H,8,0)</f>
        <v>#N/A</v>
      </c>
      <c r="AB393" s="87" t="s">
        <v>1655</v>
      </c>
      <c r="AC393" s="137" t="s">
        <v>1625</v>
      </c>
      <c r="AD393" s="91">
        <f>INDEX(Auxiliar!$D$5:$I$10,MATCH('LISTA - Setembro2024'!AD$3,Auxiliar!$B$5:$B$10,0),MATCH('LISTA - Setembro2024'!$AC393,Auxiliar!$D$4:$I$4,0))</f>
        <v>0</v>
      </c>
      <c r="AE393" s="91">
        <f>INDEX(Auxiliar!$D$5:$I$10,MATCH('LISTA - Setembro2024'!AE$3,Auxiliar!$B$5:$B$10,0),MATCH('LISTA - Setembro2024'!$AC393,Auxiliar!$D$4:$I$4,0))</f>
        <v>0</v>
      </c>
      <c r="AF393" s="87">
        <f>INDEX(Auxiliar!$D$5:$I$10,MATCH('LISTA - Setembro2024'!AF$3,Auxiliar!$B$5:$B$10,0),MATCH('LISTA - Setembro2024'!$AC393,Auxiliar!$D$4:$I$4,0))</f>
        <v>0</v>
      </c>
      <c r="AG393" s="87" t="str">
        <f t="shared" si="92"/>
        <v>n.a.</v>
      </c>
      <c r="AH393" s="87">
        <f>INDEX(Auxiliar!$D$5:$I$10,MATCH('LISTA - Setembro2024'!AH$3,Auxiliar!$B$5:$B$10,0),MATCH('LISTA - Setembro2024'!$AG393,Auxiliar!$D$4:$I$4,0))</f>
        <v>0</v>
      </c>
      <c r="AI393" s="87">
        <f>INDEX(Auxiliar!$D$5:$I$10,MATCH('LISTA - Setembro2024'!AI$3,Auxiliar!$B$5:$B$10,0),MATCH('LISTA - Setembro2024'!$AC393,Auxiliar!$D$4:$I$4,0))</f>
        <v>0</v>
      </c>
      <c r="AJ393" s="87">
        <f>INDEX(Auxiliar!$D$5:$I$10,MATCH('LISTA - Setembro2024'!AJ$3,Auxiliar!$B$5:$B$10,0),MATCH('LISTA - Setembro2024'!$AC393,Auxiliar!$D$4:$I$4,0))</f>
        <v>0</v>
      </c>
      <c r="AK393" s="160">
        <f t="shared" si="95"/>
        <v>0</v>
      </c>
      <c r="AL393" s="87"/>
    </row>
    <row r="394" spans="1:38" ht="13.8" x14ac:dyDescent="0.25">
      <c r="A394" s="158" t="s">
        <v>1035</v>
      </c>
      <c r="B394" s="81" t="str">
        <f t="shared" si="93"/>
        <v>INSTRUMENT_GRSS_INTRST_EXPNS_CCRR</v>
      </c>
      <c r="C394" s="82" t="s">
        <v>414</v>
      </c>
      <c r="D394" s="83" t="s">
        <v>1036</v>
      </c>
      <c r="E394" s="84" t="s">
        <v>1037</v>
      </c>
      <c r="F394" s="85" t="s">
        <v>11</v>
      </c>
      <c r="G394" s="85" t="s">
        <v>13</v>
      </c>
      <c r="H394" s="85" t="s">
        <v>11</v>
      </c>
      <c r="I394" s="85" t="s">
        <v>11</v>
      </c>
      <c r="J394" s="85" t="s">
        <v>11</v>
      </c>
      <c r="K394" s="85" t="s">
        <v>11</v>
      </c>
      <c r="L394" s="86" t="str">
        <f>IFERROR(VLOOKUP($B394,'LISTA - Atual'!$B$1:$I$444,5,0),"Novo")</f>
        <v>N</v>
      </c>
      <c r="M394" s="86" t="str">
        <f t="shared" si="87"/>
        <v>Igual</v>
      </c>
      <c r="N394" s="86" t="str">
        <f>IFERROR(VLOOKUP($B394,'LISTA - Atual'!$B$1:$I$444,6,0),"Novo")</f>
        <v>Y</v>
      </c>
      <c r="O394" s="86" t="str">
        <f t="shared" si="88"/>
        <v>Igual</v>
      </c>
      <c r="P394" s="86" t="str">
        <f>IFERROR(VLOOKUP($B394,'LISTA - Atual'!$B$1:$I$444,7,0),"Novo")</f>
        <v>N</v>
      </c>
      <c r="Q394" s="86" t="str">
        <f t="shared" si="89"/>
        <v>Igual</v>
      </c>
      <c r="R394" s="86" t="s">
        <v>1563</v>
      </c>
      <c r="S394" s="86" t="str">
        <f>IFERROR(VLOOKUP($B394,'LISTA - Atual'!$B$1:$I$444,8,0),"Novo")</f>
        <v>N</v>
      </c>
      <c r="T394" s="86" t="str">
        <f t="shared" si="90"/>
        <v>Igual</v>
      </c>
      <c r="U394" s="86" t="s">
        <v>1563</v>
      </c>
      <c r="V394" s="86" t="s">
        <v>11</v>
      </c>
      <c r="W394" s="87" t="str">
        <f>IFERROR(VLOOKUP(B394,#REF!,11,0),"n/a")</f>
        <v>n/a</v>
      </c>
      <c r="X394" s="87" t="str">
        <f>IFERROR(VLOOKUP(B394,#REF!,8,0),"n/a")</f>
        <v>n/a</v>
      </c>
      <c r="Y394" s="87" t="str">
        <f t="shared" si="94"/>
        <v>GD</v>
      </c>
      <c r="Z394" s="131" t="s">
        <v>1605</v>
      </c>
      <c r="AA394" s="227" t="e">
        <f>VLOOKUP(Table1[[#This Row],[CONCAT]],'Campos Resumo Prop2.0'!A:H,8,0)</f>
        <v>#N/A</v>
      </c>
      <c r="AB394" s="87" t="s">
        <v>1655</v>
      </c>
      <c r="AC394" s="137" t="s">
        <v>1625</v>
      </c>
      <c r="AD394" s="91">
        <f>INDEX(Auxiliar!$D$5:$I$10,MATCH('LISTA - Setembro2024'!AD$3,Auxiliar!$B$5:$B$10,0),MATCH('LISTA - Setembro2024'!$AC394,Auxiliar!$D$4:$I$4,0))</f>
        <v>0</v>
      </c>
      <c r="AE394" s="91">
        <f>INDEX(Auxiliar!$D$5:$I$10,MATCH('LISTA - Setembro2024'!AE$3,Auxiliar!$B$5:$B$10,0),MATCH('LISTA - Setembro2024'!$AC394,Auxiliar!$D$4:$I$4,0))</f>
        <v>0</v>
      </c>
      <c r="AF394" s="87">
        <f>INDEX(Auxiliar!$D$5:$I$10,MATCH('LISTA - Setembro2024'!AF$3,Auxiliar!$B$5:$B$10,0),MATCH('LISTA - Setembro2024'!$AC394,Auxiliar!$D$4:$I$4,0))</f>
        <v>0</v>
      </c>
      <c r="AG394" s="87" t="str">
        <f t="shared" si="92"/>
        <v>n.a.</v>
      </c>
      <c r="AH394" s="87">
        <f>INDEX(Auxiliar!$D$5:$I$10,MATCH('LISTA - Setembro2024'!AH$3,Auxiliar!$B$5:$B$10,0),MATCH('LISTA - Setembro2024'!$AG394,Auxiliar!$D$4:$I$4,0))</f>
        <v>0</v>
      </c>
      <c r="AI394" s="87">
        <f>INDEX(Auxiliar!$D$5:$I$10,MATCH('LISTA - Setembro2024'!AI$3,Auxiliar!$B$5:$B$10,0),MATCH('LISTA - Setembro2024'!$AC394,Auxiliar!$D$4:$I$4,0))</f>
        <v>0</v>
      </c>
      <c r="AJ394" s="87">
        <f>INDEX(Auxiliar!$D$5:$I$10,MATCH('LISTA - Setembro2024'!AJ$3,Auxiliar!$B$5:$B$10,0),MATCH('LISTA - Setembro2024'!$AC394,Auxiliar!$D$4:$I$4,0))</f>
        <v>0</v>
      </c>
      <c r="AK394" s="160">
        <f t="shared" si="95"/>
        <v>0</v>
      </c>
      <c r="AL394" s="87"/>
    </row>
    <row r="395" spans="1:38" ht="13.8" x14ac:dyDescent="0.25">
      <c r="A395" s="158" t="s">
        <v>1038</v>
      </c>
      <c r="B395" s="81" t="str">
        <f t="shared" si="93"/>
        <v>INSTRUMENT_GRSS_CMMSSN_INCM_CCRR</v>
      </c>
      <c r="C395" s="82" t="s">
        <v>414</v>
      </c>
      <c r="D395" s="83" t="s">
        <v>1039</v>
      </c>
      <c r="E395" s="84" t="s">
        <v>1040</v>
      </c>
      <c r="F395" s="85" t="s">
        <v>11</v>
      </c>
      <c r="G395" s="85" t="s">
        <v>13</v>
      </c>
      <c r="H395" s="85" t="s">
        <v>11</v>
      </c>
      <c r="I395" s="85" t="s">
        <v>11</v>
      </c>
      <c r="J395" s="85" t="s">
        <v>11</v>
      </c>
      <c r="K395" s="85" t="s">
        <v>11</v>
      </c>
      <c r="L395" s="86" t="str">
        <f>IFERROR(VLOOKUP($B395,'LISTA - Atual'!$B$1:$I$444,5,0),"Novo")</f>
        <v>N</v>
      </c>
      <c r="M395" s="86" t="str">
        <f t="shared" si="87"/>
        <v>Igual</v>
      </c>
      <c r="N395" s="86" t="str">
        <f>IFERROR(VLOOKUP($B395,'LISTA - Atual'!$B$1:$I$444,6,0),"Novo")</f>
        <v>Y</v>
      </c>
      <c r="O395" s="86" t="str">
        <f t="shared" si="88"/>
        <v>Igual</v>
      </c>
      <c r="P395" s="86" t="str">
        <f>IFERROR(VLOOKUP($B395,'LISTA - Atual'!$B$1:$I$444,7,0),"Novo")</f>
        <v>N</v>
      </c>
      <c r="Q395" s="86" t="str">
        <f t="shared" si="89"/>
        <v>Igual</v>
      </c>
      <c r="R395" s="86" t="s">
        <v>1563</v>
      </c>
      <c r="S395" s="86" t="str">
        <f>IFERROR(VLOOKUP($B395,'LISTA - Atual'!$B$1:$I$444,8,0),"Novo")</f>
        <v>N</v>
      </c>
      <c r="T395" s="86" t="str">
        <f t="shared" si="90"/>
        <v>Igual</v>
      </c>
      <c r="U395" s="86" t="s">
        <v>1563</v>
      </c>
      <c r="V395" s="86" t="s">
        <v>11</v>
      </c>
      <c r="W395" s="87" t="str">
        <f>IFERROR(VLOOKUP(B395,#REF!,11,0),"n/a")</f>
        <v>n/a</v>
      </c>
      <c r="X395" s="87" t="str">
        <f>IFERROR(VLOOKUP(B395,#REF!,8,0),"n/a")</f>
        <v>n/a</v>
      </c>
      <c r="Y395" s="87" t="str">
        <f t="shared" si="94"/>
        <v>GD</v>
      </c>
      <c r="Z395" s="131" t="s">
        <v>1605</v>
      </c>
      <c r="AA395" s="227" t="e">
        <f>VLOOKUP(Table1[[#This Row],[CONCAT]],'Campos Resumo Prop2.0'!A:H,8,0)</f>
        <v>#N/A</v>
      </c>
      <c r="AB395" s="87" t="s">
        <v>1655</v>
      </c>
      <c r="AC395" s="137" t="s">
        <v>1625</v>
      </c>
      <c r="AD395" s="91">
        <f>INDEX(Auxiliar!$D$5:$I$10,MATCH('LISTA - Setembro2024'!AD$3,Auxiliar!$B$5:$B$10,0),MATCH('LISTA - Setembro2024'!$AC395,Auxiliar!$D$4:$I$4,0))</f>
        <v>0</v>
      </c>
      <c r="AE395" s="91">
        <f>INDEX(Auxiliar!$D$5:$I$10,MATCH('LISTA - Setembro2024'!AE$3,Auxiliar!$B$5:$B$10,0),MATCH('LISTA - Setembro2024'!$AC395,Auxiliar!$D$4:$I$4,0))</f>
        <v>0</v>
      </c>
      <c r="AF395" s="87">
        <f>INDEX(Auxiliar!$D$5:$I$10,MATCH('LISTA - Setembro2024'!AF$3,Auxiliar!$B$5:$B$10,0),MATCH('LISTA - Setembro2024'!$AC395,Auxiliar!$D$4:$I$4,0))</f>
        <v>0</v>
      </c>
      <c r="AG395" s="87" t="str">
        <f t="shared" si="92"/>
        <v>n.a.</v>
      </c>
      <c r="AH395" s="87">
        <f>INDEX(Auxiliar!$D$5:$I$10,MATCH('LISTA - Setembro2024'!AH$3,Auxiliar!$B$5:$B$10,0),MATCH('LISTA - Setembro2024'!$AG395,Auxiliar!$D$4:$I$4,0))</f>
        <v>0</v>
      </c>
      <c r="AI395" s="87">
        <f>INDEX(Auxiliar!$D$5:$I$10,MATCH('LISTA - Setembro2024'!AI$3,Auxiliar!$B$5:$B$10,0),MATCH('LISTA - Setembro2024'!$AC395,Auxiliar!$D$4:$I$4,0))</f>
        <v>0</v>
      </c>
      <c r="AJ395" s="87">
        <f>INDEX(Auxiliar!$D$5:$I$10,MATCH('LISTA - Setembro2024'!AJ$3,Auxiliar!$B$5:$B$10,0),MATCH('LISTA - Setembro2024'!$AC395,Auxiliar!$D$4:$I$4,0))</f>
        <v>0</v>
      </c>
      <c r="AK395" s="160">
        <f t="shared" si="95"/>
        <v>0</v>
      </c>
      <c r="AL395" s="87"/>
    </row>
    <row r="396" spans="1:38" ht="13.8" x14ac:dyDescent="0.25">
      <c r="A396" s="158" t="s">
        <v>1041</v>
      </c>
      <c r="B396" s="81" t="str">
        <f t="shared" si="93"/>
        <v>INSTRUMENT_GRSS_CMMSSN_EXPNS_CCRR</v>
      </c>
      <c r="C396" s="82" t="s">
        <v>414</v>
      </c>
      <c r="D396" s="83" t="s">
        <v>1042</v>
      </c>
      <c r="E396" s="84" t="s">
        <v>1043</v>
      </c>
      <c r="F396" s="85" t="s">
        <v>11</v>
      </c>
      <c r="G396" s="85" t="s">
        <v>13</v>
      </c>
      <c r="H396" s="85" t="s">
        <v>11</v>
      </c>
      <c r="I396" s="85" t="s">
        <v>11</v>
      </c>
      <c r="J396" s="85" t="s">
        <v>11</v>
      </c>
      <c r="K396" s="85" t="s">
        <v>11</v>
      </c>
      <c r="L396" s="86" t="str">
        <f>IFERROR(VLOOKUP($B396,'LISTA - Atual'!$B$1:$I$444,5,0),"Novo")</f>
        <v>N</v>
      </c>
      <c r="M396" s="86" t="str">
        <f t="shared" si="87"/>
        <v>Igual</v>
      </c>
      <c r="N396" s="86" t="str">
        <f>IFERROR(VLOOKUP($B396,'LISTA - Atual'!$B$1:$I$444,6,0),"Novo")</f>
        <v>Y</v>
      </c>
      <c r="O396" s="86" t="str">
        <f t="shared" si="88"/>
        <v>Igual</v>
      </c>
      <c r="P396" s="86" t="str">
        <f>IFERROR(VLOOKUP($B396,'LISTA - Atual'!$B$1:$I$444,7,0),"Novo")</f>
        <v>N</v>
      </c>
      <c r="Q396" s="86" t="str">
        <f t="shared" si="89"/>
        <v>Igual</v>
      </c>
      <c r="R396" s="86" t="s">
        <v>1563</v>
      </c>
      <c r="S396" s="86" t="str">
        <f>IFERROR(VLOOKUP($B396,'LISTA - Atual'!$B$1:$I$444,8,0),"Novo")</f>
        <v>N</v>
      </c>
      <c r="T396" s="86" t="str">
        <f t="shared" si="90"/>
        <v>Igual</v>
      </c>
      <c r="U396" s="86" t="s">
        <v>1563</v>
      </c>
      <c r="V396" s="86" t="s">
        <v>11</v>
      </c>
      <c r="W396" s="87" t="str">
        <f>IFERROR(VLOOKUP(B396,#REF!,11,0),"n/a")</f>
        <v>n/a</v>
      </c>
      <c r="X396" s="87" t="str">
        <f>IFERROR(VLOOKUP(B396,#REF!,8,0),"n/a")</f>
        <v>n/a</v>
      </c>
      <c r="Y396" s="87" t="str">
        <f t="shared" si="94"/>
        <v>GD</v>
      </c>
      <c r="Z396" s="131" t="s">
        <v>1605</v>
      </c>
      <c r="AA396" s="227" t="e">
        <f>VLOOKUP(Table1[[#This Row],[CONCAT]],'Campos Resumo Prop2.0'!A:H,8,0)</f>
        <v>#N/A</v>
      </c>
      <c r="AB396" s="87" t="s">
        <v>1655</v>
      </c>
      <c r="AC396" s="137" t="s">
        <v>1625</v>
      </c>
      <c r="AD396" s="91">
        <f>INDEX(Auxiliar!$D$5:$I$10,MATCH('LISTA - Setembro2024'!AD$3,Auxiliar!$B$5:$B$10,0),MATCH('LISTA - Setembro2024'!$AC396,Auxiliar!$D$4:$I$4,0))</f>
        <v>0</v>
      </c>
      <c r="AE396" s="91">
        <f>INDEX(Auxiliar!$D$5:$I$10,MATCH('LISTA - Setembro2024'!AE$3,Auxiliar!$B$5:$B$10,0),MATCH('LISTA - Setembro2024'!$AC396,Auxiliar!$D$4:$I$4,0))</f>
        <v>0</v>
      </c>
      <c r="AF396" s="87">
        <f>INDEX(Auxiliar!$D$5:$I$10,MATCH('LISTA - Setembro2024'!AF$3,Auxiliar!$B$5:$B$10,0),MATCH('LISTA - Setembro2024'!$AC396,Auxiliar!$D$4:$I$4,0))</f>
        <v>0</v>
      </c>
      <c r="AG396" s="87" t="str">
        <f t="shared" si="92"/>
        <v>n.a.</v>
      </c>
      <c r="AH396" s="87">
        <f>INDEX(Auxiliar!$D$5:$I$10,MATCH('LISTA - Setembro2024'!AH$3,Auxiliar!$B$5:$B$10,0),MATCH('LISTA - Setembro2024'!$AG396,Auxiliar!$D$4:$I$4,0))</f>
        <v>0</v>
      </c>
      <c r="AI396" s="87">
        <f>INDEX(Auxiliar!$D$5:$I$10,MATCH('LISTA - Setembro2024'!AI$3,Auxiliar!$B$5:$B$10,0),MATCH('LISTA - Setembro2024'!$AC396,Auxiliar!$D$4:$I$4,0))</f>
        <v>0</v>
      </c>
      <c r="AJ396" s="87">
        <f>INDEX(Auxiliar!$D$5:$I$10,MATCH('LISTA - Setembro2024'!AJ$3,Auxiliar!$B$5:$B$10,0),MATCH('LISTA - Setembro2024'!$AC396,Auxiliar!$D$4:$I$4,0))</f>
        <v>0</v>
      </c>
      <c r="AK396" s="160">
        <f t="shared" si="95"/>
        <v>0</v>
      </c>
      <c r="AL396" s="87"/>
    </row>
    <row r="397" spans="1:38" ht="13.8" x14ac:dyDescent="0.25">
      <c r="A397" s="158" t="s">
        <v>1044</v>
      </c>
      <c r="B397" s="81" t="str">
        <f t="shared" si="93"/>
        <v>INSTRUMENT_GNS_FNNCL_TRNSCTN_EXCHNG_CCRR</v>
      </c>
      <c r="C397" s="82" t="s">
        <v>414</v>
      </c>
      <c r="D397" s="83" t="s">
        <v>1045</v>
      </c>
      <c r="E397" s="84" t="s">
        <v>1046</v>
      </c>
      <c r="F397" s="85" t="s">
        <v>11</v>
      </c>
      <c r="G397" s="85" t="s">
        <v>13</v>
      </c>
      <c r="H397" s="85" t="s">
        <v>11</v>
      </c>
      <c r="I397" s="85" t="s">
        <v>11</v>
      </c>
      <c r="J397" s="85" t="s">
        <v>11</v>
      </c>
      <c r="K397" s="85" t="s">
        <v>11</v>
      </c>
      <c r="L397" s="86" t="str">
        <f>IFERROR(VLOOKUP($B397,'LISTA - Atual'!$B$1:$I$444,5,0),"Novo")</f>
        <v>N</v>
      </c>
      <c r="M397" s="86" t="str">
        <f t="shared" si="87"/>
        <v>Igual</v>
      </c>
      <c r="N397" s="86" t="str">
        <f>IFERROR(VLOOKUP($B397,'LISTA - Atual'!$B$1:$I$444,6,0),"Novo")</f>
        <v>Y</v>
      </c>
      <c r="O397" s="86" t="str">
        <f t="shared" si="88"/>
        <v>Igual</v>
      </c>
      <c r="P397" s="86" t="str">
        <f>IFERROR(VLOOKUP($B397,'LISTA - Atual'!$B$1:$I$444,7,0),"Novo")</f>
        <v>N</v>
      </c>
      <c r="Q397" s="86" t="str">
        <f t="shared" si="89"/>
        <v>Igual</v>
      </c>
      <c r="R397" s="86" t="s">
        <v>1563</v>
      </c>
      <c r="S397" s="86" t="str">
        <f>IFERROR(VLOOKUP($B397,'LISTA - Atual'!$B$1:$I$444,8,0),"Novo")</f>
        <v>N</v>
      </c>
      <c r="T397" s="86" t="str">
        <f t="shared" si="90"/>
        <v>Igual</v>
      </c>
      <c r="U397" s="86" t="s">
        <v>1563</v>
      </c>
      <c r="V397" s="86" t="s">
        <v>11</v>
      </c>
      <c r="W397" s="87" t="str">
        <f>IFERROR(VLOOKUP(B397,#REF!,11,0),"n/a")</f>
        <v>n/a</v>
      </c>
      <c r="X397" s="87" t="str">
        <f>IFERROR(VLOOKUP(B397,#REF!,8,0),"n/a")</f>
        <v>n/a</v>
      </c>
      <c r="Y397" s="87" t="str">
        <f t="shared" si="94"/>
        <v>GD</v>
      </c>
      <c r="Z397" s="131" t="s">
        <v>1605</v>
      </c>
      <c r="AA397" s="227" t="e">
        <f>VLOOKUP(Table1[[#This Row],[CONCAT]],'Campos Resumo Prop2.0'!A:H,8,0)</f>
        <v>#N/A</v>
      </c>
      <c r="AB397" s="87" t="s">
        <v>1655</v>
      </c>
      <c r="AC397" s="137" t="s">
        <v>1625</v>
      </c>
      <c r="AD397" s="91">
        <f>INDEX(Auxiliar!$D$5:$I$10,MATCH('LISTA - Setembro2024'!AD$3,Auxiliar!$B$5:$B$10,0),MATCH('LISTA - Setembro2024'!$AC397,Auxiliar!$D$4:$I$4,0))</f>
        <v>0</v>
      </c>
      <c r="AE397" s="91">
        <f>INDEX(Auxiliar!$D$5:$I$10,MATCH('LISTA - Setembro2024'!AE$3,Auxiliar!$B$5:$B$10,0),MATCH('LISTA - Setembro2024'!$AC397,Auxiliar!$D$4:$I$4,0))</f>
        <v>0</v>
      </c>
      <c r="AF397" s="87">
        <f>INDEX(Auxiliar!$D$5:$I$10,MATCH('LISTA - Setembro2024'!AF$3,Auxiliar!$B$5:$B$10,0),MATCH('LISTA - Setembro2024'!$AC397,Auxiliar!$D$4:$I$4,0))</f>
        <v>0</v>
      </c>
      <c r="AG397" s="87" t="str">
        <f t="shared" si="92"/>
        <v>n.a.</v>
      </c>
      <c r="AH397" s="87">
        <f>INDEX(Auxiliar!$D$5:$I$10,MATCH('LISTA - Setembro2024'!AH$3,Auxiliar!$B$5:$B$10,0),MATCH('LISTA - Setembro2024'!$AG397,Auxiliar!$D$4:$I$4,0))</f>
        <v>0</v>
      </c>
      <c r="AI397" s="87">
        <f>INDEX(Auxiliar!$D$5:$I$10,MATCH('LISTA - Setembro2024'!AI$3,Auxiliar!$B$5:$B$10,0),MATCH('LISTA - Setembro2024'!$AC397,Auxiliar!$D$4:$I$4,0))</f>
        <v>0</v>
      </c>
      <c r="AJ397" s="87">
        <f>INDEX(Auxiliar!$D$5:$I$10,MATCH('LISTA - Setembro2024'!AJ$3,Auxiliar!$B$5:$B$10,0),MATCH('LISTA - Setembro2024'!$AC397,Auxiliar!$D$4:$I$4,0))</f>
        <v>0</v>
      </c>
      <c r="AK397" s="160">
        <f t="shared" si="95"/>
        <v>0</v>
      </c>
      <c r="AL397" s="87"/>
    </row>
    <row r="398" spans="1:38" ht="13.8" x14ac:dyDescent="0.25">
      <c r="A398" s="158" t="s">
        <v>1047</v>
      </c>
      <c r="B398" s="81" t="str">
        <f t="shared" si="93"/>
        <v>INSTRUMENT_BSNSS_AREA_CCRR</v>
      </c>
      <c r="C398" s="82" t="s">
        <v>414</v>
      </c>
      <c r="D398" s="83" t="s">
        <v>1048</v>
      </c>
      <c r="E398" s="84" t="s">
        <v>1049</v>
      </c>
      <c r="F398" s="85" t="s">
        <v>11</v>
      </c>
      <c r="G398" s="85" t="s">
        <v>13</v>
      </c>
      <c r="H398" s="85" t="s">
        <v>11</v>
      </c>
      <c r="I398" s="85" t="s">
        <v>11</v>
      </c>
      <c r="J398" s="85" t="s">
        <v>11</v>
      </c>
      <c r="K398" s="85" t="s">
        <v>11</v>
      </c>
      <c r="L398" s="86" t="str">
        <f>IFERROR(VLOOKUP($B398,'LISTA - Atual'!$B$1:$I$444,5,0),"Novo")</f>
        <v>N</v>
      </c>
      <c r="M398" s="86" t="str">
        <f t="shared" si="87"/>
        <v>Igual</v>
      </c>
      <c r="N398" s="86" t="str">
        <f>IFERROR(VLOOKUP($B398,'LISTA - Atual'!$B$1:$I$444,6,0),"Novo")</f>
        <v>Y</v>
      </c>
      <c r="O398" s="86" t="str">
        <f t="shared" si="88"/>
        <v>Igual</v>
      </c>
      <c r="P398" s="86" t="str">
        <f>IFERROR(VLOOKUP($B398,'LISTA - Atual'!$B$1:$I$444,7,0),"Novo")</f>
        <v>N</v>
      </c>
      <c r="Q398" s="86" t="str">
        <f t="shared" si="89"/>
        <v>Igual</v>
      </c>
      <c r="R398" s="86" t="s">
        <v>1563</v>
      </c>
      <c r="S398" s="86" t="str">
        <f>IFERROR(VLOOKUP($B398,'LISTA - Atual'!$B$1:$I$444,8,0),"Novo")</f>
        <v>N</v>
      </c>
      <c r="T398" s="86" t="str">
        <f t="shared" si="90"/>
        <v>Igual</v>
      </c>
      <c r="U398" s="86" t="s">
        <v>1563</v>
      </c>
      <c r="V398" s="86" t="s">
        <v>11</v>
      </c>
      <c r="W398" s="87" t="str">
        <f>IFERROR(VLOOKUP(B398,#REF!,11,0),"n/a")</f>
        <v>n/a</v>
      </c>
      <c r="X398" s="87" t="str">
        <f>IFERROR(VLOOKUP(B398,#REF!,8,0),"n/a")</f>
        <v>n/a</v>
      </c>
      <c r="Y398" s="87" t="str">
        <f t="shared" si="94"/>
        <v>GD</v>
      </c>
      <c r="Z398" s="131" t="s">
        <v>1605</v>
      </c>
      <c r="AA398" s="227" t="e">
        <f>VLOOKUP(Table1[[#This Row],[CONCAT]],'Campos Resumo Prop2.0'!A:H,8,0)</f>
        <v>#N/A</v>
      </c>
      <c r="AB398" s="87" t="s">
        <v>1650</v>
      </c>
      <c r="AC398" s="137" t="s">
        <v>1625</v>
      </c>
      <c r="AD398" s="91">
        <f>INDEX(Auxiliar!$D$5:$I$10,MATCH('LISTA - Setembro2024'!AD$3,Auxiliar!$B$5:$B$10,0),MATCH('LISTA - Setembro2024'!$AC398,Auxiliar!$D$4:$I$4,0))</f>
        <v>0</v>
      </c>
      <c r="AE398" s="91">
        <f>INDEX(Auxiliar!$D$5:$I$10,MATCH('LISTA - Setembro2024'!AE$3,Auxiliar!$B$5:$B$10,0),MATCH('LISTA - Setembro2024'!$AC398,Auxiliar!$D$4:$I$4,0))</f>
        <v>0</v>
      </c>
      <c r="AF398" s="87">
        <f>INDEX(Auxiliar!$D$5:$I$10,MATCH('LISTA - Setembro2024'!AF$3,Auxiliar!$B$5:$B$10,0),MATCH('LISTA - Setembro2024'!$AC398,Auxiliar!$D$4:$I$4,0))</f>
        <v>0</v>
      </c>
      <c r="AG398" s="87" t="str">
        <f t="shared" si="92"/>
        <v>n.a.</v>
      </c>
      <c r="AH398" s="87">
        <f>INDEX(Auxiliar!$D$5:$I$10,MATCH('LISTA - Setembro2024'!AH$3,Auxiliar!$B$5:$B$10,0),MATCH('LISTA - Setembro2024'!$AG398,Auxiliar!$D$4:$I$4,0))</f>
        <v>0</v>
      </c>
      <c r="AI398" s="87">
        <f>INDEX(Auxiliar!$D$5:$I$10,MATCH('LISTA - Setembro2024'!AI$3,Auxiliar!$B$5:$B$10,0),MATCH('LISTA - Setembro2024'!$AC398,Auxiliar!$D$4:$I$4,0))</f>
        <v>0</v>
      </c>
      <c r="AJ398" s="87">
        <f>INDEX(Auxiliar!$D$5:$I$10,MATCH('LISTA - Setembro2024'!AJ$3,Auxiliar!$B$5:$B$10,0),MATCH('LISTA - Setembro2024'!$AC398,Auxiliar!$D$4:$I$4,0))</f>
        <v>0</v>
      </c>
      <c r="AK398" s="160">
        <f t="shared" si="95"/>
        <v>0</v>
      </c>
      <c r="AL398" s="87"/>
    </row>
    <row r="399" spans="1:38" ht="13.8" x14ac:dyDescent="0.25">
      <c r="A399" s="158" t="s">
        <v>1050</v>
      </c>
      <c r="B399" s="81" t="str">
        <f t="shared" si="93"/>
        <v>INSTRUMENT_GRSS_CMMSSN_INCM_OFF_BLNC_CCRR</v>
      </c>
      <c r="C399" s="82" t="s">
        <v>414</v>
      </c>
      <c r="D399" s="83" t="s">
        <v>1051</v>
      </c>
      <c r="E399" s="93" t="s">
        <v>1052</v>
      </c>
      <c r="F399" s="85" t="s">
        <v>11</v>
      </c>
      <c r="G399" s="85" t="s">
        <v>13</v>
      </c>
      <c r="H399" s="85" t="s">
        <v>11</v>
      </c>
      <c r="I399" s="85" t="s">
        <v>11</v>
      </c>
      <c r="J399" s="85" t="s">
        <v>11</v>
      </c>
      <c r="K399" s="85" t="s">
        <v>11</v>
      </c>
      <c r="L399" s="86" t="str">
        <f>IFERROR(VLOOKUP($B399,'LISTA - Atual'!$B$1:$I$444,5,0),"Novo")</f>
        <v>N</v>
      </c>
      <c r="M399" s="86" t="str">
        <f t="shared" si="87"/>
        <v>Igual</v>
      </c>
      <c r="N399" s="86" t="str">
        <f>IFERROR(VLOOKUP($B399,'LISTA - Atual'!$B$1:$I$444,6,0),"Novo")</f>
        <v>Y</v>
      </c>
      <c r="O399" s="86" t="str">
        <f t="shared" si="88"/>
        <v>Igual</v>
      </c>
      <c r="P399" s="86" t="str">
        <f>IFERROR(VLOOKUP($B399,'LISTA - Atual'!$B$1:$I$444,7,0),"Novo")</f>
        <v>N</v>
      </c>
      <c r="Q399" s="86" t="str">
        <f t="shared" si="89"/>
        <v>Igual</v>
      </c>
      <c r="R399" s="86" t="s">
        <v>1563</v>
      </c>
      <c r="S399" s="86" t="str">
        <f>IFERROR(VLOOKUP($B399,'LISTA - Atual'!$B$1:$I$444,8,0),"Novo")</f>
        <v>N</v>
      </c>
      <c r="T399" s="86" t="str">
        <f t="shared" si="90"/>
        <v>Igual</v>
      </c>
      <c r="U399" s="86" t="s">
        <v>1563</v>
      </c>
      <c r="V399" s="86" t="s">
        <v>11</v>
      </c>
      <c r="W399" s="87" t="str">
        <f>IFERROR(VLOOKUP(B399,#REF!,11,0),"n/a")</f>
        <v>n/a</v>
      </c>
      <c r="X399" s="87" t="str">
        <f>IFERROR(VLOOKUP(B399,#REF!,8,0),"n/a")</f>
        <v>n/a</v>
      </c>
      <c r="Y399" s="87" t="str">
        <f t="shared" si="94"/>
        <v>GD</v>
      </c>
      <c r="Z399" s="131" t="s">
        <v>1605</v>
      </c>
      <c r="AA399" s="227" t="e">
        <f>VLOOKUP(Table1[[#This Row],[CONCAT]],'Campos Resumo Prop2.0'!A:H,8,0)</f>
        <v>#N/A</v>
      </c>
      <c r="AB399" s="87" t="s">
        <v>1655</v>
      </c>
      <c r="AC399" s="137" t="s">
        <v>1625</v>
      </c>
      <c r="AD399" s="91">
        <f>INDEX(Auxiliar!$D$5:$I$10,MATCH('LISTA - Setembro2024'!AD$3,Auxiliar!$B$5:$B$10,0),MATCH('LISTA - Setembro2024'!$AC399,Auxiliar!$D$4:$I$4,0))</f>
        <v>0</v>
      </c>
      <c r="AE399" s="91">
        <f>INDEX(Auxiliar!$D$5:$I$10,MATCH('LISTA - Setembro2024'!AE$3,Auxiliar!$B$5:$B$10,0),MATCH('LISTA - Setembro2024'!$AC399,Auxiliar!$D$4:$I$4,0))</f>
        <v>0</v>
      </c>
      <c r="AF399" s="87">
        <f>INDEX(Auxiliar!$D$5:$I$10,MATCH('LISTA - Setembro2024'!AF$3,Auxiliar!$B$5:$B$10,0),MATCH('LISTA - Setembro2024'!$AC399,Auxiliar!$D$4:$I$4,0))</f>
        <v>0</v>
      </c>
      <c r="AG399" s="87" t="str">
        <f t="shared" si="92"/>
        <v>n.a.</v>
      </c>
      <c r="AH399" s="87">
        <f>INDEX(Auxiliar!$D$5:$I$10,MATCH('LISTA - Setembro2024'!AH$3,Auxiliar!$B$5:$B$10,0),MATCH('LISTA - Setembro2024'!$AG399,Auxiliar!$D$4:$I$4,0))</f>
        <v>0</v>
      </c>
      <c r="AI399" s="87">
        <f>INDEX(Auxiliar!$D$5:$I$10,MATCH('LISTA - Setembro2024'!AI$3,Auxiliar!$B$5:$B$10,0),MATCH('LISTA - Setembro2024'!$AC399,Auxiliar!$D$4:$I$4,0))</f>
        <v>0</v>
      </c>
      <c r="AJ399" s="87">
        <f>INDEX(Auxiliar!$D$5:$I$10,MATCH('LISTA - Setembro2024'!AJ$3,Auxiliar!$B$5:$B$10,0),MATCH('LISTA - Setembro2024'!$AC399,Auxiliar!$D$4:$I$4,0))</f>
        <v>0</v>
      </c>
      <c r="AK399" s="160">
        <f t="shared" si="95"/>
        <v>0</v>
      </c>
      <c r="AL399" s="87"/>
    </row>
    <row r="400" spans="1:38" ht="13.8" x14ac:dyDescent="0.25">
      <c r="A400" s="158" t="s">
        <v>1053</v>
      </c>
      <c r="B400" s="81" t="str">
        <f t="shared" si="93"/>
        <v>INSTRUMENT_GRSS_CMMSSN_EXPNS_OFF_BLNC_CCRR</v>
      </c>
      <c r="C400" s="82" t="s">
        <v>414</v>
      </c>
      <c r="D400" s="83" t="s">
        <v>1054</v>
      </c>
      <c r="E400" s="93" t="s">
        <v>1055</v>
      </c>
      <c r="F400" s="85" t="s">
        <v>11</v>
      </c>
      <c r="G400" s="85" t="s">
        <v>13</v>
      </c>
      <c r="H400" s="85" t="s">
        <v>11</v>
      </c>
      <c r="I400" s="85" t="s">
        <v>11</v>
      </c>
      <c r="J400" s="85" t="s">
        <v>11</v>
      </c>
      <c r="K400" s="85" t="s">
        <v>11</v>
      </c>
      <c r="L400" s="86" t="str">
        <f>IFERROR(VLOOKUP($B400,'LISTA - Atual'!$B$1:$I$444,5,0),"Novo")</f>
        <v>N</v>
      </c>
      <c r="M400" s="86" t="str">
        <f t="shared" si="87"/>
        <v>Igual</v>
      </c>
      <c r="N400" s="86" t="str">
        <f>IFERROR(VLOOKUP($B400,'LISTA - Atual'!$B$1:$I$444,6,0),"Novo")</f>
        <v>Y</v>
      </c>
      <c r="O400" s="86" t="str">
        <f t="shared" si="88"/>
        <v>Igual</v>
      </c>
      <c r="P400" s="86" t="str">
        <f>IFERROR(VLOOKUP($B400,'LISTA - Atual'!$B$1:$I$444,7,0),"Novo")</f>
        <v>N</v>
      </c>
      <c r="Q400" s="86" t="str">
        <f t="shared" si="89"/>
        <v>Igual</v>
      </c>
      <c r="R400" s="86" t="s">
        <v>1563</v>
      </c>
      <c r="S400" s="86" t="str">
        <f>IFERROR(VLOOKUP($B400,'LISTA - Atual'!$B$1:$I$444,8,0),"Novo")</f>
        <v>N</v>
      </c>
      <c r="T400" s="86" t="str">
        <f t="shared" si="90"/>
        <v>Igual</v>
      </c>
      <c r="U400" s="86" t="s">
        <v>1563</v>
      </c>
      <c r="V400" s="86" t="s">
        <v>11</v>
      </c>
      <c r="W400" s="87" t="str">
        <f>IFERROR(VLOOKUP(B400,#REF!,11,0),"n/a")</f>
        <v>n/a</v>
      </c>
      <c r="X400" s="87" t="str">
        <f>IFERROR(VLOOKUP(B400,#REF!,8,0),"n/a")</f>
        <v>n/a</v>
      </c>
      <c r="Y400" s="87" t="str">
        <f t="shared" si="94"/>
        <v>GD</v>
      </c>
      <c r="Z400" s="131" t="s">
        <v>1605</v>
      </c>
      <c r="AA400" s="227" t="e">
        <f>VLOOKUP(Table1[[#This Row],[CONCAT]],'Campos Resumo Prop2.0'!A:H,8,0)</f>
        <v>#N/A</v>
      </c>
      <c r="AB400" s="87" t="s">
        <v>1655</v>
      </c>
      <c r="AC400" s="137" t="s">
        <v>1625</v>
      </c>
      <c r="AD400" s="91">
        <f>INDEX(Auxiliar!$D$5:$I$10,MATCH('LISTA - Setembro2024'!AD$3,Auxiliar!$B$5:$B$10,0),MATCH('LISTA - Setembro2024'!$AC400,Auxiliar!$D$4:$I$4,0))</f>
        <v>0</v>
      </c>
      <c r="AE400" s="91">
        <f>INDEX(Auxiliar!$D$5:$I$10,MATCH('LISTA - Setembro2024'!AE$3,Auxiliar!$B$5:$B$10,0),MATCH('LISTA - Setembro2024'!$AC400,Auxiliar!$D$4:$I$4,0))</f>
        <v>0</v>
      </c>
      <c r="AF400" s="87">
        <f>INDEX(Auxiliar!$D$5:$I$10,MATCH('LISTA - Setembro2024'!AF$3,Auxiliar!$B$5:$B$10,0),MATCH('LISTA - Setembro2024'!$AC400,Auxiliar!$D$4:$I$4,0))</f>
        <v>0</v>
      </c>
      <c r="AG400" s="87" t="str">
        <f t="shared" si="92"/>
        <v>n.a.</v>
      </c>
      <c r="AH400" s="87">
        <f>INDEX(Auxiliar!$D$5:$I$10,MATCH('LISTA - Setembro2024'!AH$3,Auxiliar!$B$5:$B$10,0),MATCH('LISTA - Setembro2024'!$AG400,Auxiliar!$D$4:$I$4,0))</f>
        <v>0</v>
      </c>
      <c r="AI400" s="87">
        <f>INDEX(Auxiliar!$D$5:$I$10,MATCH('LISTA - Setembro2024'!AI$3,Auxiliar!$B$5:$B$10,0),MATCH('LISTA - Setembro2024'!$AC400,Auxiliar!$D$4:$I$4,0))</f>
        <v>0</v>
      </c>
      <c r="AJ400" s="87">
        <f>INDEX(Auxiliar!$D$5:$I$10,MATCH('LISTA - Setembro2024'!AJ$3,Auxiliar!$B$5:$B$10,0),MATCH('LISTA - Setembro2024'!$AC400,Auxiliar!$D$4:$I$4,0))</f>
        <v>0</v>
      </c>
      <c r="AK400" s="160">
        <f t="shared" si="95"/>
        <v>0</v>
      </c>
      <c r="AL400" s="87"/>
    </row>
    <row r="401" spans="1:38" ht="13.8" x14ac:dyDescent="0.25">
      <c r="A401" s="158" t="s">
        <v>1056</v>
      </c>
      <c r="B401" s="81" t="str">
        <f t="shared" si="93"/>
        <v>INSTRUMENT_ENVRNMNTL_OBJCTV</v>
      </c>
      <c r="C401" s="82" t="s">
        <v>414</v>
      </c>
      <c r="D401" s="103" t="s">
        <v>1057</v>
      </c>
      <c r="E401" s="104" t="s">
        <v>1058</v>
      </c>
      <c r="F401" s="105" t="s">
        <v>11</v>
      </c>
      <c r="G401" s="105" t="s">
        <v>11</v>
      </c>
      <c r="H401" s="105" t="s">
        <v>13</v>
      </c>
      <c r="I401" s="85" t="s">
        <v>11</v>
      </c>
      <c r="J401" s="105" t="s">
        <v>11</v>
      </c>
      <c r="K401" s="85" t="s">
        <v>11</v>
      </c>
      <c r="L401" s="86" t="str">
        <f>IFERROR(VLOOKUP($B401,'LISTA - Atual'!$B$1:$I$444,5,0),"Novo")</f>
        <v>N</v>
      </c>
      <c r="M401" s="86" t="s">
        <v>1565</v>
      </c>
      <c r="N401" s="86" t="str">
        <f>IFERROR(VLOOKUP($B401,'LISTA - Atual'!$B$1:$I$444,6,0),"Novo")</f>
        <v>N</v>
      </c>
      <c r="O401" s="86" t="s">
        <v>1565</v>
      </c>
      <c r="P401" s="86" t="str">
        <f>IFERROR(VLOOKUP($B401,'LISTA - Atual'!$B$1:$I$444,7,0),"Novo")</f>
        <v>Y</v>
      </c>
      <c r="Q401" s="86" t="s">
        <v>1565</v>
      </c>
      <c r="R401" s="86" t="s">
        <v>1563</v>
      </c>
      <c r="S401" s="86" t="str">
        <f>IFERROR(VLOOKUP($B401,'LISTA - Atual'!$B$1:$I$444,8,0),"Novo")</f>
        <v>N</v>
      </c>
      <c r="T401" s="86" t="s">
        <v>1565</v>
      </c>
      <c r="U401" s="86" t="s">
        <v>1563</v>
      </c>
      <c r="V401" s="86" t="s">
        <v>11</v>
      </c>
      <c r="W401" s="87" t="str">
        <f>IFERROR(VLOOKUP(B401,#REF!,11,0),"n/a")</f>
        <v>n/a</v>
      </c>
      <c r="X401" s="87" t="str">
        <f>IFERROR(VLOOKUP(B401,#REF!,8,0),"n/a")</f>
        <v>n/a</v>
      </c>
      <c r="Y401" s="87" t="str">
        <f t="shared" ref="Y401:Y408" si="96">$H$2</f>
        <v>PILAR3</v>
      </c>
      <c r="Z401" s="131" t="s">
        <v>1609</v>
      </c>
      <c r="AA401" s="227" t="e">
        <f>VLOOKUP(Table1[[#This Row],[CONCAT]],'Campos Resumo Prop2.0'!A:H,8,0)</f>
        <v>#N/A</v>
      </c>
      <c r="AB401" s="87" t="s">
        <v>1650</v>
      </c>
      <c r="AC401" s="137" t="s">
        <v>1625</v>
      </c>
      <c r="AD401" s="91">
        <f>INDEX(Auxiliar!$D$5:$I$10,MATCH('LISTA - Setembro2024'!AD$3,Auxiliar!$B$5:$B$10,0),MATCH('LISTA - Setembro2024'!$AC401,Auxiliar!$D$4:$I$4,0))</f>
        <v>0</v>
      </c>
      <c r="AE401" s="91">
        <f>INDEX(Auxiliar!$D$5:$I$10,MATCH('LISTA - Setembro2024'!AE$3,Auxiliar!$B$5:$B$10,0),MATCH('LISTA - Setembro2024'!$AC401,Auxiliar!$D$4:$I$4,0))</f>
        <v>0</v>
      </c>
      <c r="AF401" s="87">
        <f>INDEX(Auxiliar!$D$5:$I$10,MATCH('LISTA - Setembro2024'!AF$3,Auxiliar!$B$5:$B$10,0),MATCH('LISTA - Setembro2024'!$AC401,Auxiliar!$D$4:$I$4,0))</f>
        <v>0</v>
      </c>
      <c r="AG401" s="87" t="str">
        <f t="shared" si="92"/>
        <v>n.a.</v>
      </c>
      <c r="AH401" s="87">
        <f>INDEX(Auxiliar!$D$5:$I$10,MATCH('LISTA - Setembro2024'!AH$3,Auxiliar!$B$5:$B$10,0),MATCH('LISTA - Setembro2024'!$AG401,Auxiliar!$D$4:$I$4,0))</f>
        <v>0</v>
      </c>
      <c r="AI401" s="87">
        <f>INDEX(Auxiliar!$D$5:$I$10,MATCH('LISTA - Setembro2024'!AI$3,Auxiliar!$B$5:$B$10,0),MATCH('LISTA - Setembro2024'!$AC401,Auxiliar!$D$4:$I$4,0))</f>
        <v>0</v>
      </c>
      <c r="AJ401" s="87">
        <f>INDEX(Auxiliar!$D$5:$I$10,MATCH('LISTA - Setembro2024'!AJ$3,Auxiliar!$B$5:$B$10,0),MATCH('LISTA - Setembro2024'!$AC401,Auxiliar!$D$4:$I$4,0))</f>
        <v>0</v>
      </c>
      <c r="AK401" s="160">
        <f t="shared" si="95"/>
        <v>0</v>
      </c>
      <c r="AL401" s="87"/>
    </row>
    <row r="402" spans="1:38" ht="13.8" x14ac:dyDescent="0.25">
      <c r="A402" s="158" t="s">
        <v>1059</v>
      </c>
      <c r="B402" s="81" t="str">
        <f t="shared" si="93"/>
        <v>INSTRUMENT_RSK_MTGTD_CCT</v>
      </c>
      <c r="C402" s="82" t="s">
        <v>414</v>
      </c>
      <c r="D402" s="83" t="s">
        <v>1060</v>
      </c>
      <c r="E402" s="84" t="s">
        <v>1061</v>
      </c>
      <c r="F402" s="85" t="s">
        <v>11</v>
      </c>
      <c r="G402" s="85" t="s">
        <v>11</v>
      </c>
      <c r="H402" s="85" t="s">
        <v>13</v>
      </c>
      <c r="I402" s="85" t="s">
        <v>11</v>
      </c>
      <c r="J402" s="85" t="s">
        <v>11</v>
      </c>
      <c r="K402" s="85" t="s">
        <v>11</v>
      </c>
      <c r="L402" s="86" t="str">
        <f>IFERROR(VLOOKUP($B402,'LISTA - Atual'!$B$1:$I$444,5,0),"Novo")</f>
        <v>N</v>
      </c>
      <c r="M402" s="86" t="str">
        <f>IF(L402="Novo","Novo Campo",IF(L402=F402,"Igual","Diferente"))</f>
        <v>Igual</v>
      </c>
      <c r="N402" s="86" t="str">
        <f>IFERROR(VLOOKUP($B402,'LISTA - Atual'!$B$1:$I$444,6,0),"Novo")</f>
        <v>N</v>
      </c>
      <c r="O402" s="86" t="str">
        <f>IF(N402="Novo","Novo Campo",IF(N402=G402,"Igual","Diferente"))</f>
        <v>Igual</v>
      </c>
      <c r="P402" s="86" t="str">
        <f>IFERROR(VLOOKUP($B402,'LISTA - Atual'!$B$1:$I$444,7,0),"Novo")</f>
        <v>Y</v>
      </c>
      <c r="Q402" s="86" t="str">
        <f>IF(P402="Novo","Novo Campo",IF(P402=H402,"Igual","Diferente"))</f>
        <v>Igual</v>
      </c>
      <c r="R402" s="86" t="s">
        <v>1563</v>
      </c>
      <c r="S402" s="86" t="str">
        <f>IFERROR(VLOOKUP($B402,'LISTA - Atual'!$B$1:$I$444,8,0),"Novo")</f>
        <v>N</v>
      </c>
      <c r="T402" s="86" t="str">
        <f>IF(S402="Novo","Novo Campo",IF(S402=J402,"Igual","Diferente"))</f>
        <v>Igual</v>
      </c>
      <c r="U402" s="86" t="s">
        <v>1563</v>
      </c>
      <c r="V402" s="86" t="s">
        <v>11</v>
      </c>
      <c r="W402" s="87" t="str">
        <f>IFERROR(VLOOKUP(B402,#REF!,11,0),"n/a")</f>
        <v>n/a</v>
      </c>
      <c r="X402" s="87" t="str">
        <f>IFERROR(VLOOKUP(B402,#REF!,8,0),"n/a")</f>
        <v>n/a</v>
      </c>
      <c r="Y402" s="87" t="str">
        <f t="shared" si="96"/>
        <v>PILAR3</v>
      </c>
      <c r="Z402" s="131" t="s">
        <v>1605</v>
      </c>
      <c r="AA402" s="227" t="e">
        <f>VLOOKUP(Table1[[#This Row],[CONCAT]],'Campos Resumo Prop2.0'!A:H,8,0)</f>
        <v>#N/A</v>
      </c>
      <c r="AB402" s="87" t="s">
        <v>1650</v>
      </c>
      <c r="AC402" s="137" t="s">
        <v>1625</v>
      </c>
      <c r="AD402" s="91">
        <f>INDEX(Auxiliar!$D$5:$I$10,MATCH('LISTA - Setembro2024'!AD$3,Auxiliar!$B$5:$B$10,0),MATCH('LISTA - Setembro2024'!$AC402,Auxiliar!$D$4:$I$4,0))</f>
        <v>0</v>
      </c>
      <c r="AE402" s="91">
        <f>INDEX(Auxiliar!$D$5:$I$10,MATCH('LISTA - Setembro2024'!AE$3,Auxiliar!$B$5:$B$10,0),MATCH('LISTA - Setembro2024'!$AC402,Auxiliar!$D$4:$I$4,0))</f>
        <v>0</v>
      </c>
      <c r="AF402" s="87">
        <f>INDEX(Auxiliar!$D$5:$I$10,MATCH('LISTA - Setembro2024'!AF$3,Auxiliar!$B$5:$B$10,0),MATCH('LISTA - Setembro2024'!$AC402,Auxiliar!$D$4:$I$4,0))</f>
        <v>0</v>
      </c>
      <c r="AG402" s="87" t="str">
        <f t="shared" si="92"/>
        <v>n.a.</v>
      </c>
      <c r="AH402" s="87">
        <f>INDEX(Auxiliar!$D$5:$I$10,MATCH('LISTA - Setembro2024'!AH$3,Auxiliar!$B$5:$B$10,0),MATCH('LISTA - Setembro2024'!$AG402,Auxiliar!$D$4:$I$4,0))</f>
        <v>0</v>
      </c>
      <c r="AI402" s="87">
        <f>INDEX(Auxiliar!$D$5:$I$10,MATCH('LISTA - Setembro2024'!AI$3,Auxiliar!$B$5:$B$10,0),MATCH('LISTA - Setembro2024'!$AC402,Auxiliar!$D$4:$I$4,0))</f>
        <v>0</v>
      </c>
      <c r="AJ402" s="87">
        <f>INDEX(Auxiliar!$D$5:$I$10,MATCH('LISTA - Setembro2024'!AJ$3,Auxiliar!$B$5:$B$10,0),MATCH('LISTA - Setembro2024'!$AC402,Auxiliar!$D$4:$I$4,0))</f>
        <v>0</v>
      </c>
      <c r="AK402" s="160">
        <f t="shared" si="95"/>
        <v>0</v>
      </c>
      <c r="AL402" s="87"/>
    </row>
    <row r="403" spans="1:38" ht="13.8" x14ac:dyDescent="0.25">
      <c r="A403" s="158" t="s">
        <v>1062</v>
      </c>
      <c r="B403" s="81" t="str">
        <f t="shared" si="93"/>
        <v>INSTRUMENT_RSK_MTGTD_CCP</v>
      </c>
      <c r="C403" s="82" t="s">
        <v>414</v>
      </c>
      <c r="D403" s="83" t="s">
        <v>1063</v>
      </c>
      <c r="E403" s="84" t="s">
        <v>1064</v>
      </c>
      <c r="F403" s="85" t="s">
        <v>11</v>
      </c>
      <c r="G403" s="85" t="s">
        <v>11</v>
      </c>
      <c r="H403" s="85" t="s">
        <v>13</v>
      </c>
      <c r="I403" s="85" t="s">
        <v>11</v>
      </c>
      <c r="J403" s="85" t="s">
        <v>11</v>
      </c>
      <c r="K403" s="85" t="s">
        <v>11</v>
      </c>
      <c r="L403" s="86" t="str">
        <f>IFERROR(VLOOKUP($B403,'LISTA - Atual'!$B$1:$I$444,5,0),"Novo")</f>
        <v>N</v>
      </c>
      <c r="M403" s="86" t="str">
        <f>IF(L403="Novo","Novo Campo",IF(L403=F403,"Igual","Diferente"))</f>
        <v>Igual</v>
      </c>
      <c r="N403" s="86" t="str">
        <f>IFERROR(VLOOKUP($B403,'LISTA - Atual'!$B$1:$I$444,6,0),"Novo")</f>
        <v>N</v>
      </c>
      <c r="O403" s="86" t="str">
        <f>IF(N403="Novo","Novo Campo",IF(N403=G403,"Igual","Diferente"))</f>
        <v>Igual</v>
      </c>
      <c r="P403" s="86" t="str">
        <f>IFERROR(VLOOKUP($B403,'LISTA - Atual'!$B$1:$I$444,7,0),"Novo")</f>
        <v>Y</v>
      </c>
      <c r="Q403" s="86" t="str">
        <f>IF(P403="Novo","Novo Campo",IF(P403=H403,"Igual","Diferente"))</f>
        <v>Igual</v>
      </c>
      <c r="R403" s="86" t="s">
        <v>1563</v>
      </c>
      <c r="S403" s="86" t="str">
        <f>IFERROR(VLOOKUP($B403,'LISTA - Atual'!$B$1:$I$444,8,0),"Novo")</f>
        <v>N</v>
      </c>
      <c r="T403" s="86" t="str">
        <f>IF(S403="Novo","Novo Campo",IF(S403=J403,"Igual","Diferente"))</f>
        <v>Igual</v>
      </c>
      <c r="U403" s="86" t="s">
        <v>1563</v>
      </c>
      <c r="V403" s="86" t="s">
        <v>11</v>
      </c>
      <c r="W403" s="87" t="str">
        <f>IFERROR(VLOOKUP(B403,#REF!,11,0),"n/a")</f>
        <v>n/a</v>
      </c>
      <c r="X403" s="87" t="str">
        <f>IFERROR(VLOOKUP(B403,#REF!,8,0),"n/a")</f>
        <v>n/a</v>
      </c>
      <c r="Y403" s="87" t="str">
        <f t="shared" si="96"/>
        <v>PILAR3</v>
      </c>
      <c r="Z403" s="131" t="s">
        <v>1605</v>
      </c>
      <c r="AA403" s="227" t="e">
        <f>VLOOKUP(Table1[[#This Row],[CONCAT]],'Campos Resumo Prop2.0'!A:H,8,0)</f>
        <v>#N/A</v>
      </c>
      <c r="AB403" s="87" t="s">
        <v>1650</v>
      </c>
      <c r="AC403" s="137" t="s">
        <v>1625</v>
      </c>
      <c r="AD403" s="91">
        <f>INDEX(Auxiliar!$D$5:$I$10,MATCH('LISTA - Setembro2024'!AD$3,Auxiliar!$B$5:$B$10,0),MATCH('LISTA - Setembro2024'!$AC403,Auxiliar!$D$4:$I$4,0))</f>
        <v>0</v>
      </c>
      <c r="AE403" s="91">
        <f>INDEX(Auxiliar!$D$5:$I$10,MATCH('LISTA - Setembro2024'!AE$3,Auxiliar!$B$5:$B$10,0),MATCH('LISTA - Setembro2024'!$AC403,Auxiliar!$D$4:$I$4,0))</f>
        <v>0</v>
      </c>
      <c r="AF403" s="87">
        <f>INDEX(Auxiliar!$D$5:$I$10,MATCH('LISTA - Setembro2024'!AF$3,Auxiliar!$B$5:$B$10,0),MATCH('LISTA - Setembro2024'!$AC403,Auxiliar!$D$4:$I$4,0))</f>
        <v>0</v>
      </c>
      <c r="AG403" s="87" t="str">
        <f t="shared" si="92"/>
        <v>n.a.</v>
      </c>
      <c r="AH403" s="87">
        <f>INDEX(Auxiliar!$D$5:$I$10,MATCH('LISTA - Setembro2024'!AH$3,Auxiliar!$B$5:$B$10,0),MATCH('LISTA - Setembro2024'!$AG403,Auxiliar!$D$4:$I$4,0))</f>
        <v>0</v>
      </c>
      <c r="AI403" s="87">
        <f>INDEX(Auxiliar!$D$5:$I$10,MATCH('LISTA - Setembro2024'!AI$3,Auxiliar!$B$5:$B$10,0),MATCH('LISTA - Setembro2024'!$AC403,Auxiliar!$D$4:$I$4,0))</f>
        <v>0</v>
      </c>
      <c r="AJ403" s="87">
        <f>INDEX(Auxiliar!$D$5:$I$10,MATCH('LISTA - Setembro2024'!AJ$3,Auxiliar!$B$5:$B$10,0),MATCH('LISTA - Setembro2024'!$AC403,Auxiliar!$D$4:$I$4,0))</f>
        <v>0</v>
      </c>
      <c r="AK403" s="160">
        <f t="shared" si="95"/>
        <v>0</v>
      </c>
      <c r="AL403" s="87"/>
    </row>
    <row r="404" spans="1:38" ht="13.8" x14ac:dyDescent="0.25">
      <c r="A404" s="158" t="s">
        <v>1065</v>
      </c>
      <c r="B404" s="81" t="str">
        <f t="shared" si="93"/>
        <v>INSTRUMENT_TYP_ACTVTY</v>
      </c>
      <c r="C404" s="82" t="s">
        <v>414</v>
      </c>
      <c r="D404" s="103" t="s">
        <v>1066</v>
      </c>
      <c r="E404" s="104" t="s">
        <v>1067</v>
      </c>
      <c r="F404" s="105" t="s">
        <v>11</v>
      </c>
      <c r="G404" s="105" t="s">
        <v>11</v>
      </c>
      <c r="H404" s="105" t="s">
        <v>13</v>
      </c>
      <c r="I404" s="85" t="s">
        <v>11</v>
      </c>
      <c r="J404" s="105" t="s">
        <v>11</v>
      </c>
      <c r="K404" s="85" t="s">
        <v>11</v>
      </c>
      <c r="L404" s="86" t="str">
        <f>IFERROR(VLOOKUP($B404,'LISTA - Atual'!$B$1:$I$444,5,0),"Novo")</f>
        <v>N</v>
      </c>
      <c r="M404" s="86" t="s">
        <v>1565</v>
      </c>
      <c r="N404" s="86" t="str">
        <f>IFERROR(VLOOKUP($B404,'LISTA - Atual'!$B$1:$I$444,6,0),"Novo")</f>
        <v>N</v>
      </c>
      <c r="O404" s="86" t="s">
        <v>1565</v>
      </c>
      <c r="P404" s="86" t="str">
        <f>IFERROR(VLOOKUP($B404,'LISTA - Atual'!$B$1:$I$444,7,0),"Novo")</f>
        <v>Y</v>
      </c>
      <c r="Q404" s="86" t="s">
        <v>1565</v>
      </c>
      <c r="R404" s="86" t="s">
        <v>1563</v>
      </c>
      <c r="S404" s="86" t="str">
        <f>IFERROR(VLOOKUP($B404,'LISTA - Atual'!$B$1:$I$444,8,0),"Novo")</f>
        <v>N</v>
      </c>
      <c r="T404" s="86" t="s">
        <v>1565</v>
      </c>
      <c r="U404" s="86" t="s">
        <v>1563</v>
      </c>
      <c r="V404" s="86" t="s">
        <v>11</v>
      </c>
      <c r="W404" s="87" t="str">
        <f>IFERROR(VLOOKUP(B404,#REF!,11,0),"n/a")</f>
        <v>n/a</v>
      </c>
      <c r="X404" s="87" t="str">
        <f>IFERROR(VLOOKUP(B404,#REF!,8,0),"n/a")</f>
        <v>n/a</v>
      </c>
      <c r="Y404" s="87" t="str">
        <f t="shared" si="96"/>
        <v>PILAR3</v>
      </c>
      <c r="Z404" s="131" t="s">
        <v>1609</v>
      </c>
      <c r="AA404" s="227" t="e">
        <f>VLOOKUP(Table1[[#This Row],[CONCAT]],'Campos Resumo Prop2.0'!A:H,8,0)</f>
        <v>#N/A</v>
      </c>
      <c r="AB404" s="87" t="s">
        <v>1650</v>
      </c>
      <c r="AC404" s="137" t="s">
        <v>1625</v>
      </c>
      <c r="AD404" s="91">
        <f>INDEX(Auxiliar!$D$5:$I$10,MATCH('LISTA - Setembro2024'!AD$3,Auxiliar!$B$5:$B$10,0),MATCH('LISTA - Setembro2024'!$AC404,Auxiliar!$D$4:$I$4,0))</f>
        <v>0</v>
      </c>
      <c r="AE404" s="91">
        <f>INDEX(Auxiliar!$D$5:$I$10,MATCH('LISTA - Setembro2024'!AE$3,Auxiliar!$B$5:$B$10,0),MATCH('LISTA - Setembro2024'!$AC404,Auxiliar!$D$4:$I$4,0))</f>
        <v>0</v>
      </c>
      <c r="AF404" s="87">
        <f>INDEX(Auxiliar!$D$5:$I$10,MATCH('LISTA - Setembro2024'!AF$3,Auxiliar!$B$5:$B$10,0),MATCH('LISTA - Setembro2024'!$AC404,Auxiliar!$D$4:$I$4,0))</f>
        <v>0</v>
      </c>
      <c r="AG404" s="87" t="str">
        <f t="shared" si="92"/>
        <v>n.a.</v>
      </c>
      <c r="AH404" s="87">
        <f>INDEX(Auxiliar!$D$5:$I$10,MATCH('LISTA - Setembro2024'!AH$3,Auxiliar!$B$5:$B$10,0),MATCH('LISTA - Setembro2024'!$AG404,Auxiliar!$D$4:$I$4,0))</f>
        <v>0</v>
      </c>
      <c r="AI404" s="87">
        <f>INDEX(Auxiliar!$D$5:$I$10,MATCH('LISTA - Setembro2024'!AI$3,Auxiliar!$B$5:$B$10,0),MATCH('LISTA - Setembro2024'!$AC404,Auxiliar!$D$4:$I$4,0))</f>
        <v>0</v>
      </c>
      <c r="AJ404" s="87">
        <f>INDEX(Auxiliar!$D$5:$I$10,MATCH('LISTA - Setembro2024'!AJ$3,Auxiliar!$B$5:$B$10,0),MATCH('LISTA - Setembro2024'!$AC404,Auxiliar!$D$4:$I$4,0))</f>
        <v>0</v>
      </c>
      <c r="AK404" s="160">
        <f t="shared" si="95"/>
        <v>0</v>
      </c>
      <c r="AL404" s="87"/>
    </row>
    <row r="405" spans="1:38" ht="13.8" x14ac:dyDescent="0.25">
      <c r="A405" s="158" t="s">
        <v>1068</v>
      </c>
      <c r="B405" s="81" t="str">
        <f t="shared" si="93"/>
        <v>INSTRUMENT_LNS_CLLTRLZD_CLSSFCTN</v>
      </c>
      <c r="C405" s="82" t="s">
        <v>414</v>
      </c>
      <c r="D405" s="83" t="s">
        <v>1069</v>
      </c>
      <c r="E405" s="106" t="s">
        <v>1070</v>
      </c>
      <c r="F405" s="85" t="s">
        <v>11</v>
      </c>
      <c r="G405" s="85" t="s">
        <v>11</v>
      </c>
      <c r="H405" s="85" t="s">
        <v>13</v>
      </c>
      <c r="I405" s="85" t="s">
        <v>11</v>
      </c>
      <c r="J405" s="85" t="s">
        <v>11</v>
      </c>
      <c r="K405" s="85" t="s">
        <v>11</v>
      </c>
      <c r="L405" s="86" t="str">
        <f>IFERROR(VLOOKUP($B405,'LISTA - Atual'!$B$1:$I$444,5,0),"Novo")</f>
        <v>N</v>
      </c>
      <c r="M405" s="86" t="str">
        <f t="shared" ref="M405:M414" si="97">IF(L405="Novo","Novo Campo",IF(L405=F405,"Igual","Diferente"))</f>
        <v>Igual</v>
      </c>
      <c r="N405" s="86" t="str">
        <f>IFERROR(VLOOKUP($B405,'LISTA - Atual'!$B$1:$I$444,6,0),"Novo")</f>
        <v>N</v>
      </c>
      <c r="O405" s="86" t="str">
        <f t="shared" ref="O405:O414" si="98">IF(N405="Novo","Novo Campo",IF(N405=G405,"Igual","Diferente"))</f>
        <v>Igual</v>
      </c>
      <c r="P405" s="86" t="str">
        <f>IFERROR(VLOOKUP($B405,'LISTA - Atual'!$B$1:$I$444,7,0),"Novo")</f>
        <v>Y</v>
      </c>
      <c r="Q405" s="86" t="str">
        <f t="shared" ref="Q405:Q414" si="99">IF(P405="Novo","Novo Campo",IF(P405=H405,"Igual","Diferente"))</f>
        <v>Igual</v>
      </c>
      <c r="R405" s="86" t="s">
        <v>1563</v>
      </c>
      <c r="S405" s="86" t="str">
        <f>IFERROR(VLOOKUP($B405,'LISTA - Atual'!$B$1:$I$444,8,0),"Novo")</f>
        <v>N</v>
      </c>
      <c r="T405" s="86" t="str">
        <f t="shared" ref="T405:T414" si="100">IF(S405="Novo","Novo Campo",IF(S405=J405,"Igual","Diferente"))</f>
        <v>Igual</v>
      </c>
      <c r="U405" s="86" t="s">
        <v>1563</v>
      </c>
      <c r="V405" s="86" t="s">
        <v>11</v>
      </c>
      <c r="W405" s="87" t="str">
        <f>IFERROR(VLOOKUP(B405,#REF!,11,0),"n/a")</f>
        <v>n/a</v>
      </c>
      <c r="X405" s="87" t="str">
        <f>IFERROR(VLOOKUP(B405,#REF!,8,0),"n/a")</f>
        <v>n/a</v>
      </c>
      <c r="Y405" s="87" t="str">
        <f t="shared" si="96"/>
        <v>PILAR3</v>
      </c>
      <c r="Z405" s="131" t="s">
        <v>1605</v>
      </c>
      <c r="AA405" s="227" t="e">
        <f>VLOOKUP(Table1[[#This Row],[CONCAT]],'Campos Resumo Prop2.0'!A:H,8,0)</f>
        <v>#N/A</v>
      </c>
      <c r="AB405" s="87" t="s">
        <v>1650</v>
      </c>
      <c r="AC405" s="137" t="s">
        <v>1625</v>
      </c>
      <c r="AD405" s="91">
        <f>INDEX(Auxiliar!$D$5:$I$10,MATCH('LISTA - Setembro2024'!AD$3,Auxiliar!$B$5:$B$10,0),MATCH('LISTA - Setembro2024'!$AC405,Auxiliar!$D$4:$I$4,0))</f>
        <v>0</v>
      </c>
      <c r="AE405" s="91">
        <f>INDEX(Auxiliar!$D$5:$I$10,MATCH('LISTA - Setembro2024'!AE$3,Auxiliar!$B$5:$B$10,0),MATCH('LISTA - Setembro2024'!$AC405,Auxiliar!$D$4:$I$4,0))</f>
        <v>0</v>
      </c>
      <c r="AF405" s="87">
        <f>INDEX(Auxiliar!$D$5:$I$10,MATCH('LISTA - Setembro2024'!AF$3,Auxiliar!$B$5:$B$10,0),MATCH('LISTA - Setembro2024'!$AC405,Auxiliar!$D$4:$I$4,0))</f>
        <v>0</v>
      </c>
      <c r="AG405" s="87" t="str">
        <f t="shared" si="92"/>
        <v>n.a.</v>
      </c>
      <c r="AH405" s="87">
        <f>INDEX(Auxiliar!$D$5:$I$10,MATCH('LISTA - Setembro2024'!AH$3,Auxiliar!$B$5:$B$10,0),MATCH('LISTA - Setembro2024'!$AG405,Auxiliar!$D$4:$I$4,0))</f>
        <v>0</v>
      </c>
      <c r="AI405" s="87">
        <f>INDEX(Auxiliar!$D$5:$I$10,MATCH('LISTA - Setembro2024'!AI$3,Auxiliar!$B$5:$B$10,0),MATCH('LISTA - Setembro2024'!$AC405,Auxiliar!$D$4:$I$4,0))</f>
        <v>0</v>
      </c>
      <c r="AJ405" s="87">
        <f>INDEX(Auxiliar!$D$5:$I$10,MATCH('LISTA - Setembro2024'!AJ$3,Auxiliar!$B$5:$B$10,0),MATCH('LISTA - Setembro2024'!$AC405,Auxiliar!$D$4:$I$4,0))</f>
        <v>0</v>
      </c>
      <c r="AK405" s="160">
        <f t="shared" si="95"/>
        <v>0</v>
      </c>
      <c r="AL405" s="87"/>
    </row>
    <row r="406" spans="1:38" ht="13.8" x14ac:dyDescent="0.25">
      <c r="A406" s="158" t="s">
        <v>1071</v>
      </c>
      <c r="B406" s="81" t="str">
        <f t="shared" si="93"/>
        <v>INSTRUMENT_MTHD_USD_INSTRMNT_SCP_1</v>
      </c>
      <c r="C406" s="82" t="s">
        <v>414</v>
      </c>
      <c r="D406" s="83" t="s">
        <v>1072</v>
      </c>
      <c r="E406" s="93" t="s">
        <v>1073</v>
      </c>
      <c r="F406" s="85" t="s">
        <v>11</v>
      </c>
      <c r="G406" s="85" t="s">
        <v>11</v>
      </c>
      <c r="H406" s="85" t="s">
        <v>13</v>
      </c>
      <c r="I406" s="85" t="s">
        <v>11</v>
      </c>
      <c r="J406" s="85" t="s">
        <v>11</v>
      </c>
      <c r="K406" s="85" t="s">
        <v>11</v>
      </c>
      <c r="L406" s="86" t="str">
        <f>IFERROR(VLOOKUP($B406,'LISTA - Atual'!$B$1:$I$444,5,0),"Novo")</f>
        <v>N</v>
      </c>
      <c r="M406" s="86" t="str">
        <f t="shared" si="97"/>
        <v>Igual</v>
      </c>
      <c r="N406" s="86" t="str">
        <f>IFERROR(VLOOKUP($B406,'LISTA - Atual'!$B$1:$I$444,6,0),"Novo")</f>
        <v>N</v>
      </c>
      <c r="O406" s="86" t="str">
        <f t="shared" si="98"/>
        <v>Igual</v>
      </c>
      <c r="P406" s="86" t="str">
        <f>IFERROR(VLOOKUP($B406,'LISTA - Atual'!$B$1:$I$444,7,0),"Novo")</f>
        <v>Y</v>
      </c>
      <c r="Q406" s="86" t="str">
        <f t="shared" si="99"/>
        <v>Igual</v>
      </c>
      <c r="R406" s="86" t="s">
        <v>1563</v>
      </c>
      <c r="S406" s="86" t="str">
        <f>IFERROR(VLOOKUP($B406,'LISTA - Atual'!$B$1:$I$444,8,0),"Novo")</f>
        <v>N</v>
      </c>
      <c r="T406" s="86" t="str">
        <f t="shared" si="100"/>
        <v>Igual</v>
      </c>
      <c r="U406" s="86" t="s">
        <v>1563</v>
      </c>
      <c r="V406" s="86" t="s">
        <v>11</v>
      </c>
      <c r="W406" s="87" t="str">
        <f>IFERROR(VLOOKUP(B406,#REF!,11,0),"n/a")</f>
        <v>n/a</v>
      </c>
      <c r="X406" s="87" t="str">
        <f>IFERROR(VLOOKUP(B406,#REF!,8,0),"n/a")</f>
        <v>n/a</v>
      </c>
      <c r="Y406" s="87" t="str">
        <f t="shared" si="96"/>
        <v>PILAR3</v>
      </c>
      <c r="Z406" s="131" t="s">
        <v>1605</v>
      </c>
      <c r="AA406" s="227" t="e">
        <f>VLOOKUP(Table1[[#This Row],[CONCAT]],'Campos Resumo Prop2.0'!A:H,8,0)</f>
        <v>#N/A</v>
      </c>
      <c r="AB406" s="87" t="s">
        <v>1650</v>
      </c>
      <c r="AC406" s="137" t="s">
        <v>1625</v>
      </c>
      <c r="AD406" s="91">
        <f>INDEX(Auxiliar!$D$5:$I$10,MATCH('LISTA - Setembro2024'!AD$3,Auxiliar!$B$5:$B$10,0),MATCH('LISTA - Setembro2024'!$AC406,Auxiliar!$D$4:$I$4,0))</f>
        <v>0</v>
      </c>
      <c r="AE406" s="91">
        <f>INDEX(Auxiliar!$D$5:$I$10,MATCH('LISTA - Setembro2024'!AE$3,Auxiliar!$B$5:$B$10,0),MATCH('LISTA - Setembro2024'!$AC406,Auxiliar!$D$4:$I$4,0))</f>
        <v>0</v>
      </c>
      <c r="AF406" s="87">
        <f>INDEX(Auxiliar!$D$5:$I$10,MATCH('LISTA - Setembro2024'!AF$3,Auxiliar!$B$5:$B$10,0),MATCH('LISTA - Setembro2024'!$AC406,Auxiliar!$D$4:$I$4,0))</f>
        <v>0</v>
      </c>
      <c r="AG406" s="87" t="str">
        <f t="shared" si="92"/>
        <v>n.a.</v>
      </c>
      <c r="AH406" s="87">
        <f>INDEX(Auxiliar!$D$5:$I$10,MATCH('LISTA - Setembro2024'!AH$3,Auxiliar!$B$5:$B$10,0),MATCH('LISTA - Setembro2024'!$AG406,Auxiliar!$D$4:$I$4,0))</f>
        <v>0</v>
      </c>
      <c r="AI406" s="87">
        <f>INDEX(Auxiliar!$D$5:$I$10,MATCH('LISTA - Setembro2024'!AI$3,Auxiliar!$B$5:$B$10,0),MATCH('LISTA - Setembro2024'!$AC406,Auxiliar!$D$4:$I$4,0))</f>
        <v>0</v>
      </c>
      <c r="AJ406" s="87">
        <f>INDEX(Auxiliar!$D$5:$I$10,MATCH('LISTA - Setembro2024'!AJ$3,Auxiliar!$B$5:$B$10,0),MATCH('LISTA - Setembro2024'!$AC406,Auxiliar!$D$4:$I$4,0))</f>
        <v>0</v>
      </c>
      <c r="AK406" s="160">
        <f t="shared" si="95"/>
        <v>0</v>
      </c>
      <c r="AL406" s="87"/>
    </row>
    <row r="407" spans="1:38" ht="13.8" x14ac:dyDescent="0.25">
      <c r="A407" s="158" t="s">
        <v>1074</v>
      </c>
      <c r="B407" s="81" t="str">
        <f t="shared" si="93"/>
        <v>INSTRUMENT_MTHD_USD_INSTRMNT_SCP_2</v>
      </c>
      <c r="C407" s="82" t="s">
        <v>414</v>
      </c>
      <c r="D407" s="83" t="s">
        <v>1075</v>
      </c>
      <c r="E407" s="93" t="s">
        <v>1076</v>
      </c>
      <c r="F407" s="85" t="s">
        <v>11</v>
      </c>
      <c r="G407" s="85" t="s">
        <v>11</v>
      </c>
      <c r="H407" s="85" t="s">
        <v>13</v>
      </c>
      <c r="I407" s="85" t="s">
        <v>11</v>
      </c>
      <c r="J407" s="85" t="s">
        <v>11</v>
      </c>
      <c r="K407" s="85" t="s">
        <v>11</v>
      </c>
      <c r="L407" s="86" t="str">
        <f>IFERROR(VLOOKUP($B407,'LISTA - Atual'!$B$1:$I$444,5,0),"Novo")</f>
        <v>N</v>
      </c>
      <c r="M407" s="86" t="str">
        <f t="shared" si="97"/>
        <v>Igual</v>
      </c>
      <c r="N407" s="86" t="str">
        <f>IFERROR(VLOOKUP($B407,'LISTA - Atual'!$B$1:$I$444,6,0),"Novo")</f>
        <v>N</v>
      </c>
      <c r="O407" s="86" t="str">
        <f t="shared" si="98"/>
        <v>Igual</v>
      </c>
      <c r="P407" s="86" t="str">
        <f>IFERROR(VLOOKUP($B407,'LISTA - Atual'!$B$1:$I$444,7,0),"Novo")</f>
        <v>Y</v>
      </c>
      <c r="Q407" s="86" t="str">
        <f t="shared" si="99"/>
        <v>Igual</v>
      </c>
      <c r="R407" s="86" t="s">
        <v>1563</v>
      </c>
      <c r="S407" s="86" t="str">
        <f>IFERROR(VLOOKUP($B407,'LISTA - Atual'!$B$1:$I$444,8,0),"Novo")</f>
        <v>N</v>
      </c>
      <c r="T407" s="86" t="str">
        <f t="shared" si="100"/>
        <v>Igual</v>
      </c>
      <c r="U407" s="86" t="s">
        <v>1563</v>
      </c>
      <c r="V407" s="86" t="s">
        <v>11</v>
      </c>
      <c r="W407" s="87" t="str">
        <f>IFERROR(VLOOKUP(B407,#REF!,11,0),"n/a")</f>
        <v>n/a</v>
      </c>
      <c r="X407" s="87" t="str">
        <f>IFERROR(VLOOKUP(B407,#REF!,8,0),"n/a")</f>
        <v>n/a</v>
      </c>
      <c r="Y407" s="87" t="str">
        <f t="shared" si="96"/>
        <v>PILAR3</v>
      </c>
      <c r="Z407" s="131" t="s">
        <v>1605</v>
      </c>
      <c r="AA407" s="227" t="e">
        <f>VLOOKUP(Table1[[#This Row],[CONCAT]],'Campos Resumo Prop2.0'!A:H,8,0)</f>
        <v>#N/A</v>
      </c>
      <c r="AB407" s="87" t="s">
        <v>1650</v>
      </c>
      <c r="AC407" s="137" t="s">
        <v>1625</v>
      </c>
      <c r="AD407" s="91">
        <f>INDEX(Auxiliar!$D$5:$I$10,MATCH('LISTA - Setembro2024'!AD$3,Auxiliar!$B$5:$B$10,0),MATCH('LISTA - Setembro2024'!$AC407,Auxiliar!$D$4:$I$4,0))</f>
        <v>0</v>
      </c>
      <c r="AE407" s="91">
        <f>INDEX(Auxiliar!$D$5:$I$10,MATCH('LISTA - Setembro2024'!AE$3,Auxiliar!$B$5:$B$10,0),MATCH('LISTA - Setembro2024'!$AC407,Auxiliar!$D$4:$I$4,0))</f>
        <v>0</v>
      </c>
      <c r="AF407" s="87">
        <f>INDEX(Auxiliar!$D$5:$I$10,MATCH('LISTA - Setembro2024'!AF$3,Auxiliar!$B$5:$B$10,0),MATCH('LISTA - Setembro2024'!$AC407,Auxiliar!$D$4:$I$4,0))</f>
        <v>0</v>
      </c>
      <c r="AG407" s="87" t="str">
        <f t="shared" si="92"/>
        <v>n.a.</v>
      </c>
      <c r="AH407" s="87">
        <f>INDEX(Auxiliar!$D$5:$I$10,MATCH('LISTA - Setembro2024'!AH$3,Auxiliar!$B$5:$B$10,0),MATCH('LISTA - Setembro2024'!$AG407,Auxiliar!$D$4:$I$4,0))</f>
        <v>0</v>
      </c>
      <c r="AI407" s="87">
        <f>INDEX(Auxiliar!$D$5:$I$10,MATCH('LISTA - Setembro2024'!AI$3,Auxiliar!$B$5:$B$10,0),MATCH('LISTA - Setembro2024'!$AC407,Auxiliar!$D$4:$I$4,0))</f>
        <v>0</v>
      </c>
      <c r="AJ407" s="87">
        <f>INDEX(Auxiliar!$D$5:$I$10,MATCH('LISTA - Setembro2024'!AJ$3,Auxiliar!$B$5:$B$10,0),MATCH('LISTA - Setembro2024'!$AC407,Auxiliar!$D$4:$I$4,0))</f>
        <v>0</v>
      </c>
      <c r="AK407" s="160">
        <f t="shared" si="95"/>
        <v>0</v>
      </c>
      <c r="AL407" s="87"/>
    </row>
    <row r="408" spans="1:38" ht="13.8" x14ac:dyDescent="0.25">
      <c r="A408" s="158" t="s">
        <v>1077</v>
      </c>
      <c r="B408" s="81" t="str">
        <f t="shared" si="93"/>
        <v>INSTRUMENT_MTHD_USD_INSTRMNT_SCP_3</v>
      </c>
      <c r="C408" s="82" t="s">
        <v>414</v>
      </c>
      <c r="D408" s="83" t="s">
        <v>1078</v>
      </c>
      <c r="E408" s="93" t="s">
        <v>1079</v>
      </c>
      <c r="F408" s="85" t="s">
        <v>11</v>
      </c>
      <c r="G408" s="85" t="s">
        <v>11</v>
      </c>
      <c r="H408" s="85" t="s">
        <v>13</v>
      </c>
      <c r="I408" s="85" t="s">
        <v>11</v>
      </c>
      <c r="J408" s="85" t="s">
        <v>11</v>
      </c>
      <c r="K408" s="85" t="s">
        <v>11</v>
      </c>
      <c r="L408" s="86" t="str">
        <f>IFERROR(VLOOKUP($B408,'LISTA - Atual'!$B$1:$I$444,5,0),"Novo")</f>
        <v>N</v>
      </c>
      <c r="M408" s="86" t="str">
        <f t="shared" si="97"/>
        <v>Igual</v>
      </c>
      <c r="N408" s="86" t="str">
        <f>IFERROR(VLOOKUP($B408,'LISTA - Atual'!$B$1:$I$444,6,0),"Novo")</f>
        <v>N</v>
      </c>
      <c r="O408" s="86" t="str">
        <f t="shared" si="98"/>
        <v>Igual</v>
      </c>
      <c r="P408" s="86" t="str">
        <f>IFERROR(VLOOKUP($B408,'LISTA - Atual'!$B$1:$I$444,7,0),"Novo")</f>
        <v>Y</v>
      </c>
      <c r="Q408" s="86" t="str">
        <f t="shared" si="99"/>
        <v>Igual</v>
      </c>
      <c r="R408" s="86" t="s">
        <v>1563</v>
      </c>
      <c r="S408" s="86" t="str">
        <f>IFERROR(VLOOKUP($B408,'LISTA - Atual'!$B$1:$I$444,8,0),"Novo")</f>
        <v>N</v>
      </c>
      <c r="T408" s="86" t="str">
        <f t="shared" si="100"/>
        <v>Igual</v>
      </c>
      <c r="U408" s="86" t="s">
        <v>1563</v>
      </c>
      <c r="V408" s="86" t="s">
        <v>11</v>
      </c>
      <c r="W408" s="87" t="str">
        <f>IFERROR(VLOOKUP(B408,#REF!,11,0),"n/a")</f>
        <v>n/a</v>
      </c>
      <c r="X408" s="87" t="str">
        <f>IFERROR(VLOOKUP(B408,#REF!,8,0),"n/a")</f>
        <v>n/a</v>
      </c>
      <c r="Y408" s="87" t="str">
        <f t="shared" si="96"/>
        <v>PILAR3</v>
      </c>
      <c r="Z408" s="131" t="s">
        <v>1605</v>
      </c>
      <c r="AA408" s="227" t="e">
        <f>VLOOKUP(Table1[[#This Row],[CONCAT]],'Campos Resumo Prop2.0'!A:H,8,0)</f>
        <v>#N/A</v>
      </c>
      <c r="AB408" s="87" t="s">
        <v>1650</v>
      </c>
      <c r="AC408" s="137" t="s">
        <v>1625</v>
      </c>
      <c r="AD408" s="91">
        <f>INDEX(Auxiliar!$D$5:$I$10,MATCH('LISTA - Setembro2024'!AD$3,Auxiliar!$B$5:$B$10,0),MATCH('LISTA - Setembro2024'!$AC408,Auxiliar!$D$4:$I$4,0))</f>
        <v>0</v>
      </c>
      <c r="AE408" s="91">
        <f>INDEX(Auxiliar!$D$5:$I$10,MATCH('LISTA - Setembro2024'!AE$3,Auxiliar!$B$5:$B$10,0),MATCH('LISTA - Setembro2024'!$AC408,Auxiliar!$D$4:$I$4,0))</f>
        <v>0</v>
      </c>
      <c r="AF408" s="87">
        <f>INDEX(Auxiliar!$D$5:$I$10,MATCH('LISTA - Setembro2024'!AF$3,Auxiliar!$B$5:$B$10,0),MATCH('LISTA - Setembro2024'!$AC408,Auxiliar!$D$4:$I$4,0))</f>
        <v>0</v>
      </c>
      <c r="AG408" s="87" t="str">
        <f t="shared" si="92"/>
        <v>n.a.</v>
      </c>
      <c r="AH408" s="87">
        <f>INDEX(Auxiliar!$D$5:$I$10,MATCH('LISTA - Setembro2024'!AH$3,Auxiliar!$B$5:$B$10,0),MATCH('LISTA - Setembro2024'!$AG408,Auxiliar!$D$4:$I$4,0))</f>
        <v>0</v>
      </c>
      <c r="AI408" s="87">
        <f>INDEX(Auxiliar!$D$5:$I$10,MATCH('LISTA - Setembro2024'!AI$3,Auxiliar!$B$5:$B$10,0),MATCH('LISTA - Setembro2024'!$AC408,Auxiliar!$D$4:$I$4,0))</f>
        <v>0</v>
      </c>
      <c r="AJ408" s="87">
        <f>INDEX(Auxiliar!$D$5:$I$10,MATCH('LISTA - Setembro2024'!AJ$3,Auxiliar!$B$5:$B$10,0),MATCH('LISTA - Setembro2024'!$AC408,Auxiliar!$D$4:$I$4,0))</f>
        <v>0</v>
      </c>
      <c r="AK408" s="160">
        <f t="shared" si="95"/>
        <v>0</v>
      </c>
      <c r="AL408" s="87"/>
    </row>
    <row r="409" spans="1:38" ht="13.8" x14ac:dyDescent="0.25">
      <c r="A409" s="158" t="s">
        <v>1080</v>
      </c>
      <c r="B409" s="81" t="str">
        <f t="shared" si="93"/>
        <v>INSTRUMENT_CNCLLD_INSTRMNT_STTS</v>
      </c>
      <c r="C409" s="82" t="s">
        <v>414</v>
      </c>
      <c r="D409" s="83" t="s">
        <v>1081</v>
      </c>
      <c r="E409" s="93" t="s">
        <v>1082</v>
      </c>
      <c r="F409" s="85" t="s">
        <v>11</v>
      </c>
      <c r="G409" s="85" t="s">
        <v>13</v>
      </c>
      <c r="H409" s="85" t="s">
        <v>11</v>
      </c>
      <c r="I409" s="85" t="s">
        <v>11</v>
      </c>
      <c r="J409" s="85" t="s">
        <v>11</v>
      </c>
      <c r="K409" s="85" t="s">
        <v>11</v>
      </c>
      <c r="L409" s="86" t="str">
        <f>IFERROR(VLOOKUP($B409,'LISTA - Atual'!$B$1:$I$444,5,0),"Novo")</f>
        <v>N</v>
      </c>
      <c r="M409" s="86" t="str">
        <f t="shared" si="97"/>
        <v>Igual</v>
      </c>
      <c r="N409" s="86" t="str">
        <f>IFERROR(VLOOKUP($B409,'LISTA - Atual'!$B$1:$I$444,6,0),"Novo")</f>
        <v>Y</v>
      </c>
      <c r="O409" s="86" t="str">
        <f t="shared" si="98"/>
        <v>Igual</v>
      </c>
      <c r="P409" s="86" t="str">
        <f>IFERROR(VLOOKUP($B409,'LISTA - Atual'!$B$1:$I$444,7,0),"Novo")</f>
        <v>N</v>
      </c>
      <c r="Q409" s="86" t="str">
        <f t="shared" si="99"/>
        <v>Igual</v>
      </c>
      <c r="R409" s="86" t="s">
        <v>1563</v>
      </c>
      <c r="S409" s="86" t="str">
        <f>IFERROR(VLOOKUP($B409,'LISTA - Atual'!$B$1:$I$444,8,0),"Novo")</f>
        <v>N</v>
      </c>
      <c r="T409" s="86" t="str">
        <f t="shared" si="100"/>
        <v>Igual</v>
      </c>
      <c r="U409" s="86" t="s">
        <v>1563</v>
      </c>
      <c r="V409" s="86" t="s">
        <v>11</v>
      </c>
      <c r="W409" s="87" t="str">
        <f>IFERROR(VLOOKUP(B409,#REF!,11,0),"n/a")</f>
        <v>n/a</v>
      </c>
      <c r="X409" s="87" t="str">
        <f>IFERROR(VLOOKUP(B409,#REF!,8,0),"n/a")</f>
        <v>n/a</v>
      </c>
      <c r="Y409" s="87" t="str">
        <f>$G$2</f>
        <v>GD</v>
      </c>
      <c r="Z409" s="131" t="s">
        <v>1605</v>
      </c>
      <c r="AA409" s="227" t="e">
        <f>VLOOKUP(Table1[[#This Row],[CONCAT]],'Campos Resumo Prop2.0'!A:H,8,0)</f>
        <v>#N/A</v>
      </c>
      <c r="AB409" s="87" t="s">
        <v>1650</v>
      </c>
      <c r="AC409" s="137" t="s">
        <v>1625</v>
      </c>
      <c r="AD409" s="91">
        <f>INDEX(Auxiliar!$D$5:$I$10,MATCH('LISTA - Setembro2024'!AD$3,Auxiliar!$B$5:$B$10,0),MATCH('LISTA - Setembro2024'!$AC409,Auxiliar!$D$4:$I$4,0))</f>
        <v>0</v>
      </c>
      <c r="AE409" s="91">
        <f>INDEX(Auxiliar!$D$5:$I$10,MATCH('LISTA - Setembro2024'!AE$3,Auxiliar!$B$5:$B$10,0),MATCH('LISTA - Setembro2024'!$AC409,Auxiliar!$D$4:$I$4,0))</f>
        <v>0</v>
      </c>
      <c r="AF409" s="87">
        <f>INDEX(Auxiliar!$D$5:$I$10,MATCH('LISTA - Setembro2024'!AF$3,Auxiliar!$B$5:$B$10,0),MATCH('LISTA - Setembro2024'!$AC409,Auxiliar!$D$4:$I$4,0))</f>
        <v>0</v>
      </c>
      <c r="AG409" s="87" t="str">
        <f t="shared" si="92"/>
        <v>n.a.</v>
      </c>
      <c r="AH409" s="87">
        <f>INDEX(Auxiliar!$D$5:$I$10,MATCH('LISTA - Setembro2024'!AH$3,Auxiliar!$B$5:$B$10,0),MATCH('LISTA - Setembro2024'!$AG409,Auxiliar!$D$4:$I$4,0))</f>
        <v>0</v>
      </c>
      <c r="AI409" s="87">
        <f>INDEX(Auxiliar!$D$5:$I$10,MATCH('LISTA - Setembro2024'!AI$3,Auxiliar!$B$5:$B$10,0),MATCH('LISTA - Setembro2024'!$AC409,Auxiliar!$D$4:$I$4,0))</f>
        <v>0</v>
      </c>
      <c r="AJ409" s="87">
        <f>INDEX(Auxiliar!$D$5:$I$10,MATCH('LISTA - Setembro2024'!AJ$3,Auxiliar!$B$5:$B$10,0),MATCH('LISTA - Setembro2024'!$AC409,Auxiliar!$D$4:$I$4,0))</f>
        <v>0</v>
      </c>
      <c r="AK409" s="160">
        <f t="shared" si="95"/>
        <v>0</v>
      </c>
      <c r="AL409" s="87"/>
    </row>
    <row r="410" spans="1:38" ht="13.8" x14ac:dyDescent="0.25">
      <c r="A410" s="158" t="s">
        <v>1083</v>
      </c>
      <c r="B410" s="81" t="str">
        <f t="shared" si="93"/>
        <v>INSTRUMENT_IDCMB</v>
      </c>
      <c r="C410" s="82" t="s">
        <v>414</v>
      </c>
      <c r="D410" s="83" t="s">
        <v>1084</v>
      </c>
      <c r="E410" s="93" t="s">
        <v>1085</v>
      </c>
      <c r="F410" s="85" t="s">
        <v>13</v>
      </c>
      <c r="G410" s="85" t="s">
        <v>13</v>
      </c>
      <c r="H410" s="85" t="s">
        <v>13</v>
      </c>
      <c r="I410" s="85" t="s">
        <v>11</v>
      </c>
      <c r="J410" s="85" t="s">
        <v>13</v>
      </c>
      <c r="K410" s="85" t="s">
        <v>13</v>
      </c>
      <c r="L410" s="86" t="str">
        <f>IFERROR(VLOOKUP($B410,'LISTA - Atual'!$B$1:$I$444,5,0),"Novo")</f>
        <v>Y</v>
      </c>
      <c r="M410" s="86" t="str">
        <f t="shared" si="97"/>
        <v>Igual</v>
      </c>
      <c r="N410" s="86" t="str">
        <f>IFERROR(VLOOKUP($B410,'LISTA - Atual'!$B$1:$I$444,6,0),"Novo")</f>
        <v>Y</v>
      </c>
      <c r="O410" s="86" t="str">
        <f t="shared" si="98"/>
        <v>Igual</v>
      </c>
      <c r="P410" s="86" t="str">
        <f>IFERROR(VLOOKUP($B410,'LISTA - Atual'!$B$1:$I$444,7,0),"Novo")</f>
        <v>Y</v>
      </c>
      <c r="Q410" s="86" t="str">
        <f t="shared" si="99"/>
        <v>Igual</v>
      </c>
      <c r="R410" s="86" t="s">
        <v>1563</v>
      </c>
      <c r="S410" s="86" t="str">
        <f>IFERROR(VLOOKUP($B410,'LISTA - Atual'!$B$1:$I$444,8,0),"Novo")</f>
        <v>Y</v>
      </c>
      <c r="T410" s="86" t="str">
        <f t="shared" si="100"/>
        <v>Igual</v>
      </c>
      <c r="U410" s="86" t="s">
        <v>1563</v>
      </c>
      <c r="V410" s="86" t="s">
        <v>11</v>
      </c>
      <c r="W410" s="87" t="str">
        <f>IFERROR(VLOOKUP(B410,#REF!,11,0),"n/a")</f>
        <v>n/a</v>
      </c>
      <c r="X410" s="87" t="str">
        <f>IFERROR(VLOOKUP(B410,#REF!,8,0),"n/a")</f>
        <v>n/a</v>
      </c>
      <c r="Y410" s="87" t="str">
        <f>$F$2&amp;$Y$1&amp;$G$2&amp;$Y$1&amp;$H$2</f>
        <v>ESTR &amp; GD &amp; PILAR3</v>
      </c>
      <c r="Z410" s="131" t="s">
        <v>1605</v>
      </c>
      <c r="AA410" s="227" t="e">
        <f>VLOOKUP(Table1[[#This Row],[CONCAT]],'Campos Resumo Prop2.0'!A:H,8,0)</f>
        <v>#N/A</v>
      </c>
      <c r="AB410" s="87" t="s">
        <v>1652</v>
      </c>
      <c r="AC410" s="135" t="s">
        <v>1625</v>
      </c>
      <c r="AD410" s="135">
        <v>1</v>
      </c>
      <c r="AE410" s="91">
        <f>INDEX(Auxiliar!$D$5:$I$10,MATCH('LISTA - Setembro2024'!AE$3,Auxiliar!$B$5:$B$10,0),MATCH('LISTA - Setembro2024'!$AC410,Auxiliar!$D$4:$I$4,0))</f>
        <v>0</v>
      </c>
      <c r="AF410" s="87">
        <f>INDEX(Auxiliar!$D$5:$I$10,MATCH('LISTA - Setembro2024'!AF$3,Auxiliar!$B$5:$B$10,0),MATCH('LISTA - Setembro2024'!$AC410,Auxiliar!$D$4:$I$4,0))</f>
        <v>0</v>
      </c>
      <c r="AG410" s="87" t="str">
        <f t="shared" si="92"/>
        <v>n.a.</v>
      </c>
      <c r="AH410" s="87">
        <f>INDEX(Auxiliar!$D$5:$I$10,MATCH('LISTA - Setembro2024'!AH$3,Auxiliar!$B$5:$B$10,0),MATCH('LISTA - Setembro2024'!$AG410,Auxiliar!$D$4:$I$4,0))</f>
        <v>0</v>
      </c>
      <c r="AI410" s="87">
        <f>INDEX(Auxiliar!$D$5:$I$10,MATCH('LISTA - Setembro2024'!AI$3,Auxiliar!$B$5:$B$10,0),MATCH('LISTA - Setembro2024'!$AC410,Auxiliar!$D$4:$I$4,0))</f>
        <v>0</v>
      </c>
      <c r="AJ410" s="87">
        <f>INDEX(Auxiliar!$D$5:$I$10,MATCH('LISTA - Setembro2024'!AJ$3,Auxiliar!$B$5:$B$10,0),MATCH('LISTA - Setembro2024'!$AC410,Auxiliar!$D$4:$I$4,0))</f>
        <v>0</v>
      </c>
      <c r="AK410" s="160">
        <f t="shared" si="95"/>
        <v>0</v>
      </c>
      <c r="AL410" s="87" t="s">
        <v>1694</v>
      </c>
    </row>
    <row r="411" spans="1:38" ht="13.8" x14ac:dyDescent="0.25">
      <c r="A411" s="158" t="s">
        <v>1086</v>
      </c>
      <c r="B411" s="81" t="str">
        <f t="shared" si="93"/>
        <v>INSTRUMENT_EXPCTD_LSS_CRR</v>
      </c>
      <c r="C411" s="82" t="s">
        <v>414</v>
      </c>
      <c r="D411" s="83" t="s">
        <v>1087</v>
      </c>
      <c r="E411" s="94" t="s">
        <v>1088</v>
      </c>
      <c r="F411" s="85" t="s">
        <v>13</v>
      </c>
      <c r="G411" s="85" t="s">
        <v>11</v>
      </c>
      <c r="H411" s="85" t="s">
        <v>11</v>
      </c>
      <c r="I411" s="85" t="s">
        <v>11</v>
      </c>
      <c r="J411" s="85" t="s">
        <v>11</v>
      </c>
      <c r="K411" s="85" t="s">
        <v>11</v>
      </c>
      <c r="L411" s="86" t="str">
        <f>IFERROR(VLOOKUP($B411,'LISTA - Atual'!$B$1:$I$444,5,0),"Novo")</f>
        <v>Y</v>
      </c>
      <c r="M411" s="86" t="str">
        <f t="shared" si="97"/>
        <v>Igual</v>
      </c>
      <c r="N411" s="86" t="str">
        <f>IFERROR(VLOOKUP($B411,'LISTA - Atual'!$B$1:$I$444,6,0),"Novo")</f>
        <v>N</v>
      </c>
      <c r="O411" s="86" t="str">
        <f t="shared" si="98"/>
        <v>Igual</v>
      </c>
      <c r="P411" s="86" t="str">
        <f>IFERROR(VLOOKUP($B411,'LISTA - Atual'!$B$1:$I$444,7,0),"Novo")</f>
        <v>N</v>
      </c>
      <c r="Q411" s="86" t="str">
        <f t="shared" si="99"/>
        <v>Igual</v>
      </c>
      <c r="R411" s="86" t="s">
        <v>1563</v>
      </c>
      <c r="S411" s="86" t="str">
        <f>IFERROR(VLOOKUP($B411,'LISTA - Atual'!$B$1:$I$444,8,0),"Novo")</f>
        <v>N</v>
      </c>
      <c r="T411" s="86" t="str">
        <f t="shared" si="100"/>
        <v>Igual</v>
      </c>
      <c r="U411" s="86" t="s">
        <v>1563</v>
      </c>
      <c r="V411" s="86" t="s">
        <v>11</v>
      </c>
      <c r="W411" s="87" t="str">
        <f>IFERROR(VLOOKUP(B411,#REF!,11,0),"n/a")</f>
        <v>n/a</v>
      </c>
      <c r="X411" s="87" t="str">
        <f>IFERROR(VLOOKUP(B411,#REF!,8,0),"n/a")</f>
        <v>n/a</v>
      </c>
      <c r="Y411" s="87" t="str">
        <f t="shared" ref="Y411:Y414" si="101">$F$2</f>
        <v>ESTR</v>
      </c>
      <c r="Z411" s="131" t="s">
        <v>1605</v>
      </c>
      <c r="AA411" s="227" t="e">
        <f>VLOOKUP(Table1[[#This Row],[CONCAT]],'Campos Resumo Prop2.0'!A:H,8,0)</f>
        <v>#N/A</v>
      </c>
      <c r="AB411" s="87" t="s">
        <v>1655</v>
      </c>
      <c r="AC411" s="135" t="s">
        <v>1625</v>
      </c>
      <c r="AD411" s="91">
        <f>INDEX(Auxiliar!$D$5:$I$10,MATCH('LISTA - Setembro2024'!AD$3,Auxiliar!$B$5:$B$10,0),MATCH('LISTA - Setembro2024'!$AC411,Auxiliar!$D$4:$I$4,0))</f>
        <v>0</v>
      </c>
      <c r="AE411" s="91">
        <f>INDEX(Auxiliar!$D$5:$I$10,MATCH('LISTA - Setembro2024'!AE$3,Auxiliar!$B$5:$B$10,0),MATCH('LISTA - Setembro2024'!$AC411,Auxiliar!$D$4:$I$4,0))</f>
        <v>0</v>
      </c>
      <c r="AF411" s="87">
        <f>INDEX(Auxiliar!$D$5:$I$10,MATCH('LISTA - Setembro2024'!AF$3,Auxiliar!$B$5:$B$10,0),MATCH('LISTA - Setembro2024'!$AC411,Auxiliar!$D$4:$I$4,0))</f>
        <v>0</v>
      </c>
      <c r="AG411" s="87" t="str">
        <f t="shared" si="92"/>
        <v>n.a.</v>
      </c>
      <c r="AH411" s="87">
        <f>INDEX(Auxiliar!$D$5:$I$10,MATCH('LISTA - Setembro2024'!AH$3,Auxiliar!$B$5:$B$10,0),MATCH('LISTA - Setembro2024'!$AG411,Auxiliar!$D$4:$I$4,0))</f>
        <v>0</v>
      </c>
      <c r="AI411" s="87">
        <f>INDEX(Auxiliar!$D$5:$I$10,MATCH('LISTA - Setembro2024'!AI$3,Auxiliar!$B$5:$B$10,0),MATCH('LISTA - Setembro2024'!$AC411,Auxiliar!$D$4:$I$4,0))</f>
        <v>0</v>
      </c>
      <c r="AJ411" s="87">
        <f>INDEX(Auxiliar!$D$5:$I$10,MATCH('LISTA - Setembro2024'!AJ$3,Auxiliar!$B$5:$B$10,0),MATCH('LISTA - Setembro2024'!$AC411,Auxiliar!$D$4:$I$4,0))</f>
        <v>0</v>
      </c>
      <c r="AK411" s="160">
        <f t="shared" si="95"/>
        <v>0</v>
      </c>
      <c r="AL411" s="87"/>
    </row>
    <row r="412" spans="1:38" ht="13.8" x14ac:dyDescent="0.25">
      <c r="A412" s="158" t="s">
        <v>1089</v>
      </c>
      <c r="B412" s="81" t="str">
        <f t="shared" si="93"/>
        <v>INSTRUMENT_LSTI</v>
      </c>
      <c r="C412" s="82" t="s">
        <v>414</v>
      </c>
      <c r="D412" s="83" t="s">
        <v>1090</v>
      </c>
      <c r="E412" s="93" t="s">
        <v>1091</v>
      </c>
      <c r="F412" s="85" t="s">
        <v>13</v>
      </c>
      <c r="G412" s="85" t="s">
        <v>11</v>
      </c>
      <c r="H412" s="85" t="s">
        <v>11</v>
      </c>
      <c r="I412" s="85" t="s">
        <v>11</v>
      </c>
      <c r="J412" s="85" t="s">
        <v>11</v>
      </c>
      <c r="K412" s="85" t="s">
        <v>11</v>
      </c>
      <c r="L412" s="86" t="str">
        <f>IFERROR(VLOOKUP($B412,'LISTA - Atual'!$B$1:$I$444,5,0),"Novo")</f>
        <v>Y</v>
      </c>
      <c r="M412" s="86" t="str">
        <f t="shared" si="97"/>
        <v>Igual</v>
      </c>
      <c r="N412" s="86" t="str">
        <f>IFERROR(VLOOKUP($B412,'LISTA - Atual'!$B$1:$I$444,6,0),"Novo")</f>
        <v>N</v>
      </c>
      <c r="O412" s="86" t="str">
        <f t="shared" si="98"/>
        <v>Igual</v>
      </c>
      <c r="P412" s="86" t="str">
        <f>IFERROR(VLOOKUP($B412,'LISTA - Atual'!$B$1:$I$444,7,0),"Novo")</f>
        <v>N</v>
      </c>
      <c r="Q412" s="86" t="str">
        <f t="shared" si="99"/>
        <v>Igual</v>
      </c>
      <c r="R412" s="86" t="s">
        <v>1563</v>
      </c>
      <c r="S412" s="86" t="str">
        <f>IFERROR(VLOOKUP($B412,'LISTA - Atual'!$B$1:$I$444,8,0),"Novo")</f>
        <v>N</v>
      </c>
      <c r="T412" s="86" t="str">
        <f t="shared" si="100"/>
        <v>Igual</v>
      </c>
      <c r="U412" s="86" t="s">
        <v>1563</v>
      </c>
      <c r="V412" s="86" t="s">
        <v>11</v>
      </c>
      <c r="W412" s="87" t="str">
        <f>IFERROR(VLOOKUP(B412,#REF!,11,0),"n/a")</f>
        <v>n/a</v>
      </c>
      <c r="X412" s="87" t="str">
        <f>IFERROR(VLOOKUP(B412,#REF!,8,0),"n/a")</f>
        <v>n/a</v>
      </c>
      <c r="Y412" s="87" t="str">
        <f t="shared" si="101"/>
        <v>ESTR</v>
      </c>
      <c r="Z412" s="131" t="s">
        <v>1605</v>
      </c>
      <c r="AA412" s="227" t="e">
        <f>VLOOKUP(Table1[[#This Row],[CONCAT]],'Campos Resumo Prop2.0'!A:H,8,0)</f>
        <v>#N/A</v>
      </c>
      <c r="AB412" s="87" t="s">
        <v>1656</v>
      </c>
      <c r="AC412" s="135" t="s">
        <v>1625</v>
      </c>
      <c r="AD412" s="91">
        <f>INDEX(Auxiliar!$D$5:$I$10,MATCH('LISTA - Setembro2024'!AD$3,Auxiliar!$B$5:$B$10,0),MATCH('LISTA - Setembro2024'!$AC412,Auxiliar!$D$4:$I$4,0))</f>
        <v>0</v>
      </c>
      <c r="AE412" s="91">
        <f>INDEX(Auxiliar!$D$5:$I$10,MATCH('LISTA - Setembro2024'!AE$3,Auxiliar!$B$5:$B$10,0),MATCH('LISTA - Setembro2024'!$AC412,Auxiliar!$D$4:$I$4,0))</f>
        <v>0</v>
      </c>
      <c r="AF412" s="87">
        <f>INDEX(Auxiliar!$D$5:$I$10,MATCH('LISTA - Setembro2024'!AF$3,Auxiliar!$B$5:$B$10,0),MATCH('LISTA - Setembro2024'!$AC412,Auxiliar!$D$4:$I$4,0))</f>
        <v>0</v>
      </c>
      <c r="AG412" s="87" t="str">
        <f t="shared" si="92"/>
        <v>n.a.</v>
      </c>
      <c r="AH412" s="87">
        <f>INDEX(Auxiliar!$D$5:$I$10,MATCH('LISTA - Setembro2024'!AH$3,Auxiliar!$B$5:$B$10,0),MATCH('LISTA - Setembro2024'!$AG412,Auxiliar!$D$4:$I$4,0))</f>
        <v>0</v>
      </c>
      <c r="AI412" s="87">
        <f>INDEX(Auxiliar!$D$5:$I$10,MATCH('LISTA - Setembro2024'!AI$3,Auxiliar!$B$5:$B$10,0),MATCH('LISTA - Setembro2024'!$AC412,Auxiliar!$D$4:$I$4,0))</f>
        <v>0</v>
      </c>
      <c r="AJ412" s="87">
        <f>INDEX(Auxiliar!$D$5:$I$10,MATCH('LISTA - Setembro2024'!AJ$3,Auxiliar!$B$5:$B$10,0),MATCH('LISTA - Setembro2024'!$AC412,Auxiliar!$D$4:$I$4,0))</f>
        <v>0</v>
      </c>
      <c r="AK412" s="160">
        <f t="shared" si="95"/>
        <v>0</v>
      </c>
      <c r="AL412" s="87"/>
    </row>
    <row r="413" spans="1:38" ht="13.8" x14ac:dyDescent="0.25">
      <c r="A413" s="158" t="s">
        <v>1092</v>
      </c>
      <c r="B413" s="81" t="str">
        <f t="shared" si="93"/>
        <v>INSTRUMENT_DSTI</v>
      </c>
      <c r="C413" s="82" t="s">
        <v>414</v>
      </c>
      <c r="D413" s="83" t="s">
        <v>1093</v>
      </c>
      <c r="E413" s="94" t="s">
        <v>1094</v>
      </c>
      <c r="F413" s="85" t="s">
        <v>13</v>
      </c>
      <c r="G413" s="85" t="s">
        <v>11</v>
      </c>
      <c r="H413" s="85" t="s">
        <v>11</v>
      </c>
      <c r="I413" s="85" t="s">
        <v>11</v>
      </c>
      <c r="J413" s="85" t="s">
        <v>11</v>
      </c>
      <c r="K413" s="85" t="s">
        <v>11</v>
      </c>
      <c r="L413" s="86" t="str">
        <f>IFERROR(VLOOKUP($B413,'LISTA - Atual'!$B$1:$I$444,5,0),"Novo")</f>
        <v>Y</v>
      </c>
      <c r="M413" s="86" t="str">
        <f t="shared" si="97"/>
        <v>Igual</v>
      </c>
      <c r="N413" s="86" t="str">
        <f>IFERROR(VLOOKUP($B413,'LISTA - Atual'!$B$1:$I$444,6,0),"Novo")</f>
        <v>N</v>
      </c>
      <c r="O413" s="86" t="str">
        <f t="shared" si="98"/>
        <v>Igual</v>
      </c>
      <c r="P413" s="86" t="str">
        <f>IFERROR(VLOOKUP($B413,'LISTA - Atual'!$B$1:$I$444,7,0),"Novo")</f>
        <v>N</v>
      </c>
      <c r="Q413" s="86" t="str">
        <f t="shared" si="99"/>
        <v>Igual</v>
      </c>
      <c r="R413" s="86" t="s">
        <v>1563</v>
      </c>
      <c r="S413" s="86" t="str">
        <f>IFERROR(VLOOKUP($B413,'LISTA - Atual'!$B$1:$I$444,8,0),"Novo")</f>
        <v>N</v>
      </c>
      <c r="T413" s="86" t="str">
        <f t="shared" si="100"/>
        <v>Igual</v>
      </c>
      <c r="U413" s="86" t="s">
        <v>1563</v>
      </c>
      <c r="V413" s="86" t="s">
        <v>11</v>
      </c>
      <c r="W413" s="87" t="str">
        <f>IFERROR(VLOOKUP(B413,#REF!,11,0),"n/a")</f>
        <v>n/a</v>
      </c>
      <c r="X413" s="87" t="str">
        <f>IFERROR(VLOOKUP(B413,#REF!,8,0),"n/a")</f>
        <v>n/a</v>
      </c>
      <c r="Y413" s="87" t="str">
        <f t="shared" si="101"/>
        <v>ESTR</v>
      </c>
      <c r="Z413" s="131" t="s">
        <v>1605</v>
      </c>
      <c r="AA413" s="227" t="e">
        <f>VLOOKUP(Table1[[#This Row],[CONCAT]],'Campos Resumo Prop2.0'!A:H,8,0)</f>
        <v>#N/A</v>
      </c>
      <c r="AB413" s="87" t="s">
        <v>1656</v>
      </c>
      <c r="AC413" s="135" t="s">
        <v>1625</v>
      </c>
      <c r="AD413" s="91">
        <f>INDEX(Auxiliar!$D$5:$I$10,MATCH('LISTA - Setembro2024'!AD$3,Auxiliar!$B$5:$B$10,0),MATCH('LISTA - Setembro2024'!$AC413,Auxiliar!$D$4:$I$4,0))</f>
        <v>0</v>
      </c>
      <c r="AE413" s="91">
        <f>INDEX(Auxiliar!$D$5:$I$10,MATCH('LISTA - Setembro2024'!AE$3,Auxiliar!$B$5:$B$10,0),MATCH('LISTA - Setembro2024'!$AC413,Auxiliar!$D$4:$I$4,0))</f>
        <v>0</v>
      </c>
      <c r="AF413" s="87">
        <f>INDEX(Auxiliar!$D$5:$I$10,MATCH('LISTA - Setembro2024'!AF$3,Auxiliar!$B$5:$B$10,0),MATCH('LISTA - Setembro2024'!$AC413,Auxiliar!$D$4:$I$4,0))</f>
        <v>0</v>
      </c>
      <c r="AG413" s="87" t="str">
        <f t="shared" si="92"/>
        <v>n.a.</v>
      </c>
      <c r="AH413" s="87">
        <f>INDEX(Auxiliar!$D$5:$I$10,MATCH('LISTA - Setembro2024'!AH$3,Auxiliar!$B$5:$B$10,0),MATCH('LISTA - Setembro2024'!$AG413,Auxiliar!$D$4:$I$4,0))</f>
        <v>0</v>
      </c>
      <c r="AI413" s="87">
        <f>INDEX(Auxiliar!$D$5:$I$10,MATCH('LISTA - Setembro2024'!AI$3,Auxiliar!$B$5:$B$10,0),MATCH('LISTA - Setembro2024'!$AC413,Auxiliar!$D$4:$I$4,0))</f>
        <v>0</v>
      </c>
      <c r="AJ413" s="87">
        <f>INDEX(Auxiliar!$D$5:$I$10,MATCH('LISTA - Setembro2024'!AJ$3,Auxiliar!$B$5:$B$10,0),MATCH('LISTA - Setembro2024'!$AC413,Auxiliar!$D$4:$I$4,0))</f>
        <v>0</v>
      </c>
      <c r="AK413" s="160">
        <f t="shared" si="95"/>
        <v>0</v>
      </c>
      <c r="AL413" s="87"/>
    </row>
    <row r="414" spans="1:38" ht="13.8" x14ac:dyDescent="0.25">
      <c r="A414" s="158" t="s">
        <v>1095</v>
      </c>
      <c r="B414" s="81" t="str">
        <f t="shared" si="93"/>
        <v>INSTRUMENT_LTI_INSTRMNT</v>
      </c>
      <c r="C414" s="82" t="s">
        <v>414</v>
      </c>
      <c r="D414" s="83" t="s">
        <v>1096</v>
      </c>
      <c r="E414" s="84" t="s">
        <v>207</v>
      </c>
      <c r="F414" s="85" t="s">
        <v>13</v>
      </c>
      <c r="G414" s="85" t="s">
        <v>11</v>
      </c>
      <c r="H414" s="85" t="s">
        <v>11</v>
      </c>
      <c r="I414" s="85" t="s">
        <v>11</v>
      </c>
      <c r="J414" s="85" t="s">
        <v>11</v>
      </c>
      <c r="K414" s="85" t="s">
        <v>11</v>
      </c>
      <c r="L414" s="86" t="str">
        <f>IFERROR(VLOOKUP($B414,'LISTA - Atual'!$B$1:$I$444,5,0),"Novo")</f>
        <v>Y</v>
      </c>
      <c r="M414" s="86" t="str">
        <f t="shared" si="97"/>
        <v>Igual</v>
      </c>
      <c r="N414" s="86" t="str">
        <f>IFERROR(VLOOKUP($B414,'LISTA - Atual'!$B$1:$I$444,6,0),"Novo")</f>
        <v>N</v>
      </c>
      <c r="O414" s="86" t="str">
        <f t="shared" si="98"/>
        <v>Igual</v>
      </c>
      <c r="P414" s="86" t="str">
        <f>IFERROR(VLOOKUP($B414,'LISTA - Atual'!$B$1:$I$444,7,0),"Novo")</f>
        <v>N</v>
      </c>
      <c r="Q414" s="86" t="str">
        <f t="shared" si="99"/>
        <v>Igual</v>
      </c>
      <c r="R414" s="86" t="s">
        <v>1563</v>
      </c>
      <c r="S414" s="86" t="str">
        <f>IFERROR(VLOOKUP($B414,'LISTA - Atual'!$B$1:$I$444,8,0),"Novo")</f>
        <v>N</v>
      </c>
      <c r="T414" s="86" t="str">
        <f t="shared" si="100"/>
        <v>Igual</v>
      </c>
      <c r="U414" s="86" t="s">
        <v>1563</v>
      </c>
      <c r="V414" s="86" t="s">
        <v>11</v>
      </c>
      <c r="W414" s="87" t="str">
        <f>IFERROR(VLOOKUP(B414,#REF!,11,0),"n/a")</f>
        <v>n/a</v>
      </c>
      <c r="X414" s="87" t="str">
        <f>IFERROR(VLOOKUP(B414,#REF!,8,0),"n/a")</f>
        <v>n/a</v>
      </c>
      <c r="Y414" s="87" t="str">
        <f t="shared" si="101"/>
        <v>ESTR</v>
      </c>
      <c r="Z414" s="131" t="s">
        <v>1605</v>
      </c>
      <c r="AA414" s="227" t="e">
        <f>VLOOKUP(Table1[[#This Row],[CONCAT]],'Campos Resumo Prop2.0'!A:H,8,0)</f>
        <v>#N/A</v>
      </c>
      <c r="AB414" s="87" t="s">
        <v>1656</v>
      </c>
      <c r="AC414" s="135" t="s">
        <v>1625</v>
      </c>
      <c r="AD414" s="91">
        <f>INDEX(Auxiliar!$D$5:$I$10,MATCH('LISTA - Setembro2024'!AD$3,Auxiliar!$B$5:$B$10,0),MATCH('LISTA - Setembro2024'!$AC414,Auxiliar!$D$4:$I$4,0))</f>
        <v>0</v>
      </c>
      <c r="AE414" s="91">
        <f>INDEX(Auxiliar!$D$5:$I$10,MATCH('LISTA - Setembro2024'!AE$3,Auxiliar!$B$5:$B$10,0),MATCH('LISTA - Setembro2024'!$AC414,Auxiliar!$D$4:$I$4,0))</f>
        <v>0</v>
      </c>
      <c r="AF414" s="87">
        <f>INDEX(Auxiliar!$D$5:$I$10,MATCH('LISTA - Setembro2024'!AF$3,Auxiliar!$B$5:$B$10,0),MATCH('LISTA - Setembro2024'!$AC414,Auxiliar!$D$4:$I$4,0))</f>
        <v>0</v>
      </c>
      <c r="AG414" s="87" t="str">
        <f t="shared" si="92"/>
        <v>n.a.</v>
      </c>
      <c r="AH414" s="87">
        <f>INDEX(Auxiliar!$D$5:$I$10,MATCH('LISTA - Setembro2024'!AH$3,Auxiliar!$B$5:$B$10,0),MATCH('LISTA - Setembro2024'!$AG414,Auxiliar!$D$4:$I$4,0))</f>
        <v>0</v>
      </c>
      <c r="AI414" s="87">
        <f>INDEX(Auxiliar!$D$5:$I$10,MATCH('LISTA - Setembro2024'!AI$3,Auxiliar!$B$5:$B$10,0),MATCH('LISTA - Setembro2024'!$AC414,Auxiliar!$D$4:$I$4,0))</f>
        <v>0</v>
      </c>
      <c r="AJ414" s="87">
        <f>INDEX(Auxiliar!$D$5:$I$10,MATCH('LISTA - Setembro2024'!AJ$3,Auxiliar!$B$5:$B$10,0),MATCH('LISTA - Setembro2024'!$AC414,Auxiliar!$D$4:$I$4,0))</f>
        <v>0</v>
      </c>
      <c r="AK414" s="160">
        <f t="shared" si="95"/>
        <v>0</v>
      </c>
      <c r="AL414" s="87"/>
    </row>
    <row r="415" spans="1:38" ht="13.8" x14ac:dyDescent="0.25">
      <c r="A415" s="158" t="s">
        <v>1097</v>
      </c>
      <c r="B415" s="81" t="str">
        <f t="shared" si="93"/>
        <v>INSTRUMENT_SSTNBL_CTGRY_TXNMY</v>
      </c>
      <c r="C415" s="82" t="s">
        <v>414</v>
      </c>
      <c r="D415" s="103" t="s">
        <v>1098</v>
      </c>
      <c r="E415" s="104" t="s">
        <v>1099</v>
      </c>
      <c r="F415" s="105" t="s">
        <v>11</v>
      </c>
      <c r="G415" s="105" t="s">
        <v>11</v>
      </c>
      <c r="H415" s="105" t="s">
        <v>13</v>
      </c>
      <c r="I415" s="85" t="s">
        <v>11</v>
      </c>
      <c r="J415" s="105" t="s">
        <v>11</v>
      </c>
      <c r="K415" s="85" t="s">
        <v>11</v>
      </c>
      <c r="L415" s="86" t="str">
        <f>IFERROR(VLOOKUP($B415,'LISTA - Atual'!$B$1:$I$444,5,0),"Novo")</f>
        <v>N</v>
      </c>
      <c r="M415" s="86" t="s">
        <v>1565</v>
      </c>
      <c r="N415" s="86" t="str">
        <f>IFERROR(VLOOKUP($B415,'LISTA - Atual'!$B$1:$I$444,6,0),"Novo")</f>
        <v>N</v>
      </c>
      <c r="O415" s="86" t="s">
        <v>1565</v>
      </c>
      <c r="P415" s="86" t="str">
        <f>IFERROR(VLOOKUP($B415,'LISTA - Atual'!$B$1:$I$444,7,0),"Novo")</f>
        <v>Y</v>
      </c>
      <c r="Q415" s="86" t="s">
        <v>1565</v>
      </c>
      <c r="R415" s="86" t="s">
        <v>1563</v>
      </c>
      <c r="S415" s="86" t="str">
        <f>IFERROR(VLOOKUP($B415,'LISTA - Atual'!$B$1:$I$444,8,0),"Novo")</f>
        <v>N</v>
      </c>
      <c r="T415" s="86" t="s">
        <v>1565</v>
      </c>
      <c r="U415" s="86" t="s">
        <v>1563</v>
      </c>
      <c r="V415" s="86" t="s">
        <v>11</v>
      </c>
      <c r="W415" s="87" t="str">
        <f>IFERROR(VLOOKUP(B415,#REF!,11,0),"n/a")</f>
        <v>n/a</v>
      </c>
      <c r="X415" s="87" t="str">
        <f>IFERROR(VLOOKUP(B415,#REF!,8,0),"n/a")</f>
        <v>n/a</v>
      </c>
      <c r="Y415" s="87" t="str">
        <f>$H$2</f>
        <v>PILAR3</v>
      </c>
      <c r="Z415" s="131" t="s">
        <v>1565</v>
      </c>
      <c r="AA415" s="227" t="e">
        <f>VLOOKUP(Table1[[#This Row],[CONCAT]],'Campos Resumo Prop2.0'!A:H,8,0)</f>
        <v>#N/A</v>
      </c>
      <c r="AB415" s="87" t="s">
        <v>1650</v>
      </c>
      <c r="AC415" s="137" t="s">
        <v>1625</v>
      </c>
      <c r="AD415" s="91">
        <f>INDEX(Auxiliar!$D$5:$I$10,MATCH('LISTA - Setembro2024'!AD$3,Auxiliar!$B$5:$B$10,0),MATCH('LISTA - Setembro2024'!$AC415,Auxiliar!$D$4:$I$4,0))</f>
        <v>0</v>
      </c>
      <c r="AE415" s="91">
        <f>INDEX(Auxiliar!$D$5:$I$10,MATCH('LISTA - Setembro2024'!AE$3,Auxiliar!$B$5:$B$10,0),MATCH('LISTA - Setembro2024'!$AC415,Auxiliar!$D$4:$I$4,0))</f>
        <v>0</v>
      </c>
      <c r="AF415" s="87">
        <f>INDEX(Auxiliar!$D$5:$I$10,MATCH('LISTA - Setembro2024'!AF$3,Auxiliar!$B$5:$B$10,0),MATCH('LISTA - Setembro2024'!$AC415,Auxiliar!$D$4:$I$4,0))</f>
        <v>0</v>
      </c>
      <c r="AG415" s="87" t="str">
        <f t="shared" si="92"/>
        <v>n.a.</v>
      </c>
      <c r="AH415" s="87">
        <f>INDEX(Auxiliar!$D$5:$I$10,MATCH('LISTA - Setembro2024'!AH$3,Auxiliar!$B$5:$B$10,0),MATCH('LISTA - Setembro2024'!$AG415,Auxiliar!$D$4:$I$4,0))</f>
        <v>0</v>
      </c>
      <c r="AI415" s="87">
        <f>INDEX(Auxiliar!$D$5:$I$10,MATCH('LISTA - Setembro2024'!AI$3,Auxiliar!$B$5:$B$10,0),MATCH('LISTA - Setembro2024'!$AC415,Auxiliar!$D$4:$I$4,0))</f>
        <v>0</v>
      </c>
      <c r="AJ415" s="87">
        <f>INDEX(Auxiliar!$D$5:$I$10,MATCH('LISTA - Setembro2024'!AJ$3,Auxiliar!$B$5:$B$10,0),MATCH('LISTA - Setembro2024'!$AC415,Auxiliar!$D$4:$I$4,0))</f>
        <v>0</v>
      </c>
      <c r="AK415" s="160">
        <f t="shared" si="95"/>
        <v>0</v>
      </c>
      <c r="AL415" s="87"/>
    </row>
    <row r="416" spans="1:38" ht="13.8" x14ac:dyDescent="0.25">
      <c r="A416" s="158" t="s">
        <v>1330</v>
      </c>
      <c r="B416" s="81" t="str">
        <f t="shared" si="93"/>
        <v>INSTRUMENT_INTRST_RT_CP</v>
      </c>
      <c r="C416" s="82" t="s">
        <v>414</v>
      </c>
      <c r="D416" s="83" t="s">
        <v>1331</v>
      </c>
      <c r="E416" s="93" t="s">
        <v>1332</v>
      </c>
      <c r="F416" s="85" t="s">
        <v>13</v>
      </c>
      <c r="G416" s="85" t="s">
        <v>11</v>
      </c>
      <c r="H416" s="85" t="s">
        <v>11</v>
      </c>
      <c r="I416" s="85" t="s">
        <v>11</v>
      </c>
      <c r="J416" s="85" t="s">
        <v>11</v>
      </c>
      <c r="K416" s="85" t="s">
        <v>11</v>
      </c>
      <c r="L416" s="86" t="str">
        <f>IFERROR(VLOOKUP($B416,'LISTA - Atual'!$B$1:$I$444,5,0),"Novo")</f>
        <v>Novo</v>
      </c>
      <c r="M416" s="86" t="str">
        <f t="shared" ref="M416:M447" si="102">IF(L416="Novo","Novo Campo",IF(L416=F416,"Igual","Diferente"))</f>
        <v>Novo Campo</v>
      </c>
      <c r="N416" s="86" t="str">
        <f>IFERROR(VLOOKUP($B416,'LISTA - Atual'!$B$1:$I$444,6,0),"Novo")</f>
        <v>Novo</v>
      </c>
      <c r="O416" s="86" t="str">
        <f t="shared" ref="O416:O447" si="103">IF(N416="Novo","Novo Campo",IF(N416=G416,"Igual","Diferente"))</f>
        <v>Novo Campo</v>
      </c>
      <c r="P416" s="86" t="str">
        <f>IFERROR(VLOOKUP($B416,'LISTA - Atual'!$B$1:$I$444,7,0),"Novo")</f>
        <v>Novo</v>
      </c>
      <c r="Q416" s="86" t="str">
        <f t="shared" ref="Q416:Q447" si="104">IF(P416="Novo","Novo Campo",IF(P416=H416,"Igual","Diferente"))</f>
        <v>Novo Campo</v>
      </c>
      <c r="R416" s="86" t="s">
        <v>1563</v>
      </c>
      <c r="S416" s="86" t="str">
        <f>IFERROR(VLOOKUP($B416,'LISTA - Atual'!$B$1:$I$444,8,0),"Novo")</f>
        <v>Novo</v>
      </c>
      <c r="T416" s="86" t="str">
        <f t="shared" ref="T416:T447" si="105">IF(S416="Novo","Novo Campo",IF(S416=J416,"Igual","Diferente"))</f>
        <v>Novo Campo</v>
      </c>
      <c r="U416" s="86" t="s">
        <v>1563</v>
      </c>
      <c r="V416" s="86" t="s">
        <v>11</v>
      </c>
      <c r="W416" s="87" t="str">
        <f>IFERROR(VLOOKUP(B416,#REF!,11,0),"n/a")</f>
        <v>n/a</v>
      </c>
      <c r="X416" s="87" t="str">
        <f>IFERROR(VLOOKUP(B416,#REF!,8,0),"n/a")</f>
        <v>n/a</v>
      </c>
      <c r="Y416" s="87" t="str">
        <f t="shared" ref="Y416:Y422" si="106">$F$2</f>
        <v>ESTR</v>
      </c>
      <c r="Z416" s="131" t="s">
        <v>1570</v>
      </c>
      <c r="AA416" s="227" t="e">
        <f>VLOOKUP(Table1[[#This Row],[CONCAT]],'Campos Resumo Prop2.0'!A:H,8,0)</f>
        <v>#N/A</v>
      </c>
      <c r="AB416" s="87" t="s">
        <v>1656</v>
      </c>
      <c r="AC416" s="88" t="s">
        <v>1625</v>
      </c>
      <c r="AD416" s="91">
        <f>INDEX(Auxiliar!$D$5:$I$10,MATCH('LISTA - Setembro2024'!AD$3,Auxiliar!$B$5:$B$10,0),MATCH('LISTA - Setembro2024'!$AC416,Auxiliar!$D$4:$I$4,0))</f>
        <v>0</v>
      </c>
      <c r="AE416" s="91">
        <f>INDEX(Auxiliar!$D$5:$I$10,MATCH('LISTA - Setembro2024'!AE$3,Auxiliar!$B$5:$B$10,0),MATCH('LISTA - Setembro2024'!$AC416,Auxiliar!$D$4:$I$4,0))</f>
        <v>0</v>
      </c>
      <c r="AF416" s="87">
        <f>INDEX(Auxiliar!$D$5:$I$10,MATCH('LISTA - Setembro2024'!AF$3,Auxiliar!$B$5:$B$10,0),MATCH('LISTA - Setembro2024'!$AC416,Auxiliar!$D$4:$I$4,0))</f>
        <v>0</v>
      </c>
      <c r="AG416" s="87" t="str">
        <f t="shared" si="92"/>
        <v>n.a.</v>
      </c>
      <c r="AH416" s="87">
        <f>INDEX(Auxiliar!$D$5:$I$10,MATCH('LISTA - Setembro2024'!AH$3,Auxiliar!$B$5:$B$10,0),MATCH('LISTA - Setembro2024'!$AG416,Auxiliar!$D$4:$I$4,0))</f>
        <v>0</v>
      </c>
      <c r="AI416" s="87">
        <f>INDEX(Auxiliar!$D$5:$I$10,MATCH('LISTA - Setembro2024'!AI$3,Auxiliar!$B$5:$B$10,0),MATCH('LISTA - Setembro2024'!$AC416,Auxiliar!$D$4:$I$4,0))</f>
        <v>0</v>
      </c>
      <c r="AJ416" s="87">
        <f>INDEX(Auxiliar!$D$5:$I$10,MATCH('LISTA - Setembro2024'!AJ$3,Auxiliar!$B$5:$B$10,0),MATCH('LISTA - Setembro2024'!$AC416,Auxiliar!$D$4:$I$4,0))</f>
        <v>0</v>
      </c>
      <c r="AK416" s="160">
        <f t="shared" si="95"/>
        <v>0</v>
      </c>
      <c r="AL416" s="87"/>
    </row>
    <row r="417" spans="1:38" ht="13.8" x14ac:dyDescent="0.25">
      <c r="A417" s="158" t="s">
        <v>1333</v>
      </c>
      <c r="B417" s="81" t="str">
        <f t="shared" si="93"/>
        <v>INSTRUMENT_INTRST_RT_FLR</v>
      </c>
      <c r="C417" s="82" t="s">
        <v>414</v>
      </c>
      <c r="D417" s="83" t="s">
        <v>1334</v>
      </c>
      <c r="E417" s="94" t="s">
        <v>1335</v>
      </c>
      <c r="F417" s="85" t="s">
        <v>13</v>
      </c>
      <c r="G417" s="85" t="s">
        <v>11</v>
      </c>
      <c r="H417" s="85" t="s">
        <v>11</v>
      </c>
      <c r="I417" s="85" t="s">
        <v>11</v>
      </c>
      <c r="J417" s="85" t="s">
        <v>11</v>
      </c>
      <c r="K417" s="85" t="s">
        <v>11</v>
      </c>
      <c r="L417" s="86" t="str">
        <f>IFERROR(VLOOKUP($B417,'LISTA - Atual'!$B$1:$I$444,5,0),"Novo")</f>
        <v>Novo</v>
      </c>
      <c r="M417" s="86" t="str">
        <f t="shared" si="102"/>
        <v>Novo Campo</v>
      </c>
      <c r="N417" s="86" t="str">
        <f>IFERROR(VLOOKUP($B417,'LISTA - Atual'!$B$1:$I$444,6,0),"Novo")</f>
        <v>Novo</v>
      </c>
      <c r="O417" s="86" t="str">
        <f t="shared" si="103"/>
        <v>Novo Campo</v>
      </c>
      <c r="P417" s="86" t="str">
        <f>IFERROR(VLOOKUP($B417,'LISTA - Atual'!$B$1:$I$444,7,0),"Novo")</f>
        <v>Novo</v>
      </c>
      <c r="Q417" s="86" t="str">
        <f t="shared" si="104"/>
        <v>Novo Campo</v>
      </c>
      <c r="R417" s="86" t="s">
        <v>1563</v>
      </c>
      <c r="S417" s="86" t="str">
        <f>IFERROR(VLOOKUP($B417,'LISTA - Atual'!$B$1:$I$444,8,0),"Novo")</f>
        <v>Novo</v>
      </c>
      <c r="T417" s="86" t="str">
        <f t="shared" si="105"/>
        <v>Novo Campo</v>
      </c>
      <c r="U417" s="86" t="s">
        <v>1563</v>
      </c>
      <c r="V417" s="86" t="s">
        <v>11</v>
      </c>
      <c r="W417" s="87" t="str">
        <f>IFERROR(VLOOKUP(B417,#REF!,11,0),"n/a")</f>
        <v>n/a</v>
      </c>
      <c r="X417" s="87" t="str">
        <f>IFERROR(VLOOKUP(B417,#REF!,8,0),"n/a")</f>
        <v>n/a</v>
      </c>
      <c r="Y417" s="87" t="str">
        <f t="shared" si="106"/>
        <v>ESTR</v>
      </c>
      <c r="Z417" s="131" t="s">
        <v>1570</v>
      </c>
      <c r="AA417" s="227" t="e">
        <f>VLOOKUP(Table1[[#This Row],[CONCAT]],'Campos Resumo Prop2.0'!A:H,8,0)</f>
        <v>#N/A</v>
      </c>
      <c r="AB417" s="87" t="s">
        <v>1656</v>
      </c>
      <c r="AC417" s="88" t="s">
        <v>1625</v>
      </c>
      <c r="AD417" s="91">
        <f>INDEX(Auxiliar!$D$5:$I$10,MATCH('LISTA - Setembro2024'!AD$3,Auxiliar!$B$5:$B$10,0),MATCH('LISTA - Setembro2024'!$AC417,Auxiliar!$D$4:$I$4,0))</f>
        <v>0</v>
      </c>
      <c r="AE417" s="91">
        <f>INDEX(Auxiliar!$D$5:$I$10,MATCH('LISTA - Setembro2024'!AE$3,Auxiliar!$B$5:$B$10,0),MATCH('LISTA - Setembro2024'!$AC417,Auxiliar!$D$4:$I$4,0))</f>
        <v>0</v>
      </c>
      <c r="AF417" s="87">
        <f>INDEX(Auxiliar!$D$5:$I$10,MATCH('LISTA - Setembro2024'!AF$3,Auxiliar!$B$5:$B$10,0),MATCH('LISTA - Setembro2024'!$AC417,Auxiliar!$D$4:$I$4,0))</f>
        <v>0</v>
      </c>
      <c r="AG417" s="87" t="str">
        <f t="shared" si="92"/>
        <v>n.a.</v>
      </c>
      <c r="AH417" s="87">
        <f>INDEX(Auxiliar!$D$5:$I$10,MATCH('LISTA - Setembro2024'!AH$3,Auxiliar!$B$5:$B$10,0),MATCH('LISTA - Setembro2024'!$AG417,Auxiliar!$D$4:$I$4,0))</f>
        <v>0</v>
      </c>
      <c r="AI417" s="87">
        <f>INDEX(Auxiliar!$D$5:$I$10,MATCH('LISTA - Setembro2024'!AI$3,Auxiliar!$B$5:$B$10,0),MATCH('LISTA - Setembro2024'!$AC417,Auxiliar!$D$4:$I$4,0))</f>
        <v>0</v>
      </c>
      <c r="AJ417" s="87">
        <f>INDEX(Auxiliar!$D$5:$I$10,MATCH('LISTA - Setembro2024'!AJ$3,Auxiliar!$B$5:$B$10,0),MATCH('LISTA - Setembro2024'!$AC417,Auxiliar!$D$4:$I$4,0))</f>
        <v>0</v>
      </c>
      <c r="AK417" s="160">
        <f t="shared" si="95"/>
        <v>0</v>
      </c>
      <c r="AL417" s="87"/>
    </row>
    <row r="418" spans="1:38" ht="13.8" x14ac:dyDescent="0.25">
      <c r="A418" s="158" t="s">
        <v>1336</v>
      </c>
      <c r="B418" s="81" t="str">
        <f t="shared" si="93"/>
        <v>INSTRUMENT_NMNL_INTRST_RT_FEE</v>
      </c>
      <c r="C418" s="82" t="s">
        <v>414</v>
      </c>
      <c r="D418" s="83" t="s">
        <v>1337</v>
      </c>
      <c r="E418" s="93" t="s">
        <v>1338</v>
      </c>
      <c r="F418" s="85" t="s">
        <v>13</v>
      </c>
      <c r="G418" s="85" t="s">
        <v>11</v>
      </c>
      <c r="H418" s="85" t="s">
        <v>11</v>
      </c>
      <c r="I418" s="85" t="s">
        <v>11</v>
      </c>
      <c r="J418" s="85" t="s">
        <v>11</v>
      </c>
      <c r="K418" s="85" t="s">
        <v>11</v>
      </c>
      <c r="L418" s="86" t="str">
        <f>IFERROR(VLOOKUP($B418,'LISTA - Atual'!$B$1:$I$444,5,0),"Novo")</f>
        <v>Novo</v>
      </c>
      <c r="M418" s="86" t="str">
        <f t="shared" si="102"/>
        <v>Novo Campo</v>
      </c>
      <c r="N418" s="86" t="str">
        <f>IFERROR(VLOOKUP($B418,'LISTA - Atual'!$B$1:$I$444,6,0),"Novo")</f>
        <v>Novo</v>
      </c>
      <c r="O418" s="86" t="str">
        <f t="shared" si="103"/>
        <v>Novo Campo</v>
      </c>
      <c r="P418" s="86" t="str">
        <f>IFERROR(VLOOKUP($B418,'LISTA - Atual'!$B$1:$I$444,7,0),"Novo")</f>
        <v>Novo</v>
      </c>
      <c r="Q418" s="86" t="str">
        <f t="shared" si="104"/>
        <v>Novo Campo</v>
      </c>
      <c r="R418" s="86" t="s">
        <v>1563</v>
      </c>
      <c r="S418" s="86" t="str">
        <f>IFERROR(VLOOKUP($B418,'LISTA - Atual'!$B$1:$I$444,8,0),"Novo")</f>
        <v>Novo</v>
      </c>
      <c r="T418" s="86" t="str">
        <f t="shared" si="105"/>
        <v>Novo Campo</v>
      </c>
      <c r="U418" s="86" t="s">
        <v>1563</v>
      </c>
      <c r="V418" s="86" t="s">
        <v>11</v>
      </c>
      <c r="W418" s="87" t="str">
        <f>IFERROR(VLOOKUP(B418,#REF!,11,0),"n/a")</f>
        <v>n/a</v>
      </c>
      <c r="X418" s="87" t="str">
        <f>IFERROR(VLOOKUP(B418,#REF!,8,0),"n/a")</f>
        <v>n/a</v>
      </c>
      <c r="Y418" s="87" t="str">
        <f t="shared" si="106"/>
        <v>ESTR</v>
      </c>
      <c r="Z418" s="131" t="s">
        <v>1570</v>
      </c>
      <c r="AA418" s="227" t="e">
        <f>VLOOKUP(Table1[[#This Row],[CONCAT]],'Campos Resumo Prop2.0'!A:H,8,0)</f>
        <v>#N/A</v>
      </c>
      <c r="AB418" s="87" t="s">
        <v>1656</v>
      </c>
      <c r="AC418" s="88" t="s">
        <v>1625</v>
      </c>
      <c r="AD418" s="91">
        <f>INDEX(Auxiliar!$D$5:$I$10,MATCH('LISTA - Setembro2024'!AD$3,Auxiliar!$B$5:$B$10,0),MATCH('LISTA - Setembro2024'!$AC418,Auxiliar!$D$4:$I$4,0))</f>
        <v>0</v>
      </c>
      <c r="AE418" s="91">
        <f>INDEX(Auxiliar!$D$5:$I$10,MATCH('LISTA - Setembro2024'!AE$3,Auxiliar!$B$5:$B$10,0),MATCH('LISTA - Setembro2024'!$AC418,Auxiliar!$D$4:$I$4,0))</f>
        <v>0</v>
      </c>
      <c r="AF418" s="87">
        <f>INDEX(Auxiliar!$D$5:$I$10,MATCH('LISTA - Setembro2024'!AF$3,Auxiliar!$B$5:$B$10,0),MATCH('LISTA - Setembro2024'!$AC418,Auxiliar!$D$4:$I$4,0))</f>
        <v>0</v>
      </c>
      <c r="AG418" s="87" t="str">
        <f t="shared" si="92"/>
        <v>n.a.</v>
      </c>
      <c r="AH418" s="87">
        <f>INDEX(Auxiliar!$D$5:$I$10,MATCH('LISTA - Setembro2024'!AH$3,Auxiliar!$B$5:$B$10,0),MATCH('LISTA - Setembro2024'!$AG418,Auxiliar!$D$4:$I$4,0))</f>
        <v>0</v>
      </c>
      <c r="AI418" s="87">
        <f>INDEX(Auxiliar!$D$5:$I$10,MATCH('LISTA - Setembro2024'!AI$3,Auxiliar!$B$5:$B$10,0),MATCH('LISTA - Setembro2024'!$AC418,Auxiliar!$D$4:$I$4,0))</f>
        <v>0</v>
      </c>
      <c r="AJ418" s="87">
        <f>INDEX(Auxiliar!$D$5:$I$10,MATCH('LISTA - Setembro2024'!AJ$3,Auxiliar!$B$5:$B$10,0),MATCH('LISTA - Setembro2024'!$AC418,Auxiliar!$D$4:$I$4,0))</f>
        <v>0</v>
      </c>
      <c r="AK418" s="160">
        <f t="shared" si="95"/>
        <v>0</v>
      </c>
      <c r="AL418" s="87"/>
    </row>
    <row r="419" spans="1:38" ht="13.8" x14ac:dyDescent="0.25">
      <c r="A419" s="158" t="s">
        <v>1339</v>
      </c>
      <c r="B419" s="81" t="str">
        <f t="shared" si="93"/>
        <v>INSTRUMENT_RFRNC_RT</v>
      </c>
      <c r="C419" s="82" t="s">
        <v>414</v>
      </c>
      <c r="D419" s="83" t="s">
        <v>918</v>
      </c>
      <c r="E419" s="94" t="s">
        <v>1340</v>
      </c>
      <c r="F419" s="85" t="s">
        <v>13</v>
      </c>
      <c r="G419" s="85" t="s">
        <v>11</v>
      </c>
      <c r="H419" s="85" t="s">
        <v>11</v>
      </c>
      <c r="I419" s="85" t="s">
        <v>11</v>
      </c>
      <c r="J419" s="85" t="s">
        <v>11</v>
      </c>
      <c r="K419" s="85" t="s">
        <v>11</v>
      </c>
      <c r="L419" s="86" t="str">
        <f>IFERROR(VLOOKUP($B419,'LISTA - Atual'!$B$1:$I$444,5,0),"Novo")</f>
        <v>Y</v>
      </c>
      <c r="M419" s="86" t="str">
        <f t="shared" si="102"/>
        <v>Igual</v>
      </c>
      <c r="N419" s="86" t="str">
        <f>IFERROR(VLOOKUP($B419,'LISTA - Atual'!$B$1:$I$444,6,0),"Novo")</f>
        <v>N</v>
      </c>
      <c r="O419" s="86" t="str">
        <f t="shared" si="103"/>
        <v>Igual</v>
      </c>
      <c r="P419" s="86" t="str">
        <f>IFERROR(VLOOKUP($B419,'LISTA - Atual'!$B$1:$I$444,7,0),"Novo")</f>
        <v>N</v>
      </c>
      <c r="Q419" s="86" t="str">
        <f t="shared" si="104"/>
        <v>Igual</v>
      </c>
      <c r="R419" s="86" t="s">
        <v>1563</v>
      </c>
      <c r="S419" s="86" t="str">
        <f>IFERROR(VLOOKUP($B419,'LISTA - Atual'!$B$1:$I$444,8,0),"Novo")</f>
        <v>N</v>
      </c>
      <c r="T419" s="86" t="str">
        <f t="shared" si="105"/>
        <v>Igual</v>
      </c>
      <c r="U419" s="86" t="s">
        <v>1563</v>
      </c>
      <c r="V419" s="86" t="s">
        <v>11</v>
      </c>
      <c r="W419" s="87" t="str">
        <f>IFERROR(VLOOKUP(B419,#REF!,11,0),"n/a")</f>
        <v>n/a</v>
      </c>
      <c r="X419" s="87" t="str">
        <f>IFERROR(VLOOKUP(B419,#REF!,8,0),"n/a")</f>
        <v>n/a</v>
      </c>
      <c r="Y419" s="87" t="str">
        <f t="shared" si="106"/>
        <v>ESTR</v>
      </c>
      <c r="Z419" s="131" t="s">
        <v>1605</v>
      </c>
      <c r="AA419" s="227" t="e">
        <f>VLOOKUP(Table1[[#This Row],[CONCAT]],'Campos Resumo Prop2.0'!A:H,8,0)</f>
        <v>#N/A</v>
      </c>
      <c r="AB419" s="87" t="s">
        <v>1650</v>
      </c>
      <c r="AC419" s="135" t="s">
        <v>1625</v>
      </c>
      <c r="AD419" s="91">
        <f>INDEX(Auxiliar!$D$5:$I$10,MATCH('LISTA - Setembro2024'!AD$3,Auxiliar!$B$5:$B$10,0),MATCH('LISTA - Setembro2024'!$AC419,Auxiliar!$D$4:$I$4,0))</f>
        <v>0</v>
      </c>
      <c r="AE419" s="91">
        <f>INDEX(Auxiliar!$D$5:$I$10,MATCH('LISTA - Setembro2024'!AE$3,Auxiliar!$B$5:$B$10,0),MATCH('LISTA - Setembro2024'!$AC419,Auxiliar!$D$4:$I$4,0))</f>
        <v>0</v>
      </c>
      <c r="AF419" s="87">
        <f>INDEX(Auxiliar!$D$5:$I$10,MATCH('LISTA - Setembro2024'!AF$3,Auxiliar!$B$5:$B$10,0),MATCH('LISTA - Setembro2024'!$AC419,Auxiliar!$D$4:$I$4,0))</f>
        <v>0</v>
      </c>
      <c r="AG419" s="87" t="str">
        <f t="shared" si="92"/>
        <v>n.a.</v>
      </c>
      <c r="AH419" s="87">
        <f>INDEX(Auxiliar!$D$5:$I$10,MATCH('LISTA - Setembro2024'!AH$3,Auxiliar!$B$5:$B$10,0),MATCH('LISTA - Setembro2024'!$AG419,Auxiliar!$D$4:$I$4,0))</f>
        <v>0</v>
      </c>
      <c r="AI419" s="87">
        <f>INDEX(Auxiliar!$D$5:$I$10,MATCH('LISTA - Setembro2024'!AI$3,Auxiliar!$B$5:$B$10,0),MATCH('LISTA - Setembro2024'!$AC419,Auxiliar!$D$4:$I$4,0))</f>
        <v>0</v>
      </c>
      <c r="AJ419" s="87">
        <f>INDEX(Auxiliar!$D$5:$I$10,MATCH('LISTA - Setembro2024'!AJ$3,Auxiliar!$B$5:$B$10,0),MATCH('LISTA - Setembro2024'!$AC419,Auxiliar!$D$4:$I$4,0))</f>
        <v>0</v>
      </c>
      <c r="AK419" s="160">
        <f t="shared" si="95"/>
        <v>0</v>
      </c>
      <c r="AL419" s="87"/>
    </row>
    <row r="420" spans="1:38" ht="13.8" x14ac:dyDescent="0.25">
      <c r="A420" s="158" t="s">
        <v>1341</v>
      </c>
      <c r="B420" s="81" t="str">
        <f t="shared" si="93"/>
        <v>INSTRUMENT_DT_STTLMNT</v>
      </c>
      <c r="C420" s="82" t="s">
        <v>414</v>
      </c>
      <c r="D420" s="83" t="s">
        <v>1342</v>
      </c>
      <c r="E420" s="93" t="s">
        <v>1343</v>
      </c>
      <c r="F420" s="85" t="s">
        <v>13</v>
      </c>
      <c r="G420" s="85" t="s">
        <v>11</v>
      </c>
      <c r="H420" s="85" t="s">
        <v>11</v>
      </c>
      <c r="I420" s="85" t="s">
        <v>11</v>
      </c>
      <c r="J420" s="85" t="s">
        <v>11</v>
      </c>
      <c r="K420" s="85" t="s">
        <v>11</v>
      </c>
      <c r="L420" s="86" t="str">
        <f>IFERROR(VLOOKUP($B420,'LISTA - Atual'!$B$1:$I$444,5,0),"Novo")</f>
        <v>Novo</v>
      </c>
      <c r="M420" s="86" t="str">
        <f t="shared" si="102"/>
        <v>Novo Campo</v>
      </c>
      <c r="N420" s="86" t="str">
        <f>IFERROR(VLOOKUP($B420,'LISTA - Atual'!$B$1:$I$444,6,0),"Novo")</f>
        <v>Novo</v>
      </c>
      <c r="O420" s="86" t="str">
        <f t="shared" si="103"/>
        <v>Novo Campo</v>
      </c>
      <c r="P420" s="86" t="str">
        <f>IFERROR(VLOOKUP($B420,'LISTA - Atual'!$B$1:$I$444,7,0),"Novo")</f>
        <v>Novo</v>
      </c>
      <c r="Q420" s="86" t="str">
        <f t="shared" si="104"/>
        <v>Novo Campo</v>
      </c>
      <c r="R420" s="86" t="s">
        <v>1563</v>
      </c>
      <c r="S420" s="86" t="str">
        <f>IFERROR(VLOOKUP($B420,'LISTA - Atual'!$B$1:$I$444,8,0),"Novo")</f>
        <v>Novo</v>
      </c>
      <c r="T420" s="86" t="str">
        <f t="shared" si="105"/>
        <v>Novo Campo</v>
      </c>
      <c r="U420" s="86" t="s">
        <v>1563</v>
      </c>
      <c r="V420" s="86" t="s">
        <v>11</v>
      </c>
      <c r="W420" s="87" t="str">
        <f>IFERROR(VLOOKUP(B420,#REF!,11,0),"n/a")</f>
        <v>n/a</v>
      </c>
      <c r="X420" s="87" t="str">
        <f>IFERROR(VLOOKUP(B420,#REF!,8,0),"n/a")</f>
        <v>n/a</v>
      </c>
      <c r="Y420" s="87" t="str">
        <f t="shared" si="106"/>
        <v>ESTR</v>
      </c>
      <c r="Z420" s="131" t="s">
        <v>1570</v>
      </c>
      <c r="AA420" s="227" t="e">
        <f>VLOOKUP(Table1[[#This Row],[CONCAT]],'Campos Resumo Prop2.0'!A:H,8,0)</f>
        <v>#N/A</v>
      </c>
      <c r="AB420" s="87" t="s">
        <v>1651</v>
      </c>
      <c r="AC420" s="88" t="s">
        <v>1625</v>
      </c>
      <c r="AD420" s="91">
        <f>INDEX(Auxiliar!$D$5:$I$10,MATCH('LISTA - Setembro2024'!AD$3,Auxiliar!$B$5:$B$10,0),MATCH('LISTA - Setembro2024'!$AC420,Auxiliar!$D$4:$I$4,0))</f>
        <v>0</v>
      </c>
      <c r="AE420" s="91">
        <f>INDEX(Auxiliar!$D$5:$I$10,MATCH('LISTA - Setembro2024'!AE$3,Auxiliar!$B$5:$B$10,0),MATCH('LISTA - Setembro2024'!$AC420,Auxiliar!$D$4:$I$4,0))</f>
        <v>0</v>
      </c>
      <c r="AF420" s="87">
        <f>INDEX(Auxiliar!$D$5:$I$10,MATCH('LISTA - Setembro2024'!AF$3,Auxiliar!$B$5:$B$10,0),MATCH('LISTA - Setembro2024'!$AC420,Auxiliar!$D$4:$I$4,0))</f>
        <v>0</v>
      </c>
      <c r="AG420" s="87" t="str">
        <f t="shared" si="92"/>
        <v>n.a.</v>
      </c>
      <c r="AH420" s="87">
        <f>INDEX(Auxiliar!$D$5:$I$10,MATCH('LISTA - Setembro2024'!AH$3,Auxiliar!$B$5:$B$10,0),MATCH('LISTA - Setembro2024'!$AG420,Auxiliar!$D$4:$I$4,0))</f>
        <v>0</v>
      </c>
      <c r="AI420" s="87">
        <f>INDEX(Auxiliar!$D$5:$I$10,MATCH('LISTA - Setembro2024'!AI$3,Auxiliar!$B$5:$B$10,0),MATCH('LISTA - Setembro2024'!$AC420,Auxiliar!$D$4:$I$4,0))</f>
        <v>0</v>
      </c>
      <c r="AJ420" s="87">
        <f>INDEX(Auxiliar!$D$5:$I$10,MATCH('LISTA - Setembro2024'!AJ$3,Auxiliar!$B$5:$B$10,0),MATCH('LISTA - Setembro2024'!$AC420,Auxiliar!$D$4:$I$4,0))</f>
        <v>0</v>
      </c>
      <c r="AK420" s="160">
        <f t="shared" si="95"/>
        <v>0</v>
      </c>
      <c r="AL420" s="87"/>
    </row>
    <row r="421" spans="1:38" ht="13.8" x14ac:dyDescent="0.25">
      <c r="A421" s="158" t="s">
        <v>1344</v>
      </c>
      <c r="B421" s="81" t="str">
        <f t="shared" si="93"/>
        <v>INSTRUMENT_TRNSFRRD_AMNT</v>
      </c>
      <c r="C421" s="82" t="s">
        <v>414</v>
      </c>
      <c r="D421" s="83" t="s">
        <v>1345</v>
      </c>
      <c r="E421" s="93" t="s">
        <v>1346</v>
      </c>
      <c r="F421" s="85" t="s">
        <v>13</v>
      </c>
      <c r="G421" s="85" t="s">
        <v>11</v>
      </c>
      <c r="H421" s="85" t="s">
        <v>11</v>
      </c>
      <c r="I421" s="85" t="s">
        <v>11</v>
      </c>
      <c r="J421" s="85" t="s">
        <v>11</v>
      </c>
      <c r="K421" s="85" t="s">
        <v>11</v>
      </c>
      <c r="L421" s="86" t="str">
        <f>IFERROR(VLOOKUP($B421,'LISTA - Atual'!$B$1:$I$444,5,0),"Novo")</f>
        <v>Novo</v>
      </c>
      <c r="M421" s="86" t="str">
        <f t="shared" si="102"/>
        <v>Novo Campo</v>
      </c>
      <c r="N421" s="86" t="str">
        <f>IFERROR(VLOOKUP($B421,'LISTA - Atual'!$B$1:$I$444,6,0),"Novo")</f>
        <v>Novo</v>
      </c>
      <c r="O421" s="86" t="str">
        <f t="shared" si="103"/>
        <v>Novo Campo</v>
      </c>
      <c r="P421" s="86" t="str">
        <f>IFERROR(VLOOKUP($B421,'LISTA - Atual'!$B$1:$I$444,7,0),"Novo")</f>
        <v>Novo</v>
      </c>
      <c r="Q421" s="86" t="str">
        <f t="shared" si="104"/>
        <v>Novo Campo</v>
      </c>
      <c r="R421" s="86" t="s">
        <v>1563</v>
      </c>
      <c r="S421" s="86" t="str">
        <f>IFERROR(VLOOKUP($B421,'LISTA - Atual'!$B$1:$I$444,8,0),"Novo")</f>
        <v>Novo</v>
      </c>
      <c r="T421" s="86" t="str">
        <f t="shared" si="105"/>
        <v>Novo Campo</v>
      </c>
      <c r="U421" s="86" t="s">
        <v>1563</v>
      </c>
      <c r="V421" s="86" t="s">
        <v>11</v>
      </c>
      <c r="W421" s="87" t="str">
        <f>IFERROR(VLOOKUP(B421,#REF!,11,0),"n/a")</f>
        <v>n/a</v>
      </c>
      <c r="X421" s="87" t="str">
        <f>IFERROR(VLOOKUP(B421,#REF!,8,0),"n/a")</f>
        <v>n/a</v>
      </c>
      <c r="Y421" s="87" t="str">
        <f t="shared" si="106"/>
        <v>ESTR</v>
      </c>
      <c r="Z421" s="131" t="s">
        <v>1570</v>
      </c>
      <c r="AA421" s="227" t="e">
        <f>VLOOKUP(Table1[[#This Row],[CONCAT]],'Campos Resumo Prop2.0'!A:H,8,0)</f>
        <v>#N/A</v>
      </c>
      <c r="AB421" s="87" t="s">
        <v>1655</v>
      </c>
      <c r="AC421" s="88" t="s">
        <v>1625</v>
      </c>
      <c r="AD421" s="91">
        <f>INDEX(Auxiliar!$D$5:$I$10,MATCH('LISTA - Setembro2024'!AD$3,Auxiliar!$B$5:$B$10,0),MATCH('LISTA - Setembro2024'!$AC421,Auxiliar!$D$4:$I$4,0))</f>
        <v>0</v>
      </c>
      <c r="AE421" s="91">
        <f>INDEX(Auxiliar!$D$5:$I$10,MATCH('LISTA - Setembro2024'!AE$3,Auxiliar!$B$5:$B$10,0),MATCH('LISTA - Setembro2024'!$AC421,Auxiliar!$D$4:$I$4,0))</f>
        <v>0</v>
      </c>
      <c r="AF421" s="87">
        <f>INDEX(Auxiliar!$D$5:$I$10,MATCH('LISTA - Setembro2024'!AF$3,Auxiliar!$B$5:$B$10,0),MATCH('LISTA - Setembro2024'!$AC421,Auxiliar!$D$4:$I$4,0))</f>
        <v>0</v>
      </c>
      <c r="AG421" s="87" t="str">
        <f t="shared" si="92"/>
        <v>n.a.</v>
      </c>
      <c r="AH421" s="87">
        <f>INDEX(Auxiliar!$D$5:$I$10,MATCH('LISTA - Setembro2024'!AH$3,Auxiliar!$B$5:$B$10,0),MATCH('LISTA - Setembro2024'!$AG421,Auxiliar!$D$4:$I$4,0))</f>
        <v>0</v>
      </c>
      <c r="AI421" s="87">
        <f>INDEX(Auxiliar!$D$5:$I$10,MATCH('LISTA - Setembro2024'!AI$3,Auxiliar!$B$5:$B$10,0),MATCH('LISTA - Setembro2024'!$AC421,Auxiliar!$D$4:$I$4,0))</f>
        <v>0</v>
      </c>
      <c r="AJ421" s="87">
        <f>INDEX(Auxiliar!$D$5:$I$10,MATCH('LISTA - Setembro2024'!AJ$3,Auxiliar!$B$5:$B$10,0),MATCH('LISTA - Setembro2024'!$AC421,Auxiliar!$D$4:$I$4,0))</f>
        <v>0</v>
      </c>
      <c r="AK421" s="160">
        <f t="shared" si="95"/>
        <v>0</v>
      </c>
      <c r="AL421" s="87"/>
    </row>
    <row r="422" spans="1:38" ht="13.8" x14ac:dyDescent="0.25">
      <c r="A422" s="158" t="s">
        <v>1347</v>
      </c>
      <c r="B422" s="81" t="str">
        <f t="shared" si="93"/>
        <v>INSTRUMENT_TYP_SCRTZTN</v>
      </c>
      <c r="C422" s="82" t="s">
        <v>414</v>
      </c>
      <c r="D422" s="83" t="s">
        <v>1348</v>
      </c>
      <c r="E422" s="94" t="s">
        <v>1349</v>
      </c>
      <c r="F422" s="85" t="s">
        <v>13</v>
      </c>
      <c r="G422" s="85" t="s">
        <v>11</v>
      </c>
      <c r="H422" s="85" t="s">
        <v>11</v>
      </c>
      <c r="I422" s="85" t="s">
        <v>11</v>
      </c>
      <c r="J422" s="85" t="s">
        <v>11</v>
      </c>
      <c r="K422" s="85" t="s">
        <v>11</v>
      </c>
      <c r="L422" s="86" t="str">
        <f>IFERROR(VLOOKUP($B422,'LISTA - Atual'!$B$1:$I$444,5,0),"Novo")</f>
        <v>Novo</v>
      </c>
      <c r="M422" s="86" t="str">
        <f t="shared" si="102"/>
        <v>Novo Campo</v>
      </c>
      <c r="N422" s="86" t="str">
        <f>IFERROR(VLOOKUP($B422,'LISTA - Atual'!$B$1:$I$444,6,0),"Novo")</f>
        <v>Novo</v>
      </c>
      <c r="O422" s="86" t="str">
        <f t="shared" si="103"/>
        <v>Novo Campo</v>
      </c>
      <c r="P422" s="86" t="str">
        <f>IFERROR(VLOOKUP($B422,'LISTA - Atual'!$B$1:$I$444,7,0),"Novo")</f>
        <v>Novo</v>
      </c>
      <c r="Q422" s="86" t="str">
        <f t="shared" si="104"/>
        <v>Novo Campo</v>
      </c>
      <c r="R422" s="86" t="s">
        <v>1563</v>
      </c>
      <c r="S422" s="86" t="str">
        <f>IFERROR(VLOOKUP($B422,'LISTA - Atual'!$B$1:$I$444,8,0),"Novo")</f>
        <v>Novo</v>
      </c>
      <c r="T422" s="86" t="str">
        <f t="shared" si="105"/>
        <v>Novo Campo</v>
      </c>
      <c r="U422" s="86" t="s">
        <v>1563</v>
      </c>
      <c r="V422" s="86" t="s">
        <v>11</v>
      </c>
      <c r="W422" s="87" t="str">
        <f>IFERROR(VLOOKUP(B422,#REF!,11,0),"n/a")</f>
        <v>n/a</v>
      </c>
      <c r="X422" s="87" t="str">
        <f>IFERROR(VLOOKUP(B422,#REF!,8,0),"n/a")</f>
        <v>n/a</v>
      </c>
      <c r="Y422" s="87" t="str">
        <f t="shared" si="106"/>
        <v>ESTR</v>
      </c>
      <c r="Z422" s="131" t="s">
        <v>1570</v>
      </c>
      <c r="AA422" s="227" t="e">
        <f>VLOOKUP(Table1[[#This Row],[CONCAT]],'Campos Resumo Prop2.0'!A:H,8,0)</f>
        <v>#N/A</v>
      </c>
      <c r="AB422" s="87" t="s">
        <v>1650</v>
      </c>
      <c r="AC422" s="88" t="s">
        <v>1625</v>
      </c>
      <c r="AD422" s="91">
        <f>INDEX(Auxiliar!$D$5:$I$10,MATCH('LISTA - Setembro2024'!AD$3,Auxiliar!$B$5:$B$10,0),MATCH('LISTA - Setembro2024'!$AC422,Auxiliar!$D$4:$I$4,0))</f>
        <v>0</v>
      </c>
      <c r="AE422" s="91">
        <f>INDEX(Auxiliar!$D$5:$I$10,MATCH('LISTA - Setembro2024'!AE$3,Auxiliar!$B$5:$B$10,0),MATCH('LISTA - Setembro2024'!$AC422,Auxiliar!$D$4:$I$4,0))</f>
        <v>0</v>
      </c>
      <c r="AF422" s="87">
        <f>INDEX(Auxiliar!$D$5:$I$10,MATCH('LISTA - Setembro2024'!AF$3,Auxiliar!$B$5:$B$10,0),MATCH('LISTA - Setembro2024'!$AC422,Auxiliar!$D$4:$I$4,0))</f>
        <v>0</v>
      </c>
      <c r="AG422" s="87" t="str">
        <f t="shared" si="92"/>
        <v>n.a.</v>
      </c>
      <c r="AH422" s="87">
        <f>INDEX(Auxiliar!$D$5:$I$10,MATCH('LISTA - Setembro2024'!AH$3,Auxiliar!$B$5:$B$10,0),MATCH('LISTA - Setembro2024'!$AG422,Auxiliar!$D$4:$I$4,0))</f>
        <v>0</v>
      </c>
      <c r="AI422" s="87">
        <f>INDEX(Auxiliar!$D$5:$I$10,MATCH('LISTA - Setembro2024'!AI$3,Auxiliar!$B$5:$B$10,0),MATCH('LISTA - Setembro2024'!$AC422,Auxiliar!$D$4:$I$4,0))</f>
        <v>0</v>
      </c>
      <c r="AJ422" s="87">
        <f>INDEX(Auxiliar!$D$5:$I$10,MATCH('LISTA - Setembro2024'!AJ$3,Auxiliar!$B$5:$B$10,0),MATCH('LISTA - Setembro2024'!$AC422,Auxiliar!$D$4:$I$4,0))</f>
        <v>0</v>
      </c>
      <c r="AK422" s="160">
        <f t="shared" si="95"/>
        <v>0</v>
      </c>
      <c r="AL422" s="87"/>
    </row>
    <row r="423" spans="1:38" ht="13.8" x14ac:dyDescent="0.25">
      <c r="A423" s="158" t="s">
        <v>1350</v>
      </c>
      <c r="B423" s="81" t="str">
        <f t="shared" si="93"/>
        <v>INSTRUMENT_TYP_OFF_BLNC_PRDCT</v>
      </c>
      <c r="C423" s="82" t="s">
        <v>414</v>
      </c>
      <c r="D423" s="92" t="s">
        <v>1351</v>
      </c>
      <c r="E423" s="93" t="s">
        <v>1352</v>
      </c>
      <c r="F423" s="85" t="s">
        <v>13</v>
      </c>
      <c r="G423" s="89" t="s">
        <v>13</v>
      </c>
      <c r="H423" s="89" t="s">
        <v>13</v>
      </c>
      <c r="I423" s="85" t="s">
        <v>11</v>
      </c>
      <c r="J423" s="85" t="s">
        <v>11</v>
      </c>
      <c r="K423" s="85" t="s">
        <v>13</v>
      </c>
      <c r="L423" s="86" t="str">
        <f>IFERROR(VLOOKUP($B423,'LISTA - Atual'!$B$1:$I$444,5,0),"Novo")</f>
        <v>Novo</v>
      </c>
      <c r="M423" s="86" t="str">
        <f t="shared" si="102"/>
        <v>Novo Campo</v>
      </c>
      <c r="N423" s="86" t="str">
        <f>IFERROR(VLOOKUP($B423,'LISTA - Atual'!$B$1:$I$444,6,0),"Novo")</f>
        <v>Novo</v>
      </c>
      <c r="O423" s="86" t="str">
        <f t="shared" si="103"/>
        <v>Novo Campo</v>
      </c>
      <c r="P423" s="86" t="str">
        <f>IFERROR(VLOOKUP($B423,'LISTA - Atual'!$B$1:$I$444,7,0),"Novo")</f>
        <v>Novo</v>
      </c>
      <c r="Q423" s="86" t="str">
        <f t="shared" si="104"/>
        <v>Novo Campo</v>
      </c>
      <c r="R423" s="86" t="s">
        <v>1563</v>
      </c>
      <c r="S423" s="86" t="str">
        <f>IFERROR(VLOOKUP($B423,'LISTA - Atual'!$B$1:$I$444,8,0),"Novo")</f>
        <v>Novo</v>
      </c>
      <c r="T423" s="86" t="str">
        <f t="shared" si="105"/>
        <v>Novo Campo</v>
      </c>
      <c r="U423" s="86" t="s">
        <v>1563</v>
      </c>
      <c r="V423" s="86" t="s">
        <v>11</v>
      </c>
      <c r="W423" s="87" t="str">
        <f>IFERROR(VLOOKUP(B423,#REF!,11,0),"n/a")</f>
        <v>n/a</v>
      </c>
      <c r="X423" s="87" t="str">
        <f>IFERROR(VLOOKUP(B423,#REF!,8,0),"n/a")</f>
        <v>n/a</v>
      </c>
      <c r="Y423" s="87" t="str">
        <f>$F$2&amp;$Y$1&amp;$G$2&amp;$Y$1&amp;$H$2</f>
        <v>ESTR &amp; GD &amp; PILAR3</v>
      </c>
      <c r="Z423" s="131" t="s">
        <v>1570</v>
      </c>
      <c r="AA423" s="227" t="str">
        <f>VLOOKUP(Table1[[#This Row],[CONCAT]],'Campos Resumo Prop2.0'!A:H,8,0)</f>
        <v>Não será contemplado no âmbito da proposta - Campos do LT ESTR</v>
      </c>
      <c r="AB423" s="87" t="s">
        <v>1650</v>
      </c>
      <c r="AC423" s="135" t="s">
        <v>1674</v>
      </c>
      <c r="AD423" s="91">
        <f>INDEX(Auxiliar!$D$5:$I$10,MATCH('LISTA - Setembro2024'!AD$3,Auxiliar!$B$5:$B$10,0),MATCH('LISTA - Setembro2024'!$AC423,Auxiliar!$D$4:$I$4,0))</f>
        <v>1</v>
      </c>
      <c r="AE423" s="88">
        <v>0</v>
      </c>
      <c r="AF423" s="87">
        <f>INDEX(Auxiliar!$D$5:$I$10,MATCH('LISTA - Setembro2024'!AF$3,Auxiliar!$B$5:$B$10,0),MATCH('LISTA - Setembro2024'!$AC423,Auxiliar!$D$4:$I$4,0))</f>
        <v>1</v>
      </c>
      <c r="AG423" s="87" t="str">
        <f t="shared" si="92"/>
        <v>M. Baixa</v>
      </c>
      <c r="AH423" s="87">
        <f>INDEX(Auxiliar!$D$5:$I$10,MATCH('LISTA - Setembro2024'!AH$3,Auxiliar!$B$5:$B$10,0),MATCH('LISTA - Setembro2024'!$AG423,Auxiliar!$D$4:$I$4,0))</f>
        <v>0.5</v>
      </c>
      <c r="AI423" s="87">
        <f>INDEX(Auxiliar!$D$5:$I$10,MATCH('LISTA - Setembro2024'!AI$3,Auxiliar!$B$5:$B$10,0),MATCH('LISTA - Setembro2024'!$AC423,Auxiliar!$D$4:$I$4,0))</f>
        <v>0.5</v>
      </c>
      <c r="AJ423" s="87">
        <f>INDEX(Auxiliar!$D$5:$I$10,MATCH('LISTA - Setembro2024'!AJ$3,Auxiliar!$B$5:$B$10,0),MATCH('LISTA - Setembro2024'!$AC423,Auxiliar!$D$4:$I$4,0))</f>
        <v>1</v>
      </c>
      <c r="AK423" s="242">
        <v>0</v>
      </c>
      <c r="AL423" s="87"/>
    </row>
    <row r="424" spans="1:38" ht="13.8" x14ac:dyDescent="0.25">
      <c r="A424" s="158" t="s">
        <v>1353</v>
      </c>
      <c r="B424" s="81" t="str">
        <f t="shared" si="93"/>
        <v>INSTRUMENT_BLNC_SHT_RCGNTN</v>
      </c>
      <c r="C424" s="82" t="s">
        <v>414</v>
      </c>
      <c r="D424" s="83" t="s">
        <v>1354</v>
      </c>
      <c r="E424" s="94" t="s">
        <v>1355</v>
      </c>
      <c r="F424" s="85" t="s">
        <v>13</v>
      </c>
      <c r="G424" s="85" t="s">
        <v>11</v>
      </c>
      <c r="H424" s="85" t="s">
        <v>11</v>
      </c>
      <c r="I424" s="85" t="s">
        <v>11</v>
      </c>
      <c r="J424" s="85" t="s">
        <v>11</v>
      </c>
      <c r="K424" s="85" t="s">
        <v>11</v>
      </c>
      <c r="L424" s="86" t="str">
        <f>IFERROR(VLOOKUP($B424,'LISTA - Atual'!$B$1:$I$444,5,0),"Novo")</f>
        <v>Novo</v>
      </c>
      <c r="M424" s="86" t="str">
        <f t="shared" si="102"/>
        <v>Novo Campo</v>
      </c>
      <c r="N424" s="86" t="str">
        <f>IFERROR(VLOOKUP($B424,'LISTA - Atual'!$B$1:$I$444,6,0),"Novo")</f>
        <v>Novo</v>
      </c>
      <c r="O424" s="86" t="str">
        <f t="shared" si="103"/>
        <v>Novo Campo</v>
      </c>
      <c r="P424" s="86" t="str">
        <f>IFERROR(VLOOKUP($B424,'LISTA - Atual'!$B$1:$I$444,7,0),"Novo")</f>
        <v>Novo</v>
      </c>
      <c r="Q424" s="86" t="str">
        <f t="shared" si="104"/>
        <v>Novo Campo</v>
      </c>
      <c r="R424" s="86" t="s">
        <v>1563</v>
      </c>
      <c r="S424" s="86" t="str">
        <f>IFERROR(VLOOKUP($B424,'LISTA - Atual'!$B$1:$I$444,8,0),"Novo")</f>
        <v>Novo</v>
      </c>
      <c r="T424" s="86" t="str">
        <f t="shared" si="105"/>
        <v>Novo Campo</v>
      </c>
      <c r="U424" s="86" t="s">
        <v>1563</v>
      </c>
      <c r="V424" s="86" t="s">
        <v>11</v>
      </c>
      <c r="W424" s="87" t="str">
        <f>IFERROR(VLOOKUP(B424,#REF!,11,0),"n/a")</f>
        <v>n/a</v>
      </c>
      <c r="X424" s="87" t="str">
        <f>IFERROR(VLOOKUP(B424,#REF!,8,0),"n/a")</f>
        <v>n/a</v>
      </c>
      <c r="Y424" s="87" t="str">
        <f t="shared" ref="Y424:Y426" si="107">$F$2</f>
        <v>ESTR</v>
      </c>
      <c r="Z424" s="131" t="s">
        <v>1570</v>
      </c>
      <c r="AA424" s="227" t="e">
        <f>VLOOKUP(Table1[[#This Row],[CONCAT]],'Campos Resumo Prop2.0'!A:H,8,0)</f>
        <v>#N/A</v>
      </c>
      <c r="AB424" s="87" t="s">
        <v>1650</v>
      </c>
      <c r="AC424" s="88" t="s">
        <v>1625</v>
      </c>
      <c r="AD424" s="91">
        <f>INDEX(Auxiliar!$D$5:$I$10,MATCH('LISTA - Setembro2024'!AD$3,Auxiliar!$B$5:$B$10,0),MATCH('LISTA - Setembro2024'!$AC424,Auxiliar!$D$4:$I$4,0))</f>
        <v>0</v>
      </c>
      <c r="AE424" s="91">
        <f>INDEX(Auxiliar!$D$5:$I$10,MATCH('LISTA - Setembro2024'!AE$3,Auxiliar!$B$5:$B$10,0),MATCH('LISTA - Setembro2024'!$AC424,Auxiliar!$D$4:$I$4,0))</f>
        <v>0</v>
      </c>
      <c r="AF424" s="87">
        <f>INDEX(Auxiliar!$D$5:$I$10,MATCH('LISTA - Setembro2024'!AF$3,Auxiliar!$B$5:$B$10,0),MATCH('LISTA - Setembro2024'!$AC424,Auxiliar!$D$4:$I$4,0))</f>
        <v>0</v>
      </c>
      <c r="AG424" s="87" t="str">
        <f t="shared" si="92"/>
        <v>n.a.</v>
      </c>
      <c r="AH424" s="87">
        <f>INDEX(Auxiliar!$D$5:$I$10,MATCH('LISTA - Setembro2024'!AH$3,Auxiliar!$B$5:$B$10,0),MATCH('LISTA - Setembro2024'!$AG424,Auxiliar!$D$4:$I$4,0))</f>
        <v>0</v>
      </c>
      <c r="AI424" s="87">
        <f>INDEX(Auxiliar!$D$5:$I$10,MATCH('LISTA - Setembro2024'!AI$3,Auxiliar!$B$5:$B$10,0),MATCH('LISTA - Setembro2024'!$AC424,Auxiliar!$D$4:$I$4,0))</f>
        <v>0</v>
      </c>
      <c r="AJ424" s="87">
        <f>INDEX(Auxiliar!$D$5:$I$10,MATCH('LISTA - Setembro2024'!AJ$3,Auxiliar!$B$5:$B$10,0),MATCH('LISTA - Setembro2024'!$AC424,Auxiliar!$D$4:$I$4,0))</f>
        <v>0</v>
      </c>
      <c r="AK424" s="160">
        <f t="shared" si="95"/>
        <v>0</v>
      </c>
      <c r="AL424" s="87"/>
    </row>
    <row r="425" spans="1:38" ht="13.8" x14ac:dyDescent="0.25">
      <c r="A425" s="158" t="s">
        <v>1356</v>
      </c>
      <c r="B425" s="81" t="str">
        <f t="shared" si="93"/>
        <v>INSTRUMENT_FLG_DFLT</v>
      </c>
      <c r="C425" s="82" t="s">
        <v>414</v>
      </c>
      <c r="D425" s="83" t="s">
        <v>1357</v>
      </c>
      <c r="E425" s="93" t="s">
        <v>1358</v>
      </c>
      <c r="F425" s="85" t="s">
        <v>13</v>
      </c>
      <c r="G425" s="85" t="s">
        <v>11</v>
      </c>
      <c r="H425" s="85" t="s">
        <v>11</v>
      </c>
      <c r="I425" s="85" t="s">
        <v>11</v>
      </c>
      <c r="J425" s="85" t="s">
        <v>11</v>
      </c>
      <c r="K425" s="85" t="s">
        <v>11</v>
      </c>
      <c r="L425" s="86" t="str">
        <f>IFERROR(VLOOKUP($B425,'LISTA - Atual'!$B$1:$I$444,5,0),"Novo")</f>
        <v>Novo</v>
      </c>
      <c r="M425" s="86" t="str">
        <f t="shared" si="102"/>
        <v>Novo Campo</v>
      </c>
      <c r="N425" s="86" t="str">
        <f>IFERROR(VLOOKUP($B425,'LISTA - Atual'!$B$1:$I$444,6,0),"Novo")</f>
        <v>Novo</v>
      </c>
      <c r="O425" s="86" t="str">
        <f t="shared" si="103"/>
        <v>Novo Campo</v>
      </c>
      <c r="P425" s="86" t="str">
        <f>IFERROR(VLOOKUP($B425,'LISTA - Atual'!$B$1:$I$444,7,0),"Novo")</f>
        <v>Novo</v>
      </c>
      <c r="Q425" s="86" t="str">
        <f t="shared" si="104"/>
        <v>Novo Campo</v>
      </c>
      <c r="R425" s="86" t="s">
        <v>1563</v>
      </c>
      <c r="S425" s="86" t="str">
        <f>IFERROR(VLOOKUP($B425,'LISTA - Atual'!$B$1:$I$444,8,0),"Novo")</f>
        <v>Novo</v>
      </c>
      <c r="T425" s="86" t="str">
        <f t="shared" si="105"/>
        <v>Novo Campo</v>
      </c>
      <c r="U425" s="86" t="s">
        <v>1563</v>
      </c>
      <c r="V425" s="86" t="s">
        <v>11</v>
      </c>
      <c r="W425" s="87" t="str">
        <f>IFERROR(VLOOKUP(B425,#REF!,11,0),"n/a")</f>
        <v>n/a</v>
      </c>
      <c r="X425" s="87" t="str">
        <f>IFERROR(VLOOKUP(B425,#REF!,8,0),"n/a")</f>
        <v>n/a</v>
      </c>
      <c r="Y425" s="87" t="str">
        <f t="shared" si="107"/>
        <v>ESTR</v>
      </c>
      <c r="Z425" s="131" t="s">
        <v>1570</v>
      </c>
      <c r="AA425" s="227" t="e">
        <f>VLOOKUP(Table1[[#This Row],[CONCAT]],'Campos Resumo Prop2.0'!A:H,8,0)</f>
        <v>#N/A</v>
      </c>
      <c r="AB425" s="87" t="s">
        <v>1654</v>
      </c>
      <c r="AC425" s="88" t="s">
        <v>1625</v>
      </c>
      <c r="AD425" s="91">
        <f>INDEX(Auxiliar!$D$5:$I$10,MATCH('LISTA - Setembro2024'!AD$3,Auxiliar!$B$5:$B$10,0),MATCH('LISTA - Setembro2024'!$AC425,Auxiliar!$D$4:$I$4,0))</f>
        <v>0</v>
      </c>
      <c r="AE425" s="91">
        <f>INDEX(Auxiliar!$D$5:$I$10,MATCH('LISTA - Setembro2024'!AE$3,Auxiliar!$B$5:$B$10,0),MATCH('LISTA - Setembro2024'!$AC425,Auxiliar!$D$4:$I$4,0))</f>
        <v>0</v>
      </c>
      <c r="AF425" s="87">
        <f>INDEX(Auxiliar!$D$5:$I$10,MATCH('LISTA - Setembro2024'!AF$3,Auxiliar!$B$5:$B$10,0),MATCH('LISTA - Setembro2024'!$AC425,Auxiliar!$D$4:$I$4,0))</f>
        <v>0</v>
      </c>
      <c r="AG425" s="87" t="str">
        <f t="shared" si="92"/>
        <v>n.a.</v>
      </c>
      <c r="AH425" s="87">
        <f>INDEX(Auxiliar!$D$5:$I$10,MATCH('LISTA - Setembro2024'!AH$3,Auxiliar!$B$5:$B$10,0),MATCH('LISTA - Setembro2024'!$AG425,Auxiliar!$D$4:$I$4,0))</f>
        <v>0</v>
      </c>
      <c r="AI425" s="87">
        <f>INDEX(Auxiliar!$D$5:$I$10,MATCH('LISTA - Setembro2024'!AI$3,Auxiliar!$B$5:$B$10,0),MATCH('LISTA - Setembro2024'!$AC425,Auxiliar!$D$4:$I$4,0))</f>
        <v>0</v>
      </c>
      <c r="AJ425" s="87">
        <f>INDEX(Auxiliar!$D$5:$I$10,MATCH('LISTA - Setembro2024'!AJ$3,Auxiliar!$B$5:$B$10,0),MATCH('LISTA - Setembro2024'!$AC425,Auxiliar!$D$4:$I$4,0))</f>
        <v>0</v>
      </c>
      <c r="AK425" s="160">
        <f t="shared" si="95"/>
        <v>0</v>
      </c>
      <c r="AL425" s="87" t="s">
        <v>1667</v>
      </c>
    </row>
    <row r="426" spans="1:38" ht="13.8" x14ac:dyDescent="0.25">
      <c r="A426" s="158" t="s">
        <v>1359</v>
      </c>
      <c r="B426" s="81" t="str">
        <f t="shared" si="93"/>
        <v>INSTRUMENT_FLG_HGH_RSK</v>
      </c>
      <c r="C426" s="82" t="s">
        <v>414</v>
      </c>
      <c r="D426" s="83" t="s">
        <v>1360</v>
      </c>
      <c r="E426" s="93" t="s">
        <v>1361</v>
      </c>
      <c r="F426" s="85" t="s">
        <v>13</v>
      </c>
      <c r="G426" s="85" t="s">
        <v>11</v>
      </c>
      <c r="H426" s="85" t="s">
        <v>11</v>
      </c>
      <c r="I426" s="85" t="s">
        <v>11</v>
      </c>
      <c r="J426" s="85" t="s">
        <v>11</v>
      </c>
      <c r="K426" s="85" t="s">
        <v>11</v>
      </c>
      <c r="L426" s="86" t="str">
        <f>IFERROR(VLOOKUP($B426,'LISTA - Atual'!$B$1:$I$444,5,0),"Novo")</f>
        <v>Novo</v>
      </c>
      <c r="M426" s="86" t="str">
        <f t="shared" si="102"/>
        <v>Novo Campo</v>
      </c>
      <c r="N426" s="86" t="str">
        <f>IFERROR(VLOOKUP($B426,'LISTA - Atual'!$B$1:$I$444,6,0),"Novo")</f>
        <v>Novo</v>
      </c>
      <c r="O426" s="86" t="str">
        <f t="shared" si="103"/>
        <v>Novo Campo</v>
      </c>
      <c r="P426" s="86" t="str">
        <f>IFERROR(VLOOKUP($B426,'LISTA - Atual'!$B$1:$I$444,7,0),"Novo")</f>
        <v>Novo</v>
      </c>
      <c r="Q426" s="86" t="str">
        <f t="shared" si="104"/>
        <v>Novo Campo</v>
      </c>
      <c r="R426" s="86" t="s">
        <v>1563</v>
      </c>
      <c r="S426" s="86" t="str">
        <f>IFERROR(VLOOKUP($B426,'LISTA - Atual'!$B$1:$I$444,8,0),"Novo")</f>
        <v>Novo</v>
      </c>
      <c r="T426" s="86" t="str">
        <f t="shared" si="105"/>
        <v>Novo Campo</v>
      </c>
      <c r="U426" s="86" t="s">
        <v>1563</v>
      </c>
      <c r="V426" s="86" t="s">
        <v>11</v>
      </c>
      <c r="W426" s="87" t="str">
        <f>IFERROR(VLOOKUP(B426,#REF!,11,0),"n/a")</f>
        <v>n/a</v>
      </c>
      <c r="X426" s="87" t="str">
        <f>IFERROR(VLOOKUP(B426,#REF!,8,0),"n/a")</f>
        <v>n/a</v>
      </c>
      <c r="Y426" s="87" t="str">
        <f t="shared" si="107"/>
        <v>ESTR</v>
      </c>
      <c r="Z426" s="131" t="s">
        <v>1570</v>
      </c>
      <c r="AA426" s="227" t="e">
        <f>VLOOKUP(Table1[[#This Row],[CONCAT]],'Campos Resumo Prop2.0'!A:H,8,0)</f>
        <v>#N/A</v>
      </c>
      <c r="AB426" s="87" t="s">
        <v>1654</v>
      </c>
      <c r="AC426" s="88" t="s">
        <v>1625</v>
      </c>
      <c r="AD426" s="91">
        <f>INDEX(Auxiliar!$D$5:$I$10,MATCH('LISTA - Setembro2024'!AD$3,Auxiliar!$B$5:$B$10,0),MATCH('LISTA - Setembro2024'!$AC426,Auxiliar!$D$4:$I$4,0))</f>
        <v>0</v>
      </c>
      <c r="AE426" s="91">
        <f>INDEX(Auxiliar!$D$5:$I$10,MATCH('LISTA - Setembro2024'!AE$3,Auxiliar!$B$5:$B$10,0),MATCH('LISTA - Setembro2024'!$AC426,Auxiliar!$D$4:$I$4,0))</f>
        <v>0</v>
      </c>
      <c r="AF426" s="87">
        <f>INDEX(Auxiliar!$D$5:$I$10,MATCH('LISTA - Setembro2024'!AF$3,Auxiliar!$B$5:$B$10,0),MATCH('LISTA - Setembro2024'!$AC426,Auxiliar!$D$4:$I$4,0))</f>
        <v>0</v>
      </c>
      <c r="AG426" s="87" t="str">
        <f t="shared" si="92"/>
        <v>n.a.</v>
      </c>
      <c r="AH426" s="87">
        <f>INDEX(Auxiliar!$D$5:$I$10,MATCH('LISTA - Setembro2024'!AH$3,Auxiliar!$B$5:$B$10,0),MATCH('LISTA - Setembro2024'!$AG426,Auxiliar!$D$4:$I$4,0))</f>
        <v>0</v>
      </c>
      <c r="AI426" s="87">
        <f>INDEX(Auxiliar!$D$5:$I$10,MATCH('LISTA - Setembro2024'!AI$3,Auxiliar!$B$5:$B$10,0),MATCH('LISTA - Setembro2024'!$AC426,Auxiliar!$D$4:$I$4,0))</f>
        <v>0</v>
      </c>
      <c r="AJ426" s="87">
        <f>INDEX(Auxiliar!$D$5:$I$10,MATCH('LISTA - Setembro2024'!AJ$3,Auxiliar!$B$5:$B$10,0),MATCH('LISTA - Setembro2024'!$AC426,Auxiliar!$D$4:$I$4,0))</f>
        <v>0</v>
      </c>
      <c r="AK426" s="160">
        <f t="shared" si="95"/>
        <v>0</v>
      </c>
      <c r="AL426" s="87" t="s">
        <v>1667</v>
      </c>
    </row>
    <row r="427" spans="1:38" ht="13.8" x14ac:dyDescent="0.25">
      <c r="A427" s="158" t="s">
        <v>1362</v>
      </c>
      <c r="B427" s="81" t="str">
        <f t="shared" si="93"/>
        <v>INSTRUMENT_EXCLDD_LF</v>
      </c>
      <c r="C427" s="82" t="s">
        <v>414</v>
      </c>
      <c r="D427" s="83" t="s">
        <v>1363</v>
      </c>
      <c r="E427" s="93" t="s">
        <v>1364</v>
      </c>
      <c r="F427" s="85" t="s">
        <v>11</v>
      </c>
      <c r="G427" s="85" t="s">
        <v>11</v>
      </c>
      <c r="H427" s="85" t="s">
        <v>11</v>
      </c>
      <c r="I427" s="85" t="s">
        <v>11</v>
      </c>
      <c r="J427" s="85" t="s">
        <v>11</v>
      </c>
      <c r="K427" s="85" t="s">
        <v>13</v>
      </c>
      <c r="L427" s="86" t="str">
        <f>IFERROR(VLOOKUP($B427,'LISTA - Atual'!$B$1:$I$444,5,0),"Novo")</f>
        <v>Novo</v>
      </c>
      <c r="M427" s="86" t="str">
        <f t="shared" si="102"/>
        <v>Novo Campo</v>
      </c>
      <c r="N427" s="86" t="str">
        <f>IFERROR(VLOOKUP($B427,'LISTA - Atual'!$B$1:$I$444,6,0),"Novo")</f>
        <v>Novo</v>
      </c>
      <c r="O427" s="86" t="str">
        <f t="shared" si="103"/>
        <v>Novo Campo</v>
      </c>
      <c r="P427" s="86" t="str">
        <f>IFERROR(VLOOKUP($B427,'LISTA - Atual'!$B$1:$I$444,7,0),"Novo")</f>
        <v>Novo</v>
      </c>
      <c r="Q427" s="86" t="str">
        <f t="shared" si="104"/>
        <v>Novo Campo</v>
      </c>
      <c r="R427" s="86" t="s">
        <v>1563</v>
      </c>
      <c r="S427" s="86" t="str">
        <f>IFERROR(VLOOKUP($B427,'LISTA - Atual'!$B$1:$I$444,8,0),"Novo")</f>
        <v>Novo</v>
      </c>
      <c r="T427" s="86" t="str">
        <f t="shared" si="105"/>
        <v>Novo Campo</v>
      </c>
      <c r="U427" s="86" t="s">
        <v>1563</v>
      </c>
      <c r="V427" s="86" t="s">
        <v>11</v>
      </c>
      <c r="W427" s="87" t="str">
        <f>IFERROR(VLOOKUP(B427,#REF!,11,0),"n/a")</f>
        <v>n/a</v>
      </c>
      <c r="X427" s="87" t="str">
        <f>IFERROR(VLOOKUP(B427,#REF!,8,0),"n/a")</f>
        <v>n/a</v>
      </c>
      <c r="Y427" s="87" t="str">
        <f t="shared" ref="Y427:Y433" si="108">$K$2</f>
        <v>LF</v>
      </c>
      <c r="Z427" s="131" t="s">
        <v>1570</v>
      </c>
      <c r="AA427" s="227" t="e">
        <f>VLOOKUP(Table1[[#This Row],[CONCAT]],'Campos Resumo Prop2.0'!A:H,8,0)</f>
        <v>#N/A</v>
      </c>
      <c r="AB427" s="87" t="s">
        <v>1650</v>
      </c>
      <c r="AC427" s="88" t="s">
        <v>1625</v>
      </c>
      <c r="AD427" s="91">
        <f>INDEX(Auxiliar!$D$5:$I$10,MATCH('LISTA - Setembro2024'!AD$3,Auxiliar!$B$5:$B$10,0),MATCH('LISTA - Setembro2024'!$AC427,Auxiliar!$D$4:$I$4,0))</f>
        <v>0</v>
      </c>
      <c r="AE427" s="91">
        <f>INDEX(Auxiliar!$D$5:$I$10,MATCH('LISTA - Setembro2024'!AE$3,Auxiliar!$B$5:$B$10,0),MATCH('LISTA - Setembro2024'!$AC427,Auxiliar!$D$4:$I$4,0))</f>
        <v>0</v>
      </c>
      <c r="AF427" s="87">
        <f>INDEX(Auxiliar!$D$5:$I$10,MATCH('LISTA - Setembro2024'!AF$3,Auxiliar!$B$5:$B$10,0),MATCH('LISTA - Setembro2024'!$AC427,Auxiliar!$D$4:$I$4,0))</f>
        <v>0</v>
      </c>
      <c r="AG427" s="87" t="str">
        <f t="shared" si="92"/>
        <v>n.a.</v>
      </c>
      <c r="AH427" s="87">
        <f>INDEX(Auxiliar!$D$5:$I$10,MATCH('LISTA - Setembro2024'!AH$3,Auxiliar!$B$5:$B$10,0),MATCH('LISTA - Setembro2024'!$AG427,Auxiliar!$D$4:$I$4,0))</f>
        <v>0</v>
      </c>
      <c r="AI427" s="87">
        <f>INDEX(Auxiliar!$D$5:$I$10,MATCH('LISTA - Setembro2024'!AI$3,Auxiliar!$B$5:$B$10,0),MATCH('LISTA - Setembro2024'!$AC427,Auxiliar!$D$4:$I$4,0))</f>
        <v>0</v>
      </c>
      <c r="AJ427" s="87">
        <f>INDEX(Auxiliar!$D$5:$I$10,MATCH('LISTA - Setembro2024'!AJ$3,Auxiliar!$B$5:$B$10,0),MATCH('LISTA - Setembro2024'!$AC427,Auxiliar!$D$4:$I$4,0))</f>
        <v>0</v>
      </c>
      <c r="AK427" s="160">
        <f t="shared" si="95"/>
        <v>0</v>
      </c>
      <c r="AL427" s="87"/>
    </row>
    <row r="428" spans="1:38" ht="13.8" x14ac:dyDescent="0.25">
      <c r="A428" s="158" t="s">
        <v>1365</v>
      </c>
      <c r="B428" s="81" t="str">
        <f t="shared" si="93"/>
        <v>INSTRUMENT_RWA_MTGTN</v>
      </c>
      <c r="C428" s="82" t="s">
        <v>414</v>
      </c>
      <c r="D428" s="83" t="s">
        <v>1366</v>
      </c>
      <c r="E428" s="93" t="s">
        <v>1367</v>
      </c>
      <c r="F428" s="85" t="s">
        <v>11</v>
      </c>
      <c r="G428" s="85" t="s">
        <v>11</v>
      </c>
      <c r="H428" s="85" t="s">
        <v>11</v>
      </c>
      <c r="I428" s="85" t="s">
        <v>11</v>
      </c>
      <c r="J428" s="85" t="s">
        <v>11</v>
      </c>
      <c r="K428" s="85" t="s">
        <v>13</v>
      </c>
      <c r="L428" s="86" t="str">
        <f>IFERROR(VLOOKUP($B428,'LISTA - Atual'!$B$1:$I$444,5,0),"Novo")</f>
        <v>Novo</v>
      </c>
      <c r="M428" s="86" t="str">
        <f t="shared" si="102"/>
        <v>Novo Campo</v>
      </c>
      <c r="N428" s="86" t="str">
        <f>IFERROR(VLOOKUP($B428,'LISTA - Atual'!$B$1:$I$444,6,0),"Novo")</f>
        <v>Novo</v>
      </c>
      <c r="O428" s="86" t="str">
        <f t="shared" si="103"/>
        <v>Novo Campo</v>
      </c>
      <c r="P428" s="86" t="str">
        <f>IFERROR(VLOOKUP($B428,'LISTA - Atual'!$B$1:$I$444,7,0),"Novo")</f>
        <v>Novo</v>
      </c>
      <c r="Q428" s="86" t="str">
        <f t="shared" si="104"/>
        <v>Novo Campo</v>
      </c>
      <c r="R428" s="86" t="s">
        <v>1563</v>
      </c>
      <c r="S428" s="86" t="str">
        <f>IFERROR(VLOOKUP($B428,'LISTA - Atual'!$B$1:$I$444,8,0),"Novo")</f>
        <v>Novo</v>
      </c>
      <c r="T428" s="86" t="str">
        <f t="shared" si="105"/>
        <v>Novo Campo</v>
      </c>
      <c r="U428" s="86" t="s">
        <v>1563</v>
      </c>
      <c r="V428" s="86" t="s">
        <v>11</v>
      </c>
      <c r="W428" s="87" t="str">
        <f>IFERROR(VLOOKUP(B428,#REF!,11,0),"n/a")</f>
        <v>n/a</v>
      </c>
      <c r="X428" s="87" t="str">
        <f>IFERROR(VLOOKUP(B428,#REF!,8,0),"n/a")</f>
        <v>n/a</v>
      </c>
      <c r="Y428" s="87" t="str">
        <f t="shared" si="108"/>
        <v>LF</v>
      </c>
      <c r="Z428" s="131" t="s">
        <v>1570</v>
      </c>
      <c r="AA428" s="227" t="e">
        <f>VLOOKUP(Table1[[#This Row],[CONCAT]],'Campos Resumo Prop2.0'!A:H,8,0)</f>
        <v>#N/A</v>
      </c>
      <c r="AB428" s="87" t="s">
        <v>1655</v>
      </c>
      <c r="AC428" s="88" t="s">
        <v>1625</v>
      </c>
      <c r="AD428" s="91">
        <f>INDEX(Auxiliar!$D$5:$I$10,MATCH('LISTA - Setembro2024'!AD$3,Auxiliar!$B$5:$B$10,0),MATCH('LISTA - Setembro2024'!$AC428,Auxiliar!$D$4:$I$4,0))</f>
        <v>0</v>
      </c>
      <c r="AE428" s="91">
        <f>INDEX(Auxiliar!$D$5:$I$10,MATCH('LISTA - Setembro2024'!AE$3,Auxiliar!$B$5:$B$10,0),MATCH('LISTA - Setembro2024'!$AC428,Auxiliar!$D$4:$I$4,0))</f>
        <v>0</v>
      </c>
      <c r="AF428" s="87">
        <f>INDEX(Auxiliar!$D$5:$I$10,MATCH('LISTA - Setembro2024'!AF$3,Auxiliar!$B$5:$B$10,0),MATCH('LISTA - Setembro2024'!$AC428,Auxiliar!$D$4:$I$4,0))</f>
        <v>0</v>
      </c>
      <c r="AG428" s="87" t="str">
        <f t="shared" si="92"/>
        <v>n.a.</v>
      </c>
      <c r="AH428" s="87">
        <f>INDEX(Auxiliar!$D$5:$I$10,MATCH('LISTA - Setembro2024'!AH$3,Auxiliar!$B$5:$B$10,0),MATCH('LISTA - Setembro2024'!$AG428,Auxiliar!$D$4:$I$4,0))</f>
        <v>0</v>
      </c>
      <c r="AI428" s="87">
        <f>INDEX(Auxiliar!$D$5:$I$10,MATCH('LISTA - Setembro2024'!AI$3,Auxiliar!$B$5:$B$10,0),MATCH('LISTA - Setembro2024'!$AC428,Auxiliar!$D$4:$I$4,0))</f>
        <v>0</v>
      </c>
      <c r="AJ428" s="87">
        <f>INDEX(Auxiliar!$D$5:$I$10,MATCH('LISTA - Setembro2024'!AJ$3,Auxiliar!$B$5:$B$10,0),MATCH('LISTA - Setembro2024'!$AC428,Auxiliar!$D$4:$I$4,0))</f>
        <v>0</v>
      </c>
      <c r="AK428" s="160">
        <f t="shared" si="95"/>
        <v>0</v>
      </c>
      <c r="AL428" s="87"/>
    </row>
    <row r="429" spans="1:38" ht="13.8" x14ac:dyDescent="0.25">
      <c r="A429" s="158" t="s">
        <v>1368</v>
      </c>
      <c r="B429" s="81" t="str">
        <f t="shared" si="93"/>
        <v>INSTRUMENT_RWA_PRMTGTN</v>
      </c>
      <c r="C429" s="82" t="s">
        <v>414</v>
      </c>
      <c r="D429" s="83" t="s">
        <v>1369</v>
      </c>
      <c r="E429" s="93" t="s">
        <v>1370</v>
      </c>
      <c r="F429" s="85" t="s">
        <v>11</v>
      </c>
      <c r="G429" s="85" t="s">
        <v>11</v>
      </c>
      <c r="H429" s="85" t="s">
        <v>11</v>
      </c>
      <c r="I429" s="85" t="s">
        <v>11</v>
      </c>
      <c r="J429" s="85" t="s">
        <v>11</v>
      </c>
      <c r="K429" s="85" t="s">
        <v>13</v>
      </c>
      <c r="L429" s="86" t="str">
        <f>IFERROR(VLOOKUP($B429,'LISTA - Atual'!$B$1:$I$444,5,0),"Novo")</f>
        <v>Novo</v>
      </c>
      <c r="M429" s="86" t="str">
        <f t="shared" si="102"/>
        <v>Novo Campo</v>
      </c>
      <c r="N429" s="86" t="str">
        <f>IFERROR(VLOOKUP($B429,'LISTA - Atual'!$B$1:$I$444,6,0),"Novo")</f>
        <v>Novo</v>
      </c>
      <c r="O429" s="86" t="str">
        <f t="shared" si="103"/>
        <v>Novo Campo</v>
      </c>
      <c r="P429" s="86" t="str">
        <f>IFERROR(VLOOKUP($B429,'LISTA - Atual'!$B$1:$I$444,7,0),"Novo")</f>
        <v>Novo</v>
      </c>
      <c r="Q429" s="86" t="str">
        <f t="shared" si="104"/>
        <v>Novo Campo</v>
      </c>
      <c r="R429" s="86" t="s">
        <v>1563</v>
      </c>
      <c r="S429" s="86" t="str">
        <f>IFERROR(VLOOKUP($B429,'LISTA - Atual'!$B$1:$I$444,8,0),"Novo")</f>
        <v>Novo</v>
      </c>
      <c r="T429" s="86" t="str">
        <f t="shared" si="105"/>
        <v>Novo Campo</v>
      </c>
      <c r="U429" s="86" t="s">
        <v>1563</v>
      </c>
      <c r="V429" s="86" t="s">
        <v>11</v>
      </c>
      <c r="W429" s="87" t="str">
        <f>IFERROR(VLOOKUP(B429,#REF!,11,0),"n/a")</f>
        <v>n/a</v>
      </c>
      <c r="X429" s="87" t="str">
        <f>IFERROR(VLOOKUP(B429,#REF!,8,0),"n/a")</f>
        <v>n/a</v>
      </c>
      <c r="Y429" s="87" t="str">
        <f t="shared" si="108"/>
        <v>LF</v>
      </c>
      <c r="Z429" s="131" t="s">
        <v>1570</v>
      </c>
      <c r="AA429" s="227" t="e">
        <f>VLOOKUP(Table1[[#This Row],[CONCAT]],'Campos Resumo Prop2.0'!A:H,8,0)</f>
        <v>#N/A</v>
      </c>
      <c r="AB429" s="87" t="s">
        <v>1655</v>
      </c>
      <c r="AC429" s="88" t="s">
        <v>1625</v>
      </c>
      <c r="AD429" s="91">
        <f>INDEX(Auxiliar!$D$5:$I$10,MATCH('LISTA - Setembro2024'!AD$3,Auxiliar!$B$5:$B$10,0),MATCH('LISTA - Setembro2024'!$AC429,Auxiliar!$D$4:$I$4,0))</f>
        <v>0</v>
      </c>
      <c r="AE429" s="91">
        <f>INDEX(Auxiliar!$D$5:$I$10,MATCH('LISTA - Setembro2024'!AE$3,Auxiliar!$B$5:$B$10,0),MATCH('LISTA - Setembro2024'!$AC429,Auxiliar!$D$4:$I$4,0))</f>
        <v>0</v>
      </c>
      <c r="AF429" s="87">
        <f>INDEX(Auxiliar!$D$5:$I$10,MATCH('LISTA - Setembro2024'!AF$3,Auxiliar!$B$5:$B$10,0),MATCH('LISTA - Setembro2024'!$AC429,Auxiliar!$D$4:$I$4,0))</f>
        <v>0</v>
      </c>
      <c r="AG429" s="87" t="str">
        <f t="shared" si="92"/>
        <v>n.a.</v>
      </c>
      <c r="AH429" s="87">
        <f>INDEX(Auxiliar!$D$5:$I$10,MATCH('LISTA - Setembro2024'!AH$3,Auxiliar!$B$5:$B$10,0),MATCH('LISTA - Setembro2024'!$AG429,Auxiliar!$D$4:$I$4,0))</f>
        <v>0</v>
      </c>
      <c r="AI429" s="87">
        <f>INDEX(Auxiliar!$D$5:$I$10,MATCH('LISTA - Setembro2024'!AI$3,Auxiliar!$B$5:$B$10,0),MATCH('LISTA - Setembro2024'!$AC429,Auxiliar!$D$4:$I$4,0))</f>
        <v>0</v>
      </c>
      <c r="AJ429" s="87">
        <f>INDEX(Auxiliar!$D$5:$I$10,MATCH('LISTA - Setembro2024'!AJ$3,Auxiliar!$B$5:$B$10,0),MATCH('LISTA - Setembro2024'!$AC429,Auxiliar!$D$4:$I$4,0))</f>
        <v>0</v>
      </c>
      <c r="AK429" s="160">
        <f t="shared" si="95"/>
        <v>0</v>
      </c>
      <c r="AL429" s="87"/>
    </row>
    <row r="430" spans="1:38" ht="13.8" x14ac:dyDescent="0.25">
      <c r="A430" s="158" t="s">
        <v>1371</v>
      </c>
      <c r="B430" s="81" t="str">
        <f t="shared" si="93"/>
        <v>INSTRUMENT_US_PRCDS</v>
      </c>
      <c r="C430" s="82" t="s">
        <v>414</v>
      </c>
      <c r="D430" s="83" t="s">
        <v>1372</v>
      </c>
      <c r="E430" s="93" t="s">
        <v>1373</v>
      </c>
      <c r="F430" s="85" t="s">
        <v>11</v>
      </c>
      <c r="G430" s="85" t="s">
        <v>11</v>
      </c>
      <c r="H430" s="85" t="s">
        <v>11</v>
      </c>
      <c r="I430" s="85" t="s">
        <v>11</v>
      </c>
      <c r="J430" s="85" t="s">
        <v>11</v>
      </c>
      <c r="K430" s="85" t="s">
        <v>13</v>
      </c>
      <c r="L430" s="86" t="str">
        <f>IFERROR(VLOOKUP($B430,'LISTA - Atual'!$B$1:$I$444,5,0),"Novo")</f>
        <v>Novo</v>
      </c>
      <c r="M430" s="86" t="str">
        <f t="shared" si="102"/>
        <v>Novo Campo</v>
      </c>
      <c r="N430" s="86" t="str">
        <f>IFERROR(VLOOKUP($B430,'LISTA - Atual'!$B$1:$I$444,6,0),"Novo")</f>
        <v>Novo</v>
      </c>
      <c r="O430" s="86" t="str">
        <f t="shared" si="103"/>
        <v>Novo Campo</v>
      </c>
      <c r="P430" s="86" t="str">
        <f>IFERROR(VLOOKUP($B430,'LISTA - Atual'!$B$1:$I$444,7,0),"Novo")</f>
        <v>Novo</v>
      </c>
      <c r="Q430" s="86" t="str">
        <f t="shared" si="104"/>
        <v>Novo Campo</v>
      </c>
      <c r="R430" s="86" t="s">
        <v>1563</v>
      </c>
      <c r="S430" s="86" t="str">
        <f>IFERROR(VLOOKUP($B430,'LISTA - Atual'!$B$1:$I$444,8,0),"Novo")</f>
        <v>Novo</v>
      </c>
      <c r="T430" s="86" t="str">
        <f t="shared" si="105"/>
        <v>Novo Campo</v>
      </c>
      <c r="U430" s="86" t="s">
        <v>1563</v>
      </c>
      <c r="V430" s="86" t="s">
        <v>11</v>
      </c>
      <c r="W430" s="87" t="str">
        <f>IFERROR(VLOOKUP(B430,#REF!,11,0),"n/a")</f>
        <v>n/a</v>
      </c>
      <c r="X430" s="87" t="str">
        <f>IFERROR(VLOOKUP(B430,#REF!,8,0),"n/a")</f>
        <v>n/a</v>
      </c>
      <c r="Y430" s="87" t="str">
        <f t="shared" si="108"/>
        <v>LF</v>
      </c>
      <c r="Z430" s="131" t="s">
        <v>1570</v>
      </c>
      <c r="AA430" s="227" t="e">
        <f>VLOOKUP(Table1[[#This Row],[CONCAT]],'Campos Resumo Prop2.0'!A:H,8,0)</f>
        <v>#N/A</v>
      </c>
      <c r="AB430" s="87" t="s">
        <v>1650</v>
      </c>
      <c r="AC430" s="88" t="s">
        <v>1625</v>
      </c>
      <c r="AD430" s="91">
        <f>INDEX(Auxiliar!$D$5:$I$10,MATCH('LISTA - Setembro2024'!AD$3,Auxiliar!$B$5:$B$10,0),MATCH('LISTA - Setembro2024'!$AC430,Auxiliar!$D$4:$I$4,0))</f>
        <v>0</v>
      </c>
      <c r="AE430" s="91">
        <f>INDEX(Auxiliar!$D$5:$I$10,MATCH('LISTA - Setembro2024'!AE$3,Auxiliar!$B$5:$B$10,0),MATCH('LISTA - Setembro2024'!$AC430,Auxiliar!$D$4:$I$4,0))</f>
        <v>0</v>
      </c>
      <c r="AF430" s="87">
        <f>INDEX(Auxiliar!$D$5:$I$10,MATCH('LISTA - Setembro2024'!AF$3,Auxiliar!$B$5:$B$10,0),MATCH('LISTA - Setembro2024'!$AC430,Auxiliar!$D$4:$I$4,0))</f>
        <v>0</v>
      </c>
      <c r="AG430" s="87" t="str">
        <f t="shared" si="92"/>
        <v>n.a.</v>
      </c>
      <c r="AH430" s="87">
        <f>INDEX(Auxiliar!$D$5:$I$10,MATCH('LISTA - Setembro2024'!AH$3,Auxiliar!$B$5:$B$10,0),MATCH('LISTA - Setembro2024'!$AG430,Auxiliar!$D$4:$I$4,0))</f>
        <v>0</v>
      </c>
      <c r="AI430" s="87">
        <f>INDEX(Auxiliar!$D$5:$I$10,MATCH('LISTA - Setembro2024'!AI$3,Auxiliar!$B$5:$B$10,0),MATCH('LISTA - Setembro2024'!$AC430,Auxiliar!$D$4:$I$4,0))</f>
        <v>0</v>
      </c>
      <c r="AJ430" s="87">
        <f>INDEX(Auxiliar!$D$5:$I$10,MATCH('LISTA - Setembro2024'!AJ$3,Auxiliar!$B$5:$B$10,0),MATCH('LISTA - Setembro2024'!$AC430,Auxiliar!$D$4:$I$4,0))</f>
        <v>0</v>
      </c>
      <c r="AK430" s="160">
        <f t="shared" si="95"/>
        <v>0</v>
      </c>
      <c r="AL430" s="87"/>
    </row>
    <row r="431" spans="1:38" ht="13.8" x14ac:dyDescent="0.25">
      <c r="A431" s="158" t="s">
        <v>1374</v>
      </c>
      <c r="B431" s="81" t="str">
        <f t="shared" si="93"/>
        <v>INSTRUMENT_TTL_LVRG_RT_INCPTN</v>
      </c>
      <c r="C431" s="82" t="s">
        <v>414</v>
      </c>
      <c r="D431" s="83" t="s">
        <v>1375</v>
      </c>
      <c r="E431" s="93" t="s">
        <v>1376</v>
      </c>
      <c r="F431" s="85" t="s">
        <v>11</v>
      </c>
      <c r="G431" s="85" t="s">
        <v>11</v>
      </c>
      <c r="H431" s="85" t="s">
        <v>11</v>
      </c>
      <c r="I431" s="85" t="s">
        <v>11</v>
      </c>
      <c r="J431" s="85" t="s">
        <v>11</v>
      </c>
      <c r="K431" s="85" t="s">
        <v>13</v>
      </c>
      <c r="L431" s="86" t="str">
        <f>IFERROR(VLOOKUP($B431,'LISTA - Atual'!$B$1:$I$444,5,0),"Novo")</f>
        <v>Novo</v>
      </c>
      <c r="M431" s="86" t="str">
        <f t="shared" si="102"/>
        <v>Novo Campo</v>
      </c>
      <c r="N431" s="86" t="str">
        <f>IFERROR(VLOOKUP($B431,'LISTA - Atual'!$B$1:$I$444,6,0),"Novo")</f>
        <v>Novo</v>
      </c>
      <c r="O431" s="86" t="str">
        <f t="shared" si="103"/>
        <v>Novo Campo</v>
      </c>
      <c r="P431" s="86" t="str">
        <f>IFERROR(VLOOKUP($B431,'LISTA - Atual'!$B$1:$I$444,7,0),"Novo")</f>
        <v>Novo</v>
      </c>
      <c r="Q431" s="86" t="str">
        <f t="shared" si="104"/>
        <v>Novo Campo</v>
      </c>
      <c r="R431" s="86" t="s">
        <v>1563</v>
      </c>
      <c r="S431" s="86" t="str">
        <f>IFERROR(VLOOKUP($B431,'LISTA - Atual'!$B$1:$I$444,8,0),"Novo")</f>
        <v>Novo</v>
      </c>
      <c r="T431" s="86" t="str">
        <f t="shared" si="105"/>
        <v>Novo Campo</v>
      </c>
      <c r="U431" s="86" t="s">
        <v>1563</v>
      </c>
      <c r="V431" s="86" t="s">
        <v>11</v>
      </c>
      <c r="W431" s="87" t="str">
        <f>IFERROR(VLOOKUP(B431,#REF!,11,0),"n/a")</f>
        <v>n/a</v>
      </c>
      <c r="X431" s="87" t="str">
        <f>IFERROR(VLOOKUP(B431,#REF!,8,0),"n/a")</f>
        <v>n/a</v>
      </c>
      <c r="Y431" s="87" t="str">
        <f t="shared" si="108"/>
        <v>LF</v>
      </c>
      <c r="Z431" s="131" t="s">
        <v>1570</v>
      </c>
      <c r="AA431" s="227" t="e">
        <f>VLOOKUP(Table1[[#This Row],[CONCAT]],'Campos Resumo Prop2.0'!A:H,8,0)</f>
        <v>#N/A</v>
      </c>
      <c r="AB431" s="87" t="s">
        <v>1656</v>
      </c>
      <c r="AC431" s="88" t="s">
        <v>1625</v>
      </c>
      <c r="AD431" s="91">
        <f>INDEX(Auxiliar!$D$5:$I$10,MATCH('LISTA - Setembro2024'!AD$3,Auxiliar!$B$5:$B$10,0),MATCH('LISTA - Setembro2024'!$AC431,Auxiliar!$D$4:$I$4,0))</f>
        <v>0</v>
      </c>
      <c r="AE431" s="91">
        <f>INDEX(Auxiliar!$D$5:$I$10,MATCH('LISTA - Setembro2024'!AE$3,Auxiliar!$B$5:$B$10,0),MATCH('LISTA - Setembro2024'!$AC431,Auxiliar!$D$4:$I$4,0))</f>
        <v>0</v>
      </c>
      <c r="AF431" s="87">
        <f>INDEX(Auxiliar!$D$5:$I$10,MATCH('LISTA - Setembro2024'!AF$3,Auxiliar!$B$5:$B$10,0),MATCH('LISTA - Setembro2024'!$AC431,Auxiliar!$D$4:$I$4,0))</f>
        <v>0</v>
      </c>
      <c r="AG431" s="87" t="str">
        <f t="shared" si="92"/>
        <v>n.a.</v>
      </c>
      <c r="AH431" s="87">
        <f>INDEX(Auxiliar!$D$5:$I$10,MATCH('LISTA - Setembro2024'!AH$3,Auxiliar!$B$5:$B$10,0),MATCH('LISTA - Setembro2024'!$AG431,Auxiliar!$D$4:$I$4,0))</f>
        <v>0</v>
      </c>
      <c r="AI431" s="87">
        <f>INDEX(Auxiliar!$D$5:$I$10,MATCH('LISTA - Setembro2024'!AI$3,Auxiliar!$B$5:$B$10,0),MATCH('LISTA - Setembro2024'!$AC431,Auxiliar!$D$4:$I$4,0))</f>
        <v>0</v>
      </c>
      <c r="AJ431" s="87">
        <f>INDEX(Auxiliar!$D$5:$I$10,MATCH('LISTA - Setembro2024'!AJ$3,Auxiliar!$B$5:$B$10,0),MATCH('LISTA - Setembro2024'!$AC431,Auxiliar!$D$4:$I$4,0))</f>
        <v>0</v>
      </c>
      <c r="AK431" s="160">
        <f t="shared" si="95"/>
        <v>0</v>
      </c>
      <c r="AL431" s="87"/>
    </row>
    <row r="432" spans="1:38" ht="13.8" x14ac:dyDescent="0.25">
      <c r="A432" s="158" t="s">
        <v>1377</v>
      </c>
      <c r="B432" s="81" t="str">
        <f t="shared" si="93"/>
        <v>INSTRUMENT_TYP_FCLTY</v>
      </c>
      <c r="C432" s="82" t="s">
        <v>414</v>
      </c>
      <c r="D432" s="83" t="s">
        <v>1378</v>
      </c>
      <c r="E432" s="93" t="s">
        <v>1379</v>
      </c>
      <c r="F432" s="85" t="s">
        <v>11</v>
      </c>
      <c r="G432" s="85" t="s">
        <v>11</v>
      </c>
      <c r="H432" s="85" t="s">
        <v>11</v>
      </c>
      <c r="I432" s="85" t="s">
        <v>11</v>
      </c>
      <c r="J432" s="85" t="s">
        <v>11</v>
      </c>
      <c r="K432" s="85" t="s">
        <v>13</v>
      </c>
      <c r="L432" s="86" t="str">
        <f>IFERROR(VLOOKUP($B432,'LISTA - Atual'!$B$1:$I$444,5,0),"Novo")</f>
        <v>Novo</v>
      </c>
      <c r="M432" s="86" t="str">
        <f t="shared" si="102"/>
        <v>Novo Campo</v>
      </c>
      <c r="N432" s="86" t="str">
        <f>IFERROR(VLOOKUP($B432,'LISTA - Atual'!$B$1:$I$444,6,0),"Novo")</f>
        <v>Novo</v>
      </c>
      <c r="O432" s="86" t="str">
        <f t="shared" si="103"/>
        <v>Novo Campo</v>
      </c>
      <c r="P432" s="86" t="str">
        <f>IFERROR(VLOOKUP($B432,'LISTA - Atual'!$B$1:$I$444,7,0),"Novo")</f>
        <v>Novo</v>
      </c>
      <c r="Q432" s="86" t="str">
        <f t="shared" si="104"/>
        <v>Novo Campo</v>
      </c>
      <c r="R432" s="86" t="s">
        <v>1563</v>
      </c>
      <c r="S432" s="86" t="str">
        <f>IFERROR(VLOOKUP($B432,'LISTA - Atual'!$B$1:$I$444,8,0),"Novo")</f>
        <v>Novo</v>
      </c>
      <c r="T432" s="86" t="str">
        <f t="shared" si="105"/>
        <v>Novo Campo</v>
      </c>
      <c r="U432" s="86" t="s">
        <v>1563</v>
      </c>
      <c r="V432" s="86" t="s">
        <v>11</v>
      </c>
      <c r="W432" s="87" t="str">
        <f>IFERROR(VLOOKUP(B432,#REF!,11,0),"n/a")</f>
        <v>n/a</v>
      </c>
      <c r="X432" s="87" t="str">
        <f>IFERROR(VLOOKUP(B432,#REF!,8,0),"n/a")</f>
        <v>n/a</v>
      </c>
      <c r="Y432" s="87" t="str">
        <f t="shared" si="108"/>
        <v>LF</v>
      </c>
      <c r="Z432" s="131" t="s">
        <v>1570</v>
      </c>
      <c r="AA432" s="227" t="e">
        <f>VLOOKUP(Table1[[#This Row],[CONCAT]],'Campos Resumo Prop2.0'!A:H,8,0)</f>
        <v>#N/A</v>
      </c>
      <c r="AB432" s="87" t="s">
        <v>1650</v>
      </c>
      <c r="AC432" s="88" t="s">
        <v>1625</v>
      </c>
      <c r="AD432" s="91">
        <f>INDEX(Auxiliar!$D$5:$I$10,MATCH('LISTA - Setembro2024'!AD$3,Auxiliar!$B$5:$B$10,0),MATCH('LISTA - Setembro2024'!$AC432,Auxiliar!$D$4:$I$4,0))</f>
        <v>0</v>
      </c>
      <c r="AE432" s="91">
        <f>INDEX(Auxiliar!$D$5:$I$10,MATCH('LISTA - Setembro2024'!AE$3,Auxiliar!$B$5:$B$10,0),MATCH('LISTA - Setembro2024'!$AC432,Auxiliar!$D$4:$I$4,0))</f>
        <v>0</v>
      </c>
      <c r="AF432" s="87">
        <f>INDEX(Auxiliar!$D$5:$I$10,MATCH('LISTA - Setembro2024'!AF$3,Auxiliar!$B$5:$B$10,0),MATCH('LISTA - Setembro2024'!$AC432,Auxiliar!$D$4:$I$4,0))</f>
        <v>0</v>
      </c>
      <c r="AG432" s="87" t="str">
        <f t="shared" si="92"/>
        <v>n.a.</v>
      </c>
      <c r="AH432" s="87">
        <f>INDEX(Auxiliar!$D$5:$I$10,MATCH('LISTA - Setembro2024'!AH$3,Auxiliar!$B$5:$B$10,0),MATCH('LISTA - Setembro2024'!$AG432,Auxiliar!$D$4:$I$4,0))</f>
        <v>0</v>
      </c>
      <c r="AI432" s="87">
        <f>INDEX(Auxiliar!$D$5:$I$10,MATCH('LISTA - Setembro2024'!AI$3,Auxiliar!$B$5:$B$10,0),MATCH('LISTA - Setembro2024'!$AC432,Auxiliar!$D$4:$I$4,0))</f>
        <v>0</v>
      </c>
      <c r="AJ432" s="87">
        <f>INDEX(Auxiliar!$D$5:$I$10,MATCH('LISTA - Setembro2024'!AJ$3,Auxiliar!$B$5:$B$10,0),MATCH('LISTA - Setembro2024'!$AC432,Auxiliar!$D$4:$I$4,0))</f>
        <v>0</v>
      </c>
      <c r="AK432" s="160">
        <f t="shared" si="95"/>
        <v>0</v>
      </c>
      <c r="AL432" s="87"/>
    </row>
    <row r="433" spans="1:38" ht="13.8" x14ac:dyDescent="0.25">
      <c r="A433" s="158" t="s">
        <v>1380</v>
      </c>
      <c r="B433" s="81" t="str">
        <f t="shared" si="93"/>
        <v>INSTRUMENT_TYP_CL</v>
      </c>
      <c r="C433" s="82" t="s">
        <v>414</v>
      </c>
      <c r="D433" s="83" t="s">
        <v>1381</v>
      </c>
      <c r="E433" s="93" t="s">
        <v>1382</v>
      </c>
      <c r="F433" s="85" t="s">
        <v>11</v>
      </c>
      <c r="G433" s="85" t="s">
        <v>11</v>
      </c>
      <c r="H433" s="85" t="s">
        <v>11</v>
      </c>
      <c r="I433" s="85" t="s">
        <v>11</v>
      </c>
      <c r="J433" s="85" t="s">
        <v>11</v>
      </c>
      <c r="K433" s="85" t="s">
        <v>13</v>
      </c>
      <c r="L433" s="86" t="str">
        <f>IFERROR(VLOOKUP($B433,'LISTA - Atual'!$B$1:$I$444,5,0),"Novo")</f>
        <v>Novo</v>
      </c>
      <c r="M433" s="86" t="str">
        <f t="shared" si="102"/>
        <v>Novo Campo</v>
      </c>
      <c r="N433" s="86" t="str">
        <f>IFERROR(VLOOKUP($B433,'LISTA - Atual'!$B$1:$I$444,6,0),"Novo")</f>
        <v>Novo</v>
      </c>
      <c r="O433" s="86" t="str">
        <f t="shared" si="103"/>
        <v>Novo Campo</v>
      </c>
      <c r="P433" s="86" t="str">
        <f>IFERROR(VLOOKUP($B433,'LISTA - Atual'!$B$1:$I$444,7,0),"Novo")</f>
        <v>Novo</v>
      </c>
      <c r="Q433" s="86" t="str">
        <f t="shared" si="104"/>
        <v>Novo Campo</v>
      </c>
      <c r="R433" s="86" t="s">
        <v>1563</v>
      </c>
      <c r="S433" s="86" t="str">
        <f>IFERROR(VLOOKUP($B433,'LISTA - Atual'!$B$1:$I$444,8,0),"Novo")</f>
        <v>Novo</v>
      </c>
      <c r="T433" s="86" t="str">
        <f t="shared" si="105"/>
        <v>Novo Campo</v>
      </c>
      <c r="U433" s="86" t="s">
        <v>1563</v>
      </c>
      <c r="V433" s="86" t="s">
        <v>11</v>
      </c>
      <c r="W433" s="87" t="str">
        <f>IFERROR(VLOOKUP(B433,#REF!,11,0),"n/a")</f>
        <v>n/a</v>
      </c>
      <c r="X433" s="87" t="str">
        <f>IFERROR(VLOOKUP(B433,#REF!,8,0),"n/a")</f>
        <v>n/a</v>
      </c>
      <c r="Y433" s="87" t="str">
        <f t="shared" si="108"/>
        <v>LF</v>
      </c>
      <c r="Z433" s="131" t="s">
        <v>1570</v>
      </c>
      <c r="AA433" s="227" t="e">
        <f>VLOOKUP(Table1[[#This Row],[CONCAT]],'Campos Resumo Prop2.0'!A:H,8,0)</f>
        <v>#N/A</v>
      </c>
      <c r="AB433" s="87" t="s">
        <v>1650</v>
      </c>
      <c r="AC433" s="88" t="s">
        <v>1625</v>
      </c>
      <c r="AD433" s="91">
        <f>INDEX(Auxiliar!$D$5:$I$10,MATCH('LISTA - Setembro2024'!AD$3,Auxiliar!$B$5:$B$10,0),MATCH('LISTA - Setembro2024'!$AC433,Auxiliar!$D$4:$I$4,0))</f>
        <v>0</v>
      </c>
      <c r="AE433" s="91">
        <f>INDEX(Auxiliar!$D$5:$I$10,MATCH('LISTA - Setembro2024'!AE$3,Auxiliar!$B$5:$B$10,0),MATCH('LISTA - Setembro2024'!$AC433,Auxiliar!$D$4:$I$4,0))</f>
        <v>0</v>
      </c>
      <c r="AF433" s="87">
        <f>INDEX(Auxiliar!$D$5:$I$10,MATCH('LISTA - Setembro2024'!AF$3,Auxiliar!$B$5:$B$10,0),MATCH('LISTA - Setembro2024'!$AC433,Auxiliar!$D$4:$I$4,0))</f>
        <v>0</v>
      </c>
      <c r="AG433" s="87" t="str">
        <f t="shared" si="92"/>
        <v>n.a.</v>
      </c>
      <c r="AH433" s="87">
        <f>INDEX(Auxiliar!$D$5:$I$10,MATCH('LISTA - Setembro2024'!AH$3,Auxiliar!$B$5:$B$10,0),MATCH('LISTA - Setembro2024'!$AG433,Auxiliar!$D$4:$I$4,0))</f>
        <v>0</v>
      </c>
      <c r="AI433" s="87">
        <f>INDEX(Auxiliar!$D$5:$I$10,MATCH('LISTA - Setembro2024'!AI$3,Auxiliar!$B$5:$B$10,0),MATCH('LISTA - Setembro2024'!$AC433,Auxiliar!$D$4:$I$4,0))</f>
        <v>0</v>
      </c>
      <c r="AJ433" s="87">
        <f>INDEX(Auxiliar!$D$5:$I$10,MATCH('LISTA - Setembro2024'!AJ$3,Auxiliar!$B$5:$B$10,0),MATCH('LISTA - Setembro2024'!$AC433,Auxiliar!$D$4:$I$4,0))</f>
        <v>0</v>
      </c>
      <c r="AK433" s="160">
        <f t="shared" si="95"/>
        <v>0</v>
      </c>
      <c r="AL433" s="87"/>
    </row>
    <row r="434" spans="1:38" ht="13.8" x14ac:dyDescent="0.25">
      <c r="A434" s="158" t="s">
        <v>1479</v>
      </c>
      <c r="B434" s="81" t="str">
        <f t="shared" si="93"/>
        <v>INSTRUMENT_FLG_MNMM_SFGRDS</v>
      </c>
      <c r="C434" s="82" t="s">
        <v>414</v>
      </c>
      <c r="D434" s="95" t="s">
        <v>1480</v>
      </c>
      <c r="E434" s="84" t="s">
        <v>1481</v>
      </c>
      <c r="F434" s="85" t="s">
        <v>11</v>
      </c>
      <c r="G434" s="85" t="s">
        <v>11</v>
      </c>
      <c r="H434" s="85" t="s">
        <v>13</v>
      </c>
      <c r="I434" s="85" t="s">
        <v>11</v>
      </c>
      <c r="J434" s="85" t="s">
        <v>13</v>
      </c>
      <c r="K434" s="85" t="s">
        <v>11</v>
      </c>
      <c r="L434" s="86" t="str">
        <f>IFERROR(VLOOKUP($B434,'LISTA - Atual'!$B$1:$I$444,5,0),"Novo")</f>
        <v>Novo</v>
      </c>
      <c r="M434" s="86" t="str">
        <f t="shared" si="102"/>
        <v>Novo Campo</v>
      </c>
      <c r="N434" s="86" t="str">
        <f>IFERROR(VLOOKUP($B434,'LISTA - Atual'!$B$1:$I$444,6,0),"Novo")</f>
        <v>Novo</v>
      </c>
      <c r="O434" s="86" t="str">
        <f t="shared" si="103"/>
        <v>Novo Campo</v>
      </c>
      <c r="P434" s="86" t="str">
        <f>IFERROR(VLOOKUP($B434,'LISTA - Atual'!$B$1:$I$444,7,0),"Novo")</f>
        <v>Novo</v>
      </c>
      <c r="Q434" s="86" t="str">
        <f t="shared" si="104"/>
        <v>Novo Campo</v>
      </c>
      <c r="R434" s="86" t="s">
        <v>1563</v>
      </c>
      <c r="S434" s="86" t="str">
        <f>IFERROR(VLOOKUP($B434,'LISTA - Atual'!$B$1:$I$444,8,0),"Novo")</f>
        <v>Novo</v>
      </c>
      <c r="T434" s="86" t="str">
        <f t="shared" si="105"/>
        <v>Novo Campo</v>
      </c>
      <c r="U434" s="86" t="s">
        <v>1563</v>
      </c>
      <c r="V434" s="86" t="s">
        <v>11</v>
      </c>
      <c r="W434" s="87" t="str">
        <f>IFERROR(VLOOKUP(B434,#REF!,11,0),"n/a")</f>
        <v>n/a</v>
      </c>
      <c r="X434" s="87" t="str">
        <f>IFERROR(VLOOKUP(B434,#REF!,8,0),"n/a")</f>
        <v>n/a</v>
      </c>
      <c r="Y434" s="87" t="str">
        <f>$H$2</f>
        <v>PILAR3</v>
      </c>
      <c r="Z434" s="131" t="s">
        <v>1570</v>
      </c>
      <c r="AA434" s="227" t="str">
        <f>VLOOKUP(Table1[[#This Row],[CONCAT]],'Campos Resumo Prop2.0'!A:H,8,0)</f>
        <v>Não será contemplado no âmbito da proposta - Banco não tem esta informação na fonte/Sem materialidade</v>
      </c>
      <c r="AB434" s="87" t="s">
        <v>1654</v>
      </c>
      <c r="AC434" s="135" t="s">
        <v>1625</v>
      </c>
      <c r="AD434" s="91">
        <f>INDEX(Auxiliar!$D$5:$I$10,MATCH('LISTA - Setembro2024'!AD$3,Auxiliar!$B$5:$B$10,0),MATCH('LISTA - Setembro2024'!$AC434,Auxiliar!$D$4:$I$4,0))</f>
        <v>0</v>
      </c>
      <c r="AE434" s="91">
        <f>INDEX(Auxiliar!$D$5:$I$10,MATCH('LISTA - Setembro2024'!AE$3,Auxiliar!$B$5:$B$10,0),MATCH('LISTA - Setembro2024'!$AC434,Auxiliar!$D$4:$I$4,0))</f>
        <v>0</v>
      </c>
      <c r="AF434" s="87">
        <f>INDEX(Auxiliar!$D$5:$I$10,MATCH('LISTA - Setembro2024'!AF$3,Auxiliar!$B$5:$B$10,0),MATCH('LISTA - Setembro2024'!$AC434,Auxiliar!$D$4:$I$4,0))</f>
        <v>0</v>
      </c>
      <c r="AG434" s="87" t="str">
        <f t="shared" si="92"/>
        <v>n.a.</v>
      </c>
      <c r="AH434" s="87">
        <f>INDEX(Auxiliar!$D$5:$I$10,MATCH('LISTA - Setembro2024'!AH$3,Auxiliar!$B$5:$B$10,0),MATCH('LISTA - Setembro2024'!$AG434,Auxiliar!$D$4:$I$4,0))</f>
        <v>0</v>
      </c>
      <c r="AI434" s="87">
        <f>INDEX(Auxiliar!$D$5:$I$10,MATCH('LISTA - Setembro2024'!AI$3,Auxiliar!$B$5:$B$10,0),MATCH('LISTA - Setembro2024'!$AC434,Auxiliar!$D$4:$I$4,0))</f>
        <v>0</v>
      </c>
      <c r="AJ434" s="87">
        <f>INDEX(Auxiliar!$D$5:$I$10,MATCH('LISTA - Setembro2024'!AJ$3,Auxiliar!$B$5:$B$10,0),MATCH('LISTA - Setembro2024'!$AC434,Auxiliar!$D$4:$I$4,0))</f>
        <v>0</v>
      </c>
      <c r="AK434" s="160">
        <f t="shared" si="95"/>
        <v>0</v>
      </c>
      <c r="AL434" s="87"/>
    </row>
    <row r="435" spans="1:38" ht="13.8" x14ac:dyDescent="0.25">
      <c r="A435" s="158" t="s">
        <v>1482</v>
      </c>
      <c r="B435" s="81" t="str">
        <f t="shared" si="93"/>
        <v>INSTRUMENT_RORAC</v>
      </c>
      <c r="C435" s="82" t="s">
        <v>414</v>
      </c>
      <c r="D435" s="95" t="s">
        <v>1462</v>
      </c>
      <c r="E435" s="84" t="s">
        <v>1463</v>
      </c>
      <c r="F435" s="85" t="s">
        <v>11</v>
      </c>
      <c r="G435" s="85" t="s">
        <v>11</v>
      </c>
      <c r="H435" s="85" t="s">
        <v>11</v>
      </c>
      <c r="I435" s="85" t="s">
        <v>11</v>
      </c>
      <c r="J435" s="85" t="s">
        <v>11</v>
      </c>
      <c r="K435" s="85" t="s">
        <v>13</v>
      </c>
      <c r="L435" s="86" t="str">
        <f>IFERROR(VLOOKUP($B435,'LISTA - Atual'!$B$1:$I$444,5,0),"Novo")</f>
        <v>Novo</v>
      </c>
      <c r="M435" s="86" t="str">
        <f t="shared" si="102"/>
        <v>Novo Campo</v>
      </c>
      <c r="N435" s="86" t="str">
        <f>IFERROR(VLOOKUP($B435,'LISTA - Atual'!$B$1:$I$444,6,0),"Novo")</f>
        <v>Novo</v>
      </c>
      <c r="O435" s="86" t="str">
        <f t="shared" si="103"/>
        <v>Novo Campo</v>
      </c>
      <c r="P435" s="86" t="str">
        <f>IFERROR(VLOOKUP($B435,'LISTA - Atual'!$B$1:$I$444,7,0),"Novo")</f>
        <v>Novo</v>
      </c>
      <c r="Q435" s="86" t="str">
        <f t="shared" si="104"/>
        <v>Novo Campo</v>
      </c>
      <c r="R435" s="86" t="s">
        <v>1563</v>
      </c>
      <c r="S435" s="86" t="str">
        <f>IFERROR(VLOOKUP($B435,'LISTA - Atual'!$B$1:$I$444,8,0),"Novo")</f>
        <v>Novo</v>
      </c>
      <c r="T435" s="86" t="str">
        <f t="shared" si="105"/>
        <v>Novo Campo</v>
      </c>
      <c r="U435" s="86" t="s">
        <v>1563</v>
      </c>
      <c r="V435" s="86" t="s">
        <v>11</v>
      </c>
      <c r="W435" s="87" t="str">
        <f>IFERROR(VLOOKUP(B435,#REF!,11,0),"n/a")</f>
        <v>n/a</v>
      </c>
      <c r="X435" s="87" t="str">
        <f>IFERROR(VLOOKUP(B435,#REF!,8,0),"n/a")</f>
        <v>n/a</v>
      </c>
      <c r="Y435" s="87" t="str">
        <f t="shared" ref="Y435:Y438" si="109">$K$2</f>
        <v>LF</v>
      </c>
      <c r="Z435" s="131" t="s">
        <v>1570</v>
      </c>
      <c r="AA435" s="227" t="e">
        <f>VLOOKUP(Table1[[#This Row],[CONCAT]],'Campos Resumo Prop2.0'!A:H,8,0)</f>
        <v>#N/A</v>
      </c>
      <c r="AB435" s="87" t="s">
        <v>1656</v>
      </c>
      <c r="AC435" s="88" t="s">
        <v>1625</v>
      </c>
      <c r="AD435" s="91">
        <f>INDEX(Auxiliar!$D$5:$I$10,MATCH('LISTA - Setembro2024'!AD$3,Auxiliar!$B$5:$B$10,0),MATCH('LISTA - Setembro2024'!$AC435,Auxiliar!$D$4:$I$4,0))</f>
        <v>0</v>
      </c>
      <c r="AE435" s="91">
        <f>INDEX(Auxiliar!$D$5:$I$10,MATCH('LISTA - Setembro2024'!AE$3,Auxiliar!$B$5:$B$10,0),MATCH('LISTA - Setembro2024'!$AC435,Auxiliar!$D$4:$I$4,0))</f>
        <v>0</v>
      </c>
      <c r="AF435" s="87">
        <f>INDEX(Auxiliar!$D$5:$I$10,MATCH('LISTA - Setembro2024'!AF$3,Auxiliar!$B$5:$B$10,0),MATCH('LISTA - Setembro2024'!$AC435,Auxiliar!$D$4:$I$4,0))</f>
        <v>0</v>
      </c>
      <c r="AG435" s="87" t="str">
        <f t="shared" si="92"/>
        <v>n.a.</v>
      </c>
      <c r="AH435" s="87">
        <f>INDEX(Auxiliar!$D$5:$I$10,MATCH('LISTA - Setembro2024'!AH$3,Auxiliar!$B$5:$B$10,0),MATCH('LISTA - Setembro2024'!$AG435,Auxiliar!$D$4:$I$4,0))</f>
        <v>0</v>
      </c>
      <c r="AI435" s="87">
        <f>INDEX(Auxiliar!$D$5:$I$10,MATCH('LISTA - Setembro2024'!AI$3,Auxiliar!$B$5:$B$10,0),MATCH('LISTA - Setembro2024'!$AC435,Auxiliar!$D$4:$I$4,0))</f>
        <v>0</v>
      </c>
      <c r="AJ435" s="87">
        <f>INDEX(Auxiliar!$D$5:$I$10,MATCH('LISTA - Setembro2024'!AJ$3,Auxiliar!$B$5:$B$10,0),MATCH('LISTA - Setembro2024'!$AC435,Auxiliar!$D$4:$I$4,0))</f>
        <v>0</v>
      </c>
      <c r="AK435" s="160">
        <f t="shared" si="95"/>
        <v>0</v>
      </c>
      <c r="AL435" s="87"/>
    </row>
    <row r="436" spans="1:38" ht="13.8" x14ac:dyDescent="0.25">
      <c r="A436" s="158" t="s">
        <v>1483</v>
      </c>
      <c r="B436" s="81" t="str">
        <f t="shared" si="93"/>
        <v>INSTRUMENT_RORWA</v>
      </c>
      <c r="C436" s="82" t="s">
        <v>414</v>
      </c>
      <c r="D436" s="95" t="s">
        <v>1468</v>
      </c>
      <c r="E436" s="84" t="s">
        <v>1469</v>
      </c>
      <c r="F436" s="85" t="s">
        <v>11</v>
      </c>
      <c r="G436" s="85" t="s">
        <v>11</v>
      </c>
      <c r="H436" s="85" t="s">
        <v>11</v>
      </c>
      <c r="I436" s="85" t="s">
        <v>11</v>
      </c>
      <c r="J436" s="85" t="s">
        <v>11</v>
      </c>
      <c r="K436" s="85" t="s">
        <v>13</v>
      </c>
      <c r="L436" s="86" t="str">
        <f>IFERROR(VLOOKUP($B436,'LISTA - Atual'!$B$1:$I$444,5,0),"Novo")</f>
        <v>Novo</v>
      </c>
      <c r="M436" s="86" t="str">
        <f t="shared" si="102"/>
        <v>Novo Campo</v>
      </c>
      <c r="N436" s="86" t="str">
        <f>IFERROR(VLOOKUP($B436,'LISTA - Atual'!$B$1:$I$444,6,0),"Novo")</f>
        <v>Novo</v>
      </c>
      <c r="O436" s="86" t="str">
        <f t="shared" si="103"/>
        <v>Novo Campo</v>
      </c>
      <c r="P436" s="86" t="str">
        <f>IFERROR(VLOOKUP($B436,'LISTA - Atual'!$B$1:$I$444,7,0),"Novo")</f>
        <v>Novo</v>
      </c>
      <c r="Q436" s="86" t="str">
        <f t="shared" si="104"/>
        <v>Novo Campo</v>
      </c>
      <c r="R436" s="86" t="s">
        <v>1563</v>
      </c>
      <c r="S436" s="86" t="str">
        <f>IFERROR(VLOOKUP($B436,'LISTA - Atual'!$B$1:$I$444,8,0),"Novo")</f>
        <v>Novo</v>
      </c>
      <c r="T436" s="86" t="str">
        <f t="shared" si="105"/>
        <v>Novo Campo</v>
      </c>
      <c r="U436" s="86" t="s">
        <v>1563</v>
      </c>
      <c r="V436" s="86" t="s">
        <v>11</v>
      </c>
      <c r="W436" s="87" t="str">
        <f>IFERROR(VLOOKUP(B436,#REF!,11,0),"n/a")</f>
        <v>n/a</v>
      </c>
      <c r="X436" s="87" t="str">
        <f>IFERROR(VLOOKUP(B436,#REF!,8,0),"n/a")</f>
        <v>n/a</v>
      </c>
      <c r="Y436" s="87" t="str">
        <f t="shared" si="109"/>
        <v>LF</v>
      </c>
      <c r="Z436" s="131" t="s">
        <v>1570</v>
      </c>
      <c r="AA436" s="227" t="e">
        <f>VLOOKUP(Table1[[#This Row],[CONCAT]],'Campos Resumo Prop2.0'!A:H,8,0)</f>
        <v>#N/A</v>
      </c>
      <c r="AB436" s="87" t="s">
        <v>1656</v>
      </c>
      <c r="AC436" s="88" t="s">
        <v>1625</v>
      </c>
      <c r="AD436" s="91">
        <f>INDEX(Auxiliar!$D$5:$I$10,MATCH('LISTA - Setembro2024'!AD$3,Auxiliar!$B$5:$B$10,0),MATCH('LISTA - Setembro2024'!$AC436,Auxiliar!$D$4:$I$4,0))</f>
        <v>0</v>
      </c>
      <c r="AE436" s="91">
        <f>INDEX(Auxiliar!$D$5:$I$10,MATCH('LISTA - Setembro2024'!AE$3,Auxiliar!$B$5:$B$10,0),MATCH('LISTA - Setembro2024'!$AC436,Auxiliar!$D$4:$I$4,0))</f>
        <v>0</v>
      </c>
      <c r="AF436" s="87">
        <f>INDEX(Auxiliar!$D$5:$I$10,MATCH('LISTA - Setembro2024'!AF$3,Auxiliar!$B$5:$B$10,0),MATCH('LISTA - Setembro2024'!$AC436,Auxiliar!$D$4:$I$4,0))</f>
        <v>0</v>
      </c>
      <c r="AG436" s="87" t="str">
        <f t="shared" si="92"/>
        <v>n.a.</v>
      </c>
      <c r="AH436" s="87">
        <f>INDEX(Auxiliar!$D$5:$I$10,MATCH('LISTA - Setembro2024'!AH$3,Auxiliar!$B$5:$B$10,0),MATCH('LISTA - Setembro2024'!$AG436,Auxiliar!$D$4:$I$4,0))</f>
        <v>0</v>
      </c>
      <c r="AI436" s="87">
        <f>INDEX(Auxiliar!$D$5:$I$10,MATCH('LISTA - Setembro2024'!AI$3,Auxiliar!$B$5:$B$10,0),MATCH('LISTA - Setembro2024'!$AC436,Auxiliar!$D$4:$I$4,0))</f>
        <v>0</v>
      </c>
      <c r="AJ436" s="87">
        <f>INDEX(Auxiliar!$D$5:$I$10,MATCH('LISTA - Setembro2024'!AJ$3,Auxiliar!$B$5:$B$10,0),MATCH('LISTA - Setembro2024'!$AC436,Auxiliar!$D$4:$I$4,0))</f>
        <v>0</v>
      </c>
      <c r="AK436" s="160">
        <f t="shared" si="95"/>
        <v>0</v>
      </c>
      <c r="AL436" s="87"/>
    </row>
    <row r="437" spans="1:38" ht="13.8" x14ac:dyDescent="0.25">
      <c r="A437" s="158" t="s">
        <v>1484</v>
      </c>
      <c r="B437" s="81" t="str">
        <f t="shared" si="93"/>
        <v>INSTRUMENT_TYP_DL</v>
      </c>
      <c r="C437" s="82" t="s">
        <v>414</v>
      </c>
      <c r="D437" s="95" t="s">
        <v>1485</v>
      </c>
      <c r="E437" s="93" t="s">
        <v>1486</v>
      </c>
      <c r="F437" s="85" t="s">
        <v>11</v>
      </c>
      <c r="G437" s="85" t="s">
        <v>11</v>
      </c>
      <c r="H437" s="85" t="s">
        <v>11</v>
      </c>
      <c r="I437" s="85" t="s">
        <v>11</v>
      </c>
      <c r="J437" s="85" t="s">
        <v>11</v>
      </c>
      <c r="K437" s="85" t="s">
        <v>13</v>
      </c>
      <c r="L437" s="86" t="str">
        <f>IFERROR(VLOOKUP($B437,'LISTA - Atual'!$B$1:$I$444,5,0),"Novo")</f>
        <v>Novo</v>
      </c>
      <c r="M437" s="86" t="str">
        <f t="shared" si="102"/>
        <v>Novo Campo</v>
      </c>
      <c r="N437" s="86" t="str">
        <f>IFERROR(VLOOKUP($B437,'LISTA - Atual'!$B$1:$I$444,6,0),"Novo")</f>
        <v>Novo</v>
      </c>
      <c r="O437" s="86" t="str">
        <f t="shared" si="103"/>
        <v>Novo Campo</v>
      </c>
      <c r="P437" s="86" t="str">
        <f>IFERROR(VLOOKUP($B437,'LISTA - Atual'!$B$1:$I$444,7,0),"Novo")</f>
        <v>Novo</v>
      </c>
      <c r="Q437" s="86" t="str">
        <f t="shared" si="104"/>
        <v>Novo Campo</v>
      </c>
      <c r="R437" s="86" t="s">
        <v>1563</v>
      </c>
      <c r="S437" s="86" t="str">
        <f>IFERROR(VLOOKUP($B437,'LISTA - Atual'!$B$1:$I$444,8,0),"Novo")</f>
        <v>Novo</v>
      </c>
      <c r="T437" s="86" t="str">
        <f t="shared" si="105"/>
        <v>Novo Campo</v>
      </c>
      <c r="U437" s="86" t="s">
        <v>1563</v>
      </c>
      <c r="V437" s="86" t="s">
        <v>11</v>
      </c>
      <c r="W437" s="87" t="str">
        <f>IFERROR(VLOOKUP(B437,#REF!,11,0),"n/a")</f>
        <v>n/a</v>
      </c>
      <c r="X437" s="87" t="str">
        <f>IFERROR(VLOOKUP(B437,#REF!,8,0),"n/a")</f>
        <v>n/a</v>
      </c>
      <c r="Y437" s="87" t="str">
        <f t="shared" si="109"/>
        <v>LF</v>
      </c>
      <c r="Z437" s="131" t="s">
        <v>1570</v>
      </c>
      <c r="AA437" s="227" t="e">
        <f>VLOOKUP(Table1[[#This Row],[CONCAT]],'Campos Resumo Prop2.0'!A:H,8,0)</f>
        <v>#N/A</v>
      </c>
      <c r="AB437" s="87" t="s">
        <v>1650</v>
      </c>
      <c r="AC437" s="88" t="s">
        <v>1625</v>
      </c>
      <c r="AD437" s="91">
        <f>INDEX(Auxiliar!$D$5:$I$10,MATCH('LISTA - Setembro2024'!AD$3,Auxiliar!$B$5:$B$10,0),MATCH('LISTA - Setembro2024'!$AC437,Auxiliar!$D$4:$I$4,0))</f>
        <v>0</v>
      </c>
      <c r="AE437" s="91">
        <f>INDEX(Auxiliar!$D$5:$I$10,MATCH('LISTA - Setembro2024'!AE$3,Auxiliar!$B$5:$B$10,0),MATCH('LISTA - Setembro2024'!$AC437,Auxiliar!$D$4:$I$4,0))</f>
        <v>0</v>
      </c>
      <c r="AF437" s="87">
        <f>INDEX(Auxiliar!$D$5:$I$10,MATCH('LISTA - Setembro2024'!AF$3,Auxiliar!$B$5:$B$10,0),MATCH('LISTA - Setembro2024'!$AC437,Auxiliar!$D$4:$I$4,0))</f>
        <v>0</v>
      </c>
      <c r="AG437" s="87" t="str">
        <f t="shared" si="92"/>
        <v>n.a.</v>
      </c>
      <c r="AH437" s="87">
        <f>INDEX(Auxiliar!$D$5:$I$10,MATCH('LISTA - Setembro2024'!AH$3,Auxiliar!$B$5:$B$10,0),MATCH('LISTA - Setembro2024'!$AG437,Auxiliar!$D$4:$I$4,0))</f>
        <v>0</v>
      </c>
      <c r="AI437" s="87">
        <f>INDEX(Auxiliar!$D$5:$I$10,MATCH('LISTA - Setembro2024'!AI$3,Auxiliar!$B$5:$B$10,0),MATCH('LISTA - Setembro2024'!$AC437,Auxiliar!$D$4:$I$4,0))</f>
        <v>0</v>
      </c>
      <c r="AJ437" s="87">
        <f>INDEX(Auxiliar!$D$5:$I$10,MATCH('LISTA - Setembro2024'!AJ$3,Auxiliar!$B$5:$B$10,0),MATCH('LISTA - Setembro2024'!$AC437,Auxiliar!$D$4:$I$4,0))</f>
        <v>0</v>
      </c>
      <c r="AK437" s="160">
        <f t="shared" si="95"/>
        <v>0</v>
      </c>
      <c r="AL437" s="87"/>
    </row>
    <row r="438" spans="1:38" ht="13.8" x14ac:dyDescent="0.25">
      <c r="A438" s="158" t="s">
        <v>1487</v>
      </c>
      <c r="B438" s="81" t="str">
        <f t="shared" si="93"/>
        <v>INSTRUMENT_DSTNTN_FNDS</v>
      </c>
      <c r="C438" s="82" t="s">
        <v>414</v>
      </c>
      <c r="D438" s="95" t="s">
        <v>1488</v>
      </c>
      <c r="E438" s="93" t="s">
        <v>1489</v>
      </c>
      <c r="F438" s="85" t="s">
        <v>11</v>
      </c>
      <c r="G438" s="85" t="s">
        <v>11</v>
      </c>
      <c r="H438" s="85" t="s">
        <v>11</v>
      </c>
      <c r="I438" s="85" t="s">
        <v>11</v>
      </c>
      <c r="J438" s="85" t="s">
        <v>11</v>
      </c>
      <c r="K438" s="85" t="s">
        <v>13</v>
      </c>
      <c r="L438" s="86" t="str">
        <f>IFERROR(VLOOKUP($B438,'LISTA - Atual'!$B$1:$I$444,5,0),"Novo")</f>
        <v>Novo</v>
      </c>
      <c r="M438" s="86" t="str">
        <f t="shared" si="102"/>
        <v>Novo Campo</v>
      </c>
      <c r="N438" s="86" t="str">
        <f>IFERROR(VLOOKUP($B438,'LISTA - Atual'!$B$1:$I$444,6,0),"Novo")</f>
        <v>Novo</v>
      </c>
      <c r="O438" s="86" t="str">
        <f t="shared" si="103"/>
        <v>Novo Campo</v>
      </c>
      <c r="P438" s="86" t="str">
        <f>IFERROR(VLOOKUP($B438,'LISTA - Atual'!$B$1:$I$444,7,0),"Novo")</f>
        <v>Novo</v>
      </c>
      <c r="Q438" s="86" t="str">
        <f t="shared" si="104"/>
        <v>Novo Campo</v>
      </c>
      <c r="R438" s="86" t="s">
        <v>1563</v>
      </c>
      <c r="S438" s="86" t="str">
        <f>IFERROR(VLOOKUP($B438,'LISTA - Atual'!$B$1:$I$444,8,0),"Novo")</f>
        <v>Novo</v>
      </c>
      <c r="T438" s="86" t="str">
        <f t="shared" si="105"/>
        <v>Novo Campo</v>
      </c>
      <c r="U438" s="86" t="s">
        <v>1563</v>
      </c>
      <c r="V438" s="86" t="s">
        <v>11</v>
      </c>
      <c r="W438" s="87" t="str">
        <f>IFERROR(VLOOKUP(B438,#REF!,11,0),"n/a")</f>
        <v>n/a</v>
      </c>
      <c r="X438" s="87" t="str">
        <f>IFERROR(VLOOKUP(B438,#REF!,8,0),"n/a")</f>
        <v>n/a</v>
      </c>
      <c r="Y438" s="87" t="str">
        <f t="shared" si="109"/>
        <v>LF</v>
      </c>
      <c r="Z438" s="131" t="s">
        <v>1570</v>
      </c>
      <c r="AA438" s="227" t="e">
        <f>VLOOKUP(Table1[[#This Row],[CONCAT]],'Campos Resumo Prop2.0'!A:H,8,0)</f>
        <v>#N/A</v>
      </c>
      <c r="AB438" s="87" t="s">
        <v>1650</v>
      </c>
      <c r="AC438" s="88" t="s">
        <v>1625</v>
      </c>
      <c r="AD438" s="91">
        <f>INDEX(Auxiliar!$D$5:$I$10,MATCH('LISTA - Setembro2024'!AD$3,Auxiliar!$B$5:$B$10,0),MATCH('LISTA - Setembro2024'!$AC438,Auxiliar!$D$4:$I$4,0))</f>
        <v>0</v>
      </c>
      <c r="AE438" s="91">
        <f>INDEX(Auxiliar!$D$5:$I$10,MATCH('LISTA - Setembro2024'!AE$3,Auxiliar!$B$5:$B$10,0),MATCH('LISTA - Setembro2024'!$AC438,Auxiliar!$D$4:$I$4,0))</f>
        <v>0</v>
      </c>
      <c r="AF438" s="87">
        <f>INDEX(Auxiliar!$D$5:$I$10,MATCH('LISTA - Setembro2024'!AF$3,Auxiliar!$B$5:$B$10,0),MATCH('LISTA - Setembro2024'!$AC438,Auxiliar!$D$4:$I$4,0))</f>
        <v>0</v>
      </c>
      <c r="AG438" s="87" t="str">
        <f t="shared" si="92"/>
        <v>n.a.</v>
      </c>
      <c r="AH438" s="87">
        <f>INDEX(Auxiliar!$D$5:$I$10,MATCH('LISTA - Setembro2024'!AH$3,Auxiliar!$B$5:$B$10,0),MATCH('LISTA - Setembro2024'!$AG438,Auxiliar!$D$4:$I$4,0))</f>
        <v>0</v>
      </c>
      <c r="AI438" s="87">
        <f>INDEX(Auxiliar!$D$5:$I$10,MATCH('LISTA - Setembro2024'!AI$3,Auxiliar!$B$5:$B$10,0),MATCH('LISTA - Setembro2024'!$AC438,Auxiliar!$D$4:$I$4,0))</f>
        <v>0</v>
      </c>
      <c r="AJ438" s="87">
        <f>INDEX(Auxiliar!$D$5:$I$10,MATCH('LISTA - Setembro2024'!AJ$3,Auxiliar!$B$5:$B$10,0),MATCH('LISTA - Setembro2024'!$AC438,Auxiliar!$D$4:$I$4,0))</f>
        <v>0</v>
      </c>
      <c r="AK438" s="160">
        <f t="shared" si="95"/>
        <v>0</v>
      </c>
      <c r="AL438" s="87"/>
    </row>
    <row r="439" spans="1:38" ht="13.8" x14ac:dyDescent="0.25">
      <c r="A439" s="158" t="s">
        <v>1490</v>
      </c>
      <c r="B439" s="81" t="str">
        <f t="shared" si="93"/>
        <v>INSTRUMENT_PRTNR</v>
      </c>
      <c r="C439" s="82" t="s">
        <v>414</v>
      </c>
      <c r="D439" s="95" t="s">
        <v>1491</v>
      </c>
      <c r="E439" s="107" t="s">
        <v>1492</v>
      </c>
      <c r="F439" s="85" t="s">
        <v>13</v>
      </c>
      <c r="G439" s="85" t="s">
        <v>11</v>
      </c>
      <c r="H439" s="85" t="s">
        <v>11</v>
      </c>
      <c r="I439" s="85" t="s">
        <v>13</v>
      </c>
      <c r="J439" s="85" t="s">
        <v>11</v>
      </c>
      <c r="K439" s="85" t="s">
        <v>11</v>
      </c>
      <c r="L439" s="86" t="str">
        <f>IFERROR(VLOOKUP($B439,'LISTA - Atual'!$B$1:$I$444,5,0),"Novo")</f>
        <v>Novo</v>
      </c>
      <c r="M439" s="86" t="str">
        <f t="shared" si="102"/>
        <v>Novo Campo</v>
      </c>
      <c r="N439" s="86" t="str">
        <f>IFERROR(VLOOKUP($B439,'LISTA - Atual'!$B$1:$I$444,6,0),"Novo")</f>
        <v>Novo</v>
      </c>
      <c r="O439" s="86" t="str">
        <f t="shared" si="103"/>
        <v>Novo Campo</v>
      </c>
      <c r="P439" s="86" t="str">
        <f>IFERROR(VLOOKUP($B439,'LISTA - Atual'!$B$1:$I$444,7,0),"Novo")</f>
        <v>Novo</v>
      </c>
      <c r="Q439" s="86" t="str">
        <f t="shared" si="104"/>
        <v>Novo Campo</v>
      </c>
      <c r="R439" s="86" t="s">
        <v>1563</v>
      </c>
      <c r="S439" s="86" t="str">
        <f>IFERROR(VLOOKUP($B439,'LISTA - Atual'!$B$1:$I$444,8,0),"Novo")</f>
        <v>Novo</v>
      </c>
      <c r="T439" s="86" t="str">
        <f t="shared" si="105"/>
        <v>Novo Campo</v>
      </c>
      <c r="U439" s="86" t="s">
        <v>1563</v>
      </c>
      <c r="V439" s="86" t="s">
        <v>11</v>
      </c>
      <c r="W439" s="87" t="str">
        <f>IFERROR(VLOOKUP(B439,#REF!,11,0),"n/a")</f>
        <v>n/a</v>
      </c>
      <c r="X439" s="87" t="str">
        <f>IFERROR(VLOOKUP(B439,#REF!,8,0),"n/a")</f>
        <v>n/a</v>
      </c>
      <c r="Y439" s="87" t="str">
        <f t="shared" ref="Y439:Y445" si="110">$F$2&amp;$Y$1&amp;$I$2</f>
        <v>ESTR &amp; GFINANCE</v>
      </c>
      <c r="Z439" s="131" t="s">
        <v>1570</v>
      </c>
      <c r="AA439" s="227" t="e">
        <f>VLOOKUP(Table1[[#This Row],[CONCAT]],'Campos Resumo Prop2.0'!A:H,8,0)</f>
        <v>#N/A</v>
      </c>
      <c r="AB439" s="87" t="s">
        <v>1652</v>
      </c>
      <c r="AC439" s="88" t="s">
        <v>1625</v>
      </c>
      <c r="AD439" s="91">
        <f>INDEX(Auxiliar!$D$5:$I$10,MATCH('LISTA - Setembro2024'!AD$3,Auxiliar!$B$5:$B$10,0),MATCH('LISTA - Setembro2024'!$AC439,Auxiliar!$D$4:$I$4,0))</f>
        <v>0</v>
      </c>
      <c r="AE439" s="91">
        <f>INDEX(Auxiliar!$D$5:$I$10,MATCH('LISTA - Setembro2024'!AE$3,Auxiliar!$B$5:$B$10,0),MATCH('LISTA - Setembro2024'!$AC439,Auxiliar!$D$4:$I$4,0))</f>
        <v>0</v>
      </c>
      <c r="AF439" s="87">
        <f>INDEX(Auxiliar!$D$5:$I$10,MATCH('LISTA - Setembro2024'!AF$3,Auxiliar!$B$5:$B$10,0),MATCH('LISTA - Setembro2024'!$AC439,Auxiliar!$D$4:$I$4,0))</f>
        <v>0</v>
      </c>
      <c r="AG439" s="87" t="str">
        <f t="shared" si="92"/>
        <v>n.a.</v>
      </c>
      <c r="AH439" s="87">
        <f>INDEX(Auxiliar!$D$5:$I$10,MATCH('LISTA - Setembro2024'!AH$3,Auxiliar!$B$5:$B$10,0),MATCH('LISTA - Setembro2024'!$AG439,Auxiliar!$D$4:$I$4,0))</f>
        <v>0</v>
      </c>
      <c r="AI439" s="87">
        <f>INDEX(Auxiliar!$D$5:$I$10,MATCH('LISTA - Setembro2024'!AI$3,Auxiliar!$B$5:$B$10,0),MATCH('LISTA - Setembro2024'!$AC439,Auxiliar!$D$4:$I$4,0))</f>
        <v>0</v>
      </c>
      <c r="AJ439" s="87">
        <f>INDEX(Auxiliar!$D$5:$I$10,MATCH('LISTA - Setembro2024'!AJ$3,Auxiliar!$B$5:$B$10,0),MATCH('LISTA - Setembro2024'!$AC439,Auxiliar!$D$4:$I$4,0))</f>
        <v>0</v>
      </c>
      <c r="AK439" s="160">
        <f t="shared" si="95"/>
        <v>0</v>
      </c>
      <c r="AL439" s="87"/>
    </row>
    <row r="440" spans="1:38" ht="13.8" x14ac:dyDescent="0.25">
      <c r="A440" s="158" t="s">
        <v>1493</v>
      </c>
      <c r="B440" s="81" t="str">
        <f t="shared" si="93"/>
        <v>INSTRUMENT_INCNTVS</v>
      </c>
      <c r="C440" s="82" t="s">
        <v>414</v>
      </c>
      <c r="D440" s="95" t="s">
        <v>1494</v>
      </c>
      <c r="E440" s="107" t="s">
        <v>1495</v>
      </c>
      <c r="F440" s="85" t="s">
        <v>13</v>
      </c>
      <c r="G440" s="85" t="s">
        <v>11</v>
      </c>
      <c r="H440" s="85" t="s">
        <v>11</v>
      </c>
      <c r="I440" s="85" t="s">
        <v>13</v>
      </c>
      <c r="J440" s="85" t="s">
        <v>11</v>
      </c>
      <c r="K440" s="85" t="s">
        <v>11</v>
      </c>
      <c r="L440" s="86" t="str">
        <f>IFERROR(VLOOKUP($B440,'LISTA - Atual'!$B$1:$I$444,5,0),"Novo")</f>
        <v>Novo</v>
      </c>
      <c r="M440" s="86" t="str">
        <f t="shared" si="102"/>
        <v>Novo Campo</v>
      </c>
      <c r="N440" s="86" t="str">
        <f>IFERROR(VLOOKUP($B440,'LISTA - Atual'!$B$1:$I$444,6,0),"Novo")</f>
        <v>Novo</v>
      </c>
      <c r="O440" s="86" t="str">
        <f t="shared" si="103"/>
        <v>Novo Campo</v>
      </c>
      <c r="P440" s="86" t="str">
        <f>IFERROR(VLOOKUP($B440,'LISTA - Atual'!$B$1:$I$444,7,0),"Novo")</f>
        <v>Novo</v>
      </c>
      <c r="Q440" s="86" t="str">
        <f t="shared" si="104"/>
        <v>Novo Campo</v>
      </c>
      <c r="R440" s="86" t="s">
        <v>1563</v>
      </c>
      <c r="S440" s="86" t="str">
        <f>IFERROR(VLOOKUP($B440,'LISTA - Atual'!$B$1:$I$444,8,0),"Novo")</f>
        <v>Novo</v>
      </c>
      <c r="T440" s="86" t="str">
        <f t="shared" si="105"/>
        <v>Novo Campo</v>
      </c>
      <c r="U440" s="86" t="s">
        <v>1563</v>
      </c>
      <c r="V440" s="86" t="s">
        <v>11</v>
      </c>
      <c r="W440" s="87" t="str">
        <f>IFERROR(VLOOKUP(B440,#REF!,11,0),"n/a")</f>
        <v>n/a</v>
      </c>
      <c r="X440" s="87" t="str">
        <f>IFERROR(VLOOKUP(B440,#REF!,8,0),"n/a")</f>
        <v>n/a</v>
      </c>
      <c r="Y440" s="87" t="str">
        <f t="shared" si="110"/>
        <v>ESTR &amp; GFINANCE</v>
      </c>
      <c r="Z440" s="131" t="s">
        <v>1570</v>
      </c>
      <c r="AA440" s="227" t="e">
        <f>VLOOKUP(Table1[[#This Row],[CONCAT]],'Campos Resumo Prop2.0'!A:H,8,0)</f>
        <v>#N/A</v>
      </c>
      <c r="AB440" s="87" t="s">
        <v>1655</v>
      </c>
      <c r="AC440" s="88" t="s">
        <v>1625</v>
      </c>
      <c r="AD440" s="91">
        <f>INDEX(Auxiliar!$D$5:$I$10,MATCH('LISTA - Setembro2024'!AD$3,Auxiliar!$B$5:$B$10,0),MATCH('LISTA - Setembro2024'!$AC440,Auxiliar!$D$4:$I$4,0))</f>
        <v>0</v>
      </c>
      <c r="AE440" s="91">
        <f>INDEX(Auxiliar!$D$5:$I$10,MATCH('LISTA - Setembro2024'!AE$3,Auxiliar!$B$5:$B$10,0),MATCH('LISTA - Setembro2024'!$AC440,Auxiliar!$D$4:$I$4,0))</f>
        <v>0</v>
      </c>
      <c r="AF440" s="87">
        <f>INDEX(Auxiliar!$D$5:$I$10,MATCH('LISTA - Setembro2024'!AF$3,Auxiliar!$B$5:$B$10,0),MATCH('LISTA - Setembro2024'!$AC440,Auxiliar!$D$4:$I$4,0))</f>
        <v>0</v>
      </c>
      <c r="AG440" s="87" t="str">
        <f t="shared" si="92"/>
        <v>n.a.</v>
      </c>
      <c r="AH440" s="87">
        <f>INDEX(Auxiliar!$D$5:$I$10,MATCH('LISTA - Setembro2024'!AH$3,Auxiliar!$B$5:$B$10,0),MATCH('LISTA - Setembro2024'!$AG440,Auxiliar!$D$4:$I$4,0))</f>
        <v>0</v>
      </c>
      <c r="AI440" s="87">
        <f>INDEX(Auxiliar!$D$5:$I$10,MATCH('LISTA - Setembro2024'!AI$3,Auxiliar!$B$5:$B$10,0),MATCH('LISTA - Setembro2024'!$AC440,Auxiliar!$D$4:$I$4,0))</f>
        <v>0</v>
      </c>
      <c r="AJ440" s="87">
        <f>INDEX(Auxiliar!$D$5:$I$10,MATCH('LISTA - Setembro2024'!AJ$3,Auxiliar!$B$5:$B$10,0),MATCH('LISTA - Setembro2024'!$AC440,Auxiliar!$D$4:$I$4,0))</f>
        <v>0</v>
      </c>
      <c r="AK440" s="160">
        <f t="shared" si="95"/>
        <v>0</v>
      </c>
      <c r="AL440" s="87"/>
    </row>
    <row r="441" spans="1:38" ht="13.8" x14ac:dyDescent="0.25">
      <c r="A441" s="158" t="s">
        <v>1496</v>
      </c>
      <c r="B441" s="81" t="str">
        <f t="shared" si="93"/>
        <v>INSTRUMENT_OTHR_OPRTNG_INCM</v>
      </c>
      <c r="C441" s="82" t="s">
        <v>414</v>
      </c>
      <c r="D441" s="95" t="s">
        <v>1497</v>
      </c>
      <c r="E441" s="107" t="s">
        <v>1498</v>
      </c>
      <c r="F441" s="85" t="s">
        <v>13</v>
      </c>
      <c r="G441" s="85" t="s">
        <v>11</v>
      </c>
      <c r="H441" s="85" t="s">
        <v>11</v>
      </c>
      <c r="I441" s="85" t="s">
        <v>13</v>
      </c>
      <c r="J441" s="85" t="s">
        <v>11</v>
      </c>
      <c r="K441" s="85" t="s">
        <v>11</v>
      </c>
      <c r="L441" s="86" t="str">
        <f>IFERROR(VLOOKUP($B441,'LISTA - Atual'!$B$1:$I$444,5,0),"Novo")</f>
        <v>Novo</v>
      </c>
      <c r="M441" s="86" t="str">
        <f t="shared" si="102"/>
        <v>Novo Campo</v>
      </c>
      <c r="N441" s="86" t="str">
        <f>IFERROR(VLOOKUP($B441,'LISTA - Atual'!$B$1:$I$444,6,0),"Novo")</f>
        <v>Novo</v>
      </c>
      <c r="O441" s="86" t="str">
        <f t="shared" si="103"/>
        <v>Novo Campo</v>
      </c>
      <c r="P441" s="86" t="str">
        <f>IFERROR(VLOOKUP($B441,'LISTA - Atual'!$B$1:$I$444,7,0),"Novo")</f>
        <v>Novo</v>
      </c>
      <c r="Q441" s="86" t="str">
        <f t="shared" si="104"/>
        <v>Novo Campo</v>
      </c>
      <c r="R441" s="86" t="s">
        <v>1563</v>
      </c>
      <c r="S441" s="86" t="str">
        <f>IFERROR(VLOOKUP($B441,'LISTA - Atual'!$B$1:$I$444,8,0),"Novo")</f>
        <v>Novo</v>
      </c>
      <c r="T441" s="86" t="str">
        <f t="shared" si="105"/>
        <v>Novo Campo</v>
      </c>
      <c r="U441" s="86" t="s">
        <v>1563</v>
      </c>
      <c r="V441" s="86" t="s">
        <v>11</v>
      </c>
      <c r="W441" s="87" t="str">
        <f>IFERROR(VLOOKUP(B441,#REF!,11,0),"n/a")</f>
        <v>n/a</v>
      </c>
      <c r="X441" s="87" t="str">
        <f>IFERROR(VLOOKUP(B441,#REF!,8,0),"n/a")</f>
        <v>n/a</v>
      </c>
      <c r="Y441" s="87" t="str">
        <f t="shared" si="110"/>
        <v>ESTR &amp; GFINANCE</v>
      </c>
      <c r="Z441" s="131" t="s">
        <v>1570</v>
      </c>
      <c r="AA441" s="227" t="e">
        <f>VLOOKUP(Table1[[#This Row],[CONCAT]],'Campos Resumo Prop2.0'!A:H,8,0)</f>
        <v>#N/A</v>
      </c>
      <c r="AB441" s="87" t="s">
        <v>1655</v>
      </c>
      <c r="AC441" s="88" t="s">
        <v>1625</v>
      </c>
      <c r="AD441" s="91">
        <f>INDEX(Auxiliar!$D$5:$I$10,MATCH('LISTA - Setembro2024'!AD$3,Auxiliar!$B$5:$B$10,0),MATCH('LISTA - Setembro2024'!$AC441,Auxiliar!$D$4:$I$4,0))</f>
        <v>0</v>
      </c>
      <c r="AE441" s="91">
        <f>INDEX(Auxiliar!$D$5:$I$10,MATCH('LISTA - Setembro2024'!AE$3,Auxiliar!$B$5:$B$10,0),MATCH('LISTA - Setembro2024'!$AC441,Auxiliar!$D$4:$I$4,0))</f>
        <v>0</v>
      </c>
      <c r="AF441" s="87">
        <f>INDEX(Auxiliar!$D$5:$I$10,MATCH('LISTA - Setembro2024'!AF$3,Auxiliar!$B$5:$B$10,0),MATCH('LISTA - Setembro2024'!$AC441,Auxiliar!$D$4:$I$4,0))</f>
        <v>0</v>
      </c>
      <c r="AG441" s="87" t="str">
        <f t="shared" si="92"/>
        <v>n.a.</v>
      </c>
      <c r="AH441" s="87">
        <f>INDEX(Auxiliar!$D$5:$I$10,MATCH('LISTA - Setembro2024'!AH$3,Auxiliar!$B$5:$B$10,0),MATCH('LISTA - Setembro2024'!$AG441,Auxiliar!$D$4:$I$4,0))</f>
        <v>0</v>
      </c>
      <c r="AI441" s="87">
        <f>INDEX(Auxiliar!$D$5:$I$10,MATCH('LISTA - Setembro2024'!AI$3,Auxiliar!$B$5:$B$10,0),MATCH('LISTA - Setembro2024'!$AC441,Auxiliar!$D$4:$I$4,0))</f>
        <v>0</v>
      </c>
      <c r="AJ441" s="87">
        <f>INDEX(Auxiliar!$D$5:$I$10,MATCH('LISTA - Setembro2024'!AJ$3,Auxiliar!$B$5:$B$10,0),MATCH('LISTA - Setembro2024'!$AC441,Auxiliar!$D$4:$I$4,0))</f>
        <v>0</v>
      </c>
      <c r="AK441" s="160">
        <f t="shared" si="95"/>
        <v>0</v>
      </c>
      <c r="AL441" s="87"/>
    </row>
    <row r="442" spans="1:38" ht="13.8" x14ac:dyDescent="0.25">
      <c r="A442" s="158" t="s">
        <v>1499</v>
      </c>
      <c r="B442" s="81" t="str">
        <f t="shared" si="93"/>
        <v>INSTRUMENT_RFRRL_FS</v>
      </c>
      <c r="C442" s="82" t="s">
        <v>414</v>
      </c>
      <c r="D442" s="95" t="s">
        <v>1500</v>
      </c>
      <c r="E442" s="107" t="s">
        <v>1501</v>
      </c>
      <c r="F442" s="85" t="s">
        <v>13</v>
      </c>
      <c r="G442" s="85" t="s">
        <v>11</v>
      </c>
      <c r="H442" s="85" t="s">
        <v>11</v>
      </c>
      <c r="I442" s="85" t="s">
        <v>13</v>
      </c>
      <c r="J442" s="85" t="s">
        <v>11</v>
      </c>
      <c r="K442" s="85" t="s">
        <v>11</v>
      </c>
      <c r="L442" s="86" t="str">
        <f>IFERROR(VLOOKUP($B442,'LISTA - Atual'!$B$1:$I$444,5,0),"Novo")</f>
        <v>Novo</v>
      </c>
      <c r="M442" s="86" t="str">
        <f t="shared" si="102"/>
        <v>Novo Campo</v>
      </c>
      <c r="N442" s="86" t="str">
        <f>IFERROR(VLOOKUP($B442,'LISTA - Atual'!$B$1:$I$444,6,0),"Novo")</f>
        <v>Novo</v>
      </c>
      <c r="O442" s="86" t="str">
        <f t="shared" si="103"/>
        <v>Novo Campo</v>
      </c>
      <c r="P442" s="86" t="str">
        <f>IFERROR(VLOOKUP($B442,'LISTA - Atual'!$B$1:$I$444,7,0),"Novo")</f>
        <v>Novo</v>
      </c>
      <c r="Q442" s="86" t="str">
        <f t="shared" si="104"/>
        <v>Novo Campo</v>
      </c>
      <c r="R442" s="86" t="s">
        <v>1563</v>
      </c>
      <c r="S442" s="86" t="str">
        <f>IFERROR(VLOOKUP($B442,'LISTA - Atual'!$B$1:$I$444,8,0),"Novo")</f>
        <v>Novo</v>
      </c>
      <c r="T442" s="86" t="str">
        <f t="shared" si="105"/>
        <v>Novo Campo</v>
      </c>
      <c r="U442" s="86" t="s">
        <v>1563</v>
      </c>
      <c r="V442" s="86" t="s">
        <v>11</v>
      </c>
      <c r="W442" s="87" t="str">
        <f>IFERROR(VLOOKUP(B442,#REF!,11,0),"n/a")</f>
        <v>n/a</v>
      </c>
      <c r="X442" s="87" t="str">
        <f>IFERROR(VLOOKUP(B442,#REF!,8,0),"n/a")</f>
        <v>n/a</v>
      </c>
      <c r="Y442" s="87" t="str">
        <f t="shared" si="110"/>
        <v>ESTR &amp; GFINANCE</v>
      </c>
      <c r="Z442" s="131" t="s">
        <v>1570</v>
      </c>
      <c r="AA442" s="227" t="e">
        <f>VLOOKUP(Table1[[#This Row],[CONCAT]],'Campos Resumo Prop2.0'!A:H,8,0)</f>
        <v>#N/A</v>
      </c>
      <c r="AB442" s="87" t="s">
        <v>1655</v>
      </c>
      <c r="AC442" s="88" t="s">
        <v>1625</v>
      </c>
      <c r="AD442" s="91">
        <f>INDEX(Auxiliar!$D$5:$I$10,MATCH('LISTA - Setembro2024'!AD$3,Auxiliar!$B$5:$B$10,0),MATCH('LISTA - Setembro2024'!$AC442,Auxiliar!$D$4:$I$4,0))</f>
        <v>0</v>
      </c>
      <c r="AE442" s="91">
        <f>INDEX(Auxiliar!$D$5:$I$10,MATCH('LISTA - Setembro2024'!AE$3,Auxiliar!$B$5:$B$10,0),MATCH('LISTA - Setembro2024'!$AC442,Auxiliar!$D$4:$I$4,0))</f>
        <v>0</v>
      </c>
      <c r="AF442" s="87">
        <f>INDEX(Auxiliar!$D$5:$I$10,MATCH('LISTA - Setembro2024'!AF$3,Auxiliar!$B$5:$B$10,0),MATCH('LISTA - Setembro2024'!$AC442,Auxiliar!$D$4:$I$4,0))</f>
        <v>0</v>
      </c>
      <c r="AG442" s="87" t="str">
        <f t="shared" si="92"/>
        <v>n.a.</v>
      </c>
      <c r="AH442" s="87">
        <f>INDEX(Auxiliar!$D$5:$I$10,MATCH('LISTA - Setembro2024'!AH$3,Auxiliar!$B$5:$B$10,0),MATCH('LISTA - Setembro2024'!$AG442,Auxiliar!$D$4:$I$4,0))</f>
        <v>0</v>
      </c>
      <c r="AI442" s="87">
        <f>INDEX(Auxiliar!$D$5:$I$10,MATCH('LISTA - Setembro2024'!AI$3,Auxiliar!$B$5:$B$10,0),MATCH('LISTA - Setembro2024'!$AC442,Auxiliar!$D$4:$I$4,0))</f>
        <v>0</v>
      </c>
      <c r="AJ442" s="87">
        <f>INDEX(Auxiliar!$D$5:$I$10,MATCH('LISTA - Setembro2024'!AJ$3,Auxiliar!$B$5:$B$10,0),MATCH('LISTA - Setembro2024'!$AC442,Auxiliar!$D$4:$I$4,0))</f>
        <v>0</v>
      </c>
      <c r="AK442" s="160">
        <f t="shared" si="95"/>
        <v>0</v>
      </c>
      <c r="AL442" s="87"/>
    </row>
    <row r="443" spans="1:38" ht="13.8" x14ac:dyDescent="0.25">
      <c r="A443" s="158" t="s">
        <v>1502</v>
      </c>
      <c r="B443" s="81" t="str">
        <f t="shared" si="93"/>
        <v>INSTRUMENT_INSRNC_CMSSNS</v>
      </c>
      <c r="C443" s="82" t="s">
        <v>414</v>
      </c>
      <c r="D443" s="95" t="s">
        <v>1503</v>
      </c>
      <c r="E443" s="107" t="s">
        <v>1504</v>
      </c>
      <c r="F443" s="85" t="s">
        <v>13</v>
      </c>
      <c r="G443" s="85" t="s">
        <v>11</v>
      </c>
      <c r="H443" s="85" t="s">
        <v>11</v>
      </c>
      <c r="I443" s="85" t="s">
        <v>13</v>
      </c>
      <c r="J443" s="85" t="s">
        <v>11</v>
      </c>
      <c r="K443" s="85" t="s">
        <v>11</v>
      </c>
      <c r="L443" s="86" t="str">
        <f>IFERROR(VLOOKUP($B443,'LISTA - Atual'!$B$1:$I$444,5,0),"Novo")</f>
        <v>Novo</v>
      </c>
      <c r="M443" s="86" t="str">
        <f t="shared" si="102"/>
        <v>Novo Campo</v>
      </c>
      <c r="N443" s="86" t="str">
        <f>IFERROR(VLOOKUP($B443,'LISTA - Atual'!$B$1:$I$444,6,0),"Novo")</f>
        <v>Novo</v>
      </c>
      <c r="O443" s="86" t="str">
        <f t="shared" si="103"/>
        <v>Novo Campo</v>
      </c>
      <c r="P443" s="86" t="str">
        <f>IFERROR(VLOOKUP($B443,'LISTA - Atual'!$B$1:$I$444,7,0),"Novo")</f>
        <v>Novo</v>
      </c>
      <c r="Q443" s="86" t="str">
        <f t="shared" si="104"/>
        <v>Novo Campo</v>
      </c>
      <c r="R443" s="86" t="s">
        <v>1563</v>
      </c>
      <c r="S443" s="86" t="str">
        <f>IFERROR(VLOOKUP($B443,'LISTA - Atual'!$B$1:$I$444,8,0),"Novo")</f>
        <v>Novo</v>
      </c>
      <c r="T443" s="86" t="str">
        <f t="shared" si="105"/>
        <v>Novo Campo</v>
      </c>
      <c r="U443" s="86" t="s">
        <v>1563</v>
      </c>
      <c r="V443" s="86" t="s">
        <v>11</v>
      </c>
      <c r="W443" s="87" t="str">
        <f>IFERROR(VLOOKUP(B443,#REF!,11,0),"n/a")</f>
        <v>n/a</v>
      </c>
      <c r="X443" s="87" t="str">
        <f>IFERROR(VLOOKUP(B443,#REF!,8,0),"n/a")</f>
        <v>n/a</v>
      </c>
      <c r="Y443" s="87" t="str">
        <f t="shared" si="110"/>
        <v>ESTR &amp; GFINANCE</v>
      </c>
      <c r="Z443" s="131" t="s">
        <v>1570</v>
      </c>
      <c r="AA443" s="227" t="e">
        <f>VLOOKUP(Table1[[#This Row],[CONCAT]],'Campos Resumo Prop2.0'!A:H,8,0)</f>
        <v>#N/A</v>
      </c>
      <c r="AB443" s="87" t="s">
        <v>1655</v>
      </c>
      <c r="AC443" s="88" t="s">
        <v>1625</v>
      </c>
      <c r="AD443" s="91">
        <f>INDEX(Auxiliar!$D$5:$I$10,MATCH('LISTA - Setembro2024'!AD$3,Auxiliar!$B$5:$B$10,0),MATCH('LISTA - Setembro2024'!$AC443,Auxiliar!$D$4:$I$4,0))</f>
        <v>0</v>
      </c>
      <c r="AE443" s="91">
        <f>INDEX(Auxiliar!$D$5:$I$10,MATCH('LISTA - Setembro2024'!AE$3,Auxiliar!$B$5:$B$10,0),MATCH('LISTA - Setembro2024'!$AC443,Auxiliar!$D$4:$I$4,0))</f>
        <v>0</v>
      </c>
      <c r="AF443" s="87">
        <f>INDEX(Auxiliar!$D$5:$I$10,MATCH('LISTA - Setembro2024'!AF$3,Auxiliar!$B$5:$B$10,0),MATCH('LISTA - Setembro2024'!$AC443,Auxiliar!$D$4:$I$4,0))</f>
        <v>0</v>
      </c>
      <c r="AG443" s="87" t="str">
        <f t="shared" si="92"/>
        <v>n.a.</v>
      </c>
      <c r="AH443" s="87">
        <f>INDEX(Auxiliar!$D$5:$I$10,MATCH('LISTA - Setembro2024'!AH$3,Auxiliar!$B$5:$B$10,0),MATCH('LISTA - Setembro2024'!$AG443,Auxiliar!$D$4:$I$4,0))</f>
        <v>0</v>
      </c>
      <c r="AI443" s="87">
        <f>INDEX(Auxiliar!$D$5:$I$10,MATCH('LISTA - Setembro2024'!AI$3,Auxiliar!$B$5:$B$10,0),MATCH('LISTA - Setembro2024'!$AC443,Auxiliar!$D$4:$I$4,0))</f>
        <v>0</v>
      </c>
      <c r="AJ443" s="87">
        <f>INDEX(Auxiliar!$D$5:$I$10,MATCH('LISTA - Setembro2024'!AJ$3,Auxiliar!$B$5:$B$10,0),MATCH('LISTA - Setembro2024'!$AC443,Auxiliar!$D$4:$I$4,0))</f>
        <v>0</v>
      </c>
      <c r="AK443" s="160">
        <f t="shared" si="95"/>
        <v>0</v>
      </c>
      <c r="AL443" s="87"/>
    </row>
    <row r="444" spans="1:38" ht="13.8" x14ac:dyDescent="0.25">
      <c r="A444" s="158" t="s">
        <v>1505</v>
      </c>
      <c r="B444" s="81" t="str">
        <f t="shared" si="93"/>
        <v>INSTRUMENT_OTHR_INCM_AND_CHRGS</v>
      </c>
      <c r="C444" s="82" t="s">
        <v>414</v>
      </c>
      <c r="D444" s="95" t="s">
        <v>1506</v>
      </c>
      <c r="E444" s="107" t="s">
        <v>1507</v>
      </c>
      <c r="F444" s="85" t="s">
        <v>13</v>
      </c>
      <c r="G444" s="85" t="s">
        <v>11</v>
      </c>
      <c r="H444" s="85" t="s">
        <v>11</v>
      </c>
      <c r="I444" s="85" t="s">
        <v>13</v>
      </c>
      <c r="J444" s="85" t="s">
        <v>11</v>
      </c>
      <c r="K444" s="85" t="s">
        <v>11</v>
      </c>
      <c r="L444" s="86" t="str">
        <f>IFERROR(VLOOKUP($B444,'LISTA - Atual'!$B$1:$I$444,5,0),"Novo")</f>
        <v>Novo</v>
      </c>
      <c r="M444" s="86" t="str">
        <f t="shared" si="102"/>
        <v>Novo Campo</v>
      </c>
      <c r="N444" s="86" t="str">
        <f>IFERROR(VLOOKUP($B444,'LISTA - Atual'!$B$1:$I$444,6,0),"Novo")</f>
        <v>Novo</v>
      </c>
      <c r="O444" s="86" t="str">
        <f t="shared" si="103"/>
        <v>Novo Campo</v>
      </c>
      <c r="P444" s="86" t="str">
        <f>IFERROR(VLOOKUP($B444,'LISTA - Atual'!$B$1:$I$444,7,0),"Novo")</f>
        <v>Novo</v>
      </c>
      <c r="Q444" s="86" t="str">
        <f t="shared" si="104"/>
        <v>Novo Campo</v>
      </c>
      <c r="R444" s="86" t="s">
        <v>1563</v>
      </c>
      <c r="S444" s="86" t="str">
        <f>IFERROR(VLOOKUP($B444,'LISTA - Atual'!$B$1:$I$444,8,0),"Novo")</f>
        <v>Novo</v>
      </c>
      <c r="T444" s="86" t="str">
        <f t="shared" si="105"/>
        <v>Novo Campo</v>
      </c>
      <c r="U444" s="86" t="s">
        <v>1563</v>
      </c>
      <c r="V444" s="86" t="s">
        <v>11</v>
      </c>
      <c r="W444" s="87" t="str">
        <f>IFERROR(VLOOKUP(B444,#REF!,11,0),"n/a")</f>
        <v>n/a</v>
      </c>
      <c r="X444" s="87" t="str">
        <f>IFERROR(VLOOKUP(B444,#REF!,8,0),"n/a")</f>
        <v>n/a</v>
      </c>
      <c r="Y444" s="87" t="str">
        <f t="shared" si="110"/>
        <v>ESTR &amp; GFINANCE</v>
      </c>
      <c r="Z444" s="131" t="s">
        <v>1570</v>
      </c>
      <c r="AA444" s="227" t="e">
        <f>VLOOKUP(Table1[[#This Row],[CONCAT]],'Campos Resumo Prop2.0'!A:H,8,0)</f>
        <v>#N/A</v>
      </c>
      <c r="AB444" s="87" t="s">
        <v>1655</v>
      </c>
      <c r="AC444" s="88" t="s">
        <v>1625</v>
      </c>
      <c r="AD444" s="91">
        <f>INDEX(Auxiliar!$D$5:$I$10,MATCH('LISTA - Setembro2024'!AD$3,Auxiliar!$B$5:$B$10,0),MATCH('LISTA - Setembro2024'!$AC444,Auxiliar!$D$4:$I$4,0))</f>
        <v>0</v>
      </c>
      <c r="AE444" s="91">
        <f>INDEX(Auxiliar!$D$5:$I$10,MATCH('LISTA - Setembro2024'!AE$3,Auxiliar!$B$5:$B$10,0),MATCH('LISTA - Setembro2024'!$AC444,Auxiliar!$D$4:$I$4,0))</f>
        <v>0</v>
      </c>
      <c r="AF444" s="87">
        <f>INDEX(Auxiliar!$D$5:$I$10,MATCH('LISTA - Setembro2024'!AF$3,Auxiliar!$B$5:$B$10,0),MATCH('LISTA - Setembro2024'!$AC444,Auxiliar!$D$4:$I$4,0))</f>
        <v>0</v>
      </c>
      <c r="AG444" s="87" t="str">
        <f t="shared" si="92"/>
        <v>n.a.</v>
      </c>
      <c r="AH444" s="87">
        <f>INDEX(Auxiliar!$D$5:$I$10,MATCH('LISTA - Setembro2024'!AH$3,Auxiliar!$B$5:$B$10,0),MATCH('LISTA - Setembro2024'!$AG444,Auxiliar!$D$4:$I$4,0))</f>
        <v>0</v>
      </c>
      <c r="AI444" s="87">
        <f>INDEX(Auxiliar!$D$5:$I$10,MATCH('LISTA - Setembro2024'!AI$3,Auxiliar!$B$5:$B$10,0),MATCH('LISTA - Setembro2024'!$AC444,Auxiliar!$D$4:$I$4,0))</f>
        <v>0</v>
      </c>
      <c r="AJ444" s="87">
        <f>INDEX(Auxiliar!$D$5:$I$10,MATCH('LISTA - Setembro2024'!AJ$3,Auxiliar!$B$5:$B$10,0),MATCH('LISTA - Setembro2024'!$AC444,Auxiliar!$D$4:$I$4,0))</f>
        <v>0</v>
      </c>
      <c r="AK444" s="160">
        <f t="shared" si="95"/>
        <v>0</v>
      </c>
      <c r="AL444" s="87"/>
    </row>
    <row r="445" spans="1:38" ht="13.8" x14ac:dyDescent="0.25">
      <c r="A445" s="158" t="s">
        <v>1508</v>
      </c>
      <c r="B445" s="81" t="str">
        <f t="shared" si="93"/>
        <v>INSTRUMENT_TX_ON_PRFT</v>
      </c>
      <c r="C445" s="82" t="s">
        <v>414</v>
      </c>
      <c r="D445" s="95" t="s">
        <v>1509</v>
      </c>
      <c r="E445" s="107" t="s">
        <v>1510</v>
      </c>
      <c r="F445" s="85" t="s">
        <v>13</v>
      </c>
      <c r="G445" s="85" t="s">
        <v>11</v>
      </c>
      <c r="H445" s="85" t="s">
        <v>11</v>
      </c>
      <c r="I445" s="85" t="s">
        <v>13</v>
      </c>
      <c r="J445" s="85" t="s">
        <v>11</v>
      </c>
      <c r="K445" s="85" t="s">
        <v>11</v>
      </c>
      <c r="L445" s="86" t="str">
        <f>IFERROR(VLOOKUP($B445,'LISTA - Atual'!$B$1:$I$444,5,0),"Novo")</f>
        <v>Novo</v>
      </c>
      <c r="M445" s="86" t="str">
        <f t="shared" si="102"/>
        <v>Novo Campo</v>
      </c>
      <c r="N445" s="86" t="str">
        <f>IFERROR(VLOOKUP($B445,'LISTA - Atual'!$B$1:$I$444,6,0),"Novo")</f>
        <v>Novo</v>
      </c>
      <c r="O445" s="86" t="str">
        <f t="shared" si="103"/>
        <v>Novo Campo</v>
      </c>
      <c r="P445" s="86" t="str">
        <f>IFERROR(VLOOKUP($B445,'LISTA - Atual'!$B$1:$I$444,7,0),"Novo")</f>
        <v>Novo</v>
      </c>
      <c r="Q445" s="86" t="str">
        <f t="shared" si="104"/>
        <v>Novo Campo</v>
      </c>
      <c r="R445" s="86" t="s">
        <v>1563</v>
      </c>
      <c r="S445" s="86" t="str">
        <f>IFERROR(VLOOKUP($B445,'LISTA - Atual'!$B$1:$I$444,8,0),"Novo")</f>
        <v>Novo</v>
      </c>
      <c r="T445" s="86" t="str">
        <f t="shared" si="105"/>
        <v>Novo Campo</v>
      </c>
      <c r="U445" s="86" t="s">
        <v>1563</v>
      </c>
      <c r="V445" s="86" t="s">
        <v>11</v>
      </c>
      <c r="W445" s="87" t="str">
        <f>IFERROR(VLOOKUP(B445,#REF!,11,0),"n/a")</f>
        <v>n/a</v>
      </c>
      <c r="X445" s="87" t="str">
        <f>IFERROR(VLOOKUP(B445,#REF!,8,0),"n/a")</f>
        <v>n/a</v>
      </c>
      <c r="Y445" s="87" t="str">
        <f t="shared" si="110"/>
        <v>ESTR &amp; GFINANCE</v>
      </c>
      <c r="Z445" s="131" t="s">
        <v>1570</v>
      </c>
      <c r="AA445" s="227" t="e">
        <f>VLOOKUP(Table1[[#This Row],[CONCAT]],'Campos Resumo Prop2.0'!A:H,8,0)</f>
        <v>#N/A</v>
      </c>
      <c r="AB445" s="87" t="s">
        <v>1655</v>
      </c>
      <c r="AC445" s="88" t="s">
        <v>1625</v>
      </c>
      <c r="AD445" s="91">
        <f>INDEX(Auxiliar!$D$5:$I$10,MATCH('LISTA - Setembro2024'!AD$3,Auxiliar!$B$5:$B$10,0),MATCH('LISTA - Setembro2024'!$AC445,Auxiliar!$D$4:$I$4,0))</f>
        <v>0</v>
      </c>
      <c r="AE445" s="91">
        <f>INDEX(Auxiliar!$D$5:$I$10,MATCH('LISTA - Setembro2024'!AE$3,Auxiliar!$B$5:$B$10,0),MATCH('LISTA - Setembro2024'!$AC445,Auxiliar!$D$4:$I$4,0))</f>
        <v>0</v>
      </c>
      <c r="AF445" s="87">
        <f>INDEX(Auxiliar!$D$5:$I$10,MATCH('LISTA - Setembro2024'!AF$3,Auxiliar!$B$5:$B$10,0),MATCH('LISTA - Setembro2024'!$AC445,Auxiliar!$D$4:$I$4,0))</f>
        <v>0</v>
      </c>
      <c r="AG445" s="87" t="str">
        <f t="shared" si="92"/>
        <v>n.a.</v>
      </c>
      <c r="AH445" s="87">
        <f>INDEX(Auxiliar!$D$5:$I$10,MATCH('LISTA - Setembro2024'!AH$3,Auxiliar!$B$5:$B$10,0),MATCH('LISTA - Setembro2024'!$AG445,Auxiliar!$D$4:$I$4,0))</f>
        <v>0</v>
      </c>
      <c r="AI445" s="87">
        <f>INDEX(Auxiliar!$D$5:$I$10,MATCH('LISTA - Setembro2024'!AI$3,Auxiliar!$B$5:$B$10,0),MATCH('LISTA - Setembro2024'!$AC445,Auxiliar!$D$4:$I$4,0))</f>
        <v>0</v>
      </c>
      <c r="AJ445" s="87">
        <f>INDEX(Auxiliar!$D$5:$I$10,MATCH('LISTA - Setembro2024'!AJ$3,Auxiliar!$B$5:$B$10,0),MATCH('LISTA - Setembro2024'!$AC445,Auxiliar!$D$4:$I$4,0))</f>
        <v>0</v>
      </c>
      <c r="AK445" s="160">
        <f t="shared" si="95"/>
        <v>0</v>
      </c>
      <c r="AL445" s="87"/>
    </row>
    <row r="446" spans="1:38" ht="13.8" x14ac:dyDescent="0.25">
      <c r="A446" s="158" t="s">
        <v>1100</v>
      </c>
      <c r="B446" s="81" t="str">
        <f t="shared" si="93"/>
        <v>INSTR_PROTECTION_COD_SOC</v>
      </c>
      <c r="C446" s="82" t="s">
        <v>1101</v>
      </c>
      <c r="D446" s="83" t="s">
        <v>12</v>
      </c>
      <c r="E446" s="84" t="s">
        <v>14</v>
      </c>
      <c r="F446" s="85" t="s">
        <v>13</v>
      </c>
      <c r="G446" s="85" t="s">
        <v>13</v>
      </c>
      <c r="H446" s="85" t="s">
        <v>13</v>
      </c>
      <c r="I446" s="85" t="s">
        <v>11</v>
      </c>
      <c r="J446" s="85" t="s">
        <v>11</v>
      </c>
      <c r="K446" s="85" t="s">
        <v>11</v>
      </c>
      <c r="L446" s="86" t="str">
        <f>IFERROR(VLOOKUP($B446,'LISTA - Atual'!$B$1:$I$444,5,0),"Novo")</f>
        <v>Y</v>
      </c>
      <c r="M446" s="86" t="str">
        <f t="shared" si="102"/>
        <v>Igual</v>
      </c>
      <c r="N446" s="86" t="str">
        <f>IFERROR(VLOOKUP($B446,'LISTA - Atual'!$B$1:$I$444,6,0),"Novo")</f>
        <v>N</v>
      </c>
      <c r="O446" s="86" t="str">
        <f t="shared" si="103"/>
        <v>Diferente</v>
      </c>
      <c r="P446" s="86" t="str">
        <f>IFERROR(VLOOKUP($B446,'LISTA - Atual'!$B$1:$I$444,7,0),"Novo")</f>
        <v>Y</v>
      </c>
      <c r="Q446" s="86" t="str">
        <f t="shared" si="104"/>
        <v>Igual</v>
      </c>
      <c r="R446" s="86" t="s">
        <v>1563</v>
      </c>
      <c r="S446" s="86" t="str">
        <f>IFERROR(VLOOKUP($B446,'LISTA - Atual'!$B$1:$I$444,8,0),"Novo")</f>
        <v>N</v>
      </c>
      <c r="T446" s="86" t="str">
        <f t="shared" si="105"/>
        <v>Igual</v>
      </c>
      <c r="U446" s="86" t="s">
        <v>1563</v>
      </c>
      <c r="V446" s="86" t="s">
        <v>11</v>
      </c>
      <c r="W446" s="87" t="str">
        <f>IFERROR(VLOOKUP(B446,#REF!,11,0),"n/a")</f>
        <v>n/a</v>
      </c>
      <c r="X446" s="87" t="str">
        <f>IFERROR(VLOOKUP(B446,#REF!,8,0),"n/a")</f>
        <v>n/a</v>
      </c>
      <c r="Y446" s="87" t="str">
        <f>$F$2&amp;$Y$1&amp;$G$2&amp;$Y$1&amp;$H$2</f>
        <v>ESTR &amp; GD &amp; PILAR3</v>
      </c>
      <c r="Z446" s="131" t="s">
        <v>1605</v>
      </c>
      <c r="AA446" s="227" t="e">
        <f>VLOOKUP(Table1[[#This Row],[CONCAT]],'Campos Resumo Prop2.0'!A:H,8,0)</f>
        <v>#N/A</v>
      </c>
      <c r="AB446" s="87" t="s">
        <v>1649</v>
      </c>
      <c r="AC446" s="135" t="s">
        <v>1625</v>
      </c>
      <c r="AD446" s="91">
        <f>INDEX(Auxiliar!$D$5:$I$10,MATCH('LISTA - Setembro2024'!AD$3,Auxiliar!$B$5:$B$10,0),MATCH('LISTA - Setembro2024'!$AC446,Auxiliar!$D$4:$I$4,0))</f>
        <v>0</v>
      </c>
      <c r="AE446" s="91">
        <f>INDEX(Auxiliar!$D$5:$I$10,MATCH('LISTA - Setembro2024'!AE$3,Auxiliar!$B$5:$B$10,0),MATCH('LISTA - Setembro2024'!$AC446,Auxiliar!$D$4:$I$4,0))</f>
        <v>0</v>
      </c>
      <c r="AF446" s="87">
        <f>INDEX(Auxiliar!$D$5:$I$10,MATCH('LISTA - Setembro2024'!AF$3,Auxiliar!$B$5:$B$10,0),MATCH('LISTA - Setembro2024'!$AC446,Auxiliar!$D$4:$I$4,0))</f>
        <v>0</v>
      </c>
      <c r="AG446" s="87" t="str">
        <f t="shared" si="92"/>
        <v>n.a.</v>
      </c>
      <c r="AH446" s="87">
        <f>INDEX(Auxiliar!$D$5:$I$10,MATCH('LISTA - Setembro2024'!AH$3,Auxiliar!$B$5:$B$10,0),MATCH('LISTA - Setembro2024'!$AG446,Auxiliar!$D$4:$I$4,0))</f>
        <v>0</v>
      </c>
      <c r="AI446" s="87">
        <f>INDEX(Auxiliar!$D$5:$I$10,MATCH('LISTA - Setembro2024'!AI$3,Auxiliar!$B$5:$B$10,0),MATCH('LISTA - Setembro2024'!$AC446,Auxiliar!$D$4:$I$4,0))</f>
        <v>0</v>
      </c>
      <c r="AJ446" s="87">
        <f>INDEX(Auxiliar!$D$5:$I$10,MATCH('LISTA - Setembro2024'!AJ$3,Auxiliar!$B$5:$B$10,0),MATCH('LISTA - Setembro2024'!$AC446,Auxiliar!$D$4:$I$4,0))</f>
        <v>0</v>
      </c>
      <c r="AK446" s="160">
        <f t="shared" si="95"/>
        <v>0</v>
      </c>
      <c r="AL446" s="87"/>
    </row>
    <row r="447" spans="1:38" ht="13.8" x14ac:dyDescent="0.25">
      <c r="A447" s="158" t="s">
        <v>1102</v>
      </c>
      <c r="B447" s="81" t="str">
        <f t="shared" si="93"/>
        <v>INSTR_PROTECTION_DT_RFRNC</v>
      </c>
      <c r="C447" s="82" t="s">
        <v>1101</v>
      </c>
      <c r="D447" s="83" t="s">
        <v>38</v>
      </c>
      <c r="E447" s="84" t="s">
        <v>402</v>
      </c>
      <c r="F447" s="85" t="s">
        <v>13</v>
      </c>
      <c r="G447" s="85" t="s">
        <v>13</v>
      </c>
      <c r="H447" s="85" t="s">
        <v>13</v>
      </c>
      <c r="I447" s="85" t="s">
        <v>11</v>
      </c>
      <c r="J447" s="85" t="s">
        <v>11</v>
      </c>
      <c r="K447" s="85" t="s">
        <v>11</v>
      </c>
      <c r="L447" s="86" t="str">
        <f>IFERROR(VLOOKUP($B447,'LISTA - Atual'!$B$1:$I$444,5,0),"Novo")</f>
        <v>Y</v>
      </c>
      <c r="M447" s="86" t="str">
        <f t="shared" si="102"/>
        <v>Igual</v>
      </c>
      <c r="N447" s="86" t="str">
        <f>IFERROR(VLOOKUP($B447,'LISTA - Atual'!$B$1:$I$444,6,0),"Novo")</f>
        <v>N</v>
      </c>
      <c r="O447" s="86" t="str">
        <f t="shared" si="103"/>
        <v>Diferente</v>
      </c>
      <c r="P447" s="86" t="str">
        <f>IFERROR(VLOOKUP($B447,'LISTA - Atual'!$B$1:$I$444,7,0),"Novo")</f>
        <v>Y</v>
      </c>
      <c r="Q447" s="86" t="str">
        <f t="shared" si="104"/>
        <v>Igual</v>
      </c>
      <c r="R447" s="86" t="s">
        <v>1563</v>
      </c>
      <c r="S447" s="86" t="str">
        <f>IFERROR(VLOOKUP($B447,'LISTA - Atual'!$B$1:$I$444,8,0),"Novo")</f>
        <v>N</v>
      </c>
      <c r="T447" s="86" t="str">
        <f t="shared" si="105"/>
        <v>Igual</v>
      </c>
      <c r="U447" s="86" t="s">
        <v>1563</v>
      </c>
      <c r="V447" s="86" t="s">
        <v>11</v>
      </c>
      <c r="W447" s="87" t="str">
        <f>IFERROR(VLOOKUP(B447,#REF!,11,0),"n/a")</f>
        <v>n/a</v>
      </c>
      <c r="X447" s="87" t="str">
        <f>IFERROR(VLOOKUP(B447,#REF!,8,0),"n/a")</f>
        <v>n/a</v>
      </c>
      <c r="Y447" s="87" t="str">
        <f>$F$2&amp;$Y$1&amp;$G$2&amp;$Y$1&amp;$H$2</f>
        <v>ESTR &amp; GD &amp; PILAR3</v>
      </c>
      <c r="Z447" s="131" t="s">
        <v>1605</v>
      </c>
      <c r="AA447" s="227" t="e">
        <f>VLOOKUP(Table1[[#This Row],[CONCAT]],'Campos Resumo Prop2.0'!A:H,8,0)</f>
        <v>#N/A</v>
      </c>
      <c r="AB447" s="87" t="s">
        <v>1651</v>
      </c>
      <c r="AC447" s="135" t="s">
        <v>1625</v>
      </c>
      <c r="AD447" s="91">
        <f>INDEX(Auxiliar!$D$5:$I$10,MATCH('LISTA - Setembro2024'!AD$3,Auxiliar!$B$5:$B$10,0),MATCH('LISTA - Setembro2024'!$AC447,Auxiliar!$D$4:$I$4,0))</f>
        <v>0</v>
      </c>
      <c r="AE447" s="91">
        <f>INDEX(Auxiliar!$D$5:$I$10,MATCH('LISTA - Setembro2024'!AE$3,Auxiliar!$B$5:$B$10,0),MATCH('LISTA - Setembro2024'!$AC447,Auxiliar!$D$4:$I$4,0))</f>
        <v>0</v>
      </c>
      <c r="AF447" s="87">
        <f>INDEX(Auxiliar!$D$5:$I$10,MATCH('LISTA - Setembro2024'!AF$3,Auxiliar!$B$5:$B$10,0),MATCH('LISTA - Setembro2024'!$AC447,Auxiliar!$D$4:$I$4,0))</f>
        <v>0</v>
      </c>
      <c r="AG447" s="87" t="str">
        <f t="shared" si="92"/>
        <v>n.a.</v>
      </c>
      <c r="AH447" s="87">
        <f>INDEX(Auxiliar!$D$5:$I$10,MATCH('LISTA - Setembro2024'!AH$3,Auxiliar!$B$5:$B$10,0),MATCH('LISTA - Setembro2024'!$AG447,Auxiliar!$D$4:$I$4,0))</f>
        <v>0</v>
      </c>
      <c r="AI447" s="87">
        <f>INDEX(Auxiliar!$D$5:$I$10,MATCH('LISTA - Setembro2024'!AI$3,Auxiliar!$B$5:$B$10,0),MATCH('LISTA - Setembro2024'!$AC447,Auxiliar!$D$4:$I$4,0))</f>
        <v>0</v>
      </c>
      <c r="AJ447" s="87">
        <f>INDEX(Auxiliar!$D$5:$I$10,MATCH('LISTA - Setembro2024'!AJ$3,Auxiliar!$B$5:$B$10,0),MATCH('LISTA - Setembro2024'!$AC447,Auxiliar!$D$4:$I$4,0))</f>
        <v>0</v>
      </c>
      <c r="AK447" s="160">
        <f t="shared" si="95"/>
        <v>0</v>
      </c>
      <c r="AL447" s="87"/>
    </row>
    <row r="448" spans="1:38" ht="13.8" x14ac:dyDescent="0.25">
      <c r="A448" s="158" t="s">
        <v>1103</v>
      </c>
      <c r="B448" s="81" t="str">
        <f t="shared" si="93"/>
        <v>INSTR_PROTECTION_INSTRMNT_ID</v>
      </c>
      <c r="C448" s="82" t="s">
        <v>1101</v>
      </c>
      <c r="D448" s="83" t="s">
        <v>405</v>
      </c>
      <c r="E448" s="84" t="s">
        <v>406</v>
      </c>
      <c r="F448" s="85" t="s">
        <v>13</v>
      </c>
      <c r="G448" s="85" t="s">
        <v>13</v>
      </c>
      <c r="H448" s="85" t="s">
        <v>13</v>
      </c>
      <c r="I448" s="85" t="s">
        <v>11</v>
      </c>
      <c r="J448" s="85" t="s">
        <v>11</v>
      </c>
      <c r="K448" s="85" t="s">
        <v>11</v>
      </c>
      <c r="L448" s="86" t="str">
        <f>IFERROR(VLOOKUP($B448,'LISTA - Atual'!$B$1:$I$444,5,0),"Novo")</f>
        <v>Y</v>
      </c>
      <c r="M448" s="86" t="str">
        <f t="shared" ref="M448:M479" si="111">IF(L448="Novo","Novo Campo",IF(L448=F448,"Igual","Diferente"))</f>
        <v>Igual</v>
      </c>
      <c r="N448" s="86" t="str">
        <f>IFERROR(VLOOKUP($B448,'LISTA - Atual'!$B$1:$I$444,6,0),"Novo")</f>
        <v>N</v>
      </c>
      <c r="O448" s="86" t="str">
        <f t="shared" ref="O448:O479" si="112">IF(N448="Novo","Novo Campo",IF(N448=G448,"Igual","Diferente"))</f>
        <v>Diferente</v>
      </c>
      <c r="P448" s="86" t="str">
        <f>IFERROR(VLOOKUP($B448,'LISTA - Atual'!$B$1:$I$444,7,0),"Novo")</f>
        <v>Y</v>
      </c>
      <c r="Q448" s="86" t="str">
        <f t="shared" ref="Q448:Q479" si="113">IF(P448="Novo","Novo Campo",IF(P448=H448,"Igual","Diferente"))</f>
        <v>Igual</v>
      </c>
      <c r="R448" s="86" t="s">
        <v>1563</v>
      </c>
      <c r="S448" s="86" t="str">
        <f>IFERROR(VLOOKUP($B448,'LISTA - Atual'!$B$1:$I$444,8,0),"Novo")</f>
        <v>N</v>
      </c>
      <c r="T448" s="86" t="str">
        <f t="shared" ref="T448:T479" si="114">IF(S448="Novo","Novo Campo",IF(S448=J448,"Igual","Diferente"))</f>
        <v>Igual</v>
      </c>
      <c r="U448" s="86" t="s">
        <v>1563</v>
      </c>
      <c r="V448" s="86" t="s">
        <v>11</v>
      </c>
      <c r="W448" s="87" t="str">
        <f>IFERROR(VLOOKUP(B448,#REF!,11,0),"n/a")</f>
        <v>n/a</v>
      </c>
      <c r="X448" s="87" t="str">
        <f>IFERROR(VLOOKUP(B448,#REF!,8,0),"n/a")</f>
        <v>n/a</v>
      </c>
      <c r="Y448" s="87" t="str">
        <f>$F$2&amp;$Y$1&amp;$G$2&amp;$Y$1&amp;$H$2</f>
        <v>ESTR &amp; GD &amp; PILAR3</v>
      </c>
      <c r="Z448" s="131" t="s">
        <v>1605</v>
      </c>
      <c r="AA448" s="227" t="e">
        <f>VLOOKUP(Table1[[#This Row],[CONCAT]],'Campos Resumo Prop2.0'!A:H,8,0)</f>
        <v>#N/A</v>
      </c>
      <c r="AB448" s="87" t="s">
        <v>1659</v>
      </c>
      <c r="AC448" s="135" t="s">
        <v>1625</v>
      </c>
      <c r="AD448" s="91">
        <f>INDEX(Auxiliar!$D$5:$I$10,MATCH('LISTA - Setembro2024'!AD$3,Auxiliar!$B$5:$B$10,0),MATCH('LISTA - Setembro2024'!$AC448,Auxiliar!$D$4:$I$4,0))</f>
        <v>0</v>
      </c>
      <c r="AE448" s="91">
        <f>INDEX(Auxiliar!$D$5:$I$10,MATCH('LISTA - Setembro2024'!AE$3,Auxiliar!$B$5:$B$10,0),MATCH('LISTA - Setembro2024'!$AC448,Auxiliar!$D$4:$I$4,0))</f>
        <v>0</v>
      </c>
      <c r="AF448" s="87">
        <f>INDEX(Auxiliar!$D$5:$I$10,MATCH('LISTA - Setembro2024'!AF$3,Auxiliar!$B$5:$B$10,0),MATCH('LISTA - Setembro2024'!$AC448,Auxiliar!$D$4:$I$4,0))</f>
        <v>0</v>
      </c>
      <c r="AG448" s="87" t="str">
        <f t="shared" si="92"/>
        <v>n.a.</v>
      </c>
      <c r="AH448" s="87">
        <f>INDEX(Auxiliar!$D$5:$I$10,MATCH('LISTA - Setembro2024'!AH$3,Auxiliar!$B$5:$B$10,0),MATCH('LISTA - Setembro2024'!$AG448,Auxiliar!$D$4:$I$4,0))</f>
        <v>0</v>
      </c>
      <c r="AI448" s="87">
        <f>INDEX(Auxiliar!$D$5:$I$10,MATCH('LISTA - Setembro2024'!AI$3,Auxiliar!$B$5:$B$10,0),MATCH('LISTA - Setembro2024'!$AC448,Auxiliar!$D$4:$I$4,0))</f>
        <v>0</v>
      </c>
      <c r="AJ448" s="87">
        <f>INDEX(Auxiliar!$D$5:$I$10,MATCH('LISTA - Setembro2024'!AJ$3,Auxiliar!$B$5:$B$10,0),MATCH('LISTA - Setembro2024'!$AC448,Auxiliar!$D$4:$I$4,0))</f>
        <v>0</v>
      </c>
      <c r="AK448" s="160">
        <f t="shared" si="95"/>
        <v>0</v>
      </c>
      <c r="AL448" s="87"/>
    </row>
    <row r="449" spans="1:38" ht="13.8" x14ac:dyDescent="0.25">
      <c r="A449" s="158" t="s">
        <v>1104</v>
      </c>
      <c r="B449" s="81" t="str">
        <f t="shared" si="93"/>
        <v>INSTR_PROTECTION_PRTCTN_ID</v>
      </c>
      <c r="C449" s="82" t="s">
        <v>1101</v>
      </c>
      <c r="D449" s="83" t="s">
        <v>1105</v>
      </c>
      <c r="E449" s="84" t="s">
        <v>1106</v>
      </c>
      <c r="F449" s="85" t="s">
        <v>13</v>
      </c>
      <c r="G449" s="85" t="s">
        <v>13</v>
      </c>
      <c r="H449" s="85" t="s">
        <v>13</v>
      </c>
      <c r="I449" s="85" t="s">
        <v>11</v>
      </c>
      <c r="J449" s="85" t="s">
        <v>11</v>
      </c>
      <c r="K449" s="85" t="s">
        <v>11</v>
      </c>
      <c r="L449" s="86" t="str">
        <f>IFERROR(VLOOKUP($B449,'LISTA - Atual'!$B$1:$I$444,5,0),"Novo")</f>
        <v>Y</v>
      </c>
      <c r="M449" s="86" t="str">
        <f t="shared" si="111"/>
        <v>Igual</v>
      </c>
      <c r="N449" s="86" t="str">
        <f>IFERROR(VLOOKUP($B449,'LISTA - Atual'!$B$1:$I$444,6,0),"Novo")</f>
        <v>N</v>
      </c>
      <c r="O449" s="86" t="str">
        <f t="shared" si="112"/>
        <v>Diferente</v>
      </c>
      <c r="P449" s="86" t="str">
        <f>IFERROR(VLOOKUP($B449,'LISTA - Atual'!$B$1:$I$444,7,0),"Novo")</f>
        <v>Y</v>
      </c>
      <c r="Q449" s="86" t="str">
        <f t="shared" si="113"/>
        <v>Igual</v>
      </c>
      <c r="R449" s="86" t="s">
        <v>1563</v>
      </c>
      <c r="S449" s="86" t="str">
        <f>IFERROR(VLOOKUP($B449,'LISTA - Atual'!$B$1:$I$444,8,0),"Novo")</f>
        <v>N</v>
      </c>
      <c r="T449" s="86" t="str">
        <f t="shared" si="114"/>
        <v>Igual</v>
      </c>
      <c r="U449" s="86" t="s">
        <v>1563</v>
      </c>
      <c r="V449" s="86" t="s">
        <v>11</v>
      </c>
      <c r="W449" s="87" t="str">
        <f>IFERROR(VLOOKUP(B449,#REF!,11,0),"n/a")</f>
        <v>n/a</v>
      </c>
      <c r="X449" s="87" t="str">
        <f>IFERROR(VLOOKUP(B449,#REF!,8,0),"n/a")</f>
        <v>n/a</v>
      </c>
      <c r="Y449" s="87" t="str">
        <f>$F$2&amp;$Y$1&amp;$G$2&amp;$Y$1&amp;$H$2</f>
        <v>ESTR &amp; GD &amp; PILAR3</v>
      </c>
      <c r="Z449" s="131" t="s">
        <v>1605</v>
      </c>
      <c r="AA449" s="227" t="e">
        <f>VLOOKUP(Table1[[#This Row],[CONCAT]],'Campos Resumo Prop2.0'!A:H,8,0)</f>
        <v>#N/A</v>
      </c>
      <c r="AB449" s="87" t="s">
        <v>1659</v>
      </c>
      <c r="AC449" s="135" t="s">
        <v>1625</v>
      </c>
      <c r="AD449" s="91">
        <f>INDEX(Auxiliar!$D$5:$I$10,MATCH('LISTA - Setembro2024'!AD$3,Auxiliar!$B$5:$B$10,0),MATCH('LISTA - Setembro2024'!$AC449,Auxiliar!$D$4:$I$4,0))</f>
        <v>0</v>
      </c>
      <c r="AE449" s="91">
        <f>INDEX(Auxiliar!$D$5:$I$10,MATCH('LISTA - Setembro2024'!AE$3,Auxiliar!$B$5:$B$10,0),MATCH('LISTA - Setembro2024'!$AC449,Auxiliar!$D$4:$I$4,0))</f>
        <v>0</v>
      </c>
      <c r="AF449" s="87">
        <f>INDEX(Auxiliar!$D$5:$I$10,MATCH('LISTA - Setembro2024'!AF$3,Auxiliar!$B$5:$B$10,0),MATCH('LISTA - Setembro2024'!$AC449,Auxiliar!$D$4:$I$4,0))</f>
        <v>0</v>
      </c>
      <c r="AG449" s="87" t="str">
        <f t="shared" si="92"/>
        <v>n.a.</v>
      </c>
      <c r="AH449" s="87">
        <f>INDEX(Auxiliar!$D$5:$I$10,MATCH('LISTA - Setembro2024'!AH$3,Auxiliar!$B$5:$B$10,0),MATCH('LISTA - Setembro2024'!$AG449,Auxiliar!$D$4:$I$4,0))</f>
        <v>0</v>
      </c>
      <c r="AI449" s="87">
        <f>INDEX(Auxiliar!$D$5:$I$10,MATCH('LISTA - Setembro2024'!AI$3,Auxiliar!$B$5:$B$10,0),MATCH('LISTA - Setembro2024'!$AC449,Auxiliar!$D$4:$I$4,0))</f>
        <v>0</v>
      </c>
      <c r="AJ449" s="87">
        <f>INDEX(Auxiliar!$D$5:$I$10,MATCH('LISTA - Setembro2024'!AJ$3,Auxiliar!$B$5:$B$10,0),MATCH('LISTA - Setembro2024'!$AC449,Auxiliar!$D$4:$I$4,0))</f>
        <v>0</v>
      </c>
      <c r="AK449" s="160">
        <f t="shared" si="95"/>
        <v>0</v>
      </c>
      <c r="AL449" s="87"/>
    </row>
    <row r="450" spans="1:38" ht="13.8" x14ac:dyDescent="0.25">
      <c r="A450" s="158" t="s">
        <v>1107</v>
      </c>
      <c r="B450" s="81" t="str">
        <f t="shared" si="93"/>
        <v>INSTR_PROTECTION_PRTCTN_ALLCTD_VL</v>
      </c>
      <c r="C450" s="82" t="s">
        <v>1101</v>
      </c>
      <c r="D450" s="83" t="s">
        <v>1108</v>
      </c>
      <c r="E450" s="84" t="s">
        <v>1109</v>
      </c>
      <c r="F450" s="85" t="s">
        <v>13</v>
      </c>
      <c r="G450" s="85" t="s">
        <v>11</v>
      </c>
      <c r="H450" s="85" t="s">
        <v>13</v>
      </c>
      <c r="I450" s="85" t="s">
        <v>11</v>
      </c>
      <c r="J450" s="85" t="s">
        <v>11</v>
      </c>
      <c r="K450" s="85" t="s">
        <v>11</v>
      </c>
      <c r="L450" s="86" t="str">
        <f>IFERROR(VLOOKUP($B450,'LISTA - Atual'!$B$1:$I$444,5,0),"Novo")</f>
        <v>Y</v>
      </c>
      <c r="M450" s="86" t="str">
        <f t="shared" si="111"/>
        <v>Igual</v>
      </c>
      <c r="N450" s="86" t="str">
        <f>IFERROR(VLOOKUP($B450,'LISTA - Atual'!$B$1:$I$444,6,0),"Novo")</f>
        <v>N</v>
      </c>
      <c r="O450" s="86" t="str">
        <f t="shared" si="112"/>
        <v>Igual</v>
      </c>
      <c r="P450" s="86" t="str">
        <f>IFERROR(VLOOKUP($B450,'LISTA - Atual'!$B$1:$I$444,7,0),"Novo")</f>
        <v>Y</v>
      </c>
      <c r="Q450" s="86" t="str">
        <f t="shared" si="113"/>
        <v>Igual</v>
      </c>
      <c r="R450" s="86" t="s">
        <v>1563</v>
      </c>
      <c r="S450" s="86" t="str">
        <f>IFERROR(VLOOKUP($B450,'LISTA - Atual'!$B$1:$I$444,8,0),"Novo")</f>
        <v>N</v>
      </c>
      <c r="T450" s="86" t="str">
        <f t="shared" si="114"/>
        <v>Igual</v>
      </c>
      <c r="U450" s="86" t="s">
        <v>1563</v>
      </c>
      <c r="V450" s="86" t="s">
        <v>11</v>
      </c>
      <c r="W450" s="87" t="str">
        <f>IFERROR(VLOOKUP(B450,#REF!,11,0),"n/a")</f>
        <v>n/a</v>
      </c>
      <c r="X450" s="87" t="str">
        <f>IFERROR(VLOOKUP(B450,#REF!,8,0),"n/a")</f>
        <v>n/a</v>
      </c>
      <c r="Y450" s="87" t="str">
        <f>$F$2&amp;$Y$1&amp;$H$2</f>
        <v>ESTR &amp; PILAR3</v>
      </c>
      <c r="Z450" s="131" t="s">
        <v>1605</v>
      </c>
      <c r="AA450" s="227" t="e">
        <f>VLOOKUP(Table1[[#This Row],[CONCAT]],'Campos Resumo Prop2.0'!A:H,8,0)</f>
        <v>#N/A</v>
      </c>
      <c r="AB450" s="87" t="s">
        <v>1655</v>
      </c>
      <c r="AC450" s="135" t="s">
        <v>1625</v>
      </c>
      <c r="AD450" s="91">
        <f>INDEX(Auxiliar!$D$5:$I$10,MATCH('LISTA - Setembro2024'!AD$3,Auxiliar!$B$5:$B$10,0),MATCH('LISTA - Setembro2024'!$AC450,Auxiliar!$D$4:$I$4,0))</f>
        <v>0</v>
      </c>
      <c r="AE450" s="91">
        <f>INDEX(Auxiliar!$D$5:$I$10,MATCH('LISTA - Setembro2024'!AE$3,Auxiliar!$B$5:$B$10,0),MATCH('LISTA - Setembro2024'!$AC450,Auxiliar!$D$4:$I$4,0))</f>
        <v>0</v>
      </c>
      <c r="AF450" s="87">
        <f>INDEX(Auxiliar!$D$5:$I$10,MATCH('LISTA - Setembro2024'!AF$3,Auxiliar!$B$5:$B$10,0),MATCH('LISTA - Setembro2024'!$AC450,Auxiliar!$D$4:$I$4,0))</f>
        <v>0</v>
      </c>
      <c r="AG450" s="87" t="str">
        <f t="shared" si="92"/>
        <v>n.a.</v>
      </c>
      <c r="AH450" s="87">
        <f>INDEX(Auxiliar!$D$5:$I$10,MATCH('LISTA - Setembro2024'!AH$3,Auxiliar!$B$5:$B$10,0),MATCH('LISTA - Setembro2024'!$AG450,Auxiliar!$D$4:$I$4,0))</f>
        <v>0</v>
      </c>
      <c r="AI450" s="87">
        <f>INDEX(Auxiliar!$D$5:$I$10,MATCH('LISTA - Setembro2024'!AI$3,Auxiliar!$B$5:$B$10,0),MATCH('LISTA - Setembro2024'!$AC450,Auxiliar!$D$4:$I$4,0))</f>
        <v>0</v>
      </c>
      <c r="AJ450" s="87">
        <f>INDEX(Auxiliar!$D$5:$I$10,MATCH('LISTA - Setembro2024'!AJ$3,Auxiliar!$B$5:$B$10,0),MATCH('LISTA - Setembro2024'!$AC450,Auxiliar!$D$4:$I$4,0))</f>
        <v>0</v>
      </c>
      <c r="AK450" s="160">
        <f t="shared" si="95"/>
        <v>0</v>
      </c>
      <c r="AL450" s="87"/>
    </row>
    <row r="451" spans="1:38" ht="13.8" x14ac:dyDescent="0.25">
      <c r="A451" s="158" t="s">
        <v>1110</v>
      </c>
      <c r="B451" s="81" t="str">
        <f t="shared" si="93"/>
        <v>INSTR_PROTECTION_THRD_PRTY_PRRTY_CLMS</v>
      </c>
      <c r="C451" s="82" t="s">
        <v>1101</v>
      </c>
      <c r="D451" s="83" t="s">
        <v>1111</v>
      </c>
      <c r="E451" s="84" t="s">
        <v>1112</v>
      </c>
      <c r="F451" s="85" t="s">
        <v>13</v>
      </c>
      <c r="G451" s="85" t="s">
        <v>11</v>
      </c>
      <c r="H451" s="85" t="s">
        <v>11</v>
      </c>
      <c r="I451" s="85" t="s">
        <v>11</v>
      </c>
      <c r="J451" s="85" t="s">
        <v>11</v>
      </c>
      <c r="K451" s="85" t="s">
        <v>11</v>
      </c>
      <c r="L451" s="86" t="str">
        <f>IFERROR(VLOOKUP($B451,'LISTA - Atual'!$B$1:$I$444,5,0),"Novo")</f>
        <v>Y</v>
      </c>
      <c r="M451" s="86" t="str">
        <f t="shared" si="111"/>
        <v>Igual</v>
      </c>
      <c r="N451" s="86" t="str">
        <f>IFERROR(VLOOKUP($B451,'LISTA - Atual'!$B$1:$I$444,6,0),"Novo")</f>
        <v>N</v>
      </c>
      <c r="O451" s="86" t="str">
        <f t="shared" si="112"/>
        <v>Igual</v>
      </c>
      <c r="P451" s="86" t="str">
        <f>IFERROR(VLOOKUP($B451,'LISTA - Atual'!$B$1:$I$444,7,0),"Novo")</f>
        <v>N</v>
      </c>
      <c r="Q451" s="86" t="str">
        <f t="shared" si="113"/>
        <v>Igual</v>
      </c>
      <c r="R451" s="86" t="s">
        <v>1563</v>
      </c>
      <c r="S451" s="86" t="str">
        <f>IFERROR(VLOOKUP($B451,'LISTA - Atual'!$B$1:$I$444,8,0),"Novo")</f>
        <v>N</v>
      </c>
      <c r="T451" s="86" t="str">
        <f t="shared" si="114"/>
        <v>Igual</v>
      </c>
      <c r="U451" s="86" t="s">
        <v>1563</v>
      </c>
      <c r="V451" s="86" t="s">
        <v>11</v>
      </c>
      <c r="W451" s="87" t="str">
        <f>IFERROR(VLOOKUP(B451,#REF!,11,0),"n/a")</f>
        <v>n/a</v>
      </c>
      <c r="X451" s="87" t="str">
        <f>IFERROR(VLOOKUP(B451,#REF!,8,0),"n/a")</f>
        <v>n/a</v>
      </c>
      <c r="Y451" s="87" t="str">
        <f>$F$2</f>
        <v>ESTR</v>
      </c>
      <c r="Z451" s="131" t="s">
        <v>1605</v>
      </c>
      <c r="AA451" s="227" t="e">
        <f>VLOOKUP(Table1[[#This Row],[CONCAT]],'Campos Resumo Prop2.0'!A:H,8,0)</f>
        <v>#N/A</v>
      </c>
      <c r="AB451" s="87" t="s">
        <v>1655</v>
      </c>
      <c r="AC451" s="135" t="s">
        <v>1625</v>
      </c>
      <c r="AD451" s="91">
        <f>INDEX(Auxiliar!$D$5:$I$10,MATCH('LISTA - Setembro2024'!AD$3,Auxiliar!$B$5:$B$10,0),MATCH('LISTA - Setembro2024'!$AC451,Auxiliar!$D$4:$I$4,0))</f>
        <v>0</v>
      </c>
      <c r="AE451" s="91">
        <f>INDEX(Auxiliar!$D$5:$I$10,MATCH('LISTA - Setembro2024'!AE$3,Auxiliar!$B$5:$B$10,0),MATCH('LISTA - Setembro2024'!$AC451,Auxiliar!$D$4:$I$4,0))</f>
        <v>0</v>
      </c>
      <c r="AF451" s="87">
        <f>INDEX(Auxiliar!$D$5:$I$10,MATCH('LISTA - Setembro2024'!AF$3,Auxiliar!$B$5:$B$10,0),MATCH('LISTA - Setembro2024'!$AC451,Auxiliar!$D$4:$I$4,0))</f>
        <v>0</v>
      </c>
      <c r="AG451" s="87" t="str">
        <f t="shared" si="92"/>
        <v>n.a.</v>
      </c>
      <c r="AH451" s="87">
        <f>INDEX(Auxiliar!$D$5:$I$10,MATCH('LISTA - Setembro2024'!AH$3,Auxiliar!$B$5:$B$10,0),MATCH('LISTA - Setembro2024'!$AG451,Auxiliar!$D$4:$I$4,0))</f>
        <v>0</v>
      </c>
      <c r="AI451" s="87">
        <f>INDEX(Auxiliar!$D$5:$I$10,MATCH('LISTA - Setembro2024'!AI$3,Auxiliar!$B$5:$B$10,0),MATCH('LISTA - Setembro2024'!$AC451,Auxiliar!$D$4:$I$4,0))</f>
        <v>0</v>
      </c>
      <c r="AJ451" s="87">
        <f>INDEX(Auxiliar!$D$5:$I$10,MATCH('LISTA - Setembro2024'!AJ$3,Auxiliar!$B$5:$B$10,0),MATCH('LISTA - Setembro2024'!$AC451,Auxiliar!$D$4:$I$4,0))</f>
        <v>0</v>
      </c>
      <c r="AK451" s="160">
        <f t="shared" si="95"/>
        <v>0</v>
      </c>
      <c r="AL451" s="87"/>
    </row>
    <row r="452" spans="1:38" ht="13.8" x14ac:dyDescent="0.25">
      <c r="A452" s="158" t="s">
        <v>1383</v>
      </c>
      <c r="B452" s="81" t="str">
        <f t="shared" si="93"/>
        <v>INSTR_PROTECTION_TYP_RLTN</v>
      </c>
      <c r="C452" s="82" t="s">
        <v>1101</v>
      </c>
      <c r="D452" s="83" t="s">
        <v>1384</v>
      </c>
      <c r="E452" s="84" t="s">
        <v>1385</v>
      </c>
      <c r="F452" s="85" t="s">
        <v>11</v>
      </c>
      <c r="G452" s="89" t="s">
        <v>13</v>
      </c>
      <c r="H452" s="85" t="s">
        <v>13</v>
      </c>
      <c r="I452" s="85" t="s">
        <v>11</v>
      </c>
      <c r="J452" s="85" t="s">
        <v>11</v>
      </c>
      <c r="K452" s="85" t="s">
        <v>11</v>
      </c>
      <c r="L452" s="86" t="str">
        <f>IFERROR(VLOOKUP($B452,'LISTA - Atual'!$B$1:$I$444,5,0),"Novo")</f>
        <v>Novo</v>
      </c>
      <c r="M452" s="86" t="str">
        <f t="shared" si="111"/>
        <v>Novo Campo</v>
      </c>
      <c r="N452" s="86" t="str">
        <f>IFERROR(VLOOKUP($B452,'LISTA - Atual'!$B$1:$I$444,6,0),"Novo")</f>
        <v>Novo</v>
      </c>
      <c r="O452" s="86" t="str">
        <f t="shared" si="112"/>
        <v>Novo Campo</v>
      </c>
      <c r="P452" s="86" t="str">
        <f>IFERROR(VLOOKUP($B452,'LISTA - Atual'!$B$1:$I$444,7,0),"Novo")</f>
        <v>Novo</v>
      </c>
      <c r="Q452" s="86" t="str">
        <f t="shared" si="113"/>
        <v>Novo Campo</v>
      </c>
      <c r="R452" s="86" t="s">
        <v>1563</v>
      </c>
      <c r="S452" s="86" t="str">
        <f>IFERROR(VLOOKUP($B452,'LISTA - Atual'!$B$1:$I$444,8,0),"Novo")</f>
        <v>Novo</v>
      </c>
      <c r="T452" s="86" t="str">
        <f t="shared" si="114"/>
        <v>Novo Campo</v>
      </c>
      <c r="U452" s="86" t="s">
        <v>1563</v>
      </c>
      <c r="V452" s="86" t="s">
        <v>11</v>
      </c>
      <c r="W452" s="87" t="str">
        <f>IFERROR(VLOOKUP(B452,#REF!,11,0),"n/a")</f>
        <v>n/a</v>
      </c>
      <c r="X452" s="87" t="str">
        <f>IFERROR(VLOOKUP(B452,#REF!,8,0),"n/a")</f>
        <v>n/a</v>
      </c>
      <c r="Y452" s="87" t="str">
        <f>$G$2&amp;$Y$1&amp;$H$2</f>
        <v>GD &amp; PILAR3</v>
      </c>
      <c r="Z452" s="131" t="s">
        <v>1570</v>
      </c>
      <c r="AA452" s="227" t="str">
        <f>VLOOKUP(Table1[[#This Row],[CONCAT]],'Campos Resumo Prop2.0'!A:H,8,0)</f>
        <v>SB - Validar com CdG</v>
      </c>
      <c r="AB452" s="87" t="s">
        <v>1650</v>
      </c>
      <c r="AC452" s="135" t="s">
        <v>1637</v>
      </c>
      <c r="AD452" s="91">
        <f>INDEX(Auxiliar!$D$5:$I$10,MATCH('LISTA - Setembro2024'!AD$3,Auxiliar!$B$5:$B$10,0),MATCH('LISTA - Setembro2024'!$AC452,Auxiliar!$D$4:$I$4,0))</f>
        <v>4</v>
      </c>
      <c r="AE452" s="91">
        <f>INDEX(Auxiliar!$D$5:$I$10,MATCH('LISTA - Setembro2024'!AE$3,Auxiliar!$B$5:$B$10,0),MATCH('LISTA - Setembro2024'!$AC452,Auxiliar!$D$4:$I$4,0))</f>
        <v>3</v>
      </c>
      <c r="AF452" s="87">
        <f>INDEX(Auxiliar!$D$5:$I$10,MATCH('LISTA - Setembro2024'!AF$3,Auxiliar!$B$5:$B$10,0),MATCH('LISTA - Setembro2024'!$AC452,Auxiliar!$D$4:$I$4,0))</f>
        <v>3</v>
      </c>
      <c r="AG452" s="87" t="str">
        <f t="shared" ref="AG452" si="115">IF(OR(AB452="Code List",AB452="Y, N"),AC452,"n.a.")</f>
        <v>Média</v>
      </c>
      <c r="AH452" s="87">
        <f>INDEX(Auxiliar!$D$5:$I$10,MATCH('LISTA - Setembro2024'!AH$3,Auxiliar!$B$5:$B$10,0),MATCH('LISTA - Setembro2024'!$AG452,Auxiliar!$D$4:$I$4,0))</f>
        <v>0.5</v>
      </c>
      <c r="AI452" s="87">
        <f>INDEX(Auxiliar!$D$5:$I$10,MATCH('LISTA - Setembro2024'!AI$3,Auxiliar!$B$5:$B$10,0),MATCH('LISTA - Setembro2024'!$AC452,Auxiliar!$D$4:$I$4,0))</f>
        <v>0.5</v>
      </c>
      <c r="AJ452" s="87">
        <f>INDEX(Auxiliar!$D$5:$I$10,MATCH('LISTA - Setembro2024'!AJ$3,Auxiliar!$B$5:$B$10,0),MATCH('LISTA - Setembro2024'!$AC452,Auxiliar!$D$4:$I$4,0))</f>
        <v>1</v>
      </c>
      <c r="AK452" s="160">
        <f t="shared" si="95"/>
        <v>5</v>
      </c>
      <c r="AL452" s="87"/>
    </row>
    <row r="453" spans="1:38" ht="13.8" x14ac:dyDescent="0.25">
      <c r="A453" s="158" t="s">
        <v>1113</v>
      </c>
      <c r="B453" s="81" t="str">
        <f t="shared" ref="B453:B516" si="116">C453&amp;"_"&amp;D453</f>
        <v>PROTECTION_COD_SOC</v>
      </c>
      <c r="C453" s="82" t="s">
        <v>1114</v>
      </c>
      <c r="D453" s="83" t="s">
        <v>12</v>
      </c>
      <c r="E453" s="84" t="s">
        <v>14</v>
      </c>
      <c r="F453" s="85" t="s">
        <v>13</v>
      </c>
      <c r="G453" s="85" t="s">
        <v>13</v>
      </c>
      <c r="H453" s="85" t="s">
        <v>13</v>
      </c>
      <c r="I453" s="85" t="s">
        <v>11</v>
      </c>
      <c r="J453" s="85" t="s">
        <v>13</v>
      </c>
      <c r="K453" s="85" t="s">
        <v>11</v>
      </c>
      <c r="L453" s="86" t="str">
        <f>IFERROR(VLOOKUP($B453,'LISTA - Atual'!$B$1:$I$444,5,0),"Novo")</f>
        <v>Y</v>
      </c>
      <c r="M453" s="86" t="str">
        <f t="shared" si="111"/>
        <v>Igual</v>
      </c>
      <c r="N453" s="86" t="str">
        <f>IFERROR(VLOOKUP($B453,'LISTA - Atual'!$B$1:$I$444,6,0),"Novo")</f>
        <v>N</v>
      </c>
      <c r="O453" s="86" t="str">
        <f t="shared" si="112"/>
        <v>Diferente</v>
      </c>
      <c r="P453" s="86" t="str">
        <f>IFERROR(VLOOKUP($B453,'LISTA - Atual'!$B$1:$I$444,7,0),"Novo")</f>
        <v>Y</v>
      </c>
      <c r="Q453" s="86" t="str">
        <f t="shared" si="113"/>
        <v>Igual</v>
      </c>
      <c r="R453" s="86" t="s">
        <v>1563</v>
      </c>
      <c r="S453" s="86" t="str">
        <f>IFERROR(VLOOKUP($B453,'LISTA - Atual'!$B$1:$I$444,8,0),"Novo")</f>
        <v>Y</v>
      </c>
      <c r="T453" s="86" t="str">
        <f t="shared" si="114"/>
        <v>Igual</v>
      </c>
      <c r="U453" s="86" t="s">
        <v>1563</v>
      </c>
      <c r="V453" s="86" t="s">
        <v>11</v>
      </c>
      <c r="W453" s="87" t="str">
        <f>IFERROR(VLOOKUP(B453,#REF!,11,0),"n/a")</f>
        <v>n/a</v>
      </c>
      <c r="X453" s="87" t="str">
        <f>IFERROR(VLOOKUP(B453,#REF!,8,0),"n/a")</f>
        <v>n/a</v>
      </c>
      <c r="Y453" s="87" t="str">
        <f>$F$2&amp;$Y$1&amp;$G$2&amp;$Y$1&amp;$H$2</f>
        <v>ESTR &amp; GD &amp; PILAR3</v>
      </c>
      <c r="Z453" s="131" t="s">
        <v>1605</v>
      </c>
      <c r="AA453" s="227" t="e">
        <f>VLOOKUP(Table1[[#This Row],[CONCAT]],'Campos Resumo Prop2.0'!A:H,8,0)</f>
        <v>#N/A</v>
      </c>
      <c r="AB453" s="87" t="s">
        <v>1649</v>
      </c>
      <c r="AC453" s="135" t="s">
        <v>1625</v>
      </c>
      <c r="AD453" s="91">
        <f>INDEX(Auxiliar!$D$5:$I$10,MATCH('LISTA - Setembro2024'!AD$3,Auxiliar!$B$5:$B$10,0),MATCH('LISTA - Setembro2024'!$AC453,Auxiliar!$D$4:$I$4,0))</f>
        <v>0</v>
      </c>
      <c r="AE453" s="91">
        <f>INDEX(Auxiliar!$D$5:$I$10,MATCH('LISTA - Setembro2024'!AE$3,Auxiliar!$B$5:$B$10,0),MATCH('LISTA - Setembro2024'!$AC453,Auxiliar!$D$4:$I$4,0))</f>
        <v>0</v>
      </c>
      <c r="AF453" s="87">
        <f>INDEX(Auxiliar!$D$5:$I$10,MATCH('LISTA - Setembro2024'!AF$3,Auxiliar!$B$5:$B$10,0),MATCH('LISTA - Setembro2024'!$AC453,Auxiliar!$D$4:$I$4,0))</f>
        <v>0</v>
      </c>
      <c r="AG453" s="87" t="str">
        <f t="shared" ref="AG453:AG515" si="117">IF(OR(AB453="Code List",AB453="Y, N"),AC453,"n.a.")</f>
        <v>n.a.</v>
      </c>
      <c r="AH453" s="87">
        <f>INDEX(Auxiliar!$D$5:$I$10,MATCH('LISTA - Setembro2024'!AH$3,Auxiliar!$B$5:$B$10,0),MATCH('LISTA - Setembro2024'!$AG453,Auxiliar!$D$4:$I$4,0))</f>
        <v>0</v>
      </c>
      <c r="AI453" s="87">
        <f>INDEX(Auxiliar!$D$5:$I$10,MATCH('LISTA - Setembro2024'!AI$3,Auxiliar!$B$5:$B$10,0),MATCH('LISTA - Setembro2024'!$AC453,Auxiliar!$D$4:$I$4,0))</f>
        <v>0</v>
      </c>
      <c r="AJ453" s="87">
        <f>INDEX(Auxiliar!$D$5:$I$10,MATCH('LISTA - Setembro2024'!AJ$3,Auxiliar!$B$5:$B$10,0),MATCH('LISTA - Setembro2024'!$AC453,Auxiliar!$D$4:$I$4,0))</f>
        <v>0</v>
      </c>
      <c r="AK453" s="160">
        <f t="shared" si="95"/>
        <v>0</v>
      </c>
      <c r="AL453" s="87"/>
    </row>
    <row r="454" spans="1:38" s="20" customFormat="1" ht="13.8" x14ac:dyDescent="0.25">
      <c r="A454" s="158" t="s">
        <v>1115</v>
      </c>
      <c r="B454" s="81" t="str">
        <f t="shared" si="116"/>
        <v>PROTECTION_DT_MTRTY_PRTCTN</v>
      </c>
      <c r="C454" s="82" t="s">
        <v>1114</v>
      </c>
      <c r="D454" s="83" t="s">
        <v>1116</v>
      </c>
      <c r="E454" s="84" t="s">
        <v>1117</v>
      </c>
      <c r="F454" s="85" t="s">
        <v>13</v>
      </c>
      <c r="G454" s="85" t="s">
        <v>11</v>
      </c>
      <c r="H454" s="85" t="s">
        <v>11</v>
      </c>
      <c r="I454" s="85" t="s">
        <v>11</v>
      </c>
      <c r="J454" s="85" t="s">
        <v>11</v>
      </c>
      <c r="K454" s="85" t="s">
        <v>11</v>
      </c>
      <c r="L454" s="86" t="str">
        <f>IFERROR(VLOOKUP($B454,'LISTA - Atual'!$B$1:$I$444,5,0),"Novo")</f>
        <v>Y</v>
      </c>
      <c r="M454" s="86" t="str">
        <f t="shared" si="111"/>
        <v>Igual</v>
      </c>
      <c r="N454" s="86" t="str">
        <f>IFERROR(VLOOKUP($B454,'LISTA - Atual'!$B$1:$I$444,6,0),"Novo")</f>
        <v>N</v>
      </c>
      <c r="O454" s="86" t="str">
        <f t="shared" si="112"/>
        <v>Igual</v>
      </c>
      <c r="P454" s="86" t="str">
        <f>IFERROR(VLOOKUP($B454,'LISTA - Atual'!$B$1:$I$444,7,0),"Novo")</f>
        <v>N</v>
      </c>
      <c r="Q454" s="86" t="str">
        <f t="shared" si="113"/>
        <v>Igual</v>
      </c>
      <c r="R454" s="86" t="s">
        <v>1563</v>
      </c>
      <c r="S454" s="86" t="str">
        <f>IFERROR(VLOOKUP($B454,'LISTA - Atual'!$B$1:$I$444,8,0),"Novo")</f>
        <v>N</v>
      </c>
      <c r="T454" s="86" t="str">
        <f t="shared" si="114"/>
        <v>Igual</v>
      </c>
      <c r="U454" s="86" t="s">
        <v>1563</v>
      </c>
      <c r="V454" s="86" t="s">
        <v>11</v>
      </c>
      <c r="W454" s="87" t="str">
        <f>IFERROR(VLOOKUP(B454,#REF!,11,0),"n/a")</f>
        <v>n/a</v>
      </c>
      <c r="X454" s="87" t="str">
        <f>IFERROR(VLOOKUP(B454,#REF!,8,0),"n/a")</f>
        <v>n/a</v>
      </c>
      <c r="Y454" s="87" t="str">
        <f>$F$2</f>
        <v>ESTR</v>
      </c>
      <c r="Z454" s="131" t="s">
        <v>1605</v>
      </c>
      <c r="AA454" s="227" t="e">
        <f>VLOOKUP(Table1[[#This Row],[CONCAT]],'Campos Resumo Prop2.0'!A:H,8,0)</f>
        <v>#N/A</v>
      </c>
      <c r="AB454" s="87" t="s">
        <v>1651</v>
      </c>
      <c r="AC454" s="135" t="s">
        <v>1625</v>
      </c>
      <c r="AD454" s="91">
        <f>INDEX(Auxiliar!$D$5:$I$10,MATCH('LISTA - Setembro2024'!AD$3,Auxiliar!$B$5:$B$10,0),MATCH('LISTA - Setembro2024'!$AC454,Auxiliar!$D$4:$I$4,0))</f>
        <v>0</v>
      </c>
      <c r="AE454" s="91">
        <f>INDEX(Auxiliar!$D$5:$I$10,MATCH('LISTA - Setembro2024'!AE$3,Auxiliar!$B$5:$B$10,0),MATCH('LISTA - Setembro2024'!$AC454,Auxiliar!$D$4:$I$4,0))</f>
        <v>0</v>
      </c>
      <c r="AF454" s="87">
        <f>INDEX(Auxiliar!$D$5:$I$10,MATCH('LISTA - Setembro2024'!AF$3,Auxiliar!$B$5:$B$10,0),MATCH('LISTA - Setembro2024'!$AC454,Auxiliar!$D$4:$I$4,0))</f>
        <v>0</v>
      </c>
      <c r="AG454" s="87" t="str">
        <f t="shared" si="117"/>
        <v>n.a.</v>
      </c>
      <c r="AH454" s="87">
        <f>INDEX(Auxiliar!$D$5:$I$10,MATCH('LISTA - Setembro2024'!AH$3,Auxiliar!$B$5:$B$10,0),MATCH('LISTA - Setembro2024'!$AG454,Auxiliar!$D$4:$I$4,0))</f>
        <v>0</v>
      </c>
      <c r="AI454" s="87">
        <f>INDEX(Auxiliar!$D$5:$I$10,MATCH('LISTA - Setembro2024'!AI$3,Auxiliar!$B$5:$B$10,0),MATCH('LISTA - Setembro2024'!$AC454,Auxiliar!$D$4:$I$4,0))</f>
        <v>0</v>
      </c>
      <c r="AJ454" s="87">
        <f>INDEX(Auxiliar!$D$5:$I$10,MATCH('LISTA - Setembro2024'!AJ$3,Auxiliar!$B$5:$B$10,0),MATCH('LISTA - Setembro2024'!$AC454,Auxiliar!$D$4:$I$4,0))</f>
        <v>0</v>
      </c>
      <c r="AK454" s="160">
        <f t="shared" ref="AK454:AK517" si="118">SUM(AF454,AH454:AJ454)</f>
        <v>0</v>
      </c>
      <c r="AL454" s="161"/>
    </row>
    <row r="455" spans="1:38" ht="13.8" x14ac:dyDescent="0.25">
      <c r="A455" s="158" t="s">
        <v>1118</v>
      </c>
      <c r="B455" s="81" t="str">
        <f t="shared" si="116"/>
        <v>PROTECTION_DT_RFRNC</v>
      </c>
      <c r="C455" s="82" t="s">
        <v>1114</v>
      </c>
      <c r="D455" s="83" t="s">
        <v>38</v>
      </c>
      <c r="E455" s="84" t="s">
        <v>402</v>
      </c>
      <c r="F455" s="85" t="s">
        <v>13</v>
      </c>
      <c r="G455" s="85" t="s">
        <v>13</v>
      </c>
      <c r="H455" s="85" t="s">
        <v>13</v>
      </c>
      <c r="I455" s="85" t="s">
        <v>11</v>
      </c>
      <c r="J455" s="85" t="s">
        <v>13</v>
      </c>
      <c r="K455" s="85" t="s">
        <v>11</v>
      </c>
      <c r="L455" s="86" t="str">
        <f>IFERROR(VLOOKUP($B455,'LISTA - Atual'!$B$1:$I$444,5,0),"Novo")</f>
        <v>Y</v>
      </c>
      <c r="M455" s="86" t="str">
        <f t="shared" si="111"/>
        <v>Igual</v>
      </c>
      <c r="N455" s="86" t="str">
        <f>IFERROR(VLOOKUP($B455,'LISTA - Atual'!$B$1:$I$444,6,0),"Novo")</f>
        <v>N</v>
      </c>
      <c r="O455" s="86" t="str">
        <f t="shared" si="112"/>
        <v>Diferente</v>
      </c>
      <c r="P455" s="86" t="str">
        <f>IFERROR(VLOOKUP($B455,'LISTA - Atual'!$B$1:$I$444,7,0),"Novo")</f>
        <v>Y</v>
      </c>
      <c r="Q455" s="86" t="str">
        <f t="shared" si="113"/>
        <v>Igual</v>
      </c>
      <c r="R455" s="86" t="s">
        <v>1563</v>
      </c>
      <c r="S455" s="86" t="str">
        <f>IFERROR(VLOOKUP($B455,'LISTA - Atual'!$B$1:$I$444,8,0),"Novo")</f>
        <v>Y</v>
      </c>
      <c r="T455" s="86" t="str">
        <f t="shared" si="114"/>
        <v>Igual</v>
      </c>
      <c r="U455" s="86" t="s">
        <v>1563</v>
      </c>
      <c r="V455" s="86" t="s">
        <v>11</v>
      </c>
      <c r="W455" s="87" t="str">
        <f>IFERROR(VLOOKUP(B455,#REF!,11,0),"n/a")</f>
        <v>n/a</v>
      </c>
      <c r="X455" s="87" t="str">
        <f>IFERROR(VLOOKUP(B455,#REF!,8,0),"n/a")</f>
        <v>n/a</v>
      </c>
      <c r="Y455" s="87" t="str">
        <f>$F$2&amp;$Y$1&amp;$G$2&amp;$Y$1&amp;$H$2</f>
        <v>ESTR &amp; GD &amp; PILAR3</v>
      </c>
      <c r="Z455" s="131" t="s">
        <v>1605</v>
      </c>
      <c r="AA455" s="227" t="e">
        <f>VLOOKUP(Table1[[#This Row],[CONCAT]],'Campos Resumo Prop2.0'!A:H,8,0)</f>
        <v>#N/A</v>
      </c>
      <c r="AB455" s="87" t="s">
        <v>1651</v>
      </c>
      <c r="AC455" s="135" t="s">
        <v>1625</v>
      </c>
      <c r="AD455" s="91">
        <f>INDEX(Auxiliar!$D$5:$I$10,MATCH('LISTA - Setembro2024'!AD$3,Auxiliar!$B$5:$B$10,0),MATCH('LISTA - Setembro2024'!$AC455,Auxiliar!$D$4:$I$4,0))</f>
        <v>0</v>
      </c>
      <c r="AE455" s="91">
        <f>INDEX(Auxiliar!$D$5:$I$10,MATCH('LISTA - Setembro2024'!AE$3,Auxiliar!$B$5:$B$10,0),MATCH('LISTA - Setembro2024'!$AC455,Auxiliar!$D$4:$I$4,0))</f>
        <v>0</v>
      </c>
      <c r="AF455" s="87">
        <f>INDEX(Auxiliar!$D$5:$I$10,MATCH('LISTA - Setembro2024'!AF$3,Auxiliar!$B$5:$B$10,0),MATCH('LISTA - Setembro2024'!$AC455,Auxiliar!$D$4:$I$4,0))</f>
        <v>0</v>
      </c>
      <c r="AG455" s="87" t="str">
        <f t="shared" si="117"/>
        <v>n.a.</v>
      </c>
      <c r="AH455" s="87">
        <f>INDEX(Auxiliar!$D$5:$I$10,MATCH('LISTA - Setembro2024'!AH$3,Auxiliar!$B$5:$B$10,0),MATCH('LISTA - Setembro2024'!$AG455,Auxiliar!$D$4:$I$4,0))</f>
        <v>0</v>
      </c>
      <c r="AI455" s="87">
        <f>INDEX(Auxiliar!$D$5:$I$10,MATCH('LISTA - Setembro2024'!AI$3,Auxiliar!$B$5:$B$10,0),MATCH('LISTA - Setembro2024'!$AC455,Auxiliar!$D$4:$I$4,0))</f>
        <v>0</v>
      </c>
      <c r="AJ455" s="87">
        <f>INDEX(Auxiliar!$D$5:$I$10,MATCH('LISTA - Setembro2024'!AJ$3,Auxiliar!$B$5:$B$10,0),MATCH('LISTA - Setembro2024'!$AC455,Auxiliar!$D$4:$I$4,0))</f>
        <v>0</v>
      </c>
      <c r="AK455" s="160">
        <f t="shared" si="118"/>
        <v>0</v>
      </c>
      <c r="AL455" s="87"/>
    </row>
    <row r="456" spans="1:38" ht="13.8" x14ac:dyDescent="0.25">
      <c r="A456" s="158" t="s">
        <v>1119</v>
      </c>
      <c r="B456" s="81" t="str">
        <f t="shared" si="116"/>
        <v>PROTECTION_NTNL_ID</v>
      </c>
      <c r="C456" s="82" t="s">
        <v>1114</v>
      </c>
      <c r="D456" s="83" t="s">
        <v>1120</v>
      </c>
      <c r="E456" s="84" t="s">
        <v>1121</v>
      </c>
      <c r="F456" s="85" t="s">
        <v>13</v>
      </c>
      <c r="G456" s="85" t="s">
        <v>11</v>
      </c>
      <c r="H456" s="85" t="s">
        <v>11</v>
      </c>
      <c r="I456" s="85" t="s">
        <v>11</v>
      </c>
      <c r="J456" s="85" t="s">
        <v>11</v>
      </c>
      <c r="K456" s="85" t="s">
        <v>11</v>
      </c>
      <c r="L456" s="86" t="str">
        <f>IFERROR(VLOOKUP($B456,'LISTA - Atual'!$B$1:$I$444,5,0),"Novo")</f>
        <v>Y</v>
      </c>
      <c r="M456" s="86" t="str">
        <f t="shared" si="111"/>
        <v>Igual</v>
      </c>
      <c r="N456" s="86" t="str">
        <f>IFERROR(VLOOKUP($B456,'LISTA - Atual'!$B$1:$I$444,6,0),"Novo")</f>
        <v>N</v>
      </c>
      <c r="O456" s="86" t="str">
        <f t="shared" si="112"/>
        <v>Igual</v>
      </c>
      <c r="P456" s="86" t="str">
        <f>IFERROR(VLOOKUP($B456,'LISTA - Atual'!$B$1:$I$444,7,0),"Novo")</f>
        <v>N</v>
      </c>
      <c r="Q456" s="86" t="str">
        <f t="shared" si="113"/>
        <v>Igual</v>
      </c>
      <c r="R456" s="86" t="s">
        <v>1563</v>
      </c>
      <c r="S456" s="86" t="str">
        <f>IFERROR(VLOOKUP($B456,'LISTA - Atual'!$B$1:$I$444,8,0),"Novo")</f>
        <v>N</v>
      </c>
      <c r="T456" s="86" t="str">
        <f t="shared" si="114"/>
        <v>Igual</v>
      </c>
      <c r="U456" s="86" t="s">
        <v>1563</v>
      </c>
      <c r="V456" s="86" t="s">
        <v>11</v>
      </c>
      <c r="W456" s="87" t="str">
        <f>IFERROR(VLOOKUP(B456,#REF!,11,0),"n/a")</f>
        <v>n/a</v>
      </c>
      <c r="X456" s="87" t="str">
        <f>IFERROR(VLOOKUP(B456,#REF!,8,0),"n/a")</f>
        <v>n/a</v>
      </c>
      <c r="Y456" s="87" t="str">
        <f>$F$2</f>
        <v>ESTR</v>
      </c>
      <c r="Z456" s="131" t="s">
        <v>1605</v>
      </c>
      <c r="AA456" s="227" t="e">
        <f>VLOOKUP(Table1[[#This Row],[CONCAT]],'Campos Resumo Prop2.0'!A:H,8,0)</f>
        <v>#N/A</v>
      </c>
      <c r="AB456" s="87" t="s">
        <v>1652</v>
      </c>
      <c r="AC456" s="135" t="s">
        <v>1625</v>
      </c>
      <c r="AD456" s="91">
        <f>INDEX(Auxiliar!$D$5:$I$10,MATCH('LISTA - Setembro2024'!AD$3,Auxiliar!$B$5:$B$10,0),MATCH('LISTA - Setembro2024'!$AC456,Auxiliar!$D$4:$I$4,0))</f>
        <v>0</v>
      </c>
      <c r="AE456" s="91">
        <f>INDEX(Auxiliar!$D$5:$I$10,MATCH('LISTA - Setembro2024'!AE$3,Auxiliar!$B$5:$B$10,0),MATCH('LISTA - Setembro2024'!$AC456,Auxiliar!$D$4:$I$4,0))</f>
        <v>0</v>
      </c>
      <c r="AF456" s="87">
        <f>INDEX(Auxiliar!$D$5:$I$10,MATCH('LISTA - Setembro2024'!AF$3,Auxiliar!$B$5:$B$10,0),MATCH('LISTA - Setembro2024'!$AC456,Auxiliar!$D$4:$I$4,0))</f>
        <v>0</v>
      </c>
      <c r="AG456" s="87" t="str">
        <f t="shared" si="117"/>
        <v>n.a.</v>
      </c>
      <c r="AH456" s="87">
        <f>INDEX(Auxiliar!$D$5:$I$10,MATCH('LISTA - Setembro2024'!AH$3,Auxiliar!$B$5:$B$10,0),MATCH('LISTA - Setembro2024'!$AG456,Auxiliar!$D$4:$I$4,0))</f>
        <v>0</v>
      </c>
      <c r="AI456" s="87">
        <f>INDEX(Auxiliar!$D$5:$I$10,MATCH('LISTA - Setembro2024'!AI$3,Auxiliar!$B$5:$B$10,0),MATCH('LISTA - Setembro2024'!$AC456,Auxiliar!$D$4:$I$4,0))</f>
        <v>0</v>
      </c>
      <c r="AJ456" s="87">
        <f>INDEX(Auxiliar!$D$5:$I$10,MATCH('LISTA - Setembro2024'!AJ$3,Auxiliar!$B$5:$B$10,0),MATCH('LISTA - Setembro2024'!$AC456,Auxiliar!$D$4:$I$4,0))</f>
        <v>0</v>
      </c>
      <c r="AK456" s="160">
        <f t="shared" si="118"/>
        <v>0</v>
      </c>
      <c r="AL456" s="87"/>
    </row>
    <row r="457" spans="1:38" ht="13.8" x14ac:dyDescent="0.25">
      <c r="A457" s="158" t="s">
        <v>1122</v>
      </c>
      <c r="B457" s="81" t="str">
        <f t="shared" si="116"/>
        <v>PROTECTION_PRTCTN_ID</v>
      </c>
      <c r="C457" s="82" t="s">
        <v>1114</v>
      </c>
      <c r="D457" s="83" t="s">
        <v>1105</v>
      </c>
      <c r="E457" s="84" t="s">
        <v>1106</v>
      </c>
      <c r="F457" s="85" t="s">
        <v>13</v>
      </c>
      <c r="G457" s="85" t="s">
        <v>13</v>
      </c>
      <c r="H457" s="85" t="s">
        <v>13</v>
      </c>
      <c r="I457" s="85" t="s">
        <v>11</v>
      </c>
      <c r="J457" s="85" t="s">
        <v>13</v>
      </c>
      <c r="K457" s="85" t="s">
        <v>11</v>
      </c>
      <c r="L457" s="86" t="str">
        <f>IFERROR(VLOOKUP($B457,'LISTA - Atual'!$B$1:$I$444,5,0),"Novo")</f>
        <v>Y</v>
      </c>
      <c r="M457" s="86" t="str">
        <f t="shared" si="111"/>
        <v>Igual</v>
      </c>
      <c r="N457" s="86" t="str">
        <f>IFERROR(VLOOKUP($B457,'LISTA - Atual'!$B$1:$I$444,6,0),"Novo")</f>
        <v>N</v>
      </c>
      <c r="O457" s="86" t="str">
        <f t="shared" si="112"/>
        <v>Diferente</v>
      </c>
      <c r="P457" s="86" t="str">
        <f>IFERROR(VLOOKUP($B457,'LISTA - Atual'!$B$1:$I$444,7,0),"Novo")</f>
        <v>Y</v>
      </c>
      <c r="Q457" s="86" t="str">
        <f t="shared" si="113"/>
        <v>Igual</v>
      </c>
      <c r="R457" s="86" t="s">
        <v>1563</v>
      </c>
      <c r="S457" s="86" t="str">
        <f>IFERROR(VLOOKUP($B457,'LISTA - Atual'!$B$1:$I$444,8,0),"Novo")</f>
        <v>Y</v>
      </c>
      <c r="T457" s="86" t="str">
        <f t="shared" si="114"/>
        <v>Igual</v>
      </c>
      <c r="U457" s="86" t="s">
        <v>1563</v>
      </c>
      <c r="V457" s="86" t="s">
        <v>11</v>
      </c>
      <c r="W457" s="87" t="str">
        <f>IFERROR(VLOOKUP(B457,#REF!,11,0),"n/a")</f>
        <v>n/a</v>
      </c>
      <c r="X457" s="87" t="str">
        <f>IFERROR(VLOOKUP(B457,#REF!,8,0),"n/a")</f>
        <v>n/a</v>
      </c>
      <c r="Y457" s="87" t="str">
        <f>$F$2&amp;$Y$1&amp;$G$2&amp;$Y$1&amp;$H$2</f>
        <v>ESTR &amp; GD &amp; PILAR3</v>
      </c>
      <c r="Z457" s="131" t="s">
        <v>1605</v>
      </c>
      <c r="AA457" s="227" t="e">
        <f>VLOOKUP(Table1[[#This Row],[CONCAT]],'Campos Resumo Prop2.0'!A:H,8,0)</f>
        <v>#N/A</v>
      </c>
      <c r="AB457" s="87" t="s">
        <v>1659</v>
      </c>
      <c r="AC457" s="135" t="s">
        <v>1625</v>
      </c>
      <c r="AD457" s="91">
        <f>INDEX(Auxiliar!$D$5:$I$10,MATCH('LISTA - Setembro2024'!AD$3,Auxiliar!$B$5:$B$10,0),MATCH('LISTA - Setembro2024'!$AC457,Auxiliar!$D$4:$I$4,0))</f>
        <v>0</v>
      </c>
      <c r="AE457" s="91">
        <f>INDEX(Auxiliar!$D$5:$I$10,MATCH('LISTA - Setembro2024'!AE$3,Auxiliar!$B$5:$B$10,0),MATCH('LISTA - Setembro2024'!$AC457,Auxiliar!$D$4:$I$4,0))</f>
        <v>0</v>
      </c>
      <c r="AF457" s="87">
        <f>INDEX(Auxiliar!$D$5:$I$10,MATCH('LISTA - Setembro2024'!AF$3,Auxiliar!$B$5:$B$10,0),MATCH('LISTA - Setembro2024'!$AC457,Auxiliar!$D$4:$I$4,0))</f>
        <v>0</v>
      </c>
      <c r="AG457" s="87" t="str">
        <f t="shared" si="117"/>
        <v>n.a.</v>
      </c>
      <c r="AH457" s="87">
        <f>INDEX(Auxiliar!$D$5:$I$10,MATCH('LISTA - Setembro2024'!AH$3,Auxiliar!$B$5:$B$10,0),MATCH('LISTA - Setembro2024'!$AG457,Auxiliar!$D$4:$I$4,0))</f>
        <v>0</v>
      </c>
      <c r="AI457" s="87">
        <f>INDEX(Auxiliar!$D$5:$I$10,MATCH('LISTA - Setembro2024'!AI$3,Auxiliar!$B$5:$B$10,0),MATCH('LISTA - Setembro2024'!$AC457,Auxiliar!$D$4:$I$4,0))</f>
        <v>0</v>
      </c>
      <c r="AJ457" s="87">
        <f>INDEX(Auxiliar!$D$5:$I$10,MATCH('LISTA - Setembro2024'!AJ$3,Auxiliar!$B$5:$B$10,0),MATCH('LISTA - Setembro2024'!$AC457,Auxiliar!$D$4:$I$4,0))</f>
        <v>0</v>
      </c>
      <c r="AK457" s="160">
        <f t="shared" si="118"/>
        <v>0</v>
      </c>
      <c r="AL457" s="87"/>
    </row>
    <row r="458" spans="1:38" ht="13.8" x14ac:dyDescent="0.25">
      <c r="A458" s="158" t="s">
        <v>1123</v>
      </c>
      <c r="B458" s="81" t="str">
        <f t="shared" si="116"/>
        <v>PROTECTION_PRTCTN_PRVDR_ID</v>
      </c>
      <c r="C458" s="82" t="s">
        <v>1114</v>
      </c>
      <c r="D458" s="83" t="s">
        <v>1124</v>
      </c>
      <c r="E458" s="84" t="s">
        <v>1125</v>
      </c>
      <c r="F458" s="85" t="s">
        <v>13</v>
      </c>
      <c r="G458" s="85" t="s">
        <v>11</v>
      </c>
      <c r="H458" s="85" t="s">
        <v>11</v>
      </c>
      <c r="I458" s="85" t="s">
        <v>11</v>
      </c>
      <c r="J458" s="85" t="s">
        <v>11</v>
      </c>
      <c r="K458" s="85" t="s">
        <v>11</v>
      </c>
      <c r="L458" s="86" t="str">
        <f>IFERROR(VLOOKUP($B458,'LISTA - Atual'!$B$1:$I$444,5,0),"Novo")</f>
        <v>Y</v>
      </c>
      <c r="M458" s="86" t="str">
        <f t="shared" si="111"/>
        <v>Igual</v>
      </c>
      <c r="N458" s="86" t="str">
        <f>IFERROR(VLOOKUP($B458,'LISTA - Atual'!$B$1:$I$444,6,0),"Novo")</f>
        <v>N</v>
      </c>
      <c r="O458" s="86" t="str">
        <f t="shared" si="112"/>
        <v>Igual</v>
      </c>
      <c r="P458" s="86" t="str">
        <f>IFERROR(VLOOKUP($B458,'LISTA - Atual'!$B$1:$I$444,7,0),"Novo")</f>
        <v>N</v>
      </c>
      <c r="Q458" s="86" t="str">
        <f t="shared" si="113"/>
        <v>Igual</v>
      </c>
      <c r="R458" s="86" t="s">
        <v>1563</v>
      </c>
      <c r="S458" s="86" t="str">
        <f>IFERROR(VLOOKUP($B458,'LISTA - Atual'!$B$1:$I$444,8,0),"Novo")</f>
        <v>N</v>
      </c>
      <c r="T458" s="86" t="str">
        <f t="shared" si="114"/>
        <v>Igual</v>
      </c>
      <c r="U458" s="86" t="s">
        <v>1563</v>
      </c>
      <c r="V458" s="86" t="s">
        <v>11</v>
      </c>
      <c r="W458" s="87" t="str">
        <f>IFERROR(VLOOKUP(B458,#REF!,11,0),"n/a")</f>
        <v>n/a</v>
      </c>
      <c r="X458" s="87" t="str">
        <f>IFERROR(VLOOKUP(B458,#REF!,8,0),"n/a")</f>
        <v>n/a</v>
      </c>
      <c r="Y458" s="87" t="str">
        <f t="shared" ref="Y458" si="119">$F$2</f>
        <v>ESTR</v>
      </c>
      <c r="Z458" s="131" t="s">
        <v>1605</v>
      </c>
      <c r="AA458" s="227" t="e">
        <f>VLOOKUP(Table1[[#This Row],[CONCAT]],'Campos Resumo Prop2.0'!A:H,8,0)</f>
        <v>#N/A</v>
      </c>
      <c r="AB458" s="87" t="s">
        <v>1660</v>
      </c>
      <c r="AC458" s="135" t="s">
        <v>1625</v>
      </c>
      <c r="AD458" s="91">
        <f>INDEX(Auxiliar!$D$5:$I$10,MATCH('LISTA - Setembro2024'!AD$3,Auxiliar!$B$5:$B$10,0),MATCH('LISTA - Setembro2024'!$AC458,Auxiliar!$D$4:$I$4,0))</f>
        <v>0</v>
      </c>
      <c r="AE458" s="91">
        <f>INDEX(Auxiliar!$D$5:$I$10,MATCH('LISTA - Setembro2024'!AE$3,Auxiliar!$B$5:$B$10,0),MATCH('LISTA - Setembro2024'!$AC458,Auxiliar!$D$4:$I$4,0))</f>
        <v>0</v>
      </c>
      <c r="AF458" s="87">
        <f>INDEX(Auxiliar!$D$5:$I$10,MATCH('LISTA - Setembro2024'!AF$3,Auxiliar!$B$5:$B$10,0),MATCH('LISTA - Setembro2024'!$AC458,Auxiliar!$D$4:$I$4,0))</f>
        <v>0</v>
      </c>
      <c r="AG458" s="87" t="str">
        <f t="shared" si="117"/>
        <v>n.a.</v>
      </c>
      <c r="AH458" s="87">
        <f>INDEX(Auxiliar!$D$5:$I$10,MATCH('LISTA - Setembro2024'!AH$3,Auxiliar!$B$5:$B$10,0),MATCH('LISTA - Setembro2024'!$AG458,Auxiliar!$D$4:$I$4,0))</f>
        <v>0</v>
      </c>
      <c r="AI458" s="87">
        <f>INDEX(Auxiliar!$D$5:$I$10,MATCH('LISTA - Setembro2024'!AI$3,Auxiliar!$B$5:$B$10,0),MATCH('LISTA - Setembro2024'!$AC458,Auxiliar!$D$4:$I$4,0))</f>
        <v>0</v>
      </c>
      <c r="AJ458" s="87">
        <f>INDEX(Auxiliar!$D$5:$I$10,MATCH('LISTA - Setembro2024'!AJ$3,Auxiliar!$B$5:$B$10,0),MATCH('LISTA - Setembro2024'!$AC458,Auxiliar!$D$4:$I$4,0))</f>
        <v>0</v>
      </c>
      <c r="AK458" s="160">
        <f t="shared" si="118"/>
        <v>0</v>
      </c>
      <c r="AL458" s="87"/>
    </row>
    <row r="459" spans="1:38" ht="13.8" x14ac:dyDescent="0.25">
      <c r="A459" s="158" t="s">
        <v>1126</v>
      </c>
      <c r="B459" s="81" t="str">
        <f t="shared" si="116"/>
        <v>PROTECTION_RL_ESTT_ADDRSS</v>
      </c>
      <c r="C459" s="82" t="s">
        <v>1114</v>
      </c>
      <c r="D459" s="83" t="s">
        <v>1127</v>
      </c>
      <c r="E459" s="84" t="s">
        <v>1128</v>
      </c>
      <c r="F459" s="85" t="s">
        <v>13</v>
      </c>
      <c r="G459" s="85" t="s">
        <v>11</v>
      </c>
      <c r="H459" s="85" t="s">
        <v>11</v>
      </c>
      <c r="I459" s="85" t="s">
        <v>11</v>
      </c>
      <c r="J459" s="85" t="s">
        <v>13</v>
      </c>
      <c r="K459" s="85" t="s">
        <v>11</v>
      </c>
      <c r="L459" s="86" t="str">
        <f>IFERROR(VLOOKUP($B459,'LISTA - Atual'!$B$1:$I$444,5,0),"Novo")</f>
        <v>Y</v>
      </c>
      <c r="M459" s="86" t="str">
        <f t="shared" si="111"/>
        <v>Igual</v>
      </c>
      <c r="N459" s="86" t="str">
        <f>IFERROR(VLOOKUP($B459,'LISTA - Atual'!$B$1:$I$444,6,0),"Novo")</f>
        <v>N</v>
      </c>
      <c r="O459" s="86" t="str">
        <f t="shared" si="112"/>
        <v>Igual</v>
      </c>
      <c r="P459" s="86" t="str">
        <f>IFERROR(VLOOKUP($B459,'LISTA - Atual'!$B$1:$I$444,7,0),"Novo")</f>
        <v>N</v>
      </c>
      <c r="Q459" s="86" t="str">
        <f t="shared" si="113"/>
        <v>Igual</v>
      </c>
      <c r="R459" s="86" t="s">
        <v>1563</v>
      </c>
      <c r="S459" s="86" t="str">
        <f>IFERROR(VLOOKUP($B459,'LISTA - Atual'!$B$1:$I$444,8,0),"Novo")</f>
        <v>Y</v>
      </c>
      <c r="T459" s="86" t="str">
        <f t="shared" si="114"/>
        <v>Igual</v>
      </c>
      <c r="U459" s="86" t="s">
        <v>1563</v>
      </c>
      <c r="V459" s="86" t="s">
        <v>11</v>
      </c>
      <c r="W459" s="87" t="str">
        <f>IFERROR(VLOOKUP(B459,#REF!,11,0),"n/a")</f>
        <v>n/a</v>
      </c>
      <c r="X459" s="87" t="str">
        <f>IFERROR(VLOOKUP(B459,#REF!,8,0),"n/a")</f>
        <v>n/a</v>
      </c>
      <c r="Y459" s="87" t="str">
        <f>"ESG_RISKS &amp; "&amp;$F$2</f>
        <v>ESG_RISKS &amp; ESTR</v>
      </c>
      <c r="Z459" s="213" t="s">
        <v>1570</v>
      </c>
      <c r="AA459" s="227" t="str">
        <f>VLOOKUP(Table1[[#This Row],[CONCAT]],'Campos Resumo Prop2.0'!A:H,8,0)</f>
        <v>Âmbito de proposta - Especificação</v>
      </c>
      <c r="AB459" s="87" t="s">
        <v>1652</v>
      </c>
      <c r="AC459" s="135" t="s">
        <v>1636</v>
      </c>
      <c r="AD459" s="91">
        <f>INDEX(Auxiliar!$D$5:$I$10,MATCH('LISTA - Setembro2024'!AD$3,Auxiliar!$B$5:$B$10,0),MATCH('LISTA - Setembro2024'!$AC459,Auxiliar!$D$4:$I$4,0))</f>
        <v>2</v>
      </c>
      <c r="AE459" s="242">
        <v>0</v>
      </c>
      <c r="AF459" s="87">
        <f>INDEX(Auxiliar!$D$5:$I$10,MATCH('LISTA - Setembro2024'!AF$3,Auxiliar!$B$5:$B$10,0),MATCH('LISTA - Setembro2024'!$AC459,Auxiliar!$D$4:$I$4,0))</f>
        <v>1.5</v>
      </c>
      <c r="AG459" s="87" t="str">
        <f t="shared" si="117"/>
        <v>n.a.</v>
      </c>
      <c r="AH459" s="87">
        <f>INDEX(Auxiliar!$D$5:$I$10,MATCH('LISTA - Setembro2024'!AH$3,Auxiliar!$B$5:$B$10,0),MATCH('LISTA - Setembro2024'!$AG459,Auxiliar!$D$4:$I$4,0))</f>
        <v>0</v>
      </c>
      <c r="AI459" s="87">
        <f>INDEX(Auxiliar!$D$5:$I$10,MATCH('LISTA - Setembro2024'!AI$3,Auxiliar!$B$5:$B$10,0),MATCH('LISTA - Setembro2024'!$AC459,Auxiliar!$D$4:$I$4,0))</f>
        <v>0.5</v>
      </c>
      <c r="AJ459" s="87">
        <f>INDEX(Auxiliar!$D$5:$I$10,MATCH('LISTA - Setembro2024'!AJ$3,Auxiliar!$B$5:$B$10,0),MATCH('LISTA - Setembro2024'!$AC459,Auxiliar!$D$4:$I$4,0))</f>
        <v>1</v>
      </c>
      <c r="AK459" s="242">
        <v>0</v>
      </c>
      <c r="AL459" s="87"/>
    </row>
    <row r="460" spans="1:38" ht="13.8" x14ac:dyDescent="0.25">
      <c r="A460" s="158" t="s">
        <v>1129</v>
      </c>
      <c r="B460" s="81" t="str">
        <f t="shared" si="116"/>
        <v>PROTECTION_RL_ESTT_CLLTRL_LCTN</v>
      </c>
      <c r="C460" s="82" t="s">
        <v>1114</v>
      </c>
      <c r="D460" s="83" t="s">
        <v>1130</v>
      </c>
      <c r="E460" s="84" t="s">
        <v>1131</v>
      </c>
      <c r="F460" s="85" t="s">
        <v>13</v>
      </c>
      <c r="G460" s="85" t="s">
        <v>11</v>
      </c>
      <c r="H460" s="85" t="s">
        <v>13</v>
      </c>
      <c r="I460" s="85" t="s">
        <v>11</v>
      </c>
      <c r="J460" s="85" t="s">
        <v>13</v>
      </c>
      <c r="K460" s="85" t="s">
        <v>11</v>
      </c>
      <c r="L460" s="86" t="str">
        <f>IFERROR(VLOOKUP($B460,'LISTA - Atual'!$B$1:$I$444,5,0),"Novo")</f>
        <v>Y</v>
      </c>
      <c r="M460" s="86" t="str">
        <f t="shared" si="111"/>
        <v>Igual</v>
      </c>
      <c r="N460" s="86" t="str">
        <f>IFERROR(VLOOKUP($B460,'LISTA - Atual'!$B$1:$I$444,6,0),"Novo")</f>
        <v>N</v>
      </c>
      <c r="O460" s="86" t="str">
        <f t="shared" si="112"/>
        <v>Igual</v>
      </c>
      <c r="P460" s="86" t="str">
        <f>IFERROR(VLOOKUP($B460,'LISTA - Atual'!$B$1:$I$444,7,0),"Novo")</f>
        <v>Y</v>
      </c>
      <c r="Q460" s="86" t="str">
        <f t="shared" si="113"/>
        <v>Igual</v>
      </c>
      <c r="R460" s="86" t="s">
        <v>1563</v>
      </c>
      <c r="S460" s="86" t="str">
        <f>IFERROR(VLOOKUP($B460,'LISTA - Atual'!$B$1:$I$444,8,0),"Novo")</f>
        <v>Y</v>
      </c>
      <c r="T460" s="86" t="str">
        <f t="shared" si="114"/>
        <v>Igual</v>
      </c>
      <c r="U460" s="86" t="s">
        <v>1563</v>
      </c>
      <c r="V460" s="86" t="s">
        <v>11</v>
      </c>
      <c r="W460" s="87" t="str">
        <f>IFERROR(VLOOKUP(B460,#REF!,11,0),"n/a")</f>
        <v>n/a</v>
      </c>
      <c r="X460" s="87" t="str">
        <f>IFERROR(VLOOKUP(B460,#REF!,8,0),"n/a")</f>
        <v>n/a</v>
      </c>
      <c r="Y460" s="87" t="str">
        <f>$F$2&amp;$Y$1&amp;$H$2</f>
        <v>ESTR &amp; PILAR3</v>
      </c>
      <c r="Z460" s="131" t="s">
        <v>1605</v>
      </c>
      <c r="AA460" s="227" t="e">
        <f>VLOOKUP(Table1[[#This Row],[CONCAT]],'Campos Resumo Prop2.0'!A:H,8,0)</f>
        <v>#N/A</v>
      </c>
      <c r="AB460" s="87" t="s">
        <v>1650</v>
      </c>
      <c r="AC460" s="135" t="s">
        <v>1625</v>
      </c>
      <c r="AD460" s="91">
        <f>INDEX(Auxiliar!$D$5:$I$10,MATCH('LISTA - Setembro2024'!AD$3,Auxiliar!$B$5:$B$10,0),MATCH('LISTA - Setembro2024'!$AC460,Auxiliar!$D$4:$I$4,0))</f>
        <v>0</v>
      </c>
      <c r="AE460" s="91">
        <f>INDEX(Auxiliar!$D$5:$I$10,MATCH('LISTA - Setembro2024'!AE$3,Auxiliar!$B$5:$B$10,0),MATCH('LISTA - Setembro2024'!$AC460,Auxiliar!$D$4:$I$4,0))</f>
        <v>0</v>
      </c>
      <c r="AF460" s="87">
        <f>INDEX(Auxiliar!$D$5:$I$10,MATCH('LISTA - Setembro2024'!AF$3,Auxiliar!$B$5:$B$10,0),MATCH('LISTA - Setembro2024'!$AC460,Auxiliar!$D$4:$I$4,0))</f>
        <v>0</v>
      </c>
      <c r="AG460" s="87" t="str">
        <f t="shared" si="117"/>
        <v>n.a.</v>
      </c>
      <c r="AH460" s="87">
        <f>INDEX(Auxiliar!$D$5:$I$10,MATCH('LISTA - Setembro2024'!AH$3,Auxiliar!$B$5:$B$10,0),MATCH('LISTA - Setembro2024'!$AG460,Auxiliar!$D$4:$I$4,0))</f>
        <v>0</v>
      </c>
      <c r="AI460" s="87">
        <f>INDEX(Auxiliar!$D$5:$I$10,MATCH('LISTA - Setembro2024'!AI$3,Auxiliar!$B$5:$B$10,0),MATCH('LISTA - Setembro2024'!$AC460,Auxiliar!$D$4:$I$4,0))</f>
        <v>0</v>
      </c>
      <c r="AJ460" s="87">
        <f>INDEX(Auxiliar!$D$5:$I$10,MATCH('LISTA - Setembro2024'!AJ$3,Auxiliar!$B$5:$B$10,0),MATCH('LISTA - Setembro2024'!$AC460,Auxiliar!$D$4:$I$4,0))</f>
        <v>0</v>
      </c>
      <c r="AK460" s="160">
        <f t="shared" si="118"/>
        <v>0</v>
      </c>
      <c r="AL460" s="87"/>
    </row>
    <row r="461" spans="1:38" ht="13.8" x14ac:dyDescent="0.25">
      <c r="A461" s="158" t="s">
        <v>1132</v>
      </c>
      <c r="B461" s="81" t="str">
        <f t="shared" si="116"/>
        <v>PROTECTION_RL_ESTT_CLLTRL_LCTN_INT</v>
      </c>
      <c r="C461" s="82" t="s">
        <v>1114</v>
      </c>
      <c r="D461" s="83" t="s">
        <v>1133</v>
      </c>
      <c r="E461" s="84" t="s">
        <v>1134</v>
      </c>
      <c r="F461" s="85" t="s">
        <v>13</v>
      </c>
      <c r="G461" s="85" t="s">
        <v>11</v>
      </c>
      <c r="H461" s="85" t="s">
        <v>11</v>
      </c>
      <c r="I461" s="85" t="s">
        <v>11</v>
      </c>
      <c r="J461" s="85" t="s">
        <v>13</v>
      </c>
      <c r="K461" s="85" t="s">
        <v>11</v>
      </c>
      <c r="L461" s="86" t="str">
        <f>IFERROR(VLOOKUP($B461,'LISTA - Atual'!$B$1:$I$444,5,0),"Novo")</f>
        <v>Y</v>
      </c>
      <c r="M461" s="86" t="str">
        <f t="shared" si="111"/>
        <v>Igual</v>
      </c>
      <c r="N461" s="86" t="str">
        <f>IFERROR(VLOOKUP($B461,'LISTA - Atual'!$B$1:$I$444,6,0),"Novo")</f>
        <v>N</v>
      </c>
      <c r="O461" s="86" t="str">
        <f t="shared" si="112"/>
        <v>Igual</v>
      </c>
      <c r="P461" s="86" t="str">
        <f>IFERROR(VLOOKUP($B461,'LISTA - Atual'!$B$1:$I$444,7,0),"Novo")</f>
        <v>N</v>
      </c>
      <c r="Q461" s="86" t="str">
        <f t="shared" si="113"/>
        <v>Igual</v>
      </c>
      <c r="R461" s="86" t="s">
        <v>1563</v>
      </c>
      <c r="S461" s="86" t="str">
        <f>IFERROR(VLOOKUP($B461,'LISTA - Atual'!$B$1:$I$444,8,0),"Novo")</f>
        <v>Y</v>
      </c>
      <c r="T461" s="86" t="str">
        <f t="shared" si="114"/>
        <v>Igual</v>
      </c>
      <c r="U461" s="86" t="s">
        <v>1563</v>
      </c>
      <c r="V461" s="86" t="s">
        <v>11</v>
      </c>
      <c r="W461" s="87" t="str">
        <f>IFERROR(VLOOKUP(B461,#REF!,11,0),"n/a")</f>
        <v>n/a</v>
      </c>
      <c r="X461" s="87" t="str">
        <f>IFERROR(VLOOKUP(B461,#REF!,8,0),"n/a")</f>
        <v>n/a</v>
      </c>
      <c r="Y461" s="87" t="str">
        <f>"ESG_RISKS &amp; "&amp;$F$2</f>
        <v>ESG_RISKS &amp; ESTR</v>
      </c>
      <c r="Z461" s="213" t="s">
        <v>1570</v>
      </c>
      <c r="AA461" s="227" t="str">
        <f>VLOOKUP(Table1[[#This Row],[CONCAT]],'Campos Resumo Prop2.0'!A:H,8,0)</f>
        <v>Âmbito de proposta - Especificação</v>
      </c>
      <c r="AB461" s="87" t="s">
        <v>1652</v>
      </c>
      <c r="AC461" s="135" t="s">
        <v>1636</v>
      </c>
      <c r="AD461" s="91">
        <f>INDEX(Auxiliar!$D$5:$I$10,MATCH('LISTA - Setembro2024'!AD$3,Auxiliar!$B$5:$B$10,0),MATCH('LISTA - Setembro2024'!$AC461,Auxiliar!$D$4:$I$4,0))</f>
        <v>2</v>
      </c>
      <c r="AE461" s="242">
        <v>0</v>
      </c>
      <c r="AF461" s="87">
        <f>INDEX(Auxiliar!$D$5:$I$10,MATCH('LISTA - Setembro2024'!AF$3,Auxiliar!$B$5:$B$10,0),MATCH('LISTA - Setembro2024'!$AC461,Auxiliar!$D$4:$I$4,0))</f>
        <v>1.5</v>
      </c>
      <c r="AG461" s="87" t="str">
        <f t="shared" si="117"/>
        <v>n.a.</v>
      </c>
      <c r="AH461" s="87">
        <f>INDEX(Auxiliar!$D$5:$I$10,MATCH('LISTA - Setembro2024'!AH$3,Auxiliar!$B$5:$B$10,0),MATCH('LISTA - Setembro2024'!$AG461,Auxiliar!$D$4:$I$4,0))</f>
        <v>0</v>
      </c>
      <c r="AI461" s="87">
        <f>INDEX(Auxiliar!$D$5:$I$10,MATCH('LISTA - Setembro2024'!AI$3,Auxiliar!$B$5:$B$10,0),MATCH('LISTA - Setembro2024'!$AC461,Auxiliar!$D$4:$I$4,0))</f>
        <v>0.5</v>
      </c>
      <c r="AJ461" s="87">
        <f>INDEX(Auxiliar!$D$5:$I$10,MATCH('LISTA - Setembro2024'!AJ$3,Auxiliar!$B$5:$B$10,0),MATCH('LISTA - Setembro2024'!$AC461,Auxiliar!$D$4:$I$4,0))</f>
        <v>1</v>
      </c>
      <c r="AK461" s="242">
        <v>0</v>
      </c>
      <c r="AL461" s="87"/>
    </row>
    <row r="462" spans="1:38" ht="13.8" x14ac:dyDescent="0.25">
      <c r="A462" s="158" t="s">
        <v>1135</v>
      </c>
      <c r="B462" s="81" t="str">
        <f t="shared" si="116"/>
        <v>PROTECTION_RL_ESTT_CTY</v>
      </c>
      <c r="C462" s="82" t="s">
        <v>1114</v>
      </c>
      <c r="D462" s="83" t="s">
        <v>1136</v>
      </c>
      <c r="E462" s="84" t="s">
        <v>1137</v>
      </c>
      <c r="F462" s="85" t="s">
        <v>13</v>
      </c>
      <c r="G462" s="85" t="s">
        <v>11</v>
      </c>
      <c r="H462" s="85" t="s">
        <v>11</v>
      </c>
      <c r="I462" s="85" t="s">
        <v>11</v>
      </c>
      <c r="J462" s="85" t="s">
        <v>13</v>
      </c>
      <c r="K462" s="85" t="s">
        <v>11</v>
      </c>
      <c r="L462" s="86" t="str">
        <f>IFERROR(VLOOKUP($B462,'LISTA - Atual'!$B$1:$I$444,5,0),"Novo")</f>
        <v>Y</v>
      </c>
      <c r="M462" s="86" t="str">
        <f t="shared" si="111"/>
        <v>Igual</v>
      </c>
      <c r="N462" s="86" t="str">
        <f>IFERROR(VLOOKUP($B462,'LISTA - Atual'!$B$1:$I$444,6,0),"Novo")</f>
        <v>N</v>
      </c>
      <c r="O462" s="86" t="str">
        <f t="shared" si="112"/>
        <v>Igual</v>
      </c>
      <c r="P462" s="86" t="str">
        <f>IFERROR(VLOOKUP($B462,'LISTA - Atual'!$B$1:$I$444,7,0),"Novo")</f>
        <v>N</v>
      </c>
      <c r="Q462" s="86" t="str">
        <f t="shared" si="113"/>
        <v>Igual</v>
      </c>
      <c r="R462" s="86" t="s">
        <v>1563</v>
      </c>
      <c r="S462" s="86" t="str">
        <f>IFERROR(VLOOKUP($B462,'LISTA - Atual'!$B$1:$I$444,8,0),"Novo")</f>
        <v>Y</v>
      </c>
      <c r="T462" s="86" t="str">
        <f t="shared" si="114"/>
        <v>Igual</v>
      </c>
      <c r="U462" s="86" t="s">
        <v>1563</v>
      </c>
      <c r="V462" s="86" t="s">
        <v>11</v>
      </c>
      <c r="W462" s="87" t="str">
        <f>IFERROR(VLOOKUP(B462,#REF!,11,0),"n/a")</f>
        <v>n/a</v>
      </c>
      <c r="X462" s="87" t="str">
        <f>IFERROR(VLOOKUP(B462,#REF!,8,0),"n/a")</f>
        <v>n/a</v>
      </c>
      <c r="Y462" s="87" t="str">
        <f>"ESG_RISKS &amp; "&amp;$F$2</f>
        <v>ESG_RISKS &amp; ESTR</v>
      </c>
      <c r="Z462" s="213" t="s">
        <v>1570</v>
      </c>
      <c r="AA462" s="227" t="str">
        <f>VLOOKUP(Table1[[#This Row],[CONCAT]],'Campos Resumo Prop2.0'!A:H,8,0)</f>
        <v>Âmbito de proposta - Especificação</v>
      </c>
      <c r="AB462" s="87" t="s">
        <v>1652</v>
      </c>
      <c r="AC462" s="135" t="s">
        <v>1636</v>
      </c>
      <c r="AD462" s="91">
        <f>INDEX(Auxiliar!$D$5:$I$10,MATCH('LISTA - Setembro2024'!AD$3,Auxiliar!$B$5:$B$10,0),MATCH('LISTA - Setembro2024'!$AC462,Auxiliar!$D$4:$I$4,0))</f>
        <v>2</v>
      </c>
      <c r="AE462" s="242">
        <v>0</v>
      </c>
      <c r="AF462" s="87">
        <f>INDEX(Auxiliar!$D$5:$I$10,MATCH('LISTA - Setembro2024'!AF$3,Auxiliar!$B$5:$B$10,0),MATCH('LISTA - Setembro2024'!$AC462,Auxiliar!$D$4:$I$4,0))</f>
        <v>1.5</v>
      </c>
      <c r="AG462" s="87" t="str">
        <f t="shared" si="117"/>
        <v>n.a.</v>
      </c>
      <c r="AH462" s="87">
        <f>INDEX(Auxiliar!$D$5:$I$10,MATCH('LISTA - Setembro2024'!AH$3,Auxiliar!$B$5:$B$10,0),MATCH('LISTA - Setembro2024'!$AG462,Auxiliar!$D$4:$I$4,0))</f>
        <v>0</v>
      </c>
      <c r="AI462" s="87">
        <f>INDEX(Auxiliar!$D$5:$I$10,MATCH('LISTA - Setembro2024'!AI$3,Auxiliar!$B$5:$B$10,0),MATCH('LISTA - Setembro2024'!$AC462,Auxiliar!$D$4:$I$4,0))</f>
        <v>0.5</v>
      </c>
      <c r="AJ462" s="87">
        <f>INDEX(Auxiliar!$D$5:$I$10,MATCH('LISTA - Setembro2024'!AJ$3,Auxiliar!$B$5:$B$10,0),MATCH('LISTA - Setembro2024'!$AC462,Auxiliar!$D$4:$I$4,0))</f>
        <v>1</v>
      </c>
      <c r="AK462" s="242">
        <v>0</v>
      </c>
      <c r="AL462" s="87"/>
    </row>
    <row r="463" spans="1:38" ht="13.8" x14ac:dyDescent="0.25">
      <c r="A463" s="158" t="s">
        <v>1138</v>
      </c>
      <c r="B463" s="81" t="str">
        <f t="shared" si="116"/>
        <v>PROTECTION_RL_ESTT_PST_CD</v>
      </c>
      <c r="C463" s="82" t="s">
        <v>1114</v>
      </c>
      <c r="D463" s="83" t="s">
        <v>1139</v>
      </c>
      <c r="E463" s="84" t="s">
        <v>288</v>
      </c>
      <c r="F463" s="85" t="s">
        <v>13</v>
      </c>
      <c r="G463" s="85" t="s">
        <v>11</v>
      </c>
      <c r="H463" s="85" t="s">
        <v>13</v>
      </c>
      <c r="I463" s="85" t="s">
        <v>11</v>
      </c>
      <c r="J463" s="85" t="s">
        <v>13</v>
      </c>
      <c r="K463" s="85" t="s">
        <v>11</v>
      </c>
      <c r="L463" s="86" t="str">
        <f>IFERROR(VLOOKUP($B463,'LISTA - Atual'!$B$1:$I$444,5,0),"Novo")</f>
        <v>Y</v>
      </c>
      <c r="M463" s="86" t="str">
        <f t="shared" si="111"/>
        <v>Igual</v>
      </c>
      <c r="N463" s="86" t="str">
        <f>IFERROR(VLOOKUP($B463,'LISTA - Atual'!$B$1:$I$444,6,0),"Novo")</f>
        <v>N</v>
      </c>
      <c r="O463" s="86" t="str">
        <f t="shared" si="112"/>
        <v>Igual</v>
      </c>
      <c r="P463" s="86" t="str">
        <f>IFERROR(VLOOKUP($B463,'LISTA - Atual'!$B$1:$I$444,7,0),"Novo")</f>
        <v>Y</v>
      </c>
      <c r="Q463" s="86" t="str">
        <f t="shared" si="113"/>
        <v>Igual</v>
      </c>
      <c r="R463" s="86" t="s">
        <v>1563</v>
      </c>
      <c r="S463" s="86" t="str">
        <f>IFERROR(VLOOKUP($B463,'LISTA - Atual'!$B$1:$I$444,8,0),"Novo")</f>
        <v>Y</v>
      </c>
      <c r="T463" s="86" t="str">
        <f t="shared" si="114"/>
        <v>Igual</v>
      </c>
      <c r="U463" s="86" t="s">
        <v>1563</v>
      </c>
      <c r="V463" s="86" t="s">
        <v>11</v>
      </c>
      <c r="W463" s="87" t="str">
        <f>IFERROR(VLOOKUP(B463,#REF!,11,0),"n/a")</f>
        <v>n/a</v>
      </c>
      <c r="X463" s="87" t="str">
        <f>IFERROR(VLOOKUP(B463,#REF!,8,0),"n/a")</f>
        <v>n/a</v>
      </c>
      <c r="Y463" s="87" t="str">
        <f>$F$2&amp;$Y$1&amp;$H$2</f>
        <v>ESTR &amp; PILAR3</v>
      </c>
      <c r="Z463" s="131" t="s">
        <v>1605</v>
      </c>
      <c r="AA463" s="227" t="e">
        <f>VLOOKUP(Table1[[#This Row],[CONCAT]],'Campos Resumo Prop2.0'!A:H,8,0)</f>
        <v>#N/A</v>
      </c>
      <c r="AB463" s="87" t="s">
        <v>1652</v>
      </c>
      <c r="AC463" s="135" t="s">
        <v>1625</v>
      </c>
      <c r="AD463" s="91">
        <f>INDEX(Auxiliar!$D$5:$I$10,MATCH('LISTA - Setembro2024'!AD$3,Auxiliar!$B$5:$B$10,0),MATCH('LISTA - Setembro2024'!$AC463,Auxiliar!$D$4:$I$4,0))</f>
        <v>0</v>
      </c>
      <c r="AE463" s="91">
        <f>INDEX(Auxiliar!$D$5:$I$10,MATCH('LISTA - Setembro2024'!AE$3,Auxiliar!$B$5:$B$10,0),MATCH('LISTA - Setembro2024'!$AC463,Auxiliar!$D$4:$I$4,0))</f>
        <v>0</v>
      </c>
      <c r="AF463" s="87">
        <f>INDEX(Auxiliar!$D$5:$I$10,MATCH('LISTA - Setembro2024'!AF$3,Auxiliar!$B$5:$B$10,0),MATCH('LISTA - Setembro2024'!$AC463,Auxiliar!$D$4:$I$4,0))</f>
        <v>0</v>
      </c>
      <c r="AG463" s="87" t="str">
        <f t="shared" si="117"/>
        <v>n.a.</v>
      </c>
      <c r="AH463" s="87">
        <f>INDEX(Auxiliar!$D$5:$I$10,MATCH('LISTA - Setembro2024'!AH$3,Auxiliar!$B$5:$B$10,0),MATCH('LISTA - Setembro2024'!$AG463,Auxiliar!$D$4:$I$4,0))</f>
        <v>0</v>
      </c>
      <c r="AI463" s="87">
        <f>INDEX(Auxiliar!$D$5:$I$10,MATCH('LISTA - Setembro2024'!AI$3,Auxiliar!$B$5:$B$10,0),MATCH('LISTA - Setembro2024'!$AC463,Auxiliar!$D$4:$I$4,0))</f>
        <v>0</v>
      </c>
      <c r="AJ463" s="87">
        <f>INDEX(Auxiliar!$D$5:$I$10,MATCH('LISTA - Setembro2024'!AJ$3,Auxiliar!$B$5:$B$10,0),MATCH('LISTA - Setembro2024'!$AC463,Auxiliar!$D$4:$I$4,0))</f>
        <v>0</v>
      </c>
      <c r="AK463" s="160">
        <f t="shared" si="118"/>
        <v>0</v>
      </c>
      <c r="AL463" s="87"/>
    </row>
    <row r="464" spans="1:38" ht="13.8" x14ac:dyDescent="0.25">
      <c r="A464" s="158" t="s">
        <v>1140</v>
      </c>
      <c r="B464" s="81" t="str">
        <f t="shared" si="116"/>
        <v>PROTECTION_HRCT_MV</v>
      </c>
      <c r="C464" s="82" t="s">
        <v>1114</v>
      </c>
      <c r="D464" s="83" t="s">
        <v>1141</v>
      </c>
      <c r="E464" s="84" t="s">
        <v>1142</v>
      </c>
      <c r="F464" s="85" t="s">
        <v>13</v>
      </c>
      <c r="G464" s="85" t="s">
        <v>11</v>
      </c>
      <c r="H464" s="85" t="s">
        <v>11</v>
      </c>
      <c r="I464" s="85" t="s">
        <v>11</v>
      </c>
      <c r="J464" s="85" t="s">
        <v>11</v>
      </c>
      <c r="K464" s="85" t="s">
        <v>11</v>
      </c>
      <c r="L464" s="86" t="str">
        <f>IFERROR(VLOOKUP($B464,'LISTA - Atual'!$B$1:$I$444,5,0),"Novo")</f>
        <v>Y</v>
      </c>
      <c r="M464" s="86" t="str">
        <f t="shared" si="111"/>
        <v>Igual</v>
      </c>
      <c r="N464" s="86" t="str">
        <f>IFERROR(VLOOKUP($B464,'LISTA - Atual'!$B$1:$I$444,6,0),"Novo")</f>
        <v>N</v>
      </c>
      <c r="O464" s="86" t="str">
        <f t="shared" si="112"/>
        <v>Igual</v>
      </c>
      <c r="P464" s="86" t="str">
        <f>IFERROR(VLOOKUP($B464,'LISTA - Atual'!$B$1:$I$444,7,0),"Novo")</f>
        <v>N</v>
      </c>
      <c r="Q464" s="86" t="str">
        <f t="shared" si="113"/>
        <v>Igual</v>
      </c>
      <c r="R464" s="86" t="s">
        <v>1563</v>
      </c>
      <c r="S464" s="86" t="str">
        <f>IFERROR(VLOOKUP($B464,'LISTA - Atual'!$B$1:$I$444,8,0),"Novo")</f>
        <v>N</v>
      </c>
      <c r="T464" s="86" t="str">
        <f t="shared" si="114"/>
        <v>Igual</v>
      </c>
      <c r="U464" s="86" t="s">
        <v>1563</v>
      </c>
      <c r="V464" s="86" t="s">
        <v>11</v>
      </c>
      <c r="W464" s="87" t="str">
        <f>IFERROR(VLOOKUP(B464,#REF!,11,0),"n/a")</f>
        <v>n/a</v>
      </c>
      <c r="X464" s="87" t="str">
        <f>IFERROR(VLOOKUP(B464,#REF!,8,0),"n/a")</f>
        <v>n/a</v>
      </c>
      <c r="Y464" s="87" t="str">
        <f t="shared" ref="Y464:Y465" si="120">$F$2</f>
        <v>ESTR</v>
      </c>
      <c r="Z464" s="131" t="s">
        <v>1605</v>
      </c>
      <c r="AA464" s="227" t="e">
        <f>VLOOKUP(Table1[[#This Row],[CONCAT]],'Campos Resumo Prop2.0'!A:H,8,0)</f>
        <v>#N/A</v>
      </c>
      <c r="AB464" s="87" t="s">
        <v>1656</v>
      </c>
      <c r="AC464" s="135" t="s">
        <v>1625</v>
      </c>
      <c r="AD464" s="91">
        <f>INDEX(Auxiliar!$D$5:$I$10,MATCH('LISTA - Setembro2024'!AD$3,Auxiliar!$B$5:$B$10,0),MATCH('LISTA - Setembro2024'!$AC464,Auxiliar!$D$4:$I$4,0))</f>
        <v>0</v>
      </c>
      <c r="AE464" s="91">
        <f>INDEX(Auxiliar!$D$5:$I$10,MATCH('LISTA - Setembro2024'!AE$3,Auxiliar!$B$5:$B$10,0),MATCH('LISTA - Setembro2024'!$AC464,Auxiliar!$D$4:$I$4,0))</f>
        <v>0</v>
      </c>
      <c r="AF464" s="87">
        <f>INDEX(Auxiliar!$D$5:$I$10,MATCH('LISTA - Setembro2024'!AF$3,Auxiliar!$B$5:$B$10,0),MATCH('LISTA - Setembro2024'!$AC464,Auxiliar!$D$4:$I$4,0))</f>
        <v>0</v>
      </c>
      <c r="AG464" s="87" t="str">
        <f t="shared" si="117"/>
        <v>n.a.</v>
      </c>
      <c r="AH464" s="87">
        <f>INDEX(Auxiliar!$D$5:$I$10,MATCH('LISTA - Setembro2024'!AH$3,Auxiliar!$B$5:$B$10,0),MATCH('LISTA - Setembro2024'!$AG464,Auxiliar!$D$4:$I$4,0))</f>
        <v>0</v>
      </c>
      <c r="AI464" s="87">
        <f>INDEX(Auxiliar!$D$5:$I$10,MATCH('LISTA - Setembro2024'!AI$3,Auxiliar!$B$5:$B$10,0),MATCH('LISTA - Setembro2024'!$AC464,Auxiliar!$D$4:$I$4,0))</f>
        <v>0</v>
      </c>
      <c r="AJ464" s="87">
        <f>INDEX(Auxiliar!$D$5:$I$10,MATCH('LISTA - Setembro2024'!AJ$3,Auxiliar!$B$5:$B$10,0),MATCH('LISTA - Setembro2024'!$AC464,Auxiliar!$D$4:$I$4,0))</f>
        <v>0</v>
      </c>
      <c r="AK464" s="160">
        <f t="shared" si="118"/>
        <v>0</v>
      </c>
      <c r="AL464" s="87"/>
    </row>
    <row r="465" spans="1:38" ht="13.8" x14ac:dyDescent="0.25">
      <c r="A465" s="158" t="s">
        <v>1143</v>
      </c>
      <c r="B465" s="81" t="str">
        <f t="shared" si="116"/>
        <v>PROTECTION_PRTCTN_CLLD</v>
      </c>
      <c r="C465" s="82" t="s">
        <v>1114</v>
      </c>
      <c r="D465" s="83" t="s">
        <v>1144</v>
      </c>
      <c r="E465" s="84" t="s">
        <v>1145</v>
      </c>
      <c r="F465" s="85" t="s">
        <v>13</v>
      </c>
      <c r="G465" s="85" t="s">
        <v>11</v>
      </c>
      <c r="H465" s="85" t="s">
        <v>11</v>
      </c>
      <c r="I465" s="85" t="s">
        <v>11</v>
      </c>
      <c r="J465" s="85" t="s">
        <v>11</v>
      </c>
      <c r="K465" s="85" t="s">
        <v>11</v>
      </c>
      <c r="L465" s="86" t="str">
        <f>IFERROR(VLOOKUP($B465,'LISTA - Atual'!$B$1:$I$444,5,0),"Novo")</f>
        <v>Y</v>
      </c>
      <c r="M465" s="86" t="str">
        <f t="shared" si="111"/>
        <v>Igual</v>
      </c>
      <c r="N465" s="86" t="str">
        <f>IFERROR(VLOOKUP($B465,'LISTA - Atual'!$B$1:$I$444,6,0),"Novo")</f>
        <v>N</v>
      </c>
      <c r="O465" s="86" t="str">
        <f t="shared" si="112"/>
        <v>Igual</v>
      </c>
      <c r="P465" s="86" t="str">
        <f>IFERROR(VLOOKUP($B465,'LISTA - Atual'!$B$1:$I$444,7,0),"Novo")</f>
        <v>N</v>
      </c>
      <c r="Q465" s="86" t="str">
        <f t="shared" si="113"/>
        <v>Igual</v>
      </c>
      <c r="R465" s="86" t="s">
        <v>1563</v>
      </c>
      <c r="S465" s="86" t="str">
        <f>IFERROR(VLOOKUP($B465,'LISTA - Atual'!$B$1:$I$444,8,0),"Novo")</f>
        <v>N</v>
      </c>
      <c r="T465" s="86" t="str">
        <f t="shared" si="114"/>
        <v>Igual</v>
      </c>
      <c r="U465" s="86" t="s">
        <v>1563</v>
      </c>
      <c r="V465" s="86" t="s">
        <v>11</v>
      </c>
      <c r="W465" s="87" t="str">
        <f>IFERROR(VLOOKUP(B465,#REF!,11,0),"n/a")</f>
        <v>n/a</v>
      </c>
      <c r="X465" s="87" t="str">
        <f>IFERROR(VLOOKUP(B465,#REF!,8,0),"n/a")</f>
        <v>n/a</v>
      </c>
      <c r="Y465" s="87" t="str">
        <f t="shared" si="120"/>
        <v>ESTR</v>
      </c>
      <c r="Z465" s="131" t="s">
        <v>1605</v>
      </c>
      <c r="AA465" s="227" t="e">
        <f>VLOOKUP(Table1[[#This Row],[CONCAT]],'Campos Resumo Prop2.0'!A:H,8,0)</f>
        <v>#N/A</v>
      </c>
      <c r="AB465" s="87" t="s">
        <v>1654</v>
      </c>
      <c r="AC465" s="135" t="s">
        <v>1625</v>
      </c>
      <c r="AD465" s="91">
        <f>INDEX(Auxiliar!$D$5:$I$10,MATCH('LISTA - Setembro2024'!AD$3,Auxiliar!$B$5:$B$10,0),MATCH('LISTA - Setembro2024'!$AC465,Auxiliar!$D$4:$I$4,0))</f>
        <v>0</v>
      </c>
      <c r="AE465" s="91">
        <f>INDEX(Auxiliar!$D$5:$I$10,MATCH('LISTA - Setembro2024'!AE$3,Auxiliar!$B$5:$B$10,0),MATCH('LISTA - Setembro2024'!$AC465,Auxiliar!$D$4:$I$4,0))</f>
        <v>0</v>
      </c>
      <c r="AF465" s="87">
        <f>INDEX(Auxiliar!$D$5:$I$10,MATCH('LISTA - Setembro2024'!AF$3,Auxiliar!$B$5:$B$10,0),MATCH('LISTA - Setembro2024'!$AC465,Auxiliar!$D$4:$I$4,0))</f>
        <v>0</v>
      </c>
      <c r="AG465" s="87" t="str">
        <f t="shared" si="117"/>
        <v>n.a.</v>
      </c>
      <c r="AH465" s="87">
        <f>INDEX(Auxiliar!$D$5:$I$10,MATCH('LISTA - Setembro2024'!AH$3,Auxiliar!$B$5:$B$10,0),MATCH('LISTA - Setembro2024'!$AG465,Auxiliar!$D$4:$I$4,0))</f>
        <v>0</v>
      </c>
      <c r="AI465" s="87">
        <f>INDEX(Auxiliar!$D$5:$I$10,MATCH('LISTA - Setembro2024'!AI$3,Auxiliar!$B$5:$B$10,0),MATCH('LISTA - Setembro2024'!$AC465,Auxiliar!$D$4:$I$4,0))</f>
        <v>0</v>
      </c>
      <c r="AJ465" s="87">
        <f>INDEX(Auxiliar!$D$5:$I$10,MATCH('LISTA - Setembro2024'!AJ$3,Auxiliar!$B$5:$B$10,0),MATCH('LISTA - Setembro2024'!$AC465,Auxiliar!$D$4:$I$4,0))</f>
        <v>0</v>
      </c>
      <c r="AK465" s="160">
        <f t="shared" si="118"/>
        <v>0</v>
      </c>
      <c r="AL465" s="87"/>
    </row>
    <row r="466" spans="1:38" ht="13.8" x14ac:dyDescent="0.25">
      <c r="A466" s="158" t="s">
        <v>1146</v>
      </c>
      <c r="B466" s="81" t="str">
        <f t="shared" si="116"/>
        <v>PROTECTION_TYP_PRTCTN</v>
      </c>
      <c r="C466" s="82" t="s">
        <v>1114</v>
      </c>
      <c r="D466" s="97" t="s">
        <v>1147</v>
      </c>
      <c r="E466" s="98" t="s">
        <v>1148</v>
      </c>
      <c r="F466" s="85" t="s">
        <v>13</v>
      </c>
      <c r="G466" s="89" t="s">
        <v>13</v>
      </c>
      <c r="H466" s="85" t="s">
        <v>13</v>
      </c>
      <c r="I466" s="85" t="s">
        <v>11</v>
      </c>
      <c r="J466" s="85" t="s">
        <v>13</v>
      </c>
      <c r="K466" s="85" t="s">
        <v>11</v>
      </c>
      <c r="L466" s="86" t="str">
        <f>IFERROR(VLOOKUP($B466,'LISTA - Atual'!$B$1:$I$444,5,0),"Novo")</f>
        <v>Y</v>
      </c>
      <c r="M466" s="86" t="str">
        <f t="shared" si="111"/>
        <v>Igual</v>
      </c>
      <c r="N466" s="86" t="str">
        <f>IFERROR(VLOOKUP($B466,'LISTA - Atual'!$B$1:$I$444,6,0),"Novo")</f>
        <v>N</v>
      </c>
      <c r="O466" s="86" t="str">
        <f t="shared" si="112"/>
        <v>Diferente</v>
      </c>
      <c r="P466" s="86" t="str">
        <f>IFERROR(VLOOKUP($B466,'LISTA - Atual'!$B$1:$I$444,7,0),"Novo")</f>
        <v>Y</v>
      </c>
      <c r="Q466" s="86" t="str">
        <f t="shared" si="113"/>
        <v>Igual</v>
      </c>
      <c r="R466" s="86" t="s">
        <v>1563</v>
      </c>
      <c r="S466" s="86" t="str">
        <f>IFERROR(VLOOKUP($B466,'LISTA - Atual'!$B$1:$I$444,8,0),"Novo")</f>
        <v>Y</v>
      </c>
      <c r="T466" s="86" t="str">
        <f t="shared" si="114"/>
        <v>Igual</v>
      </c>
      <c r="U466" s="86" t="s">
        <v>1563</v>
      </c>
      <c r="V466" s="86" t="s">
        <v>11</v>
      </c>
      <c r="W466" s="87" t="str">
        <f>IFERROR(VLOOKUP(B466,#REF!,11,0),"n/a")</f>
        <v>n/a</v>
      </c>
      <c r="X466" s="87" t="str">
        <f>IFERROR(VLOOKUP(B466,#REF!,8,0),"n/a")</f>
        <v>n/a</v>
      </c>
      <c r="Y466" s="87" t="str">
        <f>$F$2&amp;$Y$1&amp;$G$2&amp;$Y$1&amp;$H$2</f>
        <v>ESTR &amp; GD &amp; PILAR3</v>
      </c>
      <c r="Z466" s="131" t="s">
        <v>1605</v>
      </c>
      <c r="AA466" s="227" t="e">
        <f>VLOOKUP(Table1[[#This Row],[CONCAT]],'Campos Resumo Prop2.0'!A:H,8,0)</f>
        <v>#N/A</v>
      </c>
      <c r="AB466" s="87" t="s">
        <v>1650</v>
      </c>
      <c r="AC466" s="135" t="s">
        <v>1625</v>
      </c>
      <c r="AD466" s="91">
        <f>INDEX(Auxiliar!$D$5:$I$10,MATCH('LISTA - Setembro2024'!AD$3,Auxiliar!$B$5:$B$10,0),MATCH('LISTA - Setembro2024'!$AC466,Auxiliar!$D$4:$I$4,0))</f>
        <v>0</v>
      </c>
      <c r="AE466" s="91">
        <f>INDEX(Auxiliar!$D$5:$I$10,MATCH('LISTA - Setembro2024'!AE$3,Auxiliar!$B$5:$B$10,0),MATCH('LISTA - Setembro2024'!$AC466,Auxiliar!$D$4:$I$4,0))</f>
        <v>0</v>
      </c>
      <c r="AF466" s="87">
        <f>INDEX(Auxiliar!$D$5:$I$10,MATCH('LISTA - Setembro2024'!AF$3,Auxiliar!$B$5:$B$10,0),MATCH('LISTA - Setembro2024'!$AC466,Auxiliar!$D$4:$I$4,0))</f>
        <v>0</v>
      </c>
      <c r="AG466" s="87" t="str">
        <f t="shared" si="117"/>
        <v>n.a.</v>
      </c>
      <c r="AH466" s="87">
        <f>INDEX(Auxiliar!$D$5:$I$10,MATCH('LISTA - Setembro2024'!AH$3,Auxiliar!$B$5:$B$10,0),MATCH('LISTA - Setembro2024'!$AG466,Auxiliar!$D$4:$I$4,0))</f>
        <v>0</v>
      </c>
      <c r="AI466" s="87">
        <f>INDEX(Auxiliar!$D$5:$I$10,MATCH('LISTA - Setembro2024'!AI$3,Auxiliar!$B$5:$B$10,0),MATCH('LISTA - Setembro2024'!$AC466,Auxiliar!$D$4:$I$4,0))</f>
        <v>0</v>
      </c>
      <c r="AJ466" s="87">
        <f>INDEX(Auxiliar!$D$5:$I$10,MATCH('LISTA - Setembro2024'!AJ$3,Auxiliar!$B$5:$B$10,0),MATCH('LISTA - Setembro2024'!$AC466,Auxiliar!$D$4:$I$4,0))</f>
        <v>0</v>
      </c>
      <c r="AK466" s="160">
        <f t="shared" si="118"/>
        <v>0</v>
      </c>
      <c r="AL466" s="87"/>
    </row>
    <row r="467" spans="1:38" ht="13.8" x14ac:dyDescent="0.25">
      <c r="A467" s="158" t="s">
        <v>1149</v>
      </c>
      <c r="B467" s="81" t="str">
        <f t="shared" si="116"/>
        <v>PROTECTION_TYP_PRTCTN_INTRNL</v>
      </c>
      <c r="C467" s="82" t="s">
        <v>1114</v>
      </c>
      <c r="D467" s="83" t="s">
        <v>1150</v>
      </c>
      <c r="E467" s="84" t="s">
        <v>1151</v>
      </c>
      <c r="F467" s="85" t="s">
        <v>13</v>
      </c>
      <c r="G467" s="85" t="s">
        <v>11</v>
      </c>
      <c r="H467" s="85" t="s">
        <v>11</v>
      </c>
      <c r="I467" s="85" t="s">
        <v>11</v>
      </c>
      <c r="J467" s="85" t="s">
        <v>11</v>
      </c>
      <c r="K467" s="85" t="s">
        <v>11</v>
      </c>
      <c r="L467" s="86" t="str">
        <f>IFERROR(VLOOKUP($B467,'LISTA - Atual'!$B$1:$I$444,5,0),"Novo")</f>
        <v>Y</v>
      </c>
      <c r="M467" s="86" t="str">
        <f t="shared" si="111"/>
        <v>Igual</v>
      </c>
      <c r="N467" s="86" t="str">
        <f>IFERROR(VLOOKUP($B467,'LISTA - Atual'!$B$1:$I$444,6,0),"Novo")</f>
        <v>N</v>
      </c>
      <c r="O467" s="86" t="str">
        <f t="shared" si="112"/>
        <v>Igual</v>
      </c>
      <c r="P467" s="86" t="str">
        <f>IFERROR(VLOOKUP($B467,'LISTA - Atual'!$B$1:$I$444,7,0),"Novo")</f>
        <v>N</v>
      </c>
      <c r="Q467" s="86" t="str">
        <f t="shared" si="113"/>
        <v>Igual</v>
      </c>
      <c r="R467" s="86" t="s">
        <v>1563</v>
      </c>
      <c r="S467" s="86" t="str">
        <f>IFERROR(VLOOKUP($B467,'LISTA - Atual'!$B$1:$I$444,8,0),"Novo")</f>
        <v>N</v>
      </c>
      <c r="T467" s="86" t="str">
        <f t="shared" si="114"/>
        <v>Igual</v>
      </c>
      <c r="U467" s="86" t="s">
        <v>1563</v>
      </c>
      <c r="V467" s="86" t="s">
        <v>11</v>
      </c>
      <c r="W467" s="87" t="str">
        <f>IFERROR(VLOOKUP(B467,#REF!,11,0),"n/a")</f>
        <v>n/a</v>
      </c>
      <c r="X467" s="87" t="str">
        <f>IFERROR(VLOOKUP(B467,#REF!,8,0),"n/a")</f>
        <v>n/a</v>
      </c>
      <c r="Y467" s="87" t="str">
        <f t="shared" ref="Y467:Y473" si="121">$F$2</f>
        <v>ESTR</v>
      </c>
      <c r="Z467" s="131" t="s">
        <v>1605</v>
      </c>
      <c r="AA467" s="227" t="e">
        <f>VLOOKUP(Table1[[#This Row],[CONCAT]],'Campos Resumo Prop2.0'!A:H,8,0)</f>
        <v>#N/A</v>
      </c>
      <c r="AB467" s="87" t="s">
        <v>1652</v>
      </c>
      <c r="AC467" s="135" t="s">
        <v>1625</v>
      </c>
      <c r="AD467" s="91">
        <f>INDEX(Auxiliar!$D$5:$I$10,MATCH('LISTA - Setembro2024'!AD$3,Auxiliar!$B$5:$B$10,0),MATCH('LISTA - Setembro2024'!$AC467,Auxiliar!$D$4:$I$4,0))</f>
        <v>0</v>
      </c>
      <c r="AE467" s="91">
        <f>INDEX(Auxiliar!$D$5:$I$10,MATCH('LISTA - Setembro2024'!AE$3,Auxiliar!$B$5:$B$10,0),MATCH('LISTA - Setembro2024'!$AC467,Auxiliar!$D$4:$I$4,0))</f>
        <v>0</v>
      </c>
      <c r="AF467" s="87">
        <f>INDEX(Auxiliar!$D$5:$I$10,MATCH('LISTA - Setembro2024'!AF$3,Auxiliar!$B$5:$B$10,0),MATCH('LISTA - Setembro2024'!$AC467,Auxiliar!$D$4:$I$4,0))</f>
        <v>0</v>
      </c>
      <c r="AG467" s="87" t="str">
        <f t="shared" si="117"/>
        <v>n.a.</v>
      </c>
      <c r="AH467" s="87">
        <f>INDEX(Auxiliar!$D$5:$I$10,MATCH('LISTA - Setembro2024'!AH$3,Auxiliar!$B$5:$B$10,0),MATCH('LISTA - Setembro2024'!$AG467,Auxiliar!$D$4:$I$4,0))</f>
        <v>0</v>
      </c>
      <c r="AI467" s="87">
        <f>INDEX(Auxiliar!$D$5:$I$10,MATCH('LISTA - Setembro2024'!AI$3,Auxiliar!$B$5:$B$10,0),MATCH('LISTA - Setembro2024'!$AC467,Auxiliar!$D$4:$I$4,0))</f>
        <v>0</v>
      </c>
      <c r="AJ467" s="87">
        <f>INDEX(Auxiliar!$D$5:$I$10,MATCH('LISTA - Setembro2024'!AJ$3,Auxiliar!$B$5:$B$10,0),MATCH('LISTA - Setembro2024'!$AC467,Auxiliar!$D$4:$I$4,0))</f>
        <v>0</v>
      </c>
      <c r="AK467" s="160">
        <f t="shared" si="118"/>
        <v>0</v>
      </c>
      <c r="AL467" s="87"/>
    </row>
    <row r="468" spans="1:38" ht="13.8" x14ac:dyDescent="0.25">
      <c r="A468" s="158" t="s">
        <v>1152</v>
      </c>
      <c r="B468" s="81" t="str">
        <f t="shared" si="116"/>
        <v>PROTECTION_TYP_PRTCTN_VL</v>
      </c>
      <c r="C468" s="82" t="s">
        <v>1114</v>
      </c>
      <c r="D468" s="83" t="s">
        <v>1153</v>
      </c>
      <c r="E468" s="84" t="s">
        <v>1154</v>
      </c>
      <c r="F468" s="85" t="s">
        <v>13</v>
      </c>
      <c r="G468" s="85" t="s">
        <v>11</v>
      </c>
      <c r="H468" s="85" t="s">
        <v>11</v>
      </c>
      <c r="I468" s="85" t="s">
        <v>11</v>
      </c>
      <c r="J468" s="85" t="s">
        <v>11</v>
      </c>
      <c r="K468" s="85" t="s">
        <v>11</v>
      </c>
      <c r="L468" s="86" t="str">
        <f>IFERROR(VLOOKUP($B468,'LISTA - Atual'!$B$1:$I$444,5,0),"Novo")</f>
        <v>Y</v>
      </c>
      <c r="M468" s="86" t="str">
        <f t="shared" si="111"/>
        <v>Igual</v>
      </c>
      <c r="N468" s="86" t="str">
        <f>IFERROR(VLOOKUP($B468,'LISTA - Atual'!$B$1:$I$444,6,0),"Novo")</f>
        <v>N</v>
      </c>
      <c r="O468" s="86" t="str">
        <f t="shared" si="112"/>
        <v>Igual</v>
      </c>
      <c r="P468" s="86" t="str">
        <f>IFERROR(VLOOKUP($B468,'LISTA - Atual'!$B$1:$I$444,7,0),"Novo")</f>
        <v>N</v>
      </c>
      <c r="Q468" s="86" t="str">
        <f t="shared" si="113"/>
        <v>Igual</v>
      </c>
      <c r="R468" s="86" t="s">
        <v>1563</v>
      </c>
      <c r="S468" s="86" t="str">
        <f>IFERROR(VLOOKUP($B468,'LISTA - Atual'!$B$1:$I$444,8,0),"Novo")</f>
        <v>N</v>
      </c>
      <c r="T468" s="86" t="str">
        <f t="shared" si="114"/>
        <v>Igual</v>
      </c>
      <c r="U468" s="86" t="s">
        <v>1563</v>
      </c>
      <c r="V468" s="86" t="s">
        <v>11</v>
      </c>
      <c r="W468" s="87" t="str">
        <f>IFERROR(VLOOKUP(B468,#REF!,11,0),"n/a")</f>
        <v>n/a</v>
      </c>
      <c r="X468" s="87" t="str">
        <f>IFERROR(VLOOKUP(B468,#REF!,8,0),"n/a")</f>
        <v>n/a</v>
      </c>
      <c r="Y468" s="87" t="str">
        <f t="shared" si="121"/>
        <v>ESTR</v>
      </c>
      <c r="Z468" s="131" t="s">
        <v>1605</v>
      </c>
      <c r="AA468" s="227" t="e">
        <f>VLOOKUP(Table1[[#This Row],[CONCAT]],'Campos Resumo Prop2.0'!A:H,8,0)</f>
        <v>#N/A</v>
      </c>
      <c r="AB468" s="87" t="s">
        <v>1650</v>
      </c>
      <c r="AC468" s="135" t="s">
        <v>1625</v>
      </c>
      <c r="AD468" s="91">
        <f>INDEX(Auxiliar!$D$5:$I$10,MATCH('LISTA - Setembro2024'!AD$3,Auxiliar!$B$5:$B$10,0),MATCH('LISTA - Setembro2024'!$AC468,Auxiliar!$D$4:$I$4,0))</f>
        <v>0</v>
      </c>
      <c r="AE468" s="91">
        <f>INDEX(Auxiliar!$D$5:$I$10,MATCH('LISTA - Setembro2024'!AE$3,Auxiliar!$B$5:$B$10,0),MATCH('LISTA - Setembro2024'!$AC468,Auxiliar!$D$4:$I$4,0))</f>
        <v>0</v>
      </c>
      <c r="AF468" s="87">
        <f>INDEX(Auxiliar!$D$5:$I$10,MATCH('LISTA - Setembro2024'!AF$3,Auxiliar!$B$5:$B$10,0),MATCH('LISTA - Setembro2024'!$AC468,Auxiliar!$D$4:$I$4,0))</f>
        <v>0</v>
      </c>
      <c r="AG468" s="87" t="str">
        <f t="shared" si="117"/>
        <v>n.a.</v>
      </c>
      <c r="AH468" s="87">
        <f>INDEX(Auxiliar!$D$5:$I$10,MATCH('LISTA - Setembro2024'!AH$3,Auxiliar!$B$5:$B$10,0),MATCH('LISTA - Setembro2024'!$AG468,Auxiliar!$D$4:$I$4,0))</f>
        <v>0</v>
      </c>
      <c r="AI468" s="87">
        <f>INDEX(Auxiliar!$D$5:$I$10,MATCH('LISTA - Setembro2024'!AI$3,Auxiliar!$B$5:$B$10,0),MATCH('LISTA - Setembro2024'!$AC468,Auxiliar!$D$4:$I$4,0))</f>
        <v>0</v>
      </c>
      <c r="AJ468" s="87">
        <f>INDEX(Auxiliar!$D$5:$I$10,MATCH('LISTA - Setembro2024'!AJ$3,Auxiliar!$B$5:$B$10,0),MATCH('LISTA - Setembro2024'!$AC468,Auxiliar!$D$4:$I$4,0))</f>
        <v>0</v>
      </c>
      <c r="AK468" s="160">
        <f t="shared" si="118"/>
        <v>0</v>
      </c>
      <c r="AL468" s="87"/>
    </row>
    <row r="469" spans="1:38" ht="13.8" x14ac:dyDescent="0.25">
      <c r="A469" s="158" t="s">
        <v>1155</v>
      </c>
      <c r="B469" s="81" t="str">
        <f t="shared" si="116"/>
        <v>PROTECTION_APPRSL_CRRNCY</v>
      </c>
      <c r="C469" s="82" t="s">
        <v>1114</v>
      </c>
      <c r="D469" s="83" t="s">
        <v>1156</v>
      </c>
      <c r="E469" s="84" t="s">
        <v>1157</v>
      </c>
      <c r="F469" s="85" t="s">
        <v>13</v>
      </c>
      <c r="G469" s="85" t="s">
        <v>11</v>
      </c>
      <c r="H469" s="85" t="s">
        <v>11</v>
      </c>
      <c r="I469" s="85" t="s">
        <v>11</v>
      </c>
      <c r="J469" s="85" t="s">
        <v>11</v>
      </c>
      <c r="K469" s="85" t="s">
        <v>11</v>
      </c>
      <c r="L469" s="86" t="str">
        <f>IFERROR(VLOOKUP($B469,'LISTA - Atual'!$B$1:$I$444,5,0),"Novo")</f>
        <v>Y</v>
      </c>
      <c r="M469" s="86" t="str">
        <f t="shared" si="111"/>
        <v>Igual</v>
      </c>
      <c r="N469" s="86" t="str">
        <f>IFERROR(VLOOKUP($B469,'LISTA - Atual'!$B$1:$I$444,6,0),"Novo")</f>
        <v>N</v>
      </c>
      <c r="O469" s="86" t="str">
        <f t="shared" si="112"/>
        <v>Igual</v>
      </c>
      <c r="P469" s="86" t="str">
        <f>IFERROR(VLOOKUP($B469,'LISTA - Atual'!$B$1:$I$444,7,0),"Novo")</f>
        <v>N</v>
      </c>
      <c r="Q469" s="86" t="str">
        <f t="shared" si="113"/>
        <v>Igual</v>
      </c>
      <c r="R469" s="86" t="s">
        <v>1563</v>
      </c>
      <c r="S469" s="86" t="str">
        <f>IFERROR(VLOOKUP($B469,'LISTA - Atual'!$B$1:$I$444,8,0),"Novo")</f>
        <v>N</v>
      </c>
      <c r="T469" s="86" t="str">
        <f t="shared" si="114"/>
        <v>Igual</v>
      </c>
      <c r="U469" s="86" t="s">
        <v>1563</v>
      </c>
      <c r="V469" s="86" t="s">
        <v>11</v>
      </c>
      <c r="W469" s="87" t="str">
        <f>IFERROR(VLOOKUP(B469,#REF!,11,0),"n/a")</f>
        <v>n/a</v>
      </c>
      <c r="X469" s="87" t="str">
        <f>IFERROR(VLOOKUP(B469,#REF!,8,0),"n/a")</f>
        <v>n/a</v>
      </c>
      <c r="Y469" s="87" t="str">
        <f t="shared" si="121"/>
        <v>ESTR</v>
      </c>
      <c r="Z469" s="131" t="s">
        <v>1605</v>
      </c>
      <c r="AA469" s="227" t="e">
        <f>VLOOKUP(Table1[[#This Row],[CONCAT]],'Campos Resumo Prop2.0'!A:H,8,0)</f>
        <v>#N/A</v>
      </c>
      <c r="AB469" s="87" t="s">
        <v>1650</v>
      </c>
      <c r="AC469" s="135" t="s">
        <v>1625</v>
      </c>
      <c r="AD469" s="91">
        <f>INDEX(Auxiliar!$D$5:$I$10,MATCH('LISTA - Setembro2024'!AD$3,Auxiliar!$B$5:$B$10,0),MATCH('LISTA - Setembro2024'!$AC469,Auxiliar!$D$4:$I$4,0))</f>
        <v>0</v>
      </c>
      <c r="AE469" s="91">
        <f>INDEX(Auxiliar!$D$5:$I$10,MATCH('LISTA - Setembro2024'!AE$3,Auxiliar!$B$5:$B$10,0),MATCH('LISTA - Setembro2024'!$AC469,Auxiliar!$D$4:$I$4,0))</f>
        <v>0</v>
      </c>
      <c r="AF469" s="87">
        <f>INDEX(Auxiliar!$D$5:$I$10,MATCH('LISTA - Setembro2024'!AF$3,Auxiliar!$B$5:$B$10,0),MATCH('LISTA - Setembro2024'!$AC469,Auxiliar!$D$4:$I$4,0))</f>
        <v>0</v>
      </c>
      <c r="AG469" s="87" t="str">
        <f t="shared" si="117"/>
        <v>n.a.</v>
      </c>
      <c r="AH469" s="87">
        <f>INDEX(Auxiliar!$D$5:$I$10,MATCH('LISTA - Setembro2024'!AH$3,Auxiliar!$B$5:$B$10,0),MATCH('LISTA - Setembro2024'!$AG469,Auxiliar!$D$4:$I$4,0))</f>
        <v>0</v>
      </c>
      <c r="AI469" s="87">
        <f>INDEX(Auxiliar!$D$5:$I$10,MATCH('LISTA - Setembro2024'!AI$3,Auxiliar!$B$5:$B$10,0),MATCH('LISTA - Setembro2024'!$AC469,Auxiliar!$D$4:$I$4,0))</f>
        <v>0</v>
      </c>
      <c r="AJ469" s="87">
        <f>INDEX(Auxiliar!$D$5:$I$10,MATCH('LISTA - Setembro2024'!AJ$3,Auxiliar!$B$5:$B$10,0),MATCH('LISTA - Setembro2024'!$AC469,Auxiliar!$D$4:$I$4,0))</f>
        <v>0</v>
      </c>
      <c r="AK469" s="160">
        <f t="shared" si="118"/>
        <v>0</v>
      </c>
      <c r="AL469" s="87"/>
    </row>
    <row r="470" spans="1:38" ht="13.8" x14ac:dyDescent="0.25">
      <c r="A470" s="158" t="s">
        <v>1158</v>
      </c>
      <c r="B470" s="81" t="str">
        <f t="shared" si="116"/>
        <v>PROTECTION_APPRSR</v>
      </c>
      <c r="C470" s="82" t="s">
        <v>1114</v>
      </c>
      <c r="D470" s="83" t="s">
        <v>1159</v>
      </c>
      <c r="E470" s="84" t="s">
        <v>1160</v>
      </c>
      <c r="F470" s="85" t="s">
        <v>13</v>
      </c>
      <c r="G470" s="85" t="s">
        <v>11</v>
      </c>
      <c r="H470" s="85" t="s">
        <v>11</v>
      </c>
      <c r="I470" s="85" t="s">
        <v>11</v>
      </c>
      <c r="J470" s="85" t="s">
        <v>11</v>
      </c>
      <c r="K470" s="85" t="s">
        <v>11</v>
      </c>
      <c r="L470" s="86" t="str">
        <f>IFERROR(VLOOKUP($B470,'LISTA - Atual'!$B$1:$I$444,5,0),"Novo")</f>
        <v>Y</v>
      </c>
      <c r="M470" s="86" t="str">
        <f t="shared" si="111"/>
        <v>Igual</v>
      </c>
      <c r="N470" s="86" t="str">
        <f>IFERROR(VLOOKUP($B470,'LISTA - Atual'!$B$1:$I$444,6,0),"Novo")</f>
        <v>N</v>
      </c>
      <c r="O470" s="86" t="str">
        <f t="shared" si="112"/>
        <v>Igual</v>
      </c>
      <c r="P470" s="86" t="str">
        <f>IFERROR(VLOOKUP($B470,'LISTA - Atual'!$B$1:$I$444,7,0),"Novo")</f>
        <v>N</v>
      </c>
      <c r="Q470" s="86" t="str">
        <f t="shared" si="113"/>
        <v>Igual</v>
      </c>
      <c r="R470" s="86" t="s">
        <v>1563</v>
      </c>
      <c r="S470" s="86" t="str">
        <f>IFERROR(VLOOKUP($B470,'LISTA - Atual'!$B$1:$I$444,8,0),"Novo")</f>
        <v>N</v>
      </c>
      <c r="T470" s="86" t="str">
        <f t="shared" si="114"/>
        <v>Igual</v>
      </c>
      <c r="U470" s="86" t="s">
        <v>1563</v>
      </c>
      <c r="V470" s="86" t="s">
        <v>11</v>
      </c>
      <c r="W470" s="87" t="str">
        <f>IFERROR(VLOOKUP(B470,#REF!,11,0),"n/a")</f>
        <v>n/a</v>
      </c>
      <c r="X470" s="87" t="str">
        <f>IFERROR(VLOOKUP(B470,#REF!,8,0),"n/a")</f>
        <v>n/a</v>
      </c>
      <c r="Y470" s="87" t="str">
        <f t="shared" si="121"/>
        <v>ESTR</v>
      </c>
      <c r="Z470" s="131" t="s">
        <v>1605</v>
      </c>
      <c r="AA470" s="227" t="e">
        <f>VLOOKUP(Table1[[#This Row],[CONCAT]],'Campos Resumo Prop2.0'!A:H,8,0)</f>
        <v>#N/A</v>
      </c>
      <c r="AB470" s="87" t="s">
        <v>1652</v>
      </c>
      <c r="AC470" s="135" t="s">
        <v>1625</v>
      </c>
      <c r="AD470" s="91">
        <f>INDEX(Auxiliar!$D$5:$I$10,MATCH('LISTA - Setembro2024'!AD$3,Auxiliar!$B$5:$B$10,0),MATCH('LISTA - Setembro2024'!$AC470,Auxiliar!$D$4:$I$4,0))</f>
        <v>0</v>
      </c>
      <c r="AE470" s="91">
        <f>INDEX(Auxiliar!$D$5:$I$10,MATCH('LISTA - Setembro2024'!AE$3,Auxiliar!$B$5:$B$10,0),MATCH('LISTA - Setembro2024'!$AC470,Auxiliar!$D$4:$I$4,0))</f>
        <v>0</v>
      </c>
      <c r="AF470" s="87">
        <f>INDEX(Auxiliar!$D$5:$I$10,MATCH('LISTA - Setembro2024'!AF$3,Auxiliar!$B$5:$B$10,0),MATCH('LISTA - Setembro2024'!$AC470,Auxiliar!$D$4:$I$4,0))</f>
        <v>0</v>
      </c>
      <c r="AG470" s="87" t="str">
        <f t="shared" si="117"/>
        <v>n.a.</v>
      </c>
      <c r="AH470" s="87">
        <f>INDEX(Auxiliar!$D$5:$I$10,MATCH('LISTA - Setembro2024'!AH$3,Auxiliar!$B$5:$B$10,0),MATCH('LISTA - Setembro2024'!$AG470,Auxiliar!$D$4:$I$4,0))</f>
        <v>0</v>
      </c>
      <c r="AI470" s="87">
        <f>INDEX(Auxiliar!$D$5:$I$10,MATCH('LISTA - Setembro2024'!AI$3,Auxiliar!$B$5:$B$10,0),MATCH('LISTA - Setembro2024'!$AC470,Auxiliar!$D$4:$I$4,0))</f>
        <v>0</v>
      </c>
      <c r="AJ470" s="87">
        <f>INDEX(Auxiliar!$D$5:$I$10,MATCH('LISTA - Setembro2024'!AJ$3,Auxiliar!$B$5:$B$10,0),MATCH('LISTA - Setembro2024'!$AC470,Auxiliar!$D$4:$I$4,0))</f>
        <v>0</v>
      </c>
      <c r="AK470" s="160">
        <f t="shared" si="118"/>
        <v>0</v>
      </c>
      <c r="AL470" s="87"/>
    </row>
    <row r="471" spans="1:38" ht="13.8" x14ac:dyDescent="0.25">
      <c r="A471" s="158" t="s">
        <v>1161</v>
      </c>
      <c r="B471" s="81" t="str">
        <f t="shared" si="116"/>
        <v>PROTECTION_DT_LST_FLL_APPRSL</v>
      </c>
      <c r="C471" s="82" t="s">
        <v>1114</v>
      </c>
      <c r="D471" s="83" t="s">
        <v>1162</v>
      </c>
      <c r="E471" s="84" t="s">
        <v>1163</v>
      </c>
      <c r="F471" s="85" t="s">
        <v>13</v>
      </c>
      <c r="G471" s="85" t="s">
        <v>11</v>
      </c>
      <c r="H471" s="85" t="s">
        <v>11</v>
      </c>
      <c r="I471" s="85" t="s">
        <v>11</v>
      </c>
      <c r="J471" s="85" t="s">
        <v>11</v>
      </c>
      <c r="K471" s="85" t="s">
        <v>11</v>
      </c>
      <c r="L471" s="86" t="str">
        <f>IFERROR(VLOOKUP($B471,'LISTA - Atual'!$B$1:$I$444,5,0),"Novo")</f>
        <v>Y</v>
      </c>
      <c r="M471" s="86" t="str">
        <f t="shared" si="111"/>
        <v>Igual</v>
      </c>
      <c r="N471" s="86" t="str">
        <f>IFERROR(VLOOKUP($B471,'LISTA - Atual'!$B$1:$I$444,6,0),"Novo")</f>
        <v>N</v>
      </c>
      <c r="O471" s="86" t="str">
        <f t="shared" si="112"/>
        <v>Igual</v>
      </c>
      <c r="P471" s="86" t="str">
        <f>IFERROR(VLOOKUP($B471,'LISTA - Atual'!$B$1:$I$444,7,0),"Novo")</f>
        <v>N</v>
      </c>
      <c r="Q471" s="86" t="str">
        <f t="shared" si="113"/>
        <v>Igual</v>
      </c>
      <c r="R471" s="86" t="s">
        <v>1563</v>
      </c>
      <c r="S471" s="86" t="str">
        <f>IFERROR(VLOOKUP($B471,'LISTA - Atual'!$B$1:$I$444,8,0),"Novo")</f>
        <v>N</v>
      </c>
      <c r="T471" s="86" t="str">
        <f t="shared" si="114"/>
        <v>Igual</v>
      </c>
      <c r="U471" s="86" t="s">
        <v>1563</v>
      </c>
      <c r="V471" s="86" t="s">
        <v>11</v>
      </c>
      <c r="W471" s="87" t="str">
        <f>IFERROR(VLOOKUP(B471,#REF!,11,0),"n/a")</f>
        <v>n/a</v>
      </c>
      <c r="X471" s="87" t="str">
        <f>IFERROR(VLOOKUP(B471,#REF!,8,0),"n/a")</f>
        <v>n/a</v>
      </c>
      <c r="Y471" s="87" t="str">
        <f t="shared" si="121"/>
        <v>ESTR</v>
      </c>
      <c r="Z471" s="131" t="s">
        <v>1605</v>
      </c>
      <c r="AA471" s="227" t="e">
        <f>VLOOKUP(Table1[[#This Row],[CONCAT]],'Campos Resumo Prop2.0'!A:H,8,0)</f>
        <v>#N/A</v>
      </c>
      <c r="AB471" s="87" t="s">
        <v>1651</v>
      </c>
      <c r="AC471" s="135" t="s">
        <v>1625</v>
      </c>
      <c r="AD471" s="91">
        <f>INDEX(Auxiliar!$D$5:$I$10,MATCH('LISTA - Setembro2024'!AD$3,Auxiliar!$B$5:$B$10,0),MATCH('LISTA - Setembro2024'!$AC471,Auxiliar!$D$4:$I$4,0))</f>
        <v>0</v>
      </c>
      <c r="AE471" s="91">
        <f>INDEX(Auxiliar!$D$5:$I$10,MATCH('LISTA - Setembro2024'!AE$3,Auxiliar!$B$5:$B$10,0),MATCH('LISTA - Setembro2024'!$AC471,Auxiliar!$D$4:$I$4,0))</f>
        <v>0</v>
      </c>
      <c r="AF471" s="87">
        <f>INDEX(Auxiliar!$D$5:$I$10,MATCH('LISTA - Setembro2024'!AF$3,Auxiliar!$B$5:$B$10,0),MATCH('LISTA - Setembro2024'!$AC471,Auxiliar!$D$4:$I$4,0))</f>
        <v>0</v>
      </c>
      <c r="AG471" s="87" t="str">
        <f t="shared" si="117"/>
        <v>n.a.</v>
      </c>
      <c r="AH471" s="87">
        <f>INDEX(Auxiliar!$D$5:$I$10,MATCH('LISTA - Setembro2024'!AH$3,Auxiliar!$B$5:$B$10,0),MATCH('LISTA - Setembro2024'!$AG471,Auxiliar!$D$4:$I$4,0))</f>
        <v>0</v>
      </c>
      <c r="AI471" s="87">
        <f>INDEX(Auxiliar!$D$5:$I$10,MATCH('LISTA - Setembro2024'!AI$3,Auxiliar!$B$5:$B$10,0),MATCH('LISTA - Setembro2024'!$AC471,Auxiliar!$D$4:$I$4,0))</f>
        <v>0</v>
      </c>
      <c r="AJ471" s="87">
        <f>INDEX(Auxiliar!$D$5:$I$10,MATCH('LISTA - Setembro2024'!AJ$3,Auxiliar!$B$5:$B$10,0),MATCH('LISTA - Setembro2024'!$AC471,Auxiliar!$D$4:$I$4,0))</f>
        <v>0</v>
      </c>
      <c r="AK471" s="160">
        <f t="shared" si="118"/>
        <v>0</v>
      </c>
      <c r="AL471" s="87"/>
    </row>
    <row r="472" spans="1:38" ht="13.8" x14ac:dyDescent="0.25">
      <c r="A472" s="158" t="s">
        <v>1164</v>
      </c>
      <c r="B472" s="81" t="str">
        <f t="shared" si="116"/>
        <v>PROTECTION_DT_ORGNL_PRTCTN_VL</v>
      </c>
      <c r="C472" s="82" t="s">
        <v>1114</v>
      </c>
      <c r="D472" s="83" t="s">
        <v>1165</v>
      </c>
      <c r="E472" s="84" t="s">
        <v>1166</v>
      </c>
      <c r="F472" s="85" t="s">
        <v>13</v>
      </c>
      <c r="G472" s="85" t="s">
        <v>11</v>
      </c>
      <c r="H472" s="85" t="s">
        <v>11</v>
      </c>
      <c r="I472" s="85" t="s">
        <v>11</v>
      </c>
      <c r="J472" s="85" t="s">
        <v>11</v>
      </c>
      <c r="K472" s="85" t="s">
        <v>11</v>
      </c>
      <c r="L472" s="86" t="str">
        <f>IFERROR(VLOOKUP($B472,'LISTA - Atual'!$B$1:$I$444,5,0),"Novo")</f>
        <v>Y</v>
      </c>
      <c r="M472" s="86" t="str">
        <f t="shared" si="111"/>
        <v>Igual</v>
      </c>
      <c r="N472" s="86" t="str">
        <f>IFERROR(VLOOKUP($B472,'LISTA - Atual'!$B$1:$I$444,6,0),"Novo")</f>
        <v>N</v>
      </c>
      <c r="O472" s="86" t="str">
        <f t="shared" si="112"/>
        <v>Igual</v>
      </c>
      <c r="P472" s="86" t="str">
        <f>IFERROR(VLOOKUP($B472,'LISTA - Atual'!$B$1:$I$444,7,0),"Novo")</f>
        <v>N</v>
      </c>
      <c r="Q472" s="86" t="str">
        <f t="shared" si="113"/>
        <v>Igual</v>
      </c>
      <c r="R472" s="86" t="s">
        <v>1563</v>
      </c>
      <c r="S472" s="86" t="str">
        <f>IFERROR(VLOOKUP($B472,'LISTA - Atual'!$B$1:$I$444,8,0),"Novo")</f>
        <v>N</v>
      </c>
      <c r="T472" s="86" t="str">
        <f t="shared" si="114"/>
        <v>Igual</v>
      </c>
      <c r="U472" s="86" t="s">
        <v>1563</v>
      </c>
      <c r="V472" s="86" t="s">
        <v>11</v>
      </c>
      <c r="W472" s="87" t="str">
        <f>IFERROR(VLOOKUP(B472,#REF!,11,0),"n/a")</f>
        <v>n/a</v>
      </c>
      <c r="X472" s="87" t="str">
        <f>IFERROR(VLOOKUP(B472,#REF!,8,0),"n/a")</f>
        <v>n/a</v>
      </c>
      <c r="Y472" s="87" t="str">
        <f t="shared" si="121"/>
        <v>ESTR</v>
      </c>
      <c r="Z472" s="131" t="s">
        <v>1605</v>
      </c>
      <c r="AA472" s="227" t="e">
        <f>VLOOKUP(Table1[[#This Row],[CONCAT]],'Campos Resumo Prop2.0'!A:H,8,0)</f>
        <v>#N/A</v>
      </c>
      <c r="AB472" s="87" t="s">
        <v>1651</v>
      </c>
      <c r="AC472" s="135" t="s">
        <v>1625</v>
      </c>
      <c r="AD472" s="91">
        <f>INDEX(Auxiliar!$D$5:$I$10,MATCH('LISTA - Setembro2024'!AD$3,Auxiliar!$B$5:$B$10,0),MATCH('LISTA - Setembro2024'!$AC472,Auxiliar!$D$4:$I$4,0))</f>
        <v>0</v>
      </c>
      <c r="AE472" s="91">
        <f>INDEX(Auxiliar!$D$5:$I$10,MATCH('LISTA - Setembro2024'!AE$3,Auxiliar!$B$5:$B$10,0),MATCH('LISTA - Setembro2024'!$AC472,Auxiliar!$D$4:$I$4,0))</f>
        <v>0</v>
      </c>
      <c r="AF472" s="87">
        <f>INDEX(Auxiliar!$D$5:$I$10,MATCH('LISTA - Setembro2024'!AF$3,Auxiliar!$B$5:$B$10,0),MATCH('LISTA - Setembro2024'!$AC472,Auxiliar!$D$4:$I$4,0))</f>
        <v>0</v>
      </c>
      <c r="AG472" s="87" t="str">
        <f t="shared" si="117"/>
        <v>n.a.</v>
      </c>
      <c r="AH472" s="87">
        <f>INDEX(Auxiliar!$D$5:$I$10,MATCH('LISTA - Setembro2024'!AH$3,Auxiliar!$B$5:$B$10,0),MATCH('LISTA - Setembro2024'!$AG472,Auxiliar!$D$4:$I$4,0))</f>
        <v>0</v>
      </c>
      <c r="AI472" s="87">
        <f>INDEX(Auxiliar!$D$5:$I$10,MATCH('LISTA - Setembro2024'!AI$3,Auxiliar!$B$5:$B$10,0),MATCH('LISTA - Setembro2024'!$AC472,Auxiliar!$D$4:$I$4,0))</f>
        <v>0</v>
      </c>
      <c r="AJ472" s="87">
        <f>INDEX(Auxiliar!$D$5:$I$10,MATCH('LISTA - Setembro2024'!AJ$3,Auxiliar!$B$5:$B$10,0),MATCH('LISTA - Setembro2024'!$AC472,Auxiliar!$D$4:$I$4,0))</f>
        <v>0</v>
      </c>
      <c r="AK472" s="160">
        <f t="shared" si="118"/>
        <v>0</v>
      </c>
      <c r="AL472" s="87"/>
    </row>
    <row r="473" spans="1:38" ht="13.8" x14ac:dyDescent="0.25">
      <c r="A473" s="158" t="s">
        <v>1167</v>
      </c>
      <c r="B473" s="81" t="str">
        <f t="shared" si="116"/>
        <v>PROTECTION_DT_PRTCTN_VL</v>
      </c>
      <c r="C473" s="82" t="s">
        <v>1114</v>
      </c>
      <c r="D473" s="83" t="s">
        <v>1168</v>
      </c>
      <c r="E473" s="84" t="s">
        <v>1169</v>
      </c>
      <c r="F473" s="85" t="s">
        <v>13</v>
      </c>
      <c r="G473" s="85" t="s">
        <v>11</v>
      </c>
      <c r="H473" s="85" t="s">
        <v>11</v>
      </c>
      <c r="I473" s="85" t="s">
        <v>11</v>
      </c>
      <c r="J473" s="85" t="s">
        <v>11</v>
      </c>
      <c r="K473" s="85" t="s">
        <v>11</v>
      </c>
      <c r="L473" s="86" t="str">
        <f>IFERROR(VLOOKUP($B473,'LISTA - Atual'!$B$1:$I$444,5,0),"Novo")</f>
        <v>Y</v>
      </c>
      <c r="M473" s="86" t="str">
        <f t="shared" si="111"/>
        <v>Igual</v>
      </c>
      <c r="N473" s="86" t="str">
        <f>IFERROR(VLOOKUP($B473,'LISTA - Atual'!$B$1:$I$444,6,0),"Novo")</f>
        <v>N</v>
      </c>
      <c r="O473" s="86" t="str">
        <f t="shared" si="112"/>
        <v>Igual</v>
      </c>
      <c r="P473" s="86" t="str">
        <f>IFERROR(VLOOKUP($B473,'LISTA - Atual'!$B$1:$I$444,7,0),"Novo")</f>
        <v>N</v>
      </c>
      <c r="Q473" s="86" t="str">
        <f t="shared" si="113"/>
        <v>Igual</v>
      </c>
      <c r="R473" s="86" t="s">
        <v>1563</v>
      </c>
      <c r="S473" s="86" t="str">
        <f>IFERROR(VLOOKUP($B473,'LISTA - Atual'!$B$1:$I$444,8,0),"Novo")</f>
        <v>N</v>
      </c>
      <c r="T473" s="86" t="str">
        <f t="shared" si="114"/>
        <v>Igual</v>
      </c>
      <c r="U473" s="86" t="s">
        <v>1563</v>
      </c>
      <c r="V473" s="86" t="s">
        <v>11</v>
      </c>
      <c r="W473" s="87" t="str">
        <f>IFERROR(VLOOKUP(B473,#REF!,11,0),"n/a")</f>
        <v>n/a</v>
      </c>
      <c r="X473" s="87" t="str">
        <f>IFERROR(VLOOKUP(B473,#REF!,8,0),"n/a")</f>
        <v>n/a</v>
      </c>
      <c r="Y473" s="87" t="str">
        <f t="shared" si="121"/>
        <v>ESTR</v>
      </c>
      <c r="Z473" s="131" t="s">
        <v>1605</v>
      </c>
      <c r="AA473" s="227" t="e">
        <f>VLOOKUP(Table1[[#This Row],[CONCAT]],'Campos Resumo Prop2.0'!A:H,8,0)</f>
        <v>#N/A</v>
      </c>
      <c r="AB473" s="87" t="s">
        <v>1651</v>
      </c>
      <c r="AC473" s="135" t="s">
        <v>1625</v>
      </c>
      <c r="AD473" s="91">
        <f>INDEX(Auxiliar!$D$5:$I$10,MATCH('LISTA - Setembro2024'!AD$3,Auxiliar!$B$5:$B$10,0),MATCH('LISTA - Setembro2024'!$AC473,Auxiliar!$D$4:$I$4,0))</f>
        <v>0</v>
      </c>
      <c r="AE473" s="91">
        <f>INDEX(Auxiliar!$D$5:$I$10,MATCH('LISTA - Setembro2024'!AE$3,Auxiliar!$B$5:$B$10,0),MATCH('LISTA - Setembro2024'!$AC473,Auxiliar!$D$4:$I$4,0))</f>
        <v>0</v>
      </c>
      <c r="AF473" s="87">
        <f>INDEX(Auxiliar!$D$5:$I$10,MATCH('LISTA - Setembro2024'!AF$3,Auxiliar!$B$5:$B$10,0),MATCH('LISTA - Setembro2024'!$AC473,Auxiliar!$D$4:$I$4,0))</f>
        <v>0</v>
      </c>
      <c r="AG473" s="87" t="str">
        <f t="shared" si="117"/>
        <v>n.a.</v>
      </c>
      <c r="AH473" s="87">
        <f>INDEX(Auxiliar!$D$5:$I$10,MATCH('LISTA - Setembro2024'!AH$3,Auxiliar!$B$5:$B$10,0),MATCH('LISTA - Setembro2024'!$AG473,Auxiliar!$D$4:$I$4,0))</f>
        <v>0</v>
      </c>
      <c r="AI473" s="87">
        <f>INDEX(Auxiliar!$D$5:$I$10,MATCH('LISTA - Setembro2024'!AI$3,Auxiliar!$B$5:$B$10,0),MATCH('LISTA - Setembro2024'!$AC473,Auxiliar!$D$4:$I$4,0))</f>
        <v>0</v>
      </c>
      <c r="AJ473" s="87">
        <f>INDEX(Auxiliar!$D$5:$I$10,MATCH('LISTA - Setembro2024'!AJ$3,Auxiliar!$B$5:$B$10,0),MATCH('LISTA - Setembro2024'!$AC473,Auxiliar!$D$4:$I$4,0))</f>
        <v>0</v>
      </c>
      <c r="AK473" s="160">
        <f t="shared" si="118"/>
        <v>0</v>
      </c>
      <c r="AL473" s="87"/>
    </row>
    <row r="474" spans="1:38" ht="13.8" x14ac:dyDescent="0.25">
      <c r="A474" s="158" t="s">
        <v>1170</v>
      </c>
      <c r="B474" s="81" t="str">
        <f t="shared" si="116"/>
        <v>PROTECTION_ORGNL_PRTCTN_VL</v>
      </c>
      <c r="C474" s="82" t="s">
        <v>1114</v>
      </c>
      <c r="D474" s="83" t="s">
        <v>1171</v>
      </c>
      <c r="E474" s="84" t="s">
        <v>1172</v>
      </c>
      <c r="F474" s="85" t="s">
        <v>13</v>
      </c>
      <c r="G474" s="85" t="s">
        <v>11</v>
      </c>
      <c r="H474" s="85" t="s">
        <v>13</v>
      </c>
      <c r="I474" s="85" t="s">
        <v>11</v>
      </c>
      <c r="J474" s="85" t="s">
        <v>11</v>
      </c>
      <c r="K474" s="85" t="s">
        <v>11</v>
      </c>
      <c r="L474" s="86" t="str">
        <f>IFERROR(VLOOKUP($B474,'LISTA - Atual'!$B$1:$I$444,5,0),"Novo")</f>
        <v>Y</v>
      </c>
      <c r="M474" s="86" t="str">
        <f t="shared" si="111"/>
        <v>Igual</v>
      </c>
      <c r="N474" s="86" t="str">
        <f>IFERROR(VLOOKUP($B474,'LISTA - Atual'!$B$1:$I$444,6,0),"Novo")</f>
        <v>N</v>
      </c>
      <c r="O474" s="86" t="str">
        <f t="shared" si="112"/>
        <v>Igual</v>
      </c>
      <c r="P474" s="86" t="str">
        <f>IFERROR(VLOOKUP($B474,'LISTA - Atual'!$B$1:$I$444,7,0),"Novo")</f>
        <v>Y</v>
      </c>
      <c r="Q474" s="86" t="str">
        <f t="shared" si="113"/>
        <v>Igual</v>
      </c>
      <c r="R474" s="86" t="s">
        <v>1563</v>
      </c>
      <c r="S474" s="86" t="str">
        <f>IFERROR(VLOOKUP($B474,'LISTA - Atual'!$B$1:$I$444,8,0),"Novo")</f>
        <v>N</v>
      </c>
      <c r="T474" s="86" t="str">
        <f t="shared" si="114"/>
        <v>Igual</v>
      </c>
      <c r="U474" s="86" t="s">
        <v>1563</v>
      </c>
      <c r="V474" s="86" t="s">
        <v>11</v>
      </c>
      <c r="W474" s="87" t="str">
        <f>IFERROR(VLOOKUP(B474,#REF!,11,0),"n/a")</f>
        <v>n/a</v>
      </c>
      <c r="X474" s="87" t="str">
        <f>IFERROR(VLOOKUP(B474,#REF!,8,0),"n/a")</f>
        <v>n/a</v>
      </c>
      <c r="Y474" s="87" t="str">
        <f>$F$2&amp;$Y$1&amp;$H$2</f>
        <v>ESTR &amp; PILAR3</v>
      </c>
      <c r="Z474" s="131" t="s">
        <v>1605</v>
      </c>
      <c r="AA474" s="227" t="e">
        <f>VLOOKUP(Table1[[#This Row],[CONCAT]],'Campos Resumo Prop2.0'!A:H,8,0)</f>
        <v>#N/A</v>
      </c>
      <c r="AB474" s="87" t="s">
        <v>1655</v>
      </c>
      <c r="AC474" s="135" t="s">
        <v>1625</v>
      </c>
      <c r="AD474" s="91">
        <f>INDEX(Auxiliar!$D$5:$I$10,MATCH('LISTA - Setembro2024'!AD$3,Auxiliar!$B$5:$B$10,0),MATCH('LISTA - Setembro2024'!$AC474,Auxiliar!$D$4:$I$4,0))</f>
        <v>0</v>
      </c>
      <c r="AE474" s="91">
        <f>INDEX(Auxiliar!$D$5:$I$10,MATCH('LISTA - Setembro2024'!AE$3,Auxiliar!$B$5:$B$10,0),MATCH('LISTA - Setembro2024'!$AC474,Auxiliar!$D$4:$I$4,0))</f>
        <v>0</v>
      </c>
      <c r="AF474" s="87">
        <f>INDEX(Auxiliar!$D$5:$I$10,MATCH('LISTA - Setembro2024'!AF$3,Auxiliar!$B$5:$B$10,0),MATCH('LISTA - Setembro2024'!$AC474,Auxiliar!$D$4:$I$4,0))</f>
        <v>0</v>
      </c>
      <c r="AG474" s="87" t="str">
        <f t="shared" si="117"/>
        <v>n.a.</v>
      </c>
      <c r="AH474" s="87">
        <f>INDEX(Auxiliar!$D$5:$I$10,MATCH('LISTA - Setembro2024'!AH$3,Auxiliar!$B$5:$B$10,0),MATCH('LISTA - Setembro2024'!$AG474,Auxiliar!$D$4:$I$4,0))</f>
        <v>0</v>
      </c>
      <c r="AI474" s="87">
        <f>INDEX(Auxiliar!$D$5:$I$10,MATCH('LISTA - Setembro2024'!AI$3,Auxiliar!$B$5:$B$10,0),MATCH('LISTA - Setembro2024'!$AC474,Auxiliar!$D$4:$I$4,0))</f>
        <v>0</v>
      </c>
      <c r="AJ474" s="87">
        <f>INDEX(Auxiliar!$D$5:$I$10,MATCH('LISTA - Setembro2024'!AJ$3,Auxiliar!$B$5:$B$10,0),MATCH('LISTA - Setembro2024'!$AC474,Auxiliar!$D$4:$I$4,0))</f>
        <v>0</v>
      </c>
      <c r="AK474" s="160">
        <f t="shared" si="118"/>
        <v>0</v>
      </c>
      <c r="AL474" s="87"/>
    </row>
    <row r="475" spans="1:38" ht="13.8" x14ac:dyDescent="0.25">
      <c r="A475" s="158" t="s">
        <v>1173</v>
      </c>
      <c r="B475" s="81" t="str">
        <f t="shared" si="116"/>
        <v>PROTECTION_PRTCTN_FRCD_SL_VL</v>
      </c>
      <c r="C475" s="82" t="s">
        <v>1114</v>
      </c>
      <c r="D475" s="83" t="s">
        <v>1174</v>
      </c>
      <c r="E475" s="84" t="s">
        <v>1175</v>
      </c>
      <c r="F475" s="85" t="s">
        <v>13</v>
      </c>
      <c r="G475" s="85" t="s">
        <v>11</v>
      </c>
      <c r="H475" s="85" t="s">
        <v>11</v>
      </c>
      <c r="I475" s="85" t="s">
        <v>11</v>
      </c>
      <c r="J475" s="85" t="s">
        <v>11</v>
      </c>
      <c r="K475" s="85" t="s">
        <v>11</v>
      </c>
      <c r="L475" s="86" t="str">
        <f>IFERROR(VLOOKUP($B475,'LISTA - Atual'!$B$1:$I$444,5,0),"Novo")</f>
        <v>Y</v>
      </c>
      <c r="M475" s="86" t="str">
        <f t="shared" si="111"/>
        <v>Igual</v>
      </c>
      <c r="N475" s="86" t="str">
        <f>IFERROR(VLOOKUP($B475,'LISTA - Atual'!$B$1:$I$444,6,0),"Novo")</f>
        <v>N</v>
      </c>
      <c r="O475" s="86" t="str">
        <f t="shared" si="112"/>
        <v>Igual</v>
      </c>
      <c r="P475" s="86" t="str">
        <f>IFERROR(VLOOKUP($B475,'LISTA - Atual'!$B$1:$I$444,7,0),"Novo")</f>
        <v>N</v>
      </c>
      <c r="Q475" s="86" t="str">
        <f t="shared" si="113"/>
        <v>Igual</v>
      </c>
      <c r="R475" s="86" t="s">
        <v>1563</v>
      </c>
      <c r="S475" s="86" t="str">
        <f>IFERROR(VLOOKUP($B475,'LISTA - Atual'!$B$1:$I$444,8,0),"Novo")</f>
        <v>N</v>
      </c>
      <c r="T475" s="86" t="str">
        <f t="shared" si="114"/>
        <v>Igual</v>
      </c>
      <c r="U475" s="86" t="s">
        <v>1563</v>
      </c>
      <c r="V475" s="86" t="s">
        <v>11</v>
      </c>
      <c r="W475" s="87" t="str">
        <f>IFERROR(VLOOKUP(B475,#REF!,11,0),"n/a")</f>
        <v>n/a</v>
      </c>
      <c r="X475" s="87" t="str">
        <f>IFERROR(VLOOKUP(B475,#REF!,8,0),"n/a")</f>
        <v>n/a</v>
      </c>
      <c r="Y475" s="87" t="str">
        <f>$F$2</f>
        <v>ESTR</v>
      </c>
      <c r="Z475" s="131" t="s">
        <v>1605</v>
      </c>
      <c r="AA475" s="227" t="e">
        <f>VLOOKUP(Table1[[#This Row],[CONCAT]],'Campos Resumo Prop2.0'!A:H,8,0)</f>
        <v>#N/A</v>
      </c>
      <c r="AB475" s="87" t="s">
        <v>1655</v>
      </c>
      <c r="AC475" s="135" t="s">
        <v>1625</v>
      </c>
      <c r="AD475" s="91">
        <f>INDEX(Auxiliar!$D$5:$I$10,MATCH('LISTA - Setembro2024'!AD$3,Auxiliar!$B$5:$B$10,0),MATCH('LISTA - Setembro2024'!$AC475,Auxiliar!$D$4:$I$4,0))</f>
        <v>0</v>
      </c>
      <c r="AE475" s="91">
        <f>INDEX(Auxiliar!$D$5:$I$10,MATCH('LISTA - Setembro2024'!AE$3,Auxiliar!$B$5:$B$10,0),MATCH('LISTA - Setembro2024'!$AC475,Auxiliar!$D$4:$I$4,0))</f>
        <v>0</v>
      </c>
      <c r="AF475" s="87">
        <f>INDEX(Auxiliar!$D$5:$I$10,MATCH('LISTA - Setembro2024'!AF$3,Auxiliar!$B$5:$B$10,0),MATCH('LISTA - Setembro2024'!$AC475,Auxiliar!$D$4:$I$4,0))</f>
        <v>0</v>
      </c>
      <c r="AG475" s="87" t="str">
        <f t="shared" si="117"/>
        <v>n.a.</v>
      </c>
      <c r="AH475" s="87">
        <f>INDEX(Auxiliar!$D$5:$I$10,MATCH('LISTA - Setembro2024'!AH$3,Auxiliar!$B$5:$B$10,0),MATCH('LISTA - Setembro2024'!$AG475,Auxiliar!$D$4:$I$4,0))</f>
        <v>0</v>
      </c>
      <c r="AI475" s="87">
        <f>INDEX(Auxiliar!$D$5:$I$10,MATCH('LISTA - Setembro2024'!AI$3,Auxiliar!$B$5:$B$10,0),MATCH('LISTA - Setembro2024'!$AC475,Auxiliar!$D$4:$I$4,0))</f>
        <v>0</v>
      </c>
      <c r="AJ475" s="87">
        <f>INDEX(Auxiliar!$D$5:$I$10,MATCH('LISTA - Setembro2024'!AJ$3,Auxiliar!$B$5:$B$10,0),MATCH('LISTA - Setembro2024'!$AC475,Auxiliar!$D$4:$I$4,0))</f>
        <v>0</v>
      </c>
      <c r="AK475" s="160">
        <f t="shared" si="118"/>
        <v>0</v>
      </c>
      <c r="AL475" s="87"/>
    </row>
    <row r="476" spans="1:38" ht="13.8" x14ac:dyDescent="0.25">
      <c r="A476" s="158" t="s">
        <v>1176</v>
      </c>
      <c r="B476" s="81" t="str">
        <f t="shared" si="116"/>
        <v>PROTECTION_PRTCTN_VL</v>
      </c>
      <c r="C476" s="82" t="s">
        <v>1114</v>
      </c>
      <c r="D476" s="83" t="s">
        <v>1177</v>
      </c>
      <c r="E476" s="84" t="s">
        <v>1178</v>
      </c>
      <c r="F476" s="85" t="s">
        <v>13</v>
      </c>
      <c r="G476" s="89" t="s">
        <v>13</v>
      </c>
      <c r="H476" s="85" t="s">
        <v>13</v>
      </c>
      <c r="I476" s="85" t="s">
        <v>11</v>
      </c>
      <c r="J476" s="85" t="s">
        <v>11</v>
      </c>
      <c r="K476" s="85" t="s">
        <v>11</v>
      </c>
      <c r="L476" s="86" t="str">
        <f>IFERROR(VLOOKUP($B476,'LISTA - Atual'!$B$1:$I$444,5,0),"Novo")</f>
        <v>Y</v>
      </c>
      <c r="M476" s="86" t="str">
        <f t="shared" si="111"/>
        <v>Igual</v>
      </c>
      <c r="N476" s="86" t="str">
        <f>IFERROR(VLOOKUP($B476,'LISTA - Atual'!$B$1:$I$444,6,0),"Novo")</f>
        <v>N</v>
      </c>
      <c r="O476" s="86" t="str">
        <f t="shared" si="112"/>
        <v>Diferente</v>
      </c>
      <c r="P476" s="86" t="str">
        <f>IFERROR(VLOOKUP($B476,'LISTA - Atual'!$B$1:$I$444,7,0),"Novo")</f>
        <v>Y</v>
      </c>
      <c r="Q476" s="86" t="str">
        <f t="shared" si="113"/>
        <v>Igual</v>
      </c>
      <c r="R476" s="86" t="s">
        <v>1563</v>
      </c>
      <c r="S476" s="86" t="str">
        <f>IFERROR(VLOOKUP($B476,'LISTA - Atual'!$B$1:$I$444,8,0),"Novo")</f>
        <v>N</v>
      </c>
      <c r="T476" s="86" t="str">
        <f t="shared" si="114"/>
        <v>Igual</v>
      </c>
      <c r="U476" s="86" t="s">
        <v>1563</v>
      </c>
      <c r="V476" s="86" t="s">
        <v>11</v>
      </c>
      <c r="W476" s="87" t="str">
        <f>IFERROR(VLOOKUP(B476,#REF!,11,0),"n/a")</f>
        <v>n/a</v>
      </c>
      <c r="X476" s="87" t="str">
        <f>IFERROR(VLOOKUP(B476,#REF!,8,0),"n/a")</f>
        <v>n/a</v>
      </c>
      <c r="Y476" s="87" t="str">
        <f>$F$2&amp;$Y$1&amp;$G$2&amp;$Y$1&amp;$H$2</f>
        <v>ESTR &amp; GD &amp; PILAR3</v>
      </c>
      <c r="Z476" s="131" t="s">
        <v>1605</v>
      </c>
      <c r="AA476" s="227" t="e">
        <f>VLOOKUP(Table1[[#This Row],[CONCAT]],'Campos Resumo Prop2.0'!A:H,8,0)</f>
        <v>#N/A</v>
      </c>
      <c r="AB476" s="87" t="s">
        <v>1655</v>
      </c>
      <c r="AC476" s="135" t="s">
        <v>1625</v>
      </c>
      <c r="AD476" s="91">
        <f>INDEX(Auxiliar!$D$5:$I$10,MATCH('LISTA - Setembro2024'!AD$3,Auxiliar!$B$5:$B$10,0),MATCH('LISTA - Setembro2024'!$AC476,Auxiliar!$D$4:$I$4,0))</f>
        <v>0</v>
      </c>
      <c r="AE476" s="91">
        <f>INDEX(Auxiliar!$D$5:$I$10,MATCH('LISTA - Setembro2024'!AE$3,Auxiliar!$B$5:$B$10,0),MATCH('LISTA - Setembro2024'!$AC476,Auxiliar!$D$4:$I$4,0))</f>
        <v>0</v>
      </c>
      <c r="AF476" s="87">
        <f>INDEX(Auxiliar!$D$5:$I$10,MATCH('LISTA - Setembro2024'!AF$3,Auxiliar!$B$5:$B$10,0),MATCH('LISTA - Setembro2024'!$AC476,Auxiliar!$D$4:$I$4,0))</f>
        <v>0</v>
      </c>
      <c r="AG476" s="87" t="str">
        <f t="shared" si="117"/>
        <v>n.a.</v>
      </c>
      <c r="AH476" s="87">
        <f>INDEX(Auxiliar!$D$5:$I$10,MATCH('LISTA - Setembro2024'!AH$3,Auxiliar!$B$5:$B$10,0),MATCH('LISTA - Setembro2024'!$AG476,Auxiliar!$D$4:$I$4,0))</f>
        <v>0</v>
      </c>
      <c r="AI476" s="87">
        <f>INDEX(Auxiliar!$D$5:$I$10,MATCH('LISTA - Setembro2024'!AI$3,Auxiliar!$B$5:$B$10,0),MATCH('LISTA - Setembro2024'!$AC476,Auxiliar!$D$4:$I$4,0))</f>
        <v>0</v>
      </c>
      <c r="AJ476" s="87">
        <f>INDEX(Auxiliar!$D$5:$I$10,MATCH('LISTA - Setembro2024'!AJ$3,Auxiliar!$B$5:$B$10,0),MATCH('LISTA - Setembro2024'!$AC476,Auxiliar!$D$4:$I$4,0))</f>
        <v>0</v>
      </c>
      <c r="AK476" s="160">
        <f t="shared" si="118"/>
        <v>0</v>
      </c>
      <c r="AL476" s="87"/>
    </row>
    <row r="477" spans="1:38" ht="13.8" x14ac:dyDescent="0.25">
      <c r="A477" s="158" t="s">
        <v>1179</v>
      </c>
      <c r="B477" s="81" t="str">
        <f t="shared" si="116"/>
        <v>PROTECTION_PRTCTN_VL_NPE</v>
      </c>
      <c r="C477" s="82" t="s">
        <v>1114</v>
      </c>
      <c r="D477" s="83" t="s">
        <v>1180</v>
      </c>
      <c r="E477" s="84" t="s">
        <v>1181</v>
      </c>
      <c r="F477" s="85" t="s">
        <v>13</v>
      </c>
      <c r="G477" s="85" t="s">
        <v>11</v>
      </c>
      <c r="H477" s="85" t="s">
        <v>11</v>
      </c>
      <c r="I477" s="85" t="s">
        <v>11</v>
      </c>
      <c r="J477" s="85" t="s">
        <v>11</v>
      </c>
      <c r="K477" s="85" t="s">
        <v>11</v>
      </c>
      <c r="L477" s="86" t="str">
        <f>IFERROR(VLOOKUP($B477,'LISTA - Atual'!$B$1:$I$444,5,0),"Novo")</f>
        <v>Y</v>
      </c>
      <c r="M477" s="86" t="str">
        <f t="shared" si="111"/>
        <v>Igual</v>
      </c>
      <c r="N477" s="86" t="str">
        <f>IFERROR(VLOOKUP($B477,'LISTA - Atual'!$B$1:$I$444,6,0),"Novo")</f>
        <v>N</v>
      </c>
      <c r="O477" s="86" t="str">
        <f t="shared" si="112"/>
        <v>Igual</v>
      </c>
      <c r="P477" s="86" t="str">
        <f>IFERROR(VLOOKUP($B477,'LISTA - Atual'!$B$1:$I$444,7,0),"Novo")</f>
        <v>N</v>
      </c>
      <c r="Q477" s="86" t="str">
        <f t="shared" si="113"/>
        <v>Igual</v>
      </c>
      <c r="R477" s="86" t="s">
        <v>1563</v>
      </c>
      <c r="S477" s="86" t="str">
        <f>IFERROR(VLOOKUP($B477,'LISTA - Atual'!$B$1:$I$444,8,0),"Novo")</f>
        <v>N</v>
      </c>
      <c r="T477" s="86" t="str">
        <f t="shared" si="114"/>
        <v>Igual</v>
      </c>
      <c r="U477" s="86" t="s">
        <v>1563</v>
      </c>
      <c r="V477" s="86" t="s">
        <v>11</v>
      </c>
      <c r="W477" s="87" t="str">
        <f>IFERROR(VLOOKUP(B477,#REF!,11,0),"n/a")</f>
        <v>n/a</v>
      </c>
      <c r="X477" s="87" t="str">
        <f>IFERROR(VLOOKUP(B477,#REF!,8,0),"n/a")</f>
        <v>n/a</v>
      </c>
      <c r="Y477" s="87" t="str">
        <f t="shared" ref="Y477:Y491" si="122">$F$2</f>
        <v>ESTR</v>
      </c>
      <c r="Z477" s="131" t="s">
        <v>1605</v>
      </c>
      <c r="AA477" s="227" t="e">
        <f>VLOOKUP(Table1[[#This Row],[CONCAT]],'Campos Resumo Prop2.0'!A:H,8,0)</f>
        <v>#N/A</v>
      </c>
      <c r="AB477" s="87" t="s">
        <v>1655</v>
      </c>
      <c r="AC477" s="135" t="s">
        <v>1625</v>
      </c>
      <c r="AD477" s="91">
        <f>INDEX(Auxiliar!$D$5:$I$10,MATCH('LISTA - Setembro2024'!AD$3,Auxiliar!$B$5:$B$10,0),MATCH('LISTA - Setembro2024'!$AC477,Auxiliar!$D$4:$I$4,0))</f>
        <v>0</v>
      </c>
      <c r="AE477" s="91">
        <f>INDEX(Auxiliar!$D$5:$I$10,MATCH('LISTA - Setembro2024'!AE$3,Auxiliar!$B$5:$B$10,0),MATCH('LISTA - Setembro2024'!$AC477,Auxiliar!$D$4:$I$4,0))</f>
        <v>0</v>
      </c>
      <c r="AF477" s="87">
        <f>INDEX(Auxiliar!$D$5:$I$10,MATCH('LISTA - Setembro2024'!AF$3,Auxiliar!$B$5:$B$10,0),MATCH('LISTA - Setembro2024'!$AC477,Auxiliar!$D$4:$I$4,0))</f>
        <v>0</v>
      </c>
      <c r="AG477" s="87" t="str">
        <f t="shared" si="117"/>
        <v>n.a.</v>
      </c>
      <c r="AH477" s="87">
        <f>INDEX(Auxiliar!$D$5:$I$10,MATCH('LISTA - Setembro2024'!AH$3,Auxiliar!$B$5:$B$10,0),MATCH('LISTA - Setembro2024'!$AG477,Auxiliar!$D$4:$I$4,0))</f>
        <v>0</v>
      </c>
      <c r="AI477" s="87">
        <f>INDEX(Auxiliar!$D$5:$I$10,MATCH('LISTA - Setembro2024'!AI$3,Auxiliar!$B$5:$B$10,0),MATCH('LISTA - Setembro2024'!$AC477,Auxiliar!$D$4:$I$4,0))</f>
        <v>0</v>
      </c>
      <c r="AJ477" s="87">
        <f>INDEX(Auxiliar!$D$5:$I$10,MATCH('LISTA - Setembro2024'!AJ$3,Auxiliar!$B$5:$B$10,0),MATCH('LISTA - Setembro2024'!$AC477,Auxiliar!$D$4:$I$4,0))</f>
        <v>0</v>
      </c>
      <c r="AK477" s="160">
        <f t="shared" si="118"/>
        <v>0</v>
      </c>
      <c r="AL477" s="87"/>
    </row>
    <row r="478" spans="1:38" ht="13.8" x14ac:dyDescent="0.25">
      <c r="A478" s="158" t="s">
        <v>1182</v>
      </c>
      <c r="B478" s="81" t="str">
        <f t="shared" si="116"/>
        <v>PROTECTION_PRTCTN_VLTN_APPRCH</v>
      </c>
      <c r="C478" s="82" t="s">
        <v>1114</v>
      </c>
      <c r="D478" s="83" t="s">
        <v>1183</v>
      </c>
      <c r="E478" s="84" t="s">
        <v>1184</v>
      </c>
      <c r="F478" s="85" t="s">
        <v>13</v>
      </c>
      <c r="G478" s="85" t="s">
        <v>11</v>
      </c>
      <c r="H478" s="85" t="s">
        <v>11</v>
      </c>
      <c r="I478" s="85" t="s">
        <v>11</v>
      </c>
      <c r="J478" s="85" t="s">
        <v>11</v>
      </c>
      <c r="K478" s="85" t="s">
        <v>11</v>
      </c>
      <c r="L478" s="86" t="str">
        <f>IFERROR(VLOOKUP($B478,'LISTA - Atual'!$B$1:$I$444,5,0),"Novo")</f>
        <v>Y</v>
      </c>
      <c r="M478" s="86" t="str">
        <f t="shared" si="111"/>
        <v>Igual</v>
      </c>
      <c r="N478" s="86" t="str">
        <f>IFERROR(VLOOKUP($B478,'LISTA - Atual'!$B$1:$I$444,6,0),"Novo")</f>
        <v>N</v>
      </c>
      <c r="O478" s="86" t="str">
        <f t="shared" si="112"/>
        <v>Igual</v>
      </c>
      <c r="P478" s="86" t="str">
        <f>IFERROR(VLOOKUP($B478,'LISTA - Atual'!$B$1:$I$444,7,0),"Novo")</f>
        <v>N</v>
      </c>
      <c r="Q478" s="86" t="str">
        <f t="shared" si="113"/>
        <v>Igual</v>
      </c>
      <c r="R478" s="86" t="s">
        <v>1563</v>
      </c>
      <c r="S478" s="86" t="str">
        <f>IFERROR(VLOOKUP($B478,'LISTA - Atual'!$B$1:$I$444,8,0),"Novo")</f>
        <v>N</v>
      </c>
      <c r="T478" s="86" t="str">
        <f t="shared" si="114"/>
        <v>Igual</v>
      </c>
      <c r="U478" s="86" t="s">
        <v>1563</v>
      </c>
      <c r="V478" s="86" t="s">
        <v>11</v>
      </c>
      <c r="W478" s="87" t="str">
        <f>IFERROR(VLOOKUP(B478,#REF!,11,0),"n/a")</f>
        <v>n/a</v>
      </c>
      <c r="X478" s="87" t="str">
        <f>IFERROR(VLOOKUP(B478,#REF!,8,0),"n/a")</f>
        <v>n/a</v>
      </c>
      <c r="Y478" s="87" t="str">
        <f t="shared" si="122"/>
        <v>ESTR</v>
      </c>
      <c r="Z478" s="131" t="s">
        <v>1605</v>
      </c>
      <c r="AA478" s="227" t="e">
        <f>VLOOKUP(Table1[[#This Row],[CONCAT]],'Campos Resumo Prop2.0'!A:H,8,0)</f>
        <v>#N/A</v>
      </c>
      <c r="AB478" s="87" t="s">
        <v>1650</v>
      </c>
      <c r="AC478" s="135" t="s">
        <v>1625</v>
      </c>
      <c r="AD478" s="91">
        <f>INDEX(Auxiliar!$D$5:$I$10,MATCH('LISTA - Setembro2024'!AD$3,Auxiliar!$B$5:$B$10,0),MATCH('LISTA - Setembro2024'!$AC478,Auxiliar!$D$4:$I$4,0))</f>
        <v>0</v>
      </c>
      <c r="AE478" s="91">
        <f>INDEX(Auxiliar!$D$5:$I$10,MATCH('LISTA - Setembro2024'!AE$3,Auxiliar!$B$5:$B$10,0),MATCH('LISTA - Setembro2024'!$AC478,Auxiliar!$D$4:$I$4,0))</f>
        <v>0</v>
      </c>
      <c r="AF478" s="87">
        <f>INDEX(Auxiliar!$D$5:$I$10,MATCH('LISTA - Setembro2024'!AF$3,Auxiliar!$B$5:$B$10,0),MATCH('LISTA - Setembro2024'!$AC478,Auxiliar!$D$4:$I$4,0))</f>
        <v>0</v>
      </c>
      <c r="AG478" s="87" t="str">
        <f t="shared" si="117"/>
        <v>n.a.</v>
      </c>
      <c r="AH478" s="87">
        <f>INDEX(Auxiliar!$D$5:$I$10,MATCH('LISTA - Setembro2024'!AH$3,Auxiliar!$B$5:$B$10,0),MATCH('LISTA - Setembro2024'!$AG478,Auxiliar!$D$4:$I$4,0))</f>
        <v>0</v>
      </c>
      <c r="AI478" s="87">
        <f>INDEX(Auxiliar!$D$5:$I$10,MATCH('LISTA - Setembro2024'!AI$3,Auxiliar!$B$5:$B$10,0),MATCH('LISTA - Setembro2024'!$AC478,Auxiliar!$D$4:$I$4,0))</f>
        <v>0</v>
      </c>
      <c r="AJ478" s="87">
        <f>INDEX(Auxiliar!$D$5:$I$10,MATCH('LISTA - Setembro2024'!AJ$3,Auxiliar!$B$5:$B$10,0),MATCH('LISTA - Setembro2024'!$AC478,Auxiliar!$D$4:$I$4,0))</f>
        <v>0</v>
      </c>
      <c r="AK478" s="160">
        <f t="shared" si="118"/>
        <v>0</v>
      </c>
      <c r="AL478" s="87"/>
    </row>
    <row r="479" spans="1:38" ht="13.8" x14ac:dyDescent="0.25">
      <c r="A479" s="158" t="s">
        <v>1185</v>
      </c>
      <c r="B479" s="81" t="str">
        <f t="shared" si="116"/>
        <v>PROTECTION_DT_APPRSL_PRVS</v>
      </c>
      <c r="C479" s="82" t="s">
        <v>1114</v>
      </c>
      <c r="D479" s="83" t="s">
        <v>1186</v>
      </c>
      <c r="E479" s="84" t="s">
        <v>1187</v>
      </c>
      <c r="F479" s="85" t="s">
        <v>13</v>
      </c>
      <c r="G479" s="85" t="s">
        <v>11</v>
      </c>
      <c r="H479" s="85" t="s">
        <v>11</v>
      </c>
      <c r="I479" s="85" t="s">
        <v>11</v>
      </c>
      <c r="J479" s="85" t="s">
        <v>11</v>
      </c>
      <c r="K479" s="85" t="s">
        <v>11</v>
      </c>
      <c r="L479" s="86" t="str">
        <f>IFERROR(VLOOKUP($B479,'LISTA - Atual'!$B$1:$I$444,5,0),"Novo")</f>
        <v>Y</v>
      </c>
      <c r="M479" s="86" t="str">
        <f t="shared" si="111"/>
        <v>Igual</v>
      </c>
      <c r="N479" s="86" t="str">
        <f>IFERROR(VLOOKUP($B479,'LISTA - Atual'!$B$1:$I$444,6,0),"Novo")</f>
        <v>N</v>
      </c>
      <c r="O479" s="86" t="str">
        <f t="shared" si="112"/>
        <v>Igual</v>
      </c>
      <c r="P479" s="86" t="str">
        <f>IFERROR(VLOOKUP($B479,'LISTA - Atual'!$B$1:$I$444,7,0),"Novo")</f>
        <v>N</v>
      </c>
      <c r="Q479" s="86" t="str">
        <f t="shared" si="113"/>
        <v>Igual</v>
      </c>
      <c r="R479" s="86" t="s">
        <v>1563</v>
      </c>
      <c r="S479" s="86" t="str">
        <f>IFERROR(VLOOKUP($B479,'LISTA - Atual'!$B$1:$I$444,8,0),"Novo")</f>
        <v>N</v>
      </c>
      <c r="T479" s="86" t="str">
        <f t="shared" si="114"/>
        <v>Igual</v>
      </c>
      <c r="U479" s="86" t="s">
        <v>1563</v>
      </c>
      <c r="V479" s="86" t="s">
        <v>11</v>
      </c>
      <c r="W479" s="87" t="str">
        <f>IFERROR(VLOOKUP(B479,#REF!,11,0),"n/a")</f>
        <v>n/a</v>
      </c>
      <c r="X479" s="87" t="str">
        <f>IFERROR(VLOOKUP(B479,#REF!,8,0),"n/a")</f>
        <v>n/a</v>
      </c>
      <c r="Y479" s="87" t="str">
        <f t="shared" si="122"/>
        <v>ESTR</v>
      </c>
      <c r="Z479" s="131" t="s">
        <v>1605</v>
      </c>
      <c r="AA479" s="227" t="e">
        <f>VLOOKUP(Table1[[#This Row],[CONCAT]],'Campos Resumo Prop2.0'!A:H,8,0)</f>
        <v>#N/A</v>
      </c>
      <c r="AB479" s="87" t="s">
        <v>1651</v>
      </c>
      <c r="AC479" s="135" t="s">
        <v>1625</v>
      </c>
      <c r="AD479" s="91">
        <f>INDEX(Auxiliar!$D$5:$I$10,MATCH('LISTA - Setembro2024'!AD$3,Auxiliar!$B$5:$B$10,0),MATCH('LISTA - Setembro2024'!$AC479,Auxiliar!$D$4:$I$4,0))</f>
        <v>0</v>
      </c>
      <c r="AE479" s="91">
        <f>INDEX(Auxiliar!$D$5:$I$10,MATCH('LISTA - Setembro2024'!AE$3,Auxiliar!$B$5:$B$10,0),MATCH('LISTA - Setembro2024'!$AC479,Auxiliar!$D$4:$I$4,0))</f>
        <v>0</v>
      </c>
      <c r="AF479" s="87">
        <f>INDEX(Auxiliar!$D$5:$I$10,MATCH('LISTA - Setembro2024'!AF$3,Auxiliar!$B$5:$B$10,0),MATCH('LISTA - Setembro2024'!$AC479,Auxiliar!$D$4:$I$4,0))</f>
        <v>0</v>
      </c>
      <c r="AG479" s="87" t="str">
        <f t="shared" si="117"/>
        <v>n.a.</v>
      </c>
      <c r="AH479" s="87">
        <f>INDEX(Auxiliar!$D$5:$I$10,MATCH('LISTA - Setembro2024'!AH$3,Auxiliar!$B$5:$B$10,0),MATCH('LISTA - Setembro2024'!$AG479,Auxiliar!$D$4:$I$4,0))</f>
        <v>0</v>
      </c>
      <c r="AI479" s="87">
        <f>INDEX(Auxiliar!$D$5:$I$10,MATCH('LISTA - Setembro2024'!AI$3,Auxiliar!$B$5:$B$10,0),MATCH('LISTA - Setembro2024'!$AC479,Auxiliar!$D$4:$I$4,0))</f>
        <v>0</v>
      </c>
      <c r="AJ479" s="87">
        <f>INDEX(Auxiliar!$D$5:$I$10,MATCH('LISTA - Setembro2024'!AJ$3,Auxiliar!$B$5:$B$10,0),MATCH('LISTA - Setembro2024'!$AC479,Auxiliar!$D$4:$I$4,0))</f>
        <v>0</v>
      </c>
      <c r="AK479" s="160">
        <f t="shared" si="118"/>
        <v>0</v>
      </c>
      <c r="AL479" s="87"/>
    </row>
    <row r="480" spans="1:38" ht="13.8" x14ac:dyDescent="0.25">
      <c r="A480" s="158" t="s">
        <v>1188</v>
      </c>
      <c r="B480" s="81" t="str">
        <f t="shared" si="116"/>
        <v>PROTECTION_PRTCTN_VL_PRVS</v>
      </c>
      <c r="C480" s="82" t="s">
        <v>1114</v>
      </c>
      <c r="D480" s="83" t="s">
        <v>1189</v>
      </c>
      <c r="E480" s="84" t="s">
        <v>1190</v>
      </c>
      <c r="F480" s="85" t="s">
        <v>13</v>
      </c>
      <c r="G480" s="85" t="s">
        <v>11</v>
      </c>
      <c r="H480" s="85" t="s">
        <v>11</v>
      </c>
      <c r="I480" s="85" t="s">
        <v>11</v>
      </c>
      <c r="J480" s="85" t="s">
        <v>11</v>
      </c>
      <c r="K480" s="85" t="s">
        <v>11</v>
      </c>
      <c r="L480" s="86" t="str">
        <f>IFERROR(VLOOKUP($B480,'LISTA - Atual'!$B$1:$I$444,5,0),"Novo")</f>
        <v>Y</v>
      </c>
      <c r="M480" s="86" t="str">
        <f t="shared" ref="M480:M495" si="123">IF(L480="Novo","Novo Campo",IF(L480=F480,"Igual","Diferente"))</f>
        <v>Igual</v>
      </c>
      <c r="N480" s="86" t="str">
        <f>IFERROR(VLOOKUP($B480,'LISTA - Atual'!$B$1:$I$444,6,0),"Novo")</f>
        <v>N</v>
      </c>
      <c r="O480" s="86" t="str">
        <f t="shared" ref="O480:O495" si="124">IF(N480="Novo","Novo Campo",IF(N480=G480,"Igual","Diferente"))</f>
        <v>Igual</v>
      </c>
      <c r="P480" s="86" t="str">
        <f>IFERROR(VLOOKUP($B480,'LISTA - Atual'!$B$1:$I$444,7,0),"Novo")</f>
        <v>N</v>
      </c>
      <c r="Q480" s="86" t="str">
        <f t="shared" ref="Q480:Q495" si="125">IF(P480="Novo","Novo Campo",IF(P480=H480,"Igual","Diferente"))</f>
        <v>Igual</v>
      </c>
      <c r="R480" s="86" t="s">
        <v>1563</v>
      </c>
      <c r="S480" s="86" t="str">
        <f>IFERROR(VLOOKUP($B480,'LISTA - Atual'!$B$1:$I$444,8,0),"Novo")</f>
        <v>N</v>
      </c>
      <c r="T480" s="86" t="str">
        <f t="shared" ref="T480:T495" si="126">IF(S480="Novo","Novo Campo",IF(S480=J480,"Igual","Diferente"))</f>
        <v>Igual</v>
      </c>
      <c r="U480" s="86" t="s">
        <v>1563</v>
      </c>
      <c r="V480" s="86" t="s">
        <v>11</v>
      </c>
      <c r="W480" s="87" t="str">
        <f>IFERROR(VLOOKUP(B480,#REF!,11,0),"n/a")</f>
        <v>n/a</v>
      </c>
      <c r="X480" s="87" t="str">
        <f>IFERROR(VLOOKUP(B480,#REF!,8,0),"n/a")</f>
        <v>n/a</v>
      </c>
      <c r="Y480" s="87" t="str">
        <f t="shared" si="122"/>
        <v>ESTR</v>
      </c>
      <c r="Z480" s="131" t="s">
        <v>1605</v>
      </c>
      <c r="AA480" s="227" t="e">
        <f>VLOOKUP(Table1[[#This Row],[CONCAT]],'Campos Resumo Prop2.0'!A:H,8,0)</f>
        <v>#N/A</v>
      </c>
      <c r="AB480" s="87" t="s">
        <v>1655</v>
      </c>
      <c r="AC480" s="135" t="s">
        <v>1625</v>
      </c>
      <c r="AD480" s="91">
        <f>INDEX(Auxiliar!$D$5:$I$10,MATCH('LISTA - Setembro2024'!AD$3,Auxiliar!$B$5:$B$10,0),MATCH('LISTA - Setembro2024'!$AC480,Auxiliar!$D$4:$I$4,0))</f>
        <v>0</v>
      </c>
      <c r="AE480" s="91">
        <f>INDEX(Auxiliar!$D$5:$I$10,MATCH('LISTA - Setembro2024'!AE$3,Auxiliar!$B$5:$B$10,0),MATCH('LISTA - Setembro2024'!$AC480,Auxiliar!$D$4:$I$4,0))</f>
        <v>0</v>
      </c>
      <c r="AF480" s="87">
        <f>INDEX(Auxiliar!$D$5:$I$10,MATCH('LISTA - Setembro2024'!AF$3,Auxiliar!$B$5:$B$10,0),MATCH('LISTA - Setembro2024'!$AC480,Auxiliar!$D$4:$I$4,0))</f>
        <v>0</v>
      </c>
      <c r="AG480" s="87" t="str">
        <f t="shared" si="117"/>
        <v>n.a.</v>
      </c>
      <c r="AH480" s="87">
        <f>INDEX(Auxiliar!$D$5:$I$10,MATCH('LISTA - Setembro2024'!AH$3,Auxiliar!$B$5:$B$10,0),MATCH('LISTA - Setembro2024'!$AG480,Auxiliar!$D$4:$I$4,0))</f>
        <v>0</v>
      </c>
      <c r="AI480" s="87">
        <f>INDEX(Auxiliar!$D$5:$I$10,MATCH('LISTA - Setembro2024'!AI$3,Auxiliar!$B$5:$B$10,0),MATCH('LISTA - Setembro2024'!$AC480,Auxiliar!$D$4:$I$4,0))</f>
        <v>0</v>
      </c>
      <c r="AJ480" s="87">
        <f>INDEX(Auxiliar!$D$5:$I$10,MATCH('LISTA - Setembro2024'!AJ$3,Auxiliar!$B$5:$B$10,0),MATCH('LISTA - Setembro2024'!$AC480,Auxiliar!$D$4:$I$4,0))</f>
        <v>0</v>
      </c>
      <c r="AK480" s="160">
        <f t="shared" si="118"/>
        <v>0</v>
      </c>
      <c r="AL480" s="87"/>
    </row>
    <row r="481" spans="1:38" ht="13.8" x14ac:dyDescent="0.25">
      <c r="A481" s="158" t="s">
        <v>1191</v>
      </c>
      <c r="B481" s="81" t="str">
        <f t="shared" si="116"/>
        <v>PROTECTION_CNSTRCTN_STTS</v>
      </c>
      <c r="C481" s="82" t="s">
        <v>1114</v>
      </c>
      <c r="D481" s="83" t="s">
        <v>1192</v>
      </c>
      <c r="E481" s="84" t="s">
        <v>1193</v>
      </c>
      <c r="F481" s="85" t="s">
        <v>13</v>
      </c>
      <c r="G481" s="85" t="s">
        <v>11</v>
      </c>
      <c r="H481" s="85" t="s">
        <v>11</v>
      </c>
      <c r="I481" s="85" t="s">
        <v>11</v>
      </c>
      <c r="J481" s="85" t="s">
        <v>11</v>
      </c>
      <c r="K481" s="85" t="s">
        <v>11</v>
      </c>
      <c r="L481" s="86" t="str">
        <f>IFERROR(VLOOKUP($B481,'LISTA - Atual'!$B$1:$I$444,5,0),"Novo")</f>
        <v>Y</v>
      </c>
      <c r="M481" s="86" t="str">
        <f t="shared" si="123"/>
        <v>Igual</v>
      </c>
      <c r="N481" s="86" t="str">
        <f>IFERROR(VLOOKUP($B481,'LISTA - Atual'!$B$1:$I$444,6,0),"Novo")</f>
        <v>N</v>
      </c>
      <c r="O481" s="86" t="str">
        <f t="shared" si="124"/>
        <v>Igual</v>
      </c>
      <c r="P481" s="86" t="str">
        <f>IFERROR(VLOOKUP($B481,'LISTA - Atual'!$B$1:$I$444,7,0),"Novo")</f>
        <v>N</v>
      </c>
      <c r="Q481" s="86" t="str">
        <f t="shared" si="125"/>
        <v>Igual</v>
      </c>
      <c r="R481" s="86" t="s">
        <v>1563</v>
      </c>
      <c r="S481" s="86" t="str">
        <f>IFERROR(VLOOKUP($B481,'LISTA - Atual'!$B$1:$I$444,8,0),"Novo")</f>
        <v>N</v>
      </c>
      <c r="T481" s="86" t="str">
        <f t="shared" si="126"/>
        <v>Igual</v>
      </c>
      <c r="U481" s="86" t="s">
        <v>1563</v>
      </c>
      <c r="V481" s="86" t="s">
        <v>11</v>
      </c>
      <c r="W481" s="87" t="str">
        <f>IFERROR(VLOOKUP(B481,#REF!,11,0),"n/a")</f>
        <v>n/a</v>
      </c>
      <c r="X481" s="87" t="str">
        <f>IFERROR(VLOOKUP(B481,#REF!,8,0),"n/a")</f>
        <v>n/a</v>
      </c>
      <c r="Y481" s="87" t="str">
        <f t="shared" si="122"/>
        <v>ESTR</v>
      </c>
      <c r="Z481" s="131" t="s">
        <v>1605</v>
      </c>
      <c r="AA481" s="227" t="e">
        <f>VLOOKUP(Table1[[#This Row],[CONCAT]],'Campos Resumo Prop2.0'!A:H,8,0)</f>
        <v>#N/A</v>
      </c>
      <c r="AB481" s="87" t="s">
        <v>1650</v>
      </c>
      <c r="AC481" s="135" t="s">
        <v>1625</v>
      </c>
      <c r="AD481" s="91">
        <f>INDEX(Auxiliar!$D$5:$I$10,MATCH('LISTA - Setembro2024'!AD$3,Auxiliar!$B$5:$B$10,0),MATCH('LISTA - Setembro2024'!$AC481,Auxiliar!$D$4:$I$4,0))</f>
        <v>0</v>
      </c>
      <c r="AE481" s="91">
        <f>INDEX(Auxiliar!$D$5:$I$10,MATCH('LISTA - Setembro2024'!AE$3,Auxiliar!$B$5:$B$10,0),MATCH('LISTA - Setembro2024'!$AC481,Auxiliar!$D$4:$I$4,0))</f>
        <v>0</v>
      </c>
      <c r="AF481" s="87">
        <f>INDEX(Auxiliar!$D$5:$I$10,MATCH('LISTA - Setembro2024'!AF$3,Auxiliar!$B$5:$B$10,0),MATCH('LISTA - Setembro2024'!$AC481,Auxiliar!$D$4:$I$4,0))</f>
        <v>0</v>
      </c>
      <c r="AG481" s="87" t="str">
        <f t="shared" si="117"/>
        <v>n.a.</v>
      </c>
      <c r="AH481" s="87">
        <f>INDEX(Auxiliar!$D$5:$I$10,MATCH('LISTA - Setembro2024'!AH$3,Auxiliar!$B$5:$B$10,0),MATCH('LISTA - Setembro2024'!$AG481,Auxiliar!$D$4:$I$4,0))</f>
        <v>0</v>
      </c>
      <c r="AI481" s="87">
        <f>INDEX(Auxiliar!$D$5:$I$10,MATCH('LISTA - Setembro2024'!AI$3,Auxiliar!$B$5:$B$10,0),MATCH('LISTA - Setembro2024'!$AC481,Auxiliar!$D$4:$I$4,0))</f>
        <v>0</v>
      </c>
      <c r="AJ481" s="87">
        <f>INDEX(Auxiliar!$D$5:$I$10,MATCH('LISTA - Setembro2024'!AJ$3,Auxiliar!$B$5:$B$10,0),MATCH('LISTA - Setembro2024'!$AC481,Auxiliar!$D$4:$I$4,0))</f>
        <v>0</v>
      </c>
      <c r="AK481" s="160">
        <f t="shared" si="118"/>
        <v>0</v>
      </c>
      <c r="AL481" s="87"/>
    </row>
    <row r="482" spans="1:38" ht="13.8" x14ac:dyDescent="0.25">
      <c r="A482" s="158" t="s">
        <v>1194</v>
      </c>
      <c r="B482" s="81" t="str">
        <f t="shared" si="116"/>
        <v>PROTECTION_DT_CNSTRCTN_STTS</v>
      </c>
      <c r="C482" s="82" t="s">
        <v>1114</v>
      </c>
      <c r="D482" s="83" t="s">
        <v>1195</v>
      </c>
      <c r="E482" s="84" t="s">
        <v>1196</v>
      </c>
      <c r="F482" s="85" t="s">
        <v>13</v>
      </c>
      <c r="G482" s="85" t="s">
        <v>11</v>
      </c>
      <c r="H482" s="85" t="s">
        <v>11</v>
      </c>
      <c r="I482" s="85" t="s">
        <v>11</v>
      </c>
      <c r="J482" s="85" t="s">
        <v>11</v>
      </c>
      <c r="K482" s="85" t="s">
        <v>11</v>
      </c>
      <c r="L482" s="86" t="str">
        <f>IFERROR(VLOOKUP($B482,'LISTA - Atual'!$B$1:$I$444,5,0),"Novo")</f>
        <v>Y</v>
      </c>
      <c r="M482" s="86" t="str">
        <f t="shared" si="123"/>
        <v>Igual</v>
      </c>
      <c r="N482" s="86" t="str">
        <f>IFERROR(VLOOKUP($B482,'LISTA - Atual'!$B$1:$I$444,6,0),"Novo")</f>
        <v>N</v>
      </c>
      <c r="O482" s="86" t="str">
        <f t="shared" si="124"/>
        <v>Igual</v>
      </c>
      <c r="P482" s="86" t="str">
        <f>IFERROR(VLOOKUP($B482,'LISTA - Atual'!$B$1:$I$444,7,0),"Novo")</f>
        <v>N</v>
      </c>
      <c r="Q482" s="86" t="str">
        <f t="shared" si="125"/>
        <v>Igual</v>
      </c>
      <c r="R482" s="86" t="s">
        <v>1563</v>
      </c>
      <c r="S482" s="86" t="str">
        <f>IFERROR(VLOOKUP($B482,'LISTA - Atual'!$B$1:$I$444,8,0),"Novo")</f>
        <v>N</v>
      </c>
      <c r="T482" s="86" t="str">
        <f t="shared" si="126"/>
        <v>Igual</v>
      </c>
      <c r="U482" s="86" t="s">
        <v>1563</v>
      </c>
      <c r="V482" s="86" t="s">
        <v>11</v>
      </c>
      <c r="W482" s="87" t="str">
        <f>IFERROR(VLOOKUP(B482,#REF!,11,0),"n/a")</f>
        <v>n/a</v>
      </c>
      <c r="X482" s="87" t="str">
        <f>IFERROR(VLOOKUP(B482,#REF!,8,0),"n/a")</f>
        <v>n/a</v>
      </c>
      <c r="Y482" s="87" t="str">
        <f t="shared" si="122"/>
        <v>ESTR</v>
      </c>
      <c r="Z482" s="131" t="s">
        <v>1605</v>
      </c>
      <c r="AA482" s="227" t="e">
        <f>VLOOKUP(Table1[[#This Row],[CONCAT]],'Campos Resumo Prop2.0'!A:H,8,0)</f>
        <v>#N/A</v>
      </c>
      <c r="AB482" s="87" t="s">
        <v>1651</v>
      </c>
      <c r="AC482" s="135" t="s">
        <v>1625</v>
      </c>
      <c r="AD482" s="91">
        <f>INDEX(Auxiliar!$D$5:$I$10,MATCH('LISTA - Setembro2024'!AD$3,Auxiliar!$B$5:$B$10,0),MATCH('LISTA - Setembro2024'!$AC482,Auxiliar!$D$4:$I$4,0))</f>
        <v>0</v>
      </c>
      <c r="AE482" s="91">
        <f>INDEX(Auxiliar!$D$5:$I$10,MATCH('LISTA - Setembro2024'!AE$3,Auxiliar!$B$5:$B$10,0),MATCH('LISTA - Setembro2024'!$AC482,Auxiliar!$D$4:$I$4,0))</f>
        <v>0</v>
      </c>
      <c r="AF482" s="87">
        <f>INDEX(Auxiliar!$D$5:$I$10,MATCH('LISTA - Setembro2024'!AF$3,Auxiliar!$B$5:$B$10,0),MATCH('LISTA - Setembro2024'!$AC482,Auxiliar!$D$4:$I$4,0))</f>
        <v>0</v>
      </c>
      <c r="AG482" s="87" t="str">
        <f t="shared" si="117"/>
        <v>n.a.</v>
      </c>
      <c r="AH482" s="87">
        <f>INDEX(Auxiliar!$D$5:$I$10,MATCH('LISTA - Setembro2024'!AH$3,Auxiliar!$B$5:$B$10,0),MATCH('LISTA - Setembro2024'!$AG482,Auxiliar!$D$4:$I$4,0))</f>
        <v>0</v>
      </c>
      <c r="AI482" s="87">
        <f>INDEX(Auxiliar!$D$5:$I$10,MATCH('LISTA - Setembro2024'!AI$3,Auxiliar!$B$5:$B$10,0),MATCH('LISTA - Setembro2024'!$AC482,Auxiliar!$D$4:$I$4,0))</f>
        <v>0</v>
      </c>
      <c r="AJ482" s="87">
        <f>INDEX(Auxiliar!$D$5:$I$10,MATCH('LISTA - Setembro2024'!AJ$3,Auxiliar!$B$5:$B$10,0),MATCH('LISTA - Setembro2024'!$AC482,Auxiliar!$D$4:$I$4,0))</f>
        <v>0</v>
      </c>
      <c r="AK482" s="160">
        <f t="shared" si="118"/>
        <v>0</v>
      </c>
      <c r="AL482" s="87"/>
    </row>
    <row r="483" spans="1:38" ht="13.8" x14ac:dyDescent="0.25">
      <c r="A483" s="158" t="s">
        <v>1197</v>
      </c>
      <c r="B483" s="81" t="str">
        <f t="shared" si="116"/>
        <v>PROTECTION_DT_FRST_USG</v>
      </c>
      <c r="C483" s="82" t="s">
        <v>1114</v>
      </c>
      <c r="D483" s="83" t="s">
        <v>1198</v>
      </c>
      <c r="E483" s="84" t="s">
        <v>1199</v>
      </c>
      <c r="F483" s="85" t="s">
        <v>13</v>
      </c>
      <c r="G483" s="85" t="s">
        <v>11</v>
      </c>
      <c r="H483" s="85" t="s">
        <v>11</v>
      </c>
      <c r="I483" s="85" t="s">
        <v>11</v>
      </c>
      <c r="J483" s="85" t="s">
        <v>11</v>
      </c>
      <c r="K483" s="85" t="s">
        <v>11</v>
      </c>
      <c r="L483" s="86" t="str">
        <f>IFERROR(VLOOKUP($B483,'LISTA - Atual'!$B$1:$I$444,5,0),"Novo")</f>
        <v>Y</v>
      </c>
      <c r="M483" s="86" t="str">
        <f t="shared" si="123"/>
        <v>Igual</v>
      </c>
      <c r="N483" s="86" t="str">
        <f>IFERROR(VLOOKUP($B483,'LISTA - Atual'!$B$1:$I$444,6,0),"Novo")</f>
        <v>N</v>
      </c>
      <c r="O483" s="86" t="str">
        <f t="shared" si="124"/>
        <v>Igual</v>
      </c>
      <c r="P483" s="86" t="str">
        <f>IFERROR(VLOOKUP($B483,'LISTA - Atual'!$B$1:$I$444,7,0),"Novo")</f>
        <v>N</v>
      </c>
      <c r="Q483" s="86" t="str">
        <f t="shared" si="125"/>
        <v>Igual</v>
      </c>
      <c r="R483" s="86" t="s">
        <v>1563</v>
      </c>
      <c r="S483" s="86" t="str">
        <f>IFERROR(VLOOKUP($B483,'LISTA - Atual'!$B$1:$I$444,8,0),"Novo")</f>
        <v>N</v>
      </c>
      <c r="T483" s="86" t="str">
        <f t="shared" si="126"/>
        <v>Igual</v>
      </c>
      <c r="U483" s="86" t="s">
        <v>1563</v>
      </c>
      <c r="V483" s="86" t="s">
        <v>11</v>
      </c>
      <c r="W483" s="87" t="str">
        <f>IFERROR(VLOOKUP(B483,#REF!,11,0),"n/a")</f>
        <v>n/a</v>
      </c>
      <c r="X483" s="87" t="str">
        <f>IFERROR(VLOOKUP(B483,#REF!,8,0),"n/a")</f>
        <v>n/a</v>
      </c>
      <c r="Y483" s="87" t="str">
        <f t="shared" si="122"/>
        <v>ESTR</v>
      </c>
      <c r="Z483" s="131" t="s">
        <v>1605</v>
      </c>
      <c r="AA483" s="227" t="e">
        <f>VLOOKUP(Table1[[#This Row],[CONCAT]],'Campos Resumo Prop2.0'!A:H,8,0)</f>
        <v>#N/A</v>
      </c>
      <c r="AB483" s="87" t="s">
        <v>1651</v>
      </c>
      <c r="AC483" s="135" t="s">
        <v>1625</v>
      </c>
      <c r="AD483" s="91">
        <f>INDEX(Auxiliar!$D$5:$I$10,MATCH('LISTA - Setembro2024'!AD$3,Auxiliar!$B$5:$B$10,0),MATCH('LISTA - Setembro2024'!$AC483,Auxiliar!$D$4:$I$4,0))</f>
        <v>0</v>
      </c>
      <c r="AE483" s="91">
        <f>INDEX(Auxiliar!$D$5:$I$10,MATCH('LISTA - Setembro2024'!AE$3,Auxiliar!$B$5:$B$10,0),MATCH('LISTA - Setembro2024'!$AC483,Auxiliar!$D$4:$I$4,0))</f>
        <v>0</v>
      </c>
      <c r="AF483" s="87">
        <f>INDEX(Auxiliar!$D$5:$I$10,MATCH('LISTA - Setembro2024'!AF$3,Auxiliar!$B$5:$B$10,0),MATCH('LISTA - Setembro2024'!$AC483,Auxiliar!$D$4:$I$4,0))</f>
        <v>0</v>
      </c>
      <c r="AG483" s="87" t="str">
        <f t="shared" si="117"/>
        <v>n.a.</v>
      </c>
      <c r="AH483" s="87">
        <f>INDEX(Auxiliar!$D$5:$I$10,MATCH('LISTA - Setembro2024'!AH$3,Auxiliar!$B$5:$B$10,0),MATCH('LISTA - Setembro2024'!$AG483,Auxiliar!$D$4:$I$4,0))</f>
        <v>0</v>
      </c>
      <c r="AI483" s="87">
        <f>INDEX(Auxiliar!$D$5:$I$10,MATCH('LISTA - Setembro2024'!AI$3,Auxiliar!$B$5:$B$10,0),MATCH('LISTA - Setembro2024'!$AC483,Auxiliar!$D$4:$I$4,0))</f>
        <v>0</v>
      </c>
      <c r="AJ483" s="87">
        <f>INDEX(Auxiliar!$D$5:$I$10,MATCH('LISTA - Setembro2024'!AJ$3,Auxiliar!$B$5:$B$10,0),MATCH('LISTA - Setembro2024'!$AC483,Auxiliar!$D$4:$I$4,0))</f>
        <v>0</v>
      </c>
      <c r="AK483" s="160">
        <f t="shared" si="118"/>
        <v>0</v>
      </c>
      <c r="AL483" s="87"/>
    </row>
    <row r="484" spans="1:38" ht="13.8" x14ac:dyDescent="0.25">
      <c r="A484" s="158" t="s">
        <v>1200</v>
      </c>
      <c r="B484" s="81" t="str">
        <f t="shared" si="116"/>
        <v>PROTECTION_DVLPMNT_STTS</v>
      </c>
      <c r="C484" s="82" t="s">
        <v>1114</v>
      </c>
      <c r="D484" s="83" t="s">
        <v>1201</v>
      </c>
      <c r="E484" s="84" t="s">
        <v>1202</v>
      </c>
      <c r="F484" s="85" t="s">
        <v>13</v>
      </c>
      <c r="G484" s="85" t="s">
        <v>11</v>
      </c>
      <c r="H484" s="85" t="s">
        <v>11</v>
      </c>
      <c r="I484" s="85" t="s">
        <v>11</v>
      </c>
      <c r="J484" s="85" t="s">
        <v>11</v>
      </c>
      <c r="K484" s="85" t="s">
        <v>11</v>
      </c>
      <c r="L484" s="86" t="str">
        <f>IFERROR(VLOOKUP($B484,'LISTA - Atual'!$B$1:$I$444,5,0),"Novo")</f>
        <v>Y</v>
      </c>
      <c r="M484" s="86" t="str">
        <f t="shared" si="123"/>
        <v>Igual</v>
      </c>
      <c r="N484" s="86" t="str">
        <f>IFERROR(VLOOKUP($B484,'LISTA - Atual'!$B$1:$I$444,6,0),"Novo")</f>
        <v>N</v>
      </c>
      <c r="O484" s="86" t="str">
        <f t="shared" si="124"/>
        <v>Igual</v>
      </c>
      <c r="P484" s="86" t="str">
        <f>IFERROR(VLOOKUP($B484,'LISTA - Atual'!$B$1:$I$444,7,0),"Novo")</f>
        <v>N</v>
      </c>
      <c r="Q484" s="86" t="str">
        <f t="shared" si="125"/>
        <v>Igual</v>
      </c>
      <c r="R484" s="86" t="s">
        <v>1563</v>
      </c>
      <c r="S484" s="86" t="str">
        <f>IFERROR(VLOOKUP($B484,'LISTA - Atual'!$B$1:$I$444,8,0),"Novo")</f>
        <v>N</v>
      </c>
      <c r="T484" s="86" t="str">
        <f t="shared" si="126"/>
        <v>Igual</v>
      </c>
      <c r="U484" s="86" t="s">
        <v>1563</v>
      </c>
      <c r="V484" s="86" t="s">
        <v>11</v>
      </c>
      <c r="W484" s="87" t="str">
        <f>IFERROR(VLOOKUP(B484,#REF!,11,0),"n/a")</f>
        <v>n/a</v>
      </c>
      <c r="X484" s="87" t="str">
        <f>IFERROR(VLOOKUP(B484,#REF!,8,0),"n/a")</f>
        <v>n/a</v>
      </c>
      <c r="Y484" s="87" t="str">
        <f t="shared" si="122"/>
        <v>ESTR</v>
      </c>
      <c r="Z484" s="131" t="s">
        <v>1605</v>
      </c>
      <c r="AA484" s="227" t="e">
        <f>VLOOKUP(Table1[[#This Row],[CONCAT]],'Campos Resumo Prop2.0'!A:H,8,0)</f>
        <v>#N/A</v>
      </c>
      <c r="AB484" s="87" t="s">
        <v>1650</v>
      </c>
      <c r="AC484" s="135" t="s">
        <v>1625</v>
      </c>
      <c r="AD484" s="91">
        <f>INDEX(Auxiliar!$D$5:$I$10,MATCH('LISTA - Setembro2024'!AD$3,Auxiliar!$B$5:$B$10,0),MATCH('LISTA - Setembro2024'!$AC484,Auxiliar!$D$4:$I$4,0))</f>
        <v>0</v>
      </c>
      <c r="AE484" s="91">
        <f>INDEX(Auxiliar!$D$5:$I$10,MATCH('LISTA - Setembro2024'!AE$3,Auxiliar!$B$5:$B$10,0),MATCH('LISTA - Setembro2024'!$AC484,Auxiliar!$D$4:$I$4,0))</f>
        <v>0</v>
      </c>
      <c r="AF484" s="87">
        <f>INDEX(Auxiliar!$D$5:$I$10,MATCH('LISTA - Setembro2024'!AF$3,Auxiliar!$B$5:$B$10,0),MATCH('LISTA - Setembro2024'!$AC484,Auxiliar!$D$4:$I$4,0))</f>
        <v>0</v>
      </c>
      <c r="AG484" s="87" t="str">
        <f t="shared" si="117"/>
        <v>n.a.</v>
      </c>
      <c r="AH484" s="87">
        <f>INDEX(Auxiliar!$D$5:$I$10,MATCH('LISTA - Setembro2024'!AH$3,Auxiliar!$B$5:$B$10,0),MATCH('LISTA - Setembro2024'!$AG484,Auxiliar!$D$4:$I$4,0))</f>
        <v>0</v>
      </c>
      <c r="AI484" s="87">
        <f>INDEX(Auxiliar!$D$5:$I$10,MATCH('LISTA - Setembro2024'!AI$3,Auxiliar!$B$5:$B$10,0),MATCH('LISTA - Setembro2024'!$AC484,Auxiliar!$D$4:$I$4,0))</f>
        <v>0</v>
      </c>
      <c r="AJ484" s="87">
        <f>INDEX(Auxiliar!$D$5:$I$10,MATCH('LISTA - Setembro2024'!AJ$3,Auxiliar!$B$5:$B$10,0),MATCH('LISTA - Setembro2024'!$AC484,Auxiliar!$D$4:$I$4,0))</f>
        <v>0</v>
      </c>
      <c r="AK484" s="160">
        <f t="shared" si="118"/>
        <v>0</v>
      </c>
      <c r="AL484" s="87"/>
    </row>
    <row r="485" spans="1:38" ht="13.8" x14ac:dyDescent="0.25">
      <c r="A485" s="158" t="s">
        <v>1203</v>
      </c>
      <c r="B485" s="81" t="str">
        <f t="shared" si="116"/>
        <v>PROTECTION_MN_PRPS</v>
      </c>
      <c r="C485" s="82" t="s">
        <v>1114</v>
      </c>
      <c r="D485" s="83" t="s">
        <v>1204</v>
      </c>
      <c r="E485" s="84" t="s">
        <v>1205</v>
      </c>
      <c r="F485" s="85" t="s">
        <v>13</v>
      </c>
      <c r="G485" s="85" t="s">
        <v>11</v>
      </c>
      <c r="H485" s="85" t="s">
        <v>11</v>
      </c>
      <c r="I485" s="85" t="s">
        <v>11</v>
      </c>
      <c r="J485" s="85" t="s">
        <v>11</v>
      </c>
      <c r="K485" s="85" t="s">
        <v>11</v>
      </c>
      <c r="L485" s="86" t="str">
        <f>IFERROR(VLOOKUP($B485,'LISTA - Atual'!$B$1:$I$444,5,0),"Novo")</f>
        <v>Y</v>
      </c>
      <c r="M485" s="86" t="str">
        <f t="shared" si="123"/>
        <v>Igual</v>
      </c>
      <c r="N485" s="86" t="str">
        <f>IFERROR(VLOOKUP($B485,'LISTA - Atual'!$B$1:$I$444,6,0),"Novo")</f>
        <v>N</v>
      </c>
      <c r="O485" s="86" t="str">
        <f t="shared" si="124"/>
        <v>Igual</v>
      </c>
      <c r="P485" s="86" t="str">
        <f>IFERROR(VLOOKUP($B485,'LISTA - Atual'!$B$1:$I$444,7,0),"Novo")</f>
        <v>N</v>
      </c>
      <c r="Q485" s="86" t="str">
        <f t="shared" si="125"/>
        <v>Igual</v>
      </c>
      <c r="R485" s="86" t="s">
        <v>1563</v>
      </c>
      <c r="S485" s="86" t="str">
        <f>IFERROR(VLOOKUP($B485,'LISTA - Atual'!$B$1:$I$444,8,0),"Novo")</f>
        <v>N</v>
      </c>
      <c r="T485" s="86" t="str">
        <f t="shared" si="126"/>
        <v>Igual</v>
      </c>
      <c r="U485" s="86" t="s">
        <v>1563</v>
      </c>
      <c r="V485" s="86" t="s">
        <v>11</v>
      </c>
      <c r="W485" s="87" t="str">
        <f>IFERROR(VLOOKUP(B485,#REF!,11,0),"n/a")</f>
        <v>n/a</v>
      </c>
      <c r="X485" s="87" t="str">
        <f>IFERROR(VLOOKUP(B485,#REF!,8,0),"n/a")</f>
        <v>n/a</v>
      </c>
      <c r="Y485" s="87" t="str">
        <f t="shared" si="122"/>
        <v>ESTR</v>
      </c>
      <c r="Z485" s="131" t="s">
        <v>1605</v>
      </c>
      <c r="AA485" s="227" t="e">
        <f>VLOOKUP(Table1[[#This Row],[CONCAT]],'Campos Resumo Prop2.0'!A:H,8,0)</f>
        <v>#N/A</v>
      </c>
      <c r="AB485" s="87" t="s">
        <v>1650</v>
      </c>
      <c r="AC485" s="135" t="s">
        <v>1625</v>
      </c>
      <c r="AD485" s="91">
        <f>INDEX(Auxiliar!$D$5:$I$10,MATCH('LISTA - Setembro2024'!AD$3,Auxiliar!$B$5:$B$10,0),MATCH('LISTA - Setembro2024'!$AC485,Auxiliar!$D$4:$I$4,0))</f>
        <v>0</v>
      </c>
      <c r="AE485" s="91">
        <f>INDEX(Auxiliar!$D$5:$I$10,MATCH('LISTA - Setembro2024'!AE$3,Auxiliar!$B$5:$B$10,0),MATCH('LISTA - Setembro2024'!$AC485,Auxiliar!$D$4:$I$4,0))</f>
        <v>0</v>
      </c>
      <c r="AF485" s="87">
        <f>INDEX(Auxiliar!$D$5:$I$10,MATCH('LISTA - Setembro2024'!AF$3,Auxiliar!$B$5:$B$10,0),MATCH('LISTA - Setembro2024'!$AC485,Auxiliar!$D$4:$I$4,0))</f>
        <v>0</v>
      </c>
      <c r="AG485" s="87" t="str">
        <f t="shared" si="117"/>
        <v>n.a.</v>
      </c>
      <c r="AH485" s="87">
        <f>INDEX(Auxiliar!$D$5:$I$10,MATCH('LISTA - Setembro2024'!AH$3,Auxiliar!$B$5:$B$10,0),MATCH('LISTA - Setembro2024'!$AG485,Auxiliar!$D$4:$I$4,0))</f>
        <v>0</v>
      </c>
      <c r="AI485" s="87">
        <f>INDEX(Auxiliar!$D$5:$I$10,MATCH('LISTA - Setembro2024'!AI$3,Auxiliar!$B$5:$B$10,0),MATCH('LISTA - Setembro2024'!$AC485,Auxiliar!$D$4:$I$4,0))</f>
        <v>0</v>
      </c>
      <c r="AJ485" s="87">
        <f>INDEX(Auxiliar!$D$5:$I$10,MATCH('LISTA - Setembro2024'!AJ$3,Auxiliar!$B$5:$B$10,0),MATCH('LISTA - Setembro2024'!$AC485,Auxiliar!$D$4:$I$4,0))</f>
        <v>0</v>
      </c>
      <c r="AK485" s="160">
        <f t="shared" si="118"/>
        <v>0</v>
      </c>
      <c r="AL485" s="87"/>
    </row>
    <row r="486" spans="1:38" ht="13.8" x14ac:dyDescent="0.25">
      <c r="A486" s="158" t="s">
        <v>1206</v>
      </c>
      <c r="B486" s="81" t="str">
        <f t="shared" si="116"/>
        <v>PROTECTION_PRM_LCTN</v>
      </c>
      <c r="C486" s="82" t="s">
        <v>1114</v>
      </c>
      <c r="D486" s="83" t="s">
        <v>1207</v>
      </c>
      <c r="E486" s="84" t="s">
        <v>1208</v>
      </c>
      <c r="F486" s="85" t="s">
        <v>13</v>
      </c>
      <c r="G486" s="85" t="s">
        <v>11</v>
      </c>
      <c r="H486" s="85" t="s">
        <v>11</v>
      </c>
      <c r="I486" s="85" t="s">
        <v>11</v>
      </c>
      <c r="J486" s="85" t="s">
        <v>11</v>
      </c>
      <c r="K486" s="85" t="s">
        <v>11</v>
      </c>
      <c r="L486" s="86" t="str">
        <f>IFERROR(VLOOKUP($B486,'LISTA - Atual'!$B$1:$I$444,5,0),"Novo")</f>
        <v>Y</v>
      </c>
      <c r="M486" s="86" t="str">
        <f t="shared" si="123"/>
        <v>Igual</v>
      </c>
      <c r="N486" s="86" t="str">
        <f>IFERROR(VLOOKUP($B486,'LISTA - Atual'!$B$1:$I$444,6,0),"Novo")</f>
        <v>N</v>
      </c>
      <c r="O486" s="86" t="str">
        <f t="shared" si="124"/>
        <v>Igual</v>
      </c>
      <c r="P486" s="86" t="str">
        <f>IFERROR(VLOOKUP($B486,'LISTA - Atual'!$B$1:$I$444,7,0),"Novo")</f>
        <v>N</v>
      </c>
      <c r="Q486" s="86" t="str">
        <f t="shared" si="125"/>
        <v>Igual</v>
      </c>
      <c r="R486" s="86" t="s">
        <v>1563</v>
      </c>
      <c r="S486" s="86" t="str">
        <f>IFERROR(VLOOKUP($B486,'LISTA - Atual'!$B$1:$I$444,8,0),"Novo")</f>
        <v>N</v>
      </c>
      <c r="T486" s="86" t="str">
        <f t="shared" si="126"/>
        <v>Igual</v>
      </c>
      <c r="U486" s="86" t="s">
        <v>1563</v>
      </c>
      <c r="V486" s="86" t="s">
        <v>11</v>
      </c>
      <c r="W486" s="87" t="str">
        <f>IFERROR(VLOOKUP(B486,#REF!,11,0),"n/a")</f>
        <v>n/a</v>
      </c>
      <c r="X486" s="87" t="str">
        <f>IFERROR(VLOOKUP(B486,#REF!,8,0),"n/a")</f>
        <v>n/a</v>
      </c>
      <c r="Y486" s="87" t="str">
        <f t="shared" si="122"/>
        <v>ESTR</v>
      </c>
      <c r="Z486" s="131" t="s">
        <v>1605</v>
      </c>
      <c r="AA486" s="227" t="e">
        <f>VLOOKUP(Table1[[#This Row],[CONCAT]],'Campos Resumo Prop2.0'!A:H,8,0)</f>
        <v>#N/A</v>
      </c>
      <c r="AB486" s="87" t="s">
        <v>1654</v>
      </c>
      <c r="AC486" s="135" t="s">
        <v>1625</v>
      </c>
      <c r="AD486" s="91">
        <f>INDEX(Auxiliar!$D$5:$I$10,MATCH('LISTA - Setembro2024'!AD$3,Auxiliar!$B$5:$B$10,0),MATCH('LISTA - Setembro2024'!$AC486,Auxiliar!$D$4:$I$4,0))</f>
        <v>0</v>
      </c>
      <c r="AE486" s="91">
        <f>INDEX(Auxiliar!$D$5:$I$10,MATCH('LISTA - Setembro2024'!AE$3,Auxiliar!$B$5:$B$10,0),MATCH('LISTA - Setembro2024'!$AC486,Auxiliar!$D$4:$I$4,0))</f>
        <v>0</v>
      </c>
      <c r="AF486" s="87">
        <f>INDEX(Auxiliar!$D$5:$I$10,MATCH('LISTA - Setembro2024'!AF$3,Auxiliar!$B$5:$B$10,0),MATCH('LISTA - Setembro2024'!$AC486,Auxiliar!$D$4:$I$4,0))</f>
        <v>0</v>
      </c>
      <c r="AG486" s="87" t="str">
        <f t="shared" si="117"/>
        <v>n.a.</v>
      </c>
      <c r="AH486" s="87">
        <f>INDEX(Auxiliar!$D$5:$I$10,MATCH('LISTA - Setembro2024'!AH$3,Auxiliar!$B$5:$B$10,0),MATCH('LISTA - Setembro2024'!$AG486,Auxiliar!$D$4:$I$4,0))</f>
        <v>0</v>
      </c>
      <c r="AI486" s="87">
        <f>INDEX(Auxiliar!$D$5:$I$10,MATCH('LISTA - Setembro2024'!AI$3,Auxiliar!$B$5:$B$10,0),MATCH('LISTA - Setembro2024'!$AC486,Auxiliar!$D$4:$I$4,0))</f>
        <v>0</v>
      </c>
      <c r="AJ486" s="87">
        <f>INDEX(Auxiliar!$D$5:$I$10,MATCH('LISTA - Setembro2024'!AJ$3,Auxiliar!$B$5:$B$10,0),MATCH('LISTA - Setembro2024'!$AC486,Auxiliar!$D$4:$I$4,0))</f>
        <v>0</v>
      </c>
      <c r="AK486" s="160">
        <f t="shared" si="118"/>
        <v>0</v>
      </c>
      <c r="AL486" s="87"/>
    </row>
    <row r="487" spans="1:38" ht="13.8" x14ac:dyDescent="0.25">
      <c r="A487" s="158" t="s">
        <v>1209</v>
      </c>
      <c r="B487" s="81" t="str">
        <f t="shared" si="116"/>
        <v>PROTECTION_CRE_INCM_CRRNCY</v>
      </c>
      <c r="C487" s="82" t="s">
        <v>1114</v>
      </c>
      <c r="D487" s="83" t="s">
        <v>1210</v>
      </c>
      <c r="E487" s="84" t="s">
        <v>1211</v>
      </c>
      <c r="F487" s="85" t="s">
        <v>13</v>
      </c>
      <c r="G487" s="85" t="s">
        <v>11</v>
      </c>
      <c r="H487" s="85" t="s">
        <v>11</v>
      </c>
      <c r="I487" s="85" t="s">
        <v>11</v>
      </c>
      <c r="J487" s="85" t="s">
        <v>11</v>
      </c>
      <c r="K487" s="85" t="s">
        <v>11</v>
      </c>
      <c r="L487" s="86" t="str">
        <f>IFERROR(VLOOKUP($B487,'LISTA - Atual'!$B$1:$I$444,5,0),"Novo")</f>
        <v>Y</v>
      </c>
      <c r="M487" s="86" t="str">
        <f t="shared" si="123"/>
        <v>Igual</v>
      </c>
      <c r="N487" s="86" t="str">
        <f>IFERROR(VLOOKUP($B487,'LISTA - Atual'!$B$1:$I$444,6,0),"Novo")</f>
        <v>N</v>
      </c>
      <c r="O487" s="86" t="str">
        <f t="shared" si="124"/>
        <v>Igual</v>
      </c>
      <c r="P487" s="86" t="str">
        <f>IFERROR(VLOOKUP($B487,'LISTA - Atual'!$B$1:$I$444,7,0),"Novo")</f>
        <v>N</v>
      </c>
      <c r="Q487" s="86" t="str">
        <f t="shared" si="125"/>
        <v>Igual</v>
      </c>
      <c r="R487" s="86" t="s">
        <v>1563</v>
      </c>
      <c r="S487" s="86" t="str">
        <f>IFERROR(VLOOKUP($B487,'LISTA - Atual'!$B$1:$I$444,8,0),"Novo")</f>
        <v>N</v>
      </c>
      <c r="T487" s="86" t="str">
        <f t="shared" si="126"/>
        <v>Igual</v>
      </c>
      <c r="U487" s="86" t="s">
        <v>1563</v>
      </c>
      <c r="V487" s="86" t="s">
        <v>11</v>
      </c>
      <c r="W487" s="87" t="str">
        <f>IFERROR(VLOOKUP(B487,#REF!,11,0),"n/a")</f>
        <v>n/a</v>
      </c>
      <c r="X487" s="87" t="str">
        <f>IFERROR(VLOOKUP(B487,#REF!,8,0),"n/a")</f>
        <v>n/a</v>
      </c>
      <c r="Y487" s="87" t="str">
        <f t="shared" si="122"/>
        <v>ESTR</v>
      </c>
      <c r="Z487" s="131" t="s">
        <v>1605</v>
      </c>
      <c r="AA487" s="227" t="e">
        <f>VLOOKUP(Table1[[#This Row],[CONCAT]],'Campos Resumo Prop2.0'!A:H,8,0)</f>
        <v>#N/A</v>
      </c>
      <c r="AB487" s="87" t="s">
        <v>1650</v>
      </c>
      <c r="AC487" s="135" t="s">
        <v>1625</v>
      </c>
      <c r="AD487" s="91">
        <f>INDEX(Auxiliar!$D$5:$I$10,MATCH('LISTA - Setembro2024'!AD$3,Auxiliar!$B$5:$B$10,0),MATCH('LISTA - Setembro2024'!$AC487,Auxiliar!$D$4:$I$4,0))</f>
        <v>0</v>
      </c>
      <c r="AE487" s="91">
        <f>INDEX(Auxiliar!$D$5:$I$10,MATCH('LISTA - Setembro2024'!AE$3,Auxiliar!$B$5:$B$10,0),MATCH('LISTA - Setembro2024'!$AC487,Auxiliar!$D$4:$I$4,0))</f>
        <v>0</v>
      </c>
      <c r="AF487" s="87">
        <f>INDEX(Auxiliar!$D$5:$I$10,MATCH('LISTA - Setembro2024'!AF$3,Auxiliar!$B$5:$B$10,0),MATCH('LISTA - Setembro2024'!$AC487,Auxiliar!$D$4:$I$4,0))</f>
        <v>0</v>
      </c>
      <c r="AG487" s="87" t="str">
        <f t="shared" si="117"/>
        <v>n.a.</v>
      </c>
      <c r="AH487" s="87">
        <f>INDEX(Auxiliar!$D$5:$I$10,MATCH('LISTA - Setembro2024'!AH$3,Auxiliar!$B$5:$B$10,0),MATCH('LISTA - Setembro2024'!$AG487,Auxiliar!$D$4:$I$4,0))</f>
        <v>0</v>
      </c>
      <c r="AI487" s="87">
        <f>INDEX(Auxiliar!$D$5:$I$10,MATCH('LISTA - Setembro2024'!AI$3,Auxiliar!$B$5:$B$10,0),MATCH('LISTA - Setembro2024'!$AC487,Auxiliar!$D$4:$I$4,0))</f>
        <v>0</v>
      </c>
      <c r="AJ487" s="87">
        <f>INDEX(Auxiliar!$D$5:$I$10,MATCH('LISTA - Setembro2024'!AJ$3,Auxiliar!$B$5:$B$10,0),MATCH('LISTA - Setembro2024'!$AC487,Auxiliar!$D$4:$I$4,0))</f>
        <v>0</v>
      </c>
      <c r="AK487" s="160">
        <f t="shared" si="118"/>
        <v>0</v>
      </c>
      <c r="AL487" s="87"/>
    </row>
    <row r="488" spans="1:38" ht="13.8" x14ac:dyDescent="0.25">
      <c r="A488" s="158" t="s">
        <v>1212</v>
      </c>
      <c r="B488" s="81" t="str">
        <f t="shared" si="116"/>
        <v>PROTECTION_CRE_YRLY_EXPNSS</v>
      </c>
      <c r="C488" s="82" t="s">
        <v>1114</v>
      </c>
      <c r="D488" s="83" t="s">
        <v>1213</v>
      </c>
      <c r="E488" s="84" t="s">
        <v>1214</v>
      </c>
      <c r="F488" s="85" t="s">
        <v>13</v>
      </c>
      <c r="G488" s="85" t="s">
        <v>11</v>
      </c>
      <c r="H488" s="85" t="s">
        <v>11</v>
      </c>
      <c r="I488" s="85" t="s">
        <v>11</v>
      </c>
      <c r="J488" s="85" t="s">
        <v>11</v>
      </c>
      <c r="K488" s="85" t="s">
        <v>11</v>
      </c>
      <c r="L488" s="86" t="str">
        <f>IFERROR(VLOOKUP($B488,'LISTA - Atual'!$B$1:$I$444,5,0),"Novo")</f>
        <v>Y</v>
      </c>
      <c r="M488" s="86" t="str">
        <f t="shared" si="123"/>
        <v>Igual</v>
      </c>
      <c r="N488" s="86" t="str">
        <f>IFERROR(VLOOKUP($B488,'LISTA - Atual'!$B$1:$I$444,6,0),"Novo")</f>
        <v>N</v>
      </c>
      <c r="O488" s="86" t="str">
        <f t="shared" si="124"/>
        <v>Igual</v>
      </c>
      <c r="P488" s="86" t="str">
        <f>IFERROR(VLOOKUP($B488,'LISTA - Atual'!$B$1:$I$444,7,0),"Novo")</f>
        <v>N</v>
      </c>
      <c r="Q488" s="86" t="str">
        <f t="shared" si="125"/>
        <v>Igual</v>
      </c>
      <c r="R488" s="86" t="s">
        <v>1563</v>
      </c>
      <c r="S488" s="86" t="str">
        <f>IFERROR(VLOOKUP($B488,'LISTA - Atual'!$B$1:$I$444,8,0),"Novo")</f>
        <v>N</v>
      </c>
      <c r="T488" s="86" t="str">
        <f t="shared" si="126"/>
        <v>Igual</v>
      </c>
      <c r="U488" s="86" t="s">
        <v>1563</v>
      </c>
      <c r="V488" s="86" t="s">
        <v>11</v>
      </c>
      <c r="W488" s="87" t="str">
        <f>IFERROR(VLOOKUP(B488,#REF!,11,0),"n/a")</f>
        <v>n/a</v>
      </c>
      <c r="X488" s="87" t="str">
        <f>IFERROR(VLOOKUP(B488,#REF!,8,0),"n/a")</f>
        <v>n/a</v>
      </c>
      <c r="Y488" s="87" t="str">
        <f t="shared" si="122"/>
        <v>ESTR</v>
      </c>
      <c r="Z488" s="131" t="s">
        <v>1605</v>
      </c>
      <c r="AA488" s="227" t="e">
        <f>VLOOKUP(Table1[[#This Row],[CONCAT]],'Campos Resumo Prop2.0'!A:H,8,0)</f>
        <v>#N/A</v>
      </c>
      <c r="AB488" s="87" t="s">
        <v>1655</v>
      </c>
      <c r="AC488" s="135" t="s">
        <v>1625</v>
      </c>
      <c r="AD488" s="91">
        <f>INDEX(Auxiliar!$D$5:$I$10,MATCH('LISTA - Setembro2024'!AD$3,Auxiliar!$B$5:$B$10,0),MATCH('LISTA - Setembro2024'!$AC488,Auxiliar!$D$4:$I$4,0))</f>
        <v>0</v>
      </c>
      <c r="AE488" s="91">
        <f>INDEX(Auxiliar!$D$5:$I$10,MATCH('LISTA - Setembro2024'!AE$3,Auxiliar!$B$5:$B$10,0),MATCH('LISTA - Setembro2024'!$AC488,Auxiliar!$D$4:$I$4,0))</f>
        <v>0</v>
      </c>
      <c r="AF488" s="87">
        <f>INDEX(Auxiliar!$D$5:$I$10,MATCH('LISTA - Setembro2024'!AF$3,Auxiliar!$B$5:$B$10,0),MATCH('LISTA - Setembro2024'!$AC488,Auxiliar!$D$4:$I$4,0))</f>
        <v>0</v>
      </c>
      <c r="AG488" s="87" t="str">
        <f t="shared" si="117"/>
        <v>n.a.</v>
      </c>
      <c r="AH488" s="87">
        <f>INDEX(Auxiliar!$D$5:$I$10,MATCH('LISTA - Setembro2024'!AH$3,Auxiliar!$B$5:$B$10,0),MATCH('LISTA - Setembro2024'!$AG488,Auxiliar!$D$4:$I$4,0))</f>
        <v>0</v>
      </c>
      <c r="AI488" s="87">
        <f>INDEX(Auxiliar!$D$5:$I$10,MATCH('LISTA - Setembro2024'!AI$3,Auxiliar!$B$5:$B$10,0),MATCH('LISTA - Setembro2024'!$AC488,Auxiliar!$D$4:$I$4,0))</f>
        <v>0</v>
      </c>
      <c r="AJ488" s="87">
        <f>INDEX(Auxiliar!$D$5:$I$10,MATCH('LISTA - Setembro2024'!AJ$3,Auxiliar!$B$5:$B$10,0),MATCH('LISTA - Setembro2024'!$AC488,Auxiliar!$D$4:$I$4,0))</f>
        <v>0</v>
      </c>
      <c r="AK488" s="160">
        <f t="shared" si="118"/>
        <v>0</v>
      </c>
      <c r="AL488" s="87"/>
    </row>
    <row r="489" spans="1:38" ht="13.8" x14ac:dyDescent="0.25">
      <c r="A489" s="158" t="s">
        <v>1215</v>
      </c>
      <c r="B489" s="81" t="str">
        <f t="shared" si="116"/>
        <v>PROTECTION_CRE_YRLY_INCM</v>
      </c>
      <c r="C489" s="82" t="s">
        <v>1114</v>
      </c>
      <c r="D489" s="83" t="s">
        <v>1216</v>
      </c>
      <c r="E489" s="84" t="s">
        <v>1217</v>
      </c>
      <c r="F489" s="85" t="s">
        <v>13</v>
      </c>
      <c r="G489" s="85" t="s">
        <v>11</v>
      </c>
      <c r="H489" s="85" t="s">
        <v>11</v>
      </c>
      <c r="I489" s="85" t="s">
        <v>11</v>
      </c>
      <c r="J489" s="85" t="s">
        <v>11</v>
      </c>
      <c r="K489" s="85" t="s">
        <v>11</v>
      </c>
      <c r="L489" s="86" t="str">
        <f>IFERROR(VLOOKUP($B489,'LISTA - Atual'!$B$1:$I$444,5,0),"Novo")</f>
        <v>Y</v>
      </c>
      <c r="M489" s="86" t="str">
        <f t="shared" si="123"/>
        <v>Igual</v>
      </c>
      <c r="N489" s="86" t="str">
        <f>IFERROR(VLOOKUP($B489,'LISTA - Atual'!$B$1:$I$444,6,0),"Novo")</f>
        <v>N</v>
      </c>
      <c r="O489" s="86" t="str">
        <f t="shared" si="124"/>
        <v>Igual</v>
      </c>
      <c r="P489" s="86" t="str">
        <f>IFERROR(VLOOKUP($B489,'LISTA - Atual'!$B$1:$I$444,7,0),"Novo")</f>
        <v>N</v>
      </c>
      <c r="Q489" s="86" t="str">
        <f t="shared" si="125"/>
        <v>Igual</v>
      </c>
      <c r="R489" s="86" t="s">
        <v>1563</v>
      </c>
      <c r="S489" s="86" t="str">
        <f>IFERROR(VLOOKUP($B489,'LISTA - Atual'!$B$1:$I$444,8,0),"Novo")</f>
        <v>N</v>
      </c>
      <c r="T489" s="86" t="str">
        <f t="shared" si="126"/>
        <v>Igual</v>
      </c>
      <c r="U489" s="86" t="s">
        <v>1563</v>
      </c>
      <c r="V489" s="86" t="s">
        <v>11</v>
      </c>
      <c r="W489" s="87" t="str">
        <f>IFERROR(VLOOKUP(B489,#REF!,11,0),"n/a")</f>
        <v>n/a</v>
      </c>
      <c r="X489" s="87" t="str">
        <f>IFERROR(VLOOKUP(B489,#REF!,8,0),"n/a")</f>
        <v>n/a</v>
      </c>
      <c r="Y489" s="87" t="str">
        <f t="shared" si="122"/>
        <v>ESTR</v>
      </c>
      <c r="Z489" s="131" t="s">
        <v>1605</v>
      </c>
      <c r="AA489" s="227" t="e">
        <f>VLOOKUP(Table1[[#This Row],[CONCAT]],'Campos Resumo Prop2.0'!A:H,8,0)</f>
        <v>#N/A</v>
      </c>
      <c r="AB489" s="87" t="s">
        <v>1655</v>
      </c>
      <c r="AC489" s="135" t="s">
        <v>1625</v>
      </c>
      <c r="AD489" s="91">
        <f>INDEX(Auxiliar!$D$5:$I$10,MATCH('LISTA - Setembro2024'!AD$3,Auxiliar!$B$5:$B$10,0),MATCH('LISTA - Setembro2024'!$AC489,Auxiliar!$D$4:$I$4,0))</f>
        <v>0</v>
      </c>
      <c r="AE489" s="91">
        <f>INDEX(Auxiliar!$D$5:$I$10,MATCH('LISTA - Setembro2024'!AE$3,Auxiliar!$B$5:$B$10,0),MATCH('LISTA - Setembro2024'!$AC489,Auxiliar!$D$4:$I$4,0))</f>
        <v>0</v>
      </c>
      <c r="AF489" s="87">
        <f>INDEX(Auxiliar!$D$5:$I$10,MATCH('LISTA - Setembro2024'!AF$3,Auxiliar!$B$5:$B$10,0),MATCH('LISTA - Setembro2024'!$AC489,Auxiliar!$D$4:$I$4,0))</f>
        <v>0</v>
      </c>
      <c r="AG489" s="87" t="str">
        <f t="shared" si="117"/>
        <v>n.a.</v>
      </c>
      <c r="AH489" s="87">
        <f>INDEX(Auxiliar!$D$5:$I$10,MATCH('LISTA - Setembro2024'!AH$3,Auxiliar!$B$5:$B$10,0),MATCH('LISTA - Setembro2024'!$AG489,Auxiliar!$D$4:$I$4,0))</f>
        <v>0</v>
      </c>
      <c r="AI489" s="87">
        <f>INDEX(Auxiliar!$D$5:$I$10,MATCH('LISTA - Setembro2024'!AI$3,Auxiliar!$B$5:$B$10,0),MATCH('LISTA - Setembro2024'!$AC489,Auxiliar!$D$4:$I$4,0))</f>
        <v>0</v>
      </c>
      <c r="AJ489" s="87">
        <f>INDEX(Auxiliar!$D$5:$I$10,MATCH('LISTA - Setembro2024'!AJ$3,Auxiliar!$B$5:$B$10,0),MATCH('LISTA - Setembro2024'!$AC489,Auxiliar!$D$4:$I$4,0))</f>
        <v>0</v>
      </c>
      <c r="AK489" s="160">
        <f t="shared" si="118"/>
        <v>0</v>
      </c>
      <c r="AL489" s="87"/>
    </row>
    <row r="490" spans="1:38" ht="13.8" x14ac:dyDescent="0.25">
      <c r="A490" s="158" t="s">
        <v>1218</v>
      </c>
      <c r="B490" s="81" t="str">
        <f t="shared" si="116"/>
        <v>PROTECTION_PRTCTN_TYP_PBLC_GRNT_SCHM_C19</v>
      </c>
      <c r="C490" s="82" t="s">
        <v>1114</v>
      </c>
      <c r="D490" s="99" t="s">
        <v>1219</v>
      </c>
      <c r="E490" s="100" t="s">
        <v>1220</v>
      </c>
      <c r="F490" s="101" t="s">
        <v>13</v>
      </c>
      <c r="G490" s="101" t="s">
        <v>11</v>
      </c>
      <c r="H490" s="85" t="s">
        <v>11</v>
      </c>
      <c r="I490" s="85" t="s">
        <v>11</v>
      </c>
      <c r="J490" s="85" t="s">
        <v>11</v>
      </c>
      <c r="K490" s="101" t="s">
        <v>11</v>
      </c>
      <c r="L490" s="86" t="str">
        <f>IFERROR(VLOOKUP($B490,'LISTA - Atual'!$B$1:$I$444,5,0),"Novo")</f>
        <v>Y</v>
      </c>
      <c r="M490" s="86" t="str">
        <f t="shared" si="123"/>
        <v>Igual</v>
      </c>
      <c r="N490" s="86" t="str">
        <f>IFERROR(VLOOKUP($B490,'LISTA - Atual'!$B$1:$I$444,6,0),"Novo")</f>
        <v>N</v>
      </c>
      <c r="O490" s="86" t="str">
        <f t="shared" si="124"/>
        <v>Igual</v>
      </c>
      <c r="P490" s="86" t="str">
        <f>IFERROR(VLOOKUP($B490,'LISTA - Atual'!$B$1:$I$444,7,0),"Novo")</f>
        <v>N</v>
      </c>
      <c r="Q490" s="86" t="str">
        <f t="shared" si="125"/>
        <v>Igual</v>
      </c>
      <c r="R490" s="86" t="s">
        <v>1563</v>
      </c>
      <c r="S490" s="86" t="str">
        <f>IFERROR(VLOOKUP($B490,'LISTA - Atual'!$B$1:$I$444,8,0),"Novo")</f>
        <v>N</v>
      </c>
      <c r="T490" s="86" t="str">
        <f t="shared" si="126"/>
        <v>Igual</v>
      </c>
      <c r="U490" s="86" t="s">
        <v>1563</v>
      </c>
      <c r="V490" s="86" t="s">
        <v>11</v>
      </c>
      <c r="W490" s="87" t="str">
        <f>IFERROR(VLOOKUP(B490,#REF!,11,0),"n/a")</f>
        <v>n/a</v>
      </c>
      <c r="X490" s="87" t="str">
        <f>IFERROR(VLOOKUP(B490,#REF!,8,0),"n/a")</f>
        <v>n/a</v>
      </c>
      <c r="Y490" s="87" t="str">
        <f t="shared" si="122"/>
        <v>ESTR</v>
      </c>
      <c r="Z490" s="131" t="s">
        <v>1605</v>
      </c>
      <c r="AA490" s="227" t="e">
        <f>VLOOKUP(Table1[[#This Row],[CONCAT]],'Campos Resumo Prop2.0'!A:H,8,0)</f>
        <v>#N/A</v>
      </c>
      <c r="AB490" s="87" t="s">
        <v>1654</v>
      </c>
      <c r="AC490" s="135" t="s">
        <v>1625</v>
      </c>
      <c r="AD490" s="91">
        <f>INDEX(Auxiliar!$D$5:$I$10,MATCH('LISTA - Setembro2024'!AD$3,Auxiliar!$B$5:$B$10,0),MATCH('LISTA - Setembro2024'!$AC490,Auxiliar!$D$4:$I$4,0))</f>
        <v>0</v>
      </c>
      <c r="AE490" s="91">
        <f>INDEX(Auxiliar!$D$5:$I$10,MATCH('LISTA - Setembro2024'!AE$3,Auxiliar!$B$5:$B$10,0),MATCH('LISTA - Setembro2024'!$AC490,Auxiliar!$D$4:$I$4,0))</f>
        <v>0</v>
      </c>
      <c r="AF490" s="87">
        <f>INDEX(Auxiliar!$D$5:$I$10,MATCH('LISTA - Setembro2024'!AF$3,Auxiliar!$B$5:$B$10,0),MATCH('LISTA - Setembro2024'!$AC490,Auxiliar!$D$4:$I$4,0))</f>
        <v>0</v>
      </c>
      <c r="AG490" s="87" t="str">
        <f t="shared" si="117"/>
        <v>n.a.</v>
      </c>
      <c r="AH490" s="87">
        <f>INDEX(Auxiliar!$D$5:$I$10,MATCH('LISTA - Setembro2024'!AH$3,Auxiliar!$B$5:$B$10,0),MATCH('LISTA - Setembro2024'!$AG490,Auxiliar!$D$4:$I$4,0))</f>
        <v>0</v>
      </c>
      <c r="AI490" s="87">
        <f>INDEX(Auxiliar!$D$5:$I$10,MATCH('LISTA - Setembro2024'!AI$3,Auxiliar!$B$5:$B$10,0),MATCH('LISTA - Setembro2024'!$AC490,Auxiliar!$D$4:$I$4,0))</f>
        <v>0</v>
      </c>
      <c r="AJ490" s="87">
        <f>INDEX(Auxiliar!$D$5:$I$10,MATCH('LISTA - Setembro2024'!AJ$3,Auxiliar!$B$5:$B$10,0),MATCH('LISTA - Setembro2024'!$AC490,Auxiliar!$D$4:$I$4,0))</f>
        <v>0</v>
      </c>
      <c r="AK490" s="160">
        <f t="shared" si="118"/>
        <v>0</v>
      </c>
      <c r="AL490" s="87"/>
    </row>
    <row r="491" spans="1:38" ht="13.8" x14ac:dyDescent="0.25">
      <c r="A491" s="158" t="s">
        <v>1221</v>
      </c>
      <c r="B491" s="81" t="str">
        <f t="shared" si="116"/>
        <v>PROTECTION_TAX_ID</v>
      </c>
      <c r="C491" s="82" t="s">
        <v>1114</v>
      </c>
      <c r="D491" s="83" t="s">
        <v>266</v>
      </c>
      <c r="E491" s="84" t="s">
        <v>267</v>
      </c>
      <c r="F491" s="85" t="s">
        <v>13</v>
      </c>
      <c r="G491" s="85" t="s">
        <v>11</v>
      </c>
      <c r="H491" s="85" t="s">
        <v>11</v>
      </c>
      <c r="I491" s="85" t="s">
        <v>11</v>
      </c>
      <c r="J491" s="85" t="s">
        <v>11</v>
      </c>
      <c r="K491" s="85" t="s">
        <v>11</v>
      </c>
      <c r="L491" s="86" t="str">
        <f>IFERROR(VLOOKUP($B491,'LISTA - Atual'!$B$1:$I$444,5,0),"Novo")</f>
        <v>Y</v>
      </c>
      <c r="M491" s="86" t="str">
        <f t="shared" si="123"/>
        <v>Igual</v>
      </c>
      <c r="N491" s="86" t="str">
        <f>IFERROR(VLOOKUP($B491,'LISTA - Atual'!$B$1:$I$444,6,0),"Novo")</f>
        <v>N</v>
      </c>
      <c r="O491" s="86" t="str">
        <f t="shared" si="124"/>
        <v>Igual</v>
      </c>
      <c r="P491" s="86" t="str">
        <f>IFERROR(VLOOKUP($B491,'LISTA - Atual'!$B$1:$I$444,7,0),"Novo")</f>
        <v>N</v>
      </c>
      <c r="Q491" s="86" t="str">
        <f t="shared" si="125"/>
        <v>Igual</v>
      </c>
      <c r="R491" s="86" t="s">
        <v>1563</v>
      </c>
      <c r="S491" s="86" t="str">
        <f>IFERROR(VLOOKUP($B491,'LISTA - Atual'!$B$1:$I$444,8,0),"Novo")</f>
        <v>N</v>
      </c>
      <c r="T491" s="86" t="str">
        <f t="shared" si="126"/>
        <v>Igual</v>
      </c>
      <c r="U491" s="86" t="s">
        <v>1563</v>
      </c>
      <c r="V491" s="86" t="s">
        <v>11</v>
      </c>
      <c r="W491" s="87" t="str">
        <f>IFERROR(VLOOKUP(B491,#REF!,11,0),"n/a")</f>
        <v>n/a</v>
      </c>
      <c r="X491" s="87" t="str">
        <f>IFERROR(VLOOKUP(B491,#REF!,8,0),"n/a")</f>
        <v>n/a</v>
      </c>
      <c r="Y491" s="87" t="str">
        <f t="shared" si="122"/>
        <v>ESTR</v>
      </c>
      <c r="Z491" s="131" t="s">
        <v>1605</v>
      </c>
      <c r="AA491" s="227" t="e">
        <f>VLOOKUP(Table1[[#This Row],[CONCAT]],'Campos Resumo Prop2.0'!A:H,8,0)</f>
        <v>#N/A</v>
      </c>
      <c r="AB491" s="87" t="s">
        <v>1652</v>
      </c>
      <c r="AC491" s="135" t="s">
        <v>1625</v>
      </c>
      <c r="AD491" s="91">
        <f>INDEX(Auxiliar!$D$5:$I$10,MATCH('LISTA - Setembro2024'!AD$3,Auxiliar!$B$5:$B$10,0),MATCH('LISTA - Setembro2024'!$AC491,Auxiliar!$D$4:$I$4,0))</f>
        <v>0</v>
      </c>
      <c r="AE491" s="91">
        <f>INDEX(Auxiliar!$D$5:$I$10,MATCH('LISTA - Setembro2024'!AE$3,Auxiliar!$B$5:$B$10,0),MATCH('LISTA - Setembro2024'!$AC491,Auxiliar!$D$4:$I$4,0))</f>
        <v>0</v>
      </c>
      <c r="AF491" s="87">
        <f>INDEX(Auxiliar!$D$5:$I$10,MATCH('LISTA - Setembro2024'!AF$3,Auxiliar!$B$5:$B$10,0),MATCH('LISTA - Setembro2024'!$AC491,Auxiliar!$D$4:$I$4,0))</f>
        <v>0</v>
      </c>
      <c r="AG491" s="87" t="str">
        <f t="shared" si="117"/>
        <v>n.a.</v>
      </c>
      <c r="AH491" s="87">
        <f>INDEX(Auxiliar!$D$5:$I$10,MATCH('LISTA - Setembro2024'!AH$3,Auxiliar!$B$5:$B$10,0),MATCH('LISTA - Setembro2024'!$AG491,Auxiliar!$D$4:$I$4,0))</f>
        <v>0</v>
      </c>
      <c r="AI491" s="87">
        <f>INDEX(Auxiliar!$D$5:$I$10,MATCH('LISTA - Setembro2024'!AI$3,Auxiliar!$B$5:$B$10,0),MATCH('LISTA - Setembro2024'!$AC491,Auxiliar!$D$4:$I$4,0))</f>
        <v>0</v>
      </c>
      <c r="AJ491" s="87">
        <f>INDEX(Auxiliar!$D$5:$I$10,MATCH('LISTA - Setembro2024'!AJ$3,Auxiliar!$B$5:$B$10,0),MATCH('LISTA - Setembro2024'!$AC491,Auxiliar!$D$4:$I$4,0))</f>
        <v>0</v>
      </c>
      <c r="AK491" s="160">
        <f t="shared" si="118"/>
        <v>0</v>
      </c>
      <c r="AL491" s="87"/>
    </row>
    <row r="492" spans="1:38" ht="13.8" x14ac:dyDescent="0.25">
      <c r="A492" s="158" t="s">
        <v>1222</v>
      </c>
      <c r="B492" s="81" t="str">
        <f t="shared" si="116"/>
        <v>PROTECTION_TYP_EP_SCR</v>
      </c>
      <c r="C492" s="82" t="s">
        <v>1114</v>
      </c>
      <c r="D492" s="83" t="s">
        <v>1223</v>
      </c>
      <c r="E492" s="84" t="s">
        <v>1224</v>
      </c>
      <c r="F492" s="85" t="s">
        <v>11</v>
      </c>
      <c r="G492" s="85" t="s">
        <v>11</v>
      </c>
      <c r="H492" s="85" t="s">
        <v>13</v>
      </c>
      <c r="I492" s="85" t="s">
        <v>11</v>
      </c>
      <c r="J492" s="85" t="s">
        <v>13</v>
      </c>
      <c r="K492" s="85" t="s">
        <v>11</v>
      </c>
      <c r="L492" s="86" t="str">
        <f>IFERROR(VLOOKUP($B492,'LISTA - Atual'!$B$1:$I$444,5,0),"Novo")</f>
        <v>N</v>
      </c>
      <c r="M492" s="86" t="str">
        <f t="shared" si="123"/>
        <v>Igual</v>
      </c>
      <c r="N492" s="86" t="str">
        <f>IFERROR(VLOOKUP($B492,'LISTA - Atual'!$B$1:$I$444,6,0),"Novo")</f>
        <v>N</v>
      </c>
      <c r="O492" s="86" t="str">
        <f t="shared" si="124"/>
        <v>Igual</v>
      </c>
      <c r="P492" s="86" t="str">
        <f>IFERROR(VLOOKUP($B492,'LISTA - Atual'!$B$1:$I$444,7,0),"Novo")</f>
        <v>Y</v>
      </c>
      <c r="Q492" s="86" t="str">
        <f t="shared" si="125"/>
        <v>Igual</v>
      </c>
      <c r="R492" s="86" t="s">
        <v>1563</v>
      </c>
      <c r="S492" s="86" t="str">
        <f>IFERROR(VLOOKUP($B492,'LISTA - Atual'!$B$1:$I$444,8,0),"Novo")</f>
        <v>Y</v>
      </c>
      <c r="T492" s="86" t="str">
        <f t="shared" si="126"/>
        <v>Igual</v>
      </c>
      <c r="U492" s="86" t="s">
        <v>1563</v>
      </c>
      <c r="V492" s="86" t="s">
        <v>11</v>
      </c>
      <c r="W492" s="87" t="str">
        <f>IFERROR(VLOOKUP(B492,#REF!,11,0),"n/a")</f>
        <v>n/a</v>
      </c>
      <c r="X492" s="87" t="str">
        <f>IFERROR(VLOOKUP(B492,#REF!,8,0),"n/a")</f>
        <v>n/a</v>
      </c>
      <c r="Y492" s="87" t="str">
        <f t="shared" ref="Y492:Y495" si="127">$H$2</f>
        <v>PILAR3</v>
      </c>
      <c r="Z492" s="131" t="s">
        <v>1605</v>
      </c>
      <c r="AA492" s="227" t="e">
        <f>VLOOKUP(Table1[[#This Row],[CONCAT]],'Campos Resumo Prop2.0'!A:H,8,0)</f>
        <v>#N/A</v>
      </c>
      <c r="AB492" s="87" t="s">
        <v>1650</v>
      </c>
      <c r="AC492" s="137" t="s">
        <v>1625</v>
      </c>
      <c r="AD492" s="91">
        <f>INDEX(Auxiliar!$D$5:$I$10,MATCH('LISTA - Setembro2024'!AD$3,Auxiliar!$B$5:$B$10,0),MATCH('LISTA - Setembro2024'!$AC492,Auxiliar!$D$4:$I$4,0))</f>
        <v>0</v>
      </c>
      <c r="AE492" s="91">
        <f>INDEX(Auxiliar!$D$5:$I$10,MATCH('LISTA - Setembro2024'!AE$3,Auxiliar!$B$5:$B$10,0),MATCH('LISTA - Setembro2024'!$AC492,Auxiliar!$D$4:$I$4,0))</f>
        <v>0</v>
      </c>
      <c r="AF492" s="87">
        <f>INDEX(Auxiliar!$D$5:$I$10,MATCH('LISTA - Setembro2024'!AF$3,Auxiliar!$B$5:$B$10,0),MATCH('LISTA - Setembro2024'!$AC492,Auxiliar!$D$4:$I$4,0))</f>
        <v>0</v>
      </c>
      <c r="AG492" s="87" t="str">
        <f t="shared" si="117"/>
        <v>n.a.</v>
      </c>
      <c r="AH492" s="87">
        <f>INDEX(Auxiliar!$D$5:$I$10,MATCH('LISTA - Setembro2024'!AH$3,Auxiliar!$B$5:$B$10,0),MATCH('LISTA - Setembro2024'!$AG492,Auxiliar!$D$4:$I$4,0))</f>
        <v>0</v>
      </c>
      <c r="AI492" s="87">
        <f>INDEX(Auxiliar!$D$5:$I$10,MATCH('LISTA - Setembro2024'!AI$3,Auxiliar!$B$5:$B$10,0),MATCH('LISTA - Setembro2024'!$AC492,Auxiliar!$D$4:$I$4,0))</f>
        <v>0</v>
      </c>
      <c r="AJ492" s="87">
        <f>INDEX(Auxiliar!$D$5:$I$10,MATCH('LISTA - Setembro2024'!AJ$3,Auxiliar!$B$5:$B$10,0),MATCH('LISTA - Setembro2024'!$AC492,Auxiliar!$D$4:$I$4,0))</f>
        <v>0</v>
      </c>
      <c r="AK492" s="160">
        <f t="shared" si="118"/>
        <v>0</v>
      </c>
      <c r="AL492" s="87"/>
    </row>
    <row r="493" spans="1:38" ht="13.8" x14ac:dyDescent="0.25">
      <c r="A493" s="158" t="s">
        <v>1225</v>
      </c>
      <c r="B493" s="81" t="str">
        <f t="shared" si="116"/>
        <v>PROTECTION_EP_SCR</v>
      </c>
      <c r="C493" s="82" t="s">
        <v>1114</v>
      </c>
      <c r="D493" s="83" t="s">
        <v>1226</v>
      </c>
      <c r="E493" s="84" t="s">
        <v>1227</v>
      </c>
      <c r="F493" s="85" t="s">
        <v>11</v>
      </c>
      <c r="G493" s="85" t="s">
        <v>11</v>
      </c>
      <c r="H493" s="85" t="s">
        <v>13</v>
      </c>
      <c r="I493" s="85" t="s">
        <v>11</v>
      </c>
      <c r="J493" s="85" t="s">
        <v>13</v>
      </c>
      <c r="K493" s="85" t="s">
        <v>11</v>
      </c>
      <c r="L493" s="86" t="str">
        <f>IFERROR(VLOOKUP($B493,'LISTA - Atual'!$B$1:$I$444,5,0),"Novo")</f>
        <v>N</v>
      </c>
      <c r="M493" s="86" t="str">
        <f t="shared" si="123"/>
        <v>Igual</v>
      </c>
      <c r="N493" s="86" t="str">
        <f>IFERROR(VLOOKUP($B493,'LISTA - Atual'!$B$1:$I$444,6,0),"Novo")</f>
        <v>N</v>
      </c>
      <c r="O493" s="86" t="str">
        <f t="shared" si="124"/>
        <v>Igual</v>
      </c>
      <c r="P493" s="86" t="str">
        <f>IFERROR(VLOOKUP($B493,'LISTA - Atual'!$B$1:$I$444,7,0),"Novo")</f>
        <v>Y</v>
      </c>
      <c r="Q493" s="86" t="str">
        <f t="shared" si="125"/>
        <v>Igual</v>
      </c>
      <c r="R493" s="86" t="s">
        <v>1563</v>
      </c>
      <c r="S493" s="86" t="str">
        <f>IFERROR(VLOOKUP($B493,'LISTA - Atual'!$B$1:$I$444,8,0),"Novo")</f>
        <v>Y</v>
      </c>
      <c r="T493" s="86" t="str">
        <f t="shared" si="126"/>
        <v>Igual</v>
      </c>
      <c r="U493" s="86" t="s">
        <v>1563</v>
      </c>
      <c r="V493" s="86" t="s">
        <v>11</v>
      </c>
      <c r="W493" s="87" t="str">
        <f>IFERROR(VLOOKUP(B493,#REF!,11,0),"n/a")</f>
        <v>n/a</v>
      </c>
      <c r="X493" s="87" t="str">
        <f>IFERROR(VLOOKUP(B493,#REF!,8,0),"n/a")</f>
        <v>n/a</v>
      </c>
      <c r="Y493" s="87" t="str">
        <f t="shared" si="127"/>
        <v>PILAR3</v>
      </c>
      <c r="Z493" s="131" t="s">
        <v>1605</v>
      </c>
      <c r="AA493" s="227" t="e">
        <f>VLOOKUP(Table1[[#This Row],[CONCAT]],'Campos Resumo Prop2.0'!A:H,8,0)</f>
        <v>#N/A</v>
      </c>
      <c r="AB493" s="87" t="s">
        <v>1650</v>
      </c>
      <c r="AC493" s="137" t="s">
        <v>1625</v>
      </c>
      <c r="AD493" s="91">
        <f>INDEX(Auxiliar!$D$5:$I$10,MATCH('LISTA - Setembro2024'!AD$3,Auxiliar!$B$5:$B$10,0),MATCH('LISTA - Setembro2024'!$AC493,Auxiliar!$D$4:$I$4,0))</f>
        <v>0</v>
      </c>
      <c r="AE493" s="91">
        <f>INDEX(Auxiliar!$D$5:$I$10,MATCH('LISTA - Setembro2024'!AE$3,Auxiliar!$B$5:$B$10,0),MATCH('LISTA - Setembro2024'!$AC493,Auxiliar!$D$4:$I$4,0))</f>
        <v>0</v>
      </c>
      <c r="AF493" s="87">
        <f>INDEX(Auxiliar!$D$5:$I$10,MATCH('LISTA - Setembro2024'!AF$3,Auxiliar!$B$5:$B$10,0),MATCH('LISTA - Setembro2024'!$AC493,Auxiliar!$D$4:$I$4,0))</f>
        <v>0</v>
      </c>
      <c r="AG493" s="87" t="str">
        <f t="shared" si="117"/>
        <v>n.a.</v>
      </c>
      <c r="AH493" s="87">
        <f>INDEX(Auxiliar!$D$5:$I$10,MATCH('LISTA - Setembro2024'!AH$3,Auxiliar!$B$5:$B$10,0),MATCH('LISTA - Setembro2024'!$AG493,Auxiliar!$D$4:$I$4,0))</f>
        <v>0</v>
      </c>
      <c r="AI493" s="87">
        <f>INDEX(Auxiliar!$D$5:$I$10,MATCH('LISTA - Setembro2024'!AI$3,Auxiliar!$B$5:$B$10,0),MATCH('LISTA - Setembro2024'!$AC493,Auxiliar!$D$4:$I$4,0))</f>
        <v>0</v>
      </c>
      <c r="AJ493" s="87">
        <f>INDEX(Auxiliar!$D$5:$I$10,MATCH('LISTA - Setembro2024'!AJ$3,Auxiliar!$B$5:$B$10,0),MATCH('LISTA - Setembro2024'!$AC493,Auxiliar!$D$4:$I$4,0))</f>
        <v>0</v>
      </c>
      <c r="AK493" s="160">
        <f t="shared" si="118"/>
        <v>0</v>
      </c>
      <c r="AL493" s="87"/>
    </row>
    <row r="494" spans="1:38" ht="13.8" x14ac:dyDescent="0.25">
      <c r="A494" s="158" t="s">
        <v>1228</v>
      </c>
      <c r="B494" s="81" t="str">
        <f t="shared" si="116"/>
        <v>PROTECTION_TYP_EPC_LBL</v>
      </c>
      <c r="C494" s="82" t="s">
        <v>1114</v>
      </c>
      <c r="D494" s="83" t="s">
        <v>1229</v>
      </c>
      <c r="E494" s="84" t="s">
        <v>1230</v>
      </c>
      <c r="F494" s="85" t="s">
        <v>11</v>
      </c>
      <c r="G494" s="85" t="s">
        <v>11</v>
      </c>
      <c r="H494" s="85" t="s">
        <v>13</v>
      </c>
      <c r="I494" s="85" t="s">
        <v>11</v>
      </c>
      <c r="J494" s="85" t="s">
        <v>13</v>
      </c>
      <c r="K494" s="85" t="s">
        <v>11</v>
      </c>
      <c r="L494" s="86" t="str">
        <f>IFERROR(VLOOKUP($B494,'LISTA - Atual'!$B$1:$I$444,5,0),"Novo")</f>
        <v>N</v>
      </c>
      <c r="M494" s="86" t="str">
        <f t="shared" si="123"/>
        <v>Igual</v>
      </c>
      <c r="N494" s="86" t="str">
        <f>IFERROR(VLOOKUP($B494,'LISTA - Atual'!$B$1:$I$444,6,0),"Novo")</f>
        <v>N</v>
      </c>
      <c r="O494" s="86" t="str">
        <f t="shared" si="124"/>
        <v>Igual</v>
      </c>
      <c r="P494" s="86" t="str">
        <f>IFERROR(VLOOKUP($B494,'LISTA - Atual'!$B$1:$I$444,7,0),"Novo")</f>
        <v>Y</v>
      </c>
      <c r="Q494" s="86" t="str">
        <f t="shared" si="125"/>
        <v>Igual</v>
      </c>
      <c r="R494" s="86" t="s">
        <v>1563</v>
      </c>
      <c r="S494" s="86" t="str">
        <f>IFERROR(VLOOKUP($B494,'LISTA - Atual'!$B$1:$I$444,8,0),"Novo")</f>
        <v>Y</v>
      </c>
      <c r="T494" s="86" t="str">
        <f t="shared" si="126"/>
        <v>Igual</v>
      </c>
      <c r="U494" s="86" t="s">
        <v>1563</v>
      </c>
      <c r="V494" s="86" t="s">
        <v>11</v>
      </c>
      <c r="W494" s="87" t="str">
        <f>IFERROR(VLOOKUP(B494,#REF!,11,0),"n/a")</f>
        <v>n/a</v>
      </c>
      <c r="X494" s="87" t="str">
        <f>IFERROR(VLOOKUP(B494,#REF!,8,0),"n/a")</f>
        <v>n/a</v>
      </c>
      <c r="Y494" s="87" t="str">
        <f t="shared" si="127"/>
        <v>PILAR3</v>
      </c>
      <c r="Z494" s="131" t="s">
        <v>1605</v>
      </c>
      <c r="AA494" s="227" t="e">
        <f>VLOOKUP(Table1[[#This Row],[CONCAT]],'Campos Resumo Prop2.0'!A:H,8,0)</f>
        <v>#N/A</v>
      </c>
      <c r="AB494" s="87" t="s">
        <v>1650</v>
      </c>
      <c r="AC494" s="137" t="s">
        <v>1625</v>
      </c>
      <c r="AD494" s="91">
        <f>INDEX(Auxiliar!$D$5:$I$10,MATCH('LISTA - Setembro2024'!AD$3,Auxiliar!$B$5:$B$10,0),MATCH('LISTA - Setembro2024'!$AC494,Auxiliar!$D$4:$I$4,0))</f>
        <v>0</v>
      </c>
      <c r="AE494" s="91">
        <f>INDEX(Auxiliar!$D$5:$I$10,MATCH('LISTA - Setembro2024'!AE$3,Auxiliar!$B$5:$B$10,0),MATCH('LISTA - Setembro2024'!$AC494,Auxiliar!$D$4:$I$4,0))</f>
        <v>0</v>
      </c>
      <c r="AF494" s="87">
        <f>INDEX(Auxiliar!$D$5:$I$10,MATCH('LISTA - Setembro2024'!AF$3,Auxiliar!$B$5:$B$10,0),MATCH('LISTA - Setembro2024'!$AC494,Auxiliar!$D$4:$I$4,0))</f>
        <v>0</v>
      </c>
      <c r="AG494" s="87" t="str">
        <f t="shared" si="117"/>
        <v>n.a.</v>
      </c>
      <c r="AH494" s="87">
        <f>INDEX(Auxiliar!$D$5:$I$10,MATCH('LISTA - Setembro2024'!AH$3,Auxiliar!$B$5:$B$10,0),MATCH('LISTA - Setembro2024'!$AG494,Auxiliar!$D$4:$I$4,0))</f>
        <v>0</v>
      </c>
      <c r="AI494" s="87">
        <f>INDEX(Auxiliar!$D$5:$I$10,MATCH('LISTA - Setembro2024'!AI$3,Auxiliar!$B$5:$B$10,0),MATCH('LISTA - Setembro2024'!$AC494,Auxiliar!$D$4:$I$4,0))</f>
        <v>0</v>
      </c>
      <c r="AJ494" s="87">
        <f>INDEX(Auxiliar!$D$5:$I$10,MATCH('LISTA - Setembro2024'!AJ$3,Auxiliar!$B$5:$B$10,0),MATCH('LISTA - Setembro2024'!$AC494,Auxiliar!$D$4:$I$4,0))</f>
        <v>0</v>
      </c>
      <c r="AK494" s="160">
        <f t="shared" si="118"/>
        <v>0</v>
      </c>
      <c r="AL494" s="87"/>
    </row>
    <row r="495" spans="1:38" ht="13.8" x14ac:dyDescent="0.25">
      <c r="A495" s="158" t="s">
        <v>1231</v>
      </c>
      <c r="B495" s="81" t="str">
        <f t="shared" si="116"/>
        <v>PROTECTION_EPC_LBL</v>
      </c>
      <c r="C495" s="82" t="s">
        <v>1114</v>
      </c>
      <c r="D495" s="83" t="s">
        <v>1232</v>
      </c>
      <c r="E495" s="84" t="s">
        <v>1233</v>
      </c>
      <c r="F495" s="85" t="s">
        <v>11</v>
      </c>
      <c r="G495" s="85" t="s">
        <v>11</v>
      </c>
      <c r="H495" s="85" t="s">
        <v>13</v>
      </c>
      <c r="I495" s="85" t="s">
        <v>11</v>
      </c>
      <c r="J495" s="85" t="s">
        <v>13</v>
      </c>
      <c r="K495" s="85" t="s">
        <v>11</v>
      </c>
      <c r="L495" s="86" t="str">
        <f>IFERROR(VLOOKUP($B495,'LISTA - Atual'!$B$1:$I$444,5,0),"Novo")</f>
        <v>N</v>
      </c>
      <c r="M495" s="86" t="str">
        <f t="shared" si="123"/>
        <v>Igual</v>
      </c>
      <c r="N495" s="86" t="str">
        <f>IFERROR(VLOOKUP($B495,'LISTA - Atual'!$B$1:$I$444,6,0),"Novo")</f>
        <v>N</v>
      </c>
      <c r="O495" s="86" t="str">
        <f t="shared" si="124"/>
        <v>Igual</v>
      </c>
      <c r="P495" s="86" t="str">
        <f>IFERROR(VLOOKUP($B495,'LISTA - Atual'!$B$1:$I$444,7,0),"Novo")</f>
        <v>Y</v>
      </c>
      <c r="Q495" s="86" t="str">
        <f t="shared" si="125"/>
        <v>Igual</v>
      </c>
      <c r="R495" s="86" t="s">
        <v>1563</v>
      </c>
      <c r="S495" s="86" t="str">
        <f>IFERROR(VLOOKUP($B495,'LISTA - Atual'!$B$1:$I$444,8,0),"Novo")</f>
        <v>Y</v>
      </c>
      <c r="T495" s="86" t="str">
        <f t="shared" si="126"/>
        <v>Igual</v>
      </c>
      <c r="U495" s="86" t="s">
        <v>1563</v>
      </c>
      <c r="V495" s="86" t="s">
        <v>11</v>
      </c>
      <c r="W495" s="87" t="str">
        <f>IFERROR(VLOOKUP(B495,#REF!,11,0),"n/a")</f>
        <v>n/a</v>
      </c>
      <c r="X495" s="87" t="str">
        <f>IFERROR(VLOOKUP(B495,#REF!,8,0),"n/a")</f>
        <v>n/a</v>
      </c>
      <c r="Y495" s="87" t="str">
        <f t="shared" si="127"/>
        <v>PILAR3</v>
      </c>
      <c r="Z495" s="131" t="s">
        <v>1605</v>
      </c>
      <c r="AA495" s="227" t="e">
        <f>VLOOKUP(Table1[[#This Row],[CONCAT]],'Campos Resumo Prop2.0'!A:H,8,0)</f>
        <v>#N/A</v>
      </c>
      <c r="AB495" s="87" t="s">
        <v>1650</v>
      </c>
      <c r="AC495" s="137" t="s">
        <v>1625</v>
      </c>
      <c r="AD495" s="91">
        <f>INDEX(Auxiliar!$D$5:$I$10,MATCH('LISTA - Setembro2024'!AD$3,Auxiliar!$B$5:$B$10,0),MATCH('LISTA - Setembro2024'!$AC495,Auxiliar!$D$4:$I$4,0))</f>
        <v>0</v>
      </c>
      <c r="AE495" s="91">
        <f>INDEX(Auxiliar!$D$5:$I$10,MATCH('LISTA - Setembro2024'!AE$3,Auxiliar!$B$5:$B$10,0),MATCH('LISTA - Setembro2024'!$AC495,Auxiliar!$D$4:$I$4,0))</f>
        <v>0</v>
      </c>
      <c r="AF495" s="87">
        <f>INDEX(Auxiliar!$D$5:$I$10,MATCH('LISTA - Setembro2024'!AF$3,Auxiliar!$B$5:$B$10,0),MATCH('LISTA - Setembro2024'!$AC495,Auxiliar!$D$4:$I$4,0))</f>
        <v>0</v>
      </c>
      <c r="AG495" s="87" t="str">
        <f t="shared" si="117"/>
        <v>n.a.</v>
      </c>
      <c r="AH495" s="87">
        <f>INDEX(Auxiliar!$D$5:$I$10,MATCH('LISTA - Setembro2024'!AH$3,Auxiliar!$B$5:$B$10,0),MATCH('LISTA - Setembro2024'!$AG495,Auxiliar!$D$4:$I$4,0))</f>
        <v>0</v>
      </c>
      <c r="AI495" s="87">
        <f>INDEX(Auxiliar!$D$5:$I$10,MATCH('LISTA - Setembro2024'!AI$3,Auxiliar!$B$5:$B$10,0),MATCH('LISTA - Setembro2024'!$AC495,Auxiliar!$D$4:$I$4,0))</f>
        <v>0</v>
      </c>
      <c r="AJ495" s="87">
        <f>INDEX(Auxiliar!$D$5:$I$10,MATCH('LISTA - Setembro2024'!AJ$3,Auxiliar!$B$5:$B$10,0),MATCH('LISTA - Setembro2024'!$AC495,Auxiliar!$D$4:$I$4,0))</f>
        <v>0</v>
      </c>
      <c r="AK495" s="160">
        <f t="shared" si="118"/>
        <v>0</v>
      </c>
      <c r="AL495" s="87"/>
    </row>
    <row r="496" spans="1:38" ht="13.8" x14ac:dyDescent="0.25">
      <c r="A496" s="158" t="s">
        <v>1234</v>
      </c>
      <c r="B496" s="81" t="str">
        <f t="shared" si="116"/>
        <v>PROTECTION_TYP_EMSSNS_LBL</v>
      </c>
      <c r="C496" s="82" t="s">
        <v>1114</v>
      </c>
      <c r="D496" s="83" t="s">
        <v>1235</v>
      </c>
      <c r="E496" s="84" t="s">
        <v>1236</v>
      </c>
      <c r="F496" s="85" t="s">
        <v>11</v>
      </c>
      <c r="G496" s="85" t="s">
        <v>11</v>
      </c>
      <c r="H496" s="85" t="s">
        <v>11</v>
      </c>
      <c r="I496" s="85" t="s">
        <v>11</v>
      </c>
      <c r="J496" s="85" t="s">
        <v>13</v>
      </c>
      <c r="K496" s="85" t="s">
        <v>11</v>
      </c>
      <c r="L496" s="86" t="str">
        <f>IFERROR(VLOOKUP($B496,'LISTA - Atual'!$B$1:$I$444,5,0),"Novo")</f>
        <v>N</v>
      </c>
      <c r="M496" s="86" t="s">
        <v>1571</v>
      </c>
      <c r="N496" s="86" t="str">
        <f>IFERROR(VLOOKUP($B496,'LISTA - Atual'!$B$1:$I$444,6,0),"Novo")</f>
        <v>N</v>
      </c>
      <c r="O496" s="86" t="s">
        <v>1571</v>
      </c>
      <c r="P496" s="86" t="str">
        <f>IFERROR(VLOOKUP($B496,'LISTA - Atual'!$B$1:$I$444,7,0),"Novo")</f>
        <v>N</v>
      </c>
      <c r="Q496" s="86" t="s">
        <v>1571</v>
      </c>
      <c r="R496" s="86" t="s">
        <v>1563</v>
      </c>
      <c r="S496" s="86" t="str">
        <f>IFERROR(VLOOKUP($B496,'LISTA - Atual'!$B$1:$I$444,8,0),"Novo")</f>
        <v>Y</v>
      </c>
      <c r="T496" s="86" t="s">
        <v>1571</v>
      </c>
      <c r="U496" s="86" t="s">
        <v>1563</v>
      </c>
      <c r="V496" s="86" t="s">
        <v>11</v>
      </c>
      <c r="W496" s="87" t="str">
        <f>IFERROR(VLOOKUP(B496,#REF!,11,0),"n/a")</f>
        <v>n/a</v>
      </c>
      <c r="X496" s="87" t="str">
        <f>IFERROR(VLOOKUP(B496,#REF!,8,0),"n/a")</f>
        <v>n/a</v>
      </c>
      <c r="Y496" s="87" t="str">
        <f t="shared" ref="Y496:Y501" si="128">$J$2</f>
        <v>ESG_RISKS</v>
      </c>
      <c r="Z496" s="131" t="s">
        <v>1570</v>
      </c>
      <c r="AA496" s="227" t="str">
        <f>VLOOKUP(Table1[[#This Row],[CONCAT]],'Campos Resumo Prop2.0'!A:H,8,0)</f>
        <v>Não será contemplado no âmbito da proposta - Banco não tem esta informação na fonte/Sem materialidade</v>
      </c>
      <c r="AB496" s="87" t="s">
        <v>1650</v>
      </c>
      <c r="AC496" s="135" t="s">
        <v>1625</v>
      </c>
      <c r="AD496" s="91">
        <f>INDEX(Auxiliar!$D$5:$I$10,MATCH('LISTA - Setembro2024'!AD$3,Auxiliar!$B$5:$B$10,0),MATCH('LISTA - Setembro2024'!$AC496,Auxiliar!$D$4:$I$4,0))</f>
        <v>0</v>
      </c>
      <c r="AE496" s="91">
        <f>INDEX(Auxiliar!$D$5:$I$10,MATCH('LISTA - Setembro2024'!AE$3,Auxiliar!$B$5:$B$10,0),MATCH('LISTA - Setembro2024'!$AC496,Auxiliar!$D$4:$I$4,0))</f>
        <v>0</v>
      </c>
      <c r="AF496" s="87">
        <f>INDEX(Auxiliar!$D$5:$I$10,MATCH('LISTA - Setembro2024'!AF$3,Auxiliar!$B$5:$B$10,0),MATCH('LISTA - Setembro2024'!$AC496,Auxiliar!$D$4:$I$4,0))</f>
        <v>0</v>
      </c>
      <c r="AG496" s="87" t="str">
        <f t="shared" si="117"/>
        <v>n.a.</v>
      </c>
      <c r="AH496" s="87">
        <f>INDEX(Auxiliar!$D$5:$I$10,MATCH('LISTA - Setembro2024'!AH$3,Auxiliar!$B$5:$B$10,0),MATCH('LISTA - Setembro2024'!$AG496,Auxiliar!$D$4:$I$4,0))</f>
        <v>0</v>
      </c>
      <c r="AI496" s="87">
        <f>INDEX(Auxiliar!$D$5:$I$10,MATCH('LISTA - Setembro2024'!AI$3,Auxiliar!$B$5:$B$10,0),MATCH('LISTA - Setembro2024'!$AC496,Auxiliar!$D$4:$I$4,0))</f>
        <v>0</v>
      </c>
      <c r="AJ496" s="87">
        <f>INDEX(Auxiliar!$D$5:$I$10,MATCH('LISTA - Setembro2024'!AJ$3,Auxiliar!$B$5:$B$10,0),MATCH('LISTA - Setembro2024'!$AC496,Auxiliar!$D$4:$I$4,0))</f>
        <v>0</v>
      </c>
      <c r="AK496" s="160">
        <f t="shared" si="118"/>
        <v>0</v>
      </c>
      <c r="AL496" s="87"/>
    </row>
    <row r="497" spans="1:38" ht="13.8" x14ac:dyDescent="0.25">
      <c r="A497" s="158" t="s">
        <v>1237</v>
      </c>
      <c r="B497" s="81" t="str">
        <f t="shared" si="116"/>
        <v>PROTECTION_EPC_EMSSNS_LBL</v>
      </c>
      <c r="C497" s="82" t="s">
        <v>1114</v>
      </c>
      <c r="D497" s="83" t="s">
        <v>1238</v>
      </c>
      <c r="E497" s="93" t="s">
        <v>1239</v>
      </c>
      <c r="F497" s="85" t="s">
        <v>11</v>
      </c>
      <c r="G497" s="85" t="s">
        <v>11</v>
      </c>
      <c r="H497" s="85" t="s">
        <v>11</v>
      </c>
      <c r="I497" s="85" t="s">
        <v>11</v>
      </c>
      <c r="J497" s="85" t="s">
        <v>13</v>
      </c>
      <c r="K497" s="85" t="s">
        <v>11</v>
      </c>
      <c r="L497" s="86" t="str">
        <f>IFERROR(VLOOKUP($B497,'LISTA - Atual'!$B$1:$I$444,5,0),"Novo")</f>
        <v>N</v>
      </c>
      <c r="M497" s="86" t="s">
        <v>1571</v>
      </c>
      <c r="N497" s="86" t="str">
        <f>IFERROR(VLOOKUP($B497,'LISTA - Atual'!$B$1:$I$444,6,0),"Novo")</f>
        <v>N</v>
      </c>
      <c r="O497" s="86" t="s">
        <v>1571</v>
      </c>
      <c r="P497" s="86" t="str">
        <f>IFERROR(VLOOKUP($B497,'LISTA - Atual'!$B$1:$I$444,7,0),"Novo")</f>
        <v>N</v>
      </c>
      <c r="Q497" s="86" t="s">
        <v>1571</v>
      </c>
      <c r="R497" s="86" t="s">
        <v>1563</v>
      </c>
      <c r="S497" s="86" t="str">
        <f>IFERROR(VLOOKUP($B497,'LISTA - Atual'!$B$1:$I$444,8,0),"Novo")</f>
        <v>Y</v>
      </c>
      <c r="T497" s="86" t="s">
        <v>1571</v>
      </c>
      <c r="U497" s="86" t="s">
        <v>1563</v>
      </c>
      <c r="V497" s="86" t="s">
        <v>11</v>
      </c>
      <c r="W497" s="87" t="str">
        <f>IFERROR(VLOOKUP(B497,#REF!,11,0),"n/a")</f>
        <v>n/a</v>
      </c>
      <c r="X497" s="87" t="str">
        <f>IFERROR(VLOOKUP(B497,#REF!,8,0),"n/a")</f>
        <v>n/a</v>
      </c>
      <c r="Y497" s="87" t="str">
        <f t="shared" si="128"/>
        <v>ESG_RISKS</v>
      </c>
      <c r="Z497" s="131" t="s">
        <v>1570</v>
      </c>
      <c r="AA497" s="227" t="str">
        <f>VLOOKUP(Table1[[#This Row],[CONCAT]],'Campos Resumo Prop2.0'!A:H,8,0)</f>
        <v>Âmbito de proposta - Especificação</v>
      </c>
      <c r="AB497" s="87" t="s">
        <v>1650</v>
      </c>
      <c r="AC497" s="137" t="s">
        <v>1636</v>
      </c>
      <c r="AD497" s="91">
        <f>INDEX(Auxiliar!$D$5:$I$10,MATCH('LISTA - Setembro2024'!AD$3,Auxiliar!$B$5:$B$10,0),MATCH('LISTA - Setembro2024'!$AC497,Auxiliar!$D$4:$I$4,0))</f>
        <v>2</v>
      </c>
      <c r="AE497" s="242">
        <v>0</v>
      </c>
      <c r="AF497" s="87">
        <f>INDEX(Auxiliar!$D$5:$I$10,MATCH('LISTA - Setembro2024'!AF$3,Auxiliar!$B$5:$B$10,0),MATCH('LISTA - Setembro2024'!$AC497,Auxiliar!$D$4:$I$4,0))</f>
        <v>1.5</v>
      </c>
      <c r="AG497" s="87" t="str">
        <f t="shared" si="117"/>
        <v>Baixa</v>
      </c>
      <c r="AH497" s="87">
        <f>INDEX(Auxiliar!$D$5:$I$10,MATCH('LISTA - Setembro2024'!AH$3,Auxiliar!$B$5:$B$10,0),MATCH('LISTA - Setembro2024'!$AG497,Auxiliar!$D$4:$I$4,0))</f>
        <v>0.5</v>
      </c>
      <c r="AI497" s="87">
        <f>INDEX(Auxiliar!$D$5:$I$10,MATCH('LISTA - Setembro2024'!AI$3,Auxiliar!$B$5:$B$10,0),MATCH('LISTA - Setembro2024'!$AC497,Auxiliar!$D$4:$I$4,0))</f>
        <v>0.5</v>
      </c>
      <c r="AJ497" s="87">
        <f>INDEX(Auxiliar!$D$5:$I$10,MATCH('LISTA - Setembro2024'!AJ$3,Auxiliar!$B$5:$B$10,0),MATCH('LISTA - Setembro2024'!$AC497,Auxiliar!$D$4:$I$4,0))</f>
        <v>1</v>
      </c>
      <c r="AK497" s="242">
        <v>0</v>
      </c>
      <c r="AL497" s="87"/>
    </row>
    <row r="498" spans="1:38" ht="13.8" x14ac:dyDescent="0.25">
      <c r="A498" s="158" t="s">
        <v>1240</v>
      </c>
      <c r="B498" s="81" t="str">
        <f t="shared" si="116"/>
        <v>PROTECTION_VHCL_EMSSNS_LBL</v>
      </c>
      <c r="C498" s="82" t="s">
        <v>1114</v>
      </c>
      <c r="D498" s="83" t="s">
        <v>1241</v>
      </c>
      <c r="E498" s="84" t="s">
        <v>1242</v>
      </c>
      <c r="F498" s="85" t="s">
        <v>11</v>
      </c>
      <c r="G498" s="85" t="s">
        <v>11</v>
      </c>
      <c r="H498" s="85" t="s">
        <v>11</v>
      </c>
      <c r="I498" s="85" t="s">
        <v>11</v>
      </c>
      <c r="J498" s="85" t="s">
        <v>13</v>
      </c>
      <c r="K498" s="85" t="s">
        <v>11</v>
      </c>
      <c r="L498" s="86" t="str">
        <f>IFERROR(VLOOKUP($B498,'LISTA - Atual'!$B$1:$I$444,5,0),"Novo")</f>
        <v>N</v>
      </c>
      <c r="M498" s="86" t="s">
        <v>1571</v>
      </c>
      <c r="N498" s="86" t="str">
        <f>IFERROR(VLOOKUP($B498,'LISTA - Atual'!$B$1:$I$444,6,0),"Novo")</f>
        <v>N</v>
      </c>
      <c r="O498" s="86" t="s">
        <v>1571</v>
      </c>
      <c r="P498" s="86" t="str">
        <f>IFERROR(VLOOKUP($B498,'LISTA - Atual'!$B$1:$I$444,7,0),"Novo")</f>
        <v>N</v>
      </c>
      <c r="Q498" s="86" t="s">
        <v>1571</v>
      </c>
      <c r="R498" s="86" t="s">
        <v>1563</v>
      </c>
      <c r="S498" s="86" t="str">
        <f>IFERROR(VLOOKUP($B498,'LISTA - Atual'!$B$1:$I$444,8,0),"Novo")</f>
        <v>Y</v>
      </c>
      <c r="T498" s="86" t="s">
        <v>1571</v>
      </c>
      <c r="U498" s="86" t="s">
        <v>1563</v>
      </c>
      <c r="V498" s="86" t="s">
        <v>11</v>
      </c>
      <c r="W498" s="87" t="str">
        <f>IFERROR(VLOOKUP(B498,#REF!,11,0),"n/a")</f>
        <v>n/a</v>
      </c>
      <c r="X498" s="87" t="str">
        <f>IFERROR(VLOOKUP(B498,#REF!,8,0),"n/a")</f>
        <v>n/a</v>
      </c>
      <c r="Y498" s="87" t="str">
        <f t="shared" si="128"/>
        <v>ESG_RISKS</v>
      </c>
      <c r="Z498" s="131" t="s">
        <v>1570</v>
      </c>
      <c r="AA498" s="227" t="str">
        <f>VLOOKUP(Table1[[#This Row],[CONCAT]],'Campos Resumo Prop2.0'!A:H,8,0)</f>
        <v>Não será contemplado no âmbito da proposta - Banco não tem esta informação na fonte/Sem materialidade</v>
      </c>
      <c r="AB498" s="87" t="s">
        <v>1650</v>
      </c>
      <c r="AC498" s="135" t="s">
        <v>1625</v>
      </c>
      <c r="AD498" s="91">
        <f>INDEX(Auxiliar!$D$5:$I$10,MATCH('LISTA - Setembro2024'!AD$3,Auxiliar!$B$5:$B$10,0),MATCH('LISTA - Setembro2024'!$AC498,Auxiliar!$D$4:$I$4,0))</f>
        <v>0</v>
      </c>
      <c r="AE498" s="91">
        <f>INDEX(Auxiliar!$D$5:$I$10,MATCH('LISTA - Setembro2024'!AE$3,Auxiliar!$B$5:$B$10,0),MATCH('LISTA - Setembro2024'!$AC498,Auxiliar!$D$4:$I$4,0))</f>
        <v>0</v>
      </c>
      <c r="AF498" s="87">
        <f>INDEX(Auxiliar!$D$5:$I$10,MATCH('LISTA - Setembro2024'!AF$3,Auxiliar!$B$5:$B$10,0),MATCH('LISTA - Setembro2024'!$AC498,Auxiliar!$D$4:$I$4,0))</f>
        <v>0</v>
      </c>
      <c r="AG498" s="87" t="str">
        <f t="shared" si="117"/>
        <v>n.a.</v>
      </c>
      <c r="AH498" s="87">
        <f>INDEX(Auxiliar!$D$5:$I$10,MATCH('LISTA - Setembro2024'!AH$3,Auxiliar!$B$5:$B$10,0),MATCH('LISTA - Setembro2024'!$AG498,Auxiliar!$D$4:$I$4,0))</f>
        <v>0</v>
      </c>
      <c r="AI498" s="87">
        <f>INDEX(Auxiliar!$D$5:$I$10,MATCH('LISTA - Setembro2024'!AI$3,Auxiliar!$B$5:$B$10,0),MATCH('LISTA - Setembro2024'!$AC498,Auxiliar!$D$4:$I$4,0))</f>
        <v>0</v>
      </c>
      <c r="AJ498" s="87">
        <f>INDEX(Auxiliar!$D$5:$I$10,MATCH('LISTA - Setembro2024'!AJ$3,Auxiliar!$B$5:$B$10,0),MATCH('LISTA - Setembro2024'!$AC498,Auxiliar!$D$4:$I$4,0))</f>
        <v>0</v>
      </c>
      <c r="AK498" s="160">
        <f t="shared" si="118"/>
        <v>0</v>
      </c>
      <c r="AL498" s="87"/>
    </row>
    <row r="499" spans="1:38" ht="13.8" x14ac:dyDescent="0.25">
      <c r="A499" s="158" t="s">
        <v>1243</v>
      </c>
      <c r="B499" s="81" t="str">
        <f t="shared" si="116"/>
        <v>PROTECTION_TYP_EMSSNS_SCR</v>
      </c>
      <c r="C499" s="82" t="s">
        <v>1114</v>
      </c>
      <c r="D499" s="83" t="s">
        <v>1244</v>
      </c>
      <c r="E499" s="84" t="s">
        <v>1245</v>
      </c>
      <c r="F499" s="85" t="s">
        <v>11</v>
      </c>
      <c r="G499" s="85" t="s">
        <v>11</v>
      </c>
      <c r="H499" s="85" t="s">
        <v>11</v>
      </c>
      <c r="I499" s="85" t="s">
        <v>11</v>
      </c>
      <c r="J499" s="85" t="s">
        <v>13</v>
      </c>
      <c r="K499" s="85" t="s">
        <v>11</v>
      </c>
      <c r="L499" s="86" t="str">
        <f>IFERROR(VLOOKUP($B499,'LISTA - Atual'!$B$1:$I$444,5,0),"Novo")</f>
        <v>N</v>
      </c>
      <c r="M499" s="86" t="s">
        <v>1571</v>
      </c>
      <c r="N499" s="86" t="str">
        <f>IFERROR(VLOOKUP($B499,'LISTA - Atual'!$B$1:$I$444,6,0),"Novo")</f>
        <v>N</v>
      </c>
      <c r="O499" s="86" t="s">
        <v>1571</v>
      </c>
      <c r="P499" s="86" t="str">
        <f>IFERROR(VLOOKUP($B499,'LISTA - Atual'!$B$1:$I$444,7,0),"Novo")</f>
        <v>N</v>
      </c>
      <c r="Q499" s="86" t="s">
        <v>1571</v>
      </c>
      <c r="R499" s="86" t="s">
        <v>1563</v>
      </c>
      <c r="S499" s="86" t="str">
        <f>IFERROR(VLOOKUP($B499,'LISTA - Atual'!$B$1:$I$444,8,0),"Novo")</f>
        <v>Y</v>
      </c>
      <c r="T499" s="86" t="s">
        <v>1571</v>
      </c>
      <c r="U499" s="86" t="s">
        <v>1563</v>
      </c>
      <c r="V499" s="86" t="s">
        <v>11</v>
      </c>
      <c r="W499" s="87" t="str">
        <f>IFERROR(VLOOKUP(B499,#REF!,11,0),"n/a")</f>
        <v>n/a</v>
      </c>
      <c r="X499" s="87" t="str">
        <f>IFERROR(VLOOKUP(B499,#REF!,8,0),"n/a")</f>
        <v>n/a</v>
      </c>
      <c r="Y499" s="87" t="str">
        <f t="shared" si="128"/>
        <v>ESG_RISKS</v>
      </c>
      <c r="Z499" s="131" t="s">
        <v>1570</v>
      </c>
      <c r="AA499" s="227" t="str">
        <f>VLOOKUP(Table1[[#This Row],[CONCAT]],'Campos Resumo Prop2.0'!A:H,8,0)</f>
        <v>Âmbito de proposta - Especificação</v>
      </c>
      <c r="AB499" s="87" t="s">
        <v>1650</v>
      </c>
      <c r="AC499" s="137" t="s">
        <v>1636</v>
      </c>
      <c r="AD499" s="91">
        <f>INDEX(Auxiliar!$D$5:$I$10,MATCH('LISTA - Setembro2024'!AD$3,Auxiliar!$B$5:$B$10,0),MATCH('LISTA - Setembro2024'!$AC499,Auxiliar!$D$4:$I$4,0))</f>
        <v>2</v>
      </c>
      <c r="AE499" s="242">
        <v>0</v>
      </c>
      <c r="AF499" s="87">
        <f>INDEX(Auxiliar!$D$5:$I$10,MATCH('LISTA - Setembro2024'!AF$3,Auxiliar!$B$5:$B$10,0),MATCH('LISTA - Setembro2024'!$AC499,Auxiliar!$D$4:$I$4,0))</f>
        <v>1.5</v>
      </c>
      <c r="AG499" s="87" t="str">
        <f t="shared" si="117"/>
        <v>Baixa</v>
      </c>
      <c r="AH499" s="87">
        <f>INDEX(Auxiliar!$D$5:$I$10,MATCH('LISTA - Setembro2024'!AH$3,Auxiliar!$B$5:$B$10,0),MATCH('LISTA - Setembro2024'!$AG499,Auxiliar!$D$4:$I$4,0))</f>
        <v>0.5</v>
      </c>
      <c r="AI499" s="87">
        <f>INDEX(Auxiliar!$D$5:$I$10,MATCH('LISTA - Setembro2024'!AI$3,Auxiliar!$B$5:$B$10,0),MATCH('LISTA - Setembro2024'!$AC499,Auxiliar!$D$4:$I$4,0))</f>
        <v>0.5</v>
      </c>
      <c r="AJ499" s="87">
        <f>INDEX(Auxiliar!$D$5:$I$10,MATCH('LISTA - Setembro2024'!AJ$3,Auxiliar!$B$5:$B$10,0),MATCH('LISTA - Setembro2024'!$AC499,Auxiliar!$D$4:$I$4,0))</f>
        <v>1</v>
      </c>
      <c r="AK499" s="242">
        <v>0</v>
      </c>
      <c r="AL499" s="87"/>
    </row>
    <row r="500" spans="1:38" ht="13.8" x14ac:dyDescent="0.25">
      <c r="A500" s="158" t="s">
        <v>1246</v>
      </c>
      <c r="B500" s="81" t="str">
        <f t="shared" si="116"/>
        <v>PROTECTION_EPC_EMSSNS_SCR</v>
      </c>
      <c r="C500" s="82" t="s">
        <v>1114</v>
      </c>
      <c r="D500" s="83" t="s">
        <v>1247</v>
      </c>
      <c r="E500" s="93" t="s">
        <v>1248</v>
      </c>
      <c r="F500" s="85" t="s">
        <v>11</v>
      </c>
      <c r="G500" s="85" t="s">
        <v>11</v>
      </c>
      <c r="H500" s="85" t="s">
        <v>11</v>
      </c>
      <c r="I500" s="85" t="s">
        <v>11</v>
      </c>
      <c r="J500" s="85" t="s">
        <v>13</v>
      </c>
      <c r="K500" s="85" t="s">
        <v>11</v>
      </c>
      <c r="L500" s="86" t="str">
        <f>IFERROR(VLOOKUP($B500,'LISTA - Atual'!$B$1:$I$444,5,0),"Novo")</f>
        <v>N</v>
      </c>
      <c r="M500" s="86" t="s">
        <v>1571</v>
      </c>
      <c r="N500" s="86" t="str">
        <f>IFERROR(VLOOKUP($B500,'LISTA - Atual'!$B$1:$I$444,6,0),"Novo")</f>
        <v>N</v>
      </c>
      <c r="O500" s="86" t="s">
        <v>1571</v>
      </c>
      <c r="P500" s="86" t="str">
        <f>IFERROR(VLOOKUP($B500,'LISTA - Atual'!$B$1:$I$444,7,0),"Novo")</f>
        <v>N</v>
      </c>
      <c r="Q500" s="86" t="s">
        <v>1571</v>
      </c>
      <c r="R500" s="86" t="s">
        <v>1563</v>
      </c>
      <c r="S500" s="86" t="str">
        <f>IFERROR(VLOOKUP($B500,'LISTA - Atual'!$B$1:$I$444,8,0),"Novo")</f>
        <v>Y</v>
      </c>
      <c r="T500" s="86" t="s">
        <v>1571</v>
      </c>
      <c r="U500" s="86" t="s">
        <v>1563</v>
      </c>
      <c r="V500" s="86" t="s">
        <v>11</v>
      </c>
      <c r="W500" s="87" t="str">
        <f>IFERROR(VLOOKUP(B500,#REF!,11,0),"n/a")</f>
        <v>n/a</v>
      </c>
      <c r="X500" s="87" t="str">
        <f>IFERROR(VLOOKUP(B500,#REF!,8,0),"n/a")</f>
        <v>n/a</v>
      </c>
      <c r="Y500" s="87" t="str">
        <f t="shared" si="128"/>
        <v>ESG_RISKS</v>
      </c>
      <c r="Z500" s="131" t="s">
        <v>1570</v>
      </c>
      <c r="AA500" s="227" t="str">
        <f>VLOOKUP(Table1[[#This Row],[CONCAT]],'Campos Resumo Prop2.0'!A:H,8,0)</f>
        <v>Âmbito de proposta - Especificação</v>
      </c>
      <c r="AB500" s="87" t="s">
        <v>1656</v>
      </c>
      <c r="AC500" s="137" t="s">
        <v>1637</v>
      </c>
      <c r="AD500" s="91">
        <f>INDEX(Auxiliar!$D$5:$I$10,MATCH('LISTA - Setembro2024'!AD$3,Auxiliar!$B$5:$B$10,0),MATCH('LISTA - Setembro2024'!$AC500,Auxiliar!$D$4:$I$4,0))</f>
        <v>4</v>
      </c>
      <c r="AE500" s="242">
        <v>0</v>
      </c>
      <c r="AF500" s="87">
        <f>INDEX(Auxiliar!$D$5:$I$10,MATCH('LISTA - Setembro2024'!AF$3,Auxiliar!$B$5:$B$10,0),MATCH('LISTA - Setembro2024'!$AC500,Auxiliar!$D$4:$I$4,0))</f>
        <v>3</v>
      </c>
      <c r="AG500" s="87" t="str">
        <f t="shared" si="117"/>
        <v>n.a.</v>
      </c>
      <c r="AH500" s="87">
        <f>INDEX(Auxiliar!$D$5:$I$10,MATCH('LISTA - Setembro2024'!AH$3,Auxiliar!$B$5:$B$10,0),MATCH('LISTA - Setembro2024'!$AG500,Auxiliar!$D$4:$I$4,0))</f>
        <v>0</v>
      </c>
      <c r="AI500" s="87">
        <f>INDEX(Auxiliar!$D$5:$I$10,MATCH('LISTA - Setembro2024'!AI$3,Auxiliar!$B$5:$B$10,0),MATCH('LISTA - Setembro2024'!$AC500,Auxiliar!$D$4:$I$4,0))</f>
        <v>0.5</v>
      </c>
      <c r="AJ500" s="87">
        <f>INDEX(Auxiliar!$D$5:$I$10,MATCH('LISTA - Setembro2024'!AJ$3,Auxiliar!$B$5:$B$10,0),MATCH('LISTA - Setembro2024'!$AC500,Auxiliar!$D$4:$I$4,0))</f>
        <v>1</v>
      </c>
      <c r="AK500" s="242">
        <v>0</v>
      </c>
      <c r="AL500" s="87"/>
    </row>
    <row r="501" spans="1:38" ht="13.8" x14ac:dyDescent="0.25">
      <c r="A501" s="158" t="s">
        <v>1249</v>
      </c>
      <c r="B501" s="81" t="str">
        <f t="shared" si="116"/>
        <v>PROTECTION_VHCL_EMSSNS_SCR</v>
      </c>
      <c r="C501" s="82" t="s">
        <v>1114</v>
      </c>
      <c r="D501" s="83" t="s">
        <v>1250</v>
      </c>
      <c r="E501" s="93" t="s">
        <v>1251</v>
      </c>
      <c r="F501" s="85" t="s">
        <v>11</v>
      </c>
      <c r="G501" s="85" t="s">
        <v>11</v>
      </c>
      <c r="H501" s="85" t="s">
        <v>11</v>
      </c>
      <c r="I501" s="85" t="s">
        <v>11</v>
      </c>
      <c r="J501" s="85" t="s">
        <v>13</v>
      </c>
      <c r="K501" s="85" t="s">
        <v>11</v>
      </c>
      <c r="L501" s="86" t="str">
        <f>IFERROR(VLOOKUP($B501,'LISTA - Atual'!$B$1:$I$444,5,0),"Novo")</f>
        <v>N</v>
      </c>
      <c r="M501" s="86" t="s">
        <v>1571</v>
      </c>
      <c r="N501" s="86" t="str">
        <f>IFERROR(VLOOKUP($B501,'LISTA - Atual'!$B$1:$I$444,6,0),"Novo")</f>
        <v>N</v>
      </c>
      <c r="O501" s="86" t="s">
        <v>1571</v>
      </c>
      <c r="P501" s="86" t="str">
        <f>IFERROR(VLOOKUP($B501,'LISTA - Atual'!$B$1:$I$444,7,0),"Novo")</f>
        <v>N</v>
      </c>
      <c r="Q501" s="86" t="s">
        <v>1571</v>
      </c>
      <c r="R501" s="86" t="s">
        <v>1563</v>
      </c>
      <c r="S501" s="86" t="str">
        <f>IFERROR(VLOOKUP($B501,'LISTA - Atual'!$B$1:$I$444,8,0),"Novo")</f>
        <v>Y</v>
      </c>
      <c r="T501" s="86" t="s">
        <v>1571</v>
      </c>
      <c r="U501" s="86" t="s">
        <v>1563</v>
      </c>
      <c r="V501" s="86" t="s">
        <v>11</v>
      </c>
      <c r="W501" s="87" t="str">
        <f>IFERROR(VLOOKUP(B501,#REF!,11,0),"n/a")</f>
        <v>n/a</v>
      </c>
      <c r="X501" s="87" t="str">
        <f>IFERROR(VLOOKUP(B501,#REF!,8,0),"n/a")</f>
        <v>n/a</v>
      </c>
      <c r="Y501" s="87" t="str">
        <f t="shared" si="128"/>
        <v>ESG_RISKS</v>
      </c>
      <c r="Z501" s="131" t="s">
        <v>1570</v>
      </c>
      <c r="AA501" s="227" t="str">
        <f>VLOOKUP(Table1[[#This Row],[CONCAT]],'Campos Resumo Prop2.0'!A:H,8,0)</f>
        <v>Não será contemplado no âmbito da proposta - Banco não tem esta informação na fonte/Sem materialidade</v>
      </c>
      <c r="AB501" s="87" t="s">
        <v>1656</v>
      </c>
      <c r="AC501" s="135" t="s">
        <v>1625</v>
      </c>
      <c r="AD501" s="91">
        <f>INDEX(Auxiliar!$D$5:$I$10,MATCH('LISTA - Setembro2024'!AD$3,Auxiliar!$B$5:$B$10,0),MATCH('LISTA - Setembro2024'!$AC501,Auxiliar!$D$4:$I$4,0))</f>
        <v>0</v>
      </c>
      <c r="AE501" s="91">
        <f>INDEX(Auxiliar!$D$5:$I$10,MATCH('LISTA - Setembro2024'!AE$3,Auxiliar!$B$5:$B$10,0),MATCH('LISTA - Setembro2024'!$AC501,Auxiliar!$D$4:$I$4,0))</f>
        <v>0</v>
      </c>
      <c r="AF501" s="87">
        <f>INDEX(Auxiliar!$D$5:$I$10,MATCH('LISTA - Setembro2024'!AF$3,Auxiliar!$B$5:$B$10,0),MATCH('LISTA - Setembro2024'!$AC501,Auxiliar!$D$4:$I$4,0))</f>
        <v>0</v>
      </c>
      <c r="AG501" s="87" t="str">
        <f t="shared" si="117"/>
        <v>n.a.</v>
      </c>
      <c r="AH501" s="87">
        <f>INDEX(Auxiliar!$D$5:$I$10,MATCH('LISTA - Setembro2024'!AH$3,Auxiliar!$B$5:$B$10,0),MATCH('LISTA - Setembro2024'!$AG501,Auxiliar!$D$4:$I$4,0))</f>
        <v>0</v>
      </c>
      <c r="AI501" s="87">
        <f>INDEX(Auxiliar!$D$5:$I$10,MATCH('LISTA - Setembro2024'!AI$3,Auxiliar!$B$5:$B$10,0),MATCH('LISTA - Setembro2024'!$AC501,Auxiliar!$D$4:$I$4,0))</f>
        <v>0</v>
      </c>
      <c r="AJ501" s="87">
        <f>INDEX(Auxiliar!$D$5:$I$10,MATCH('LISTA - Setembro2024'!AJ$3,Auxiliar!$B$5:$B$10,0),MATCH('LISTA - Setembro2024'!$AC501,Auxiliar!$D$4:$I$4,0))</f>
        <v>0</v>
      </c>
      <c r="AK501" s="160">
        <f t="shared" si="118"/>
        <v>0</v>
      </c>
      <c r="AL501" s="87"/>
    </row>
    <row r="502" spans="1:38" ht="13.8" x14ac:dyDescent="0.25">
      <c r="A502" s="158" t="s">
        <v>1252</v>
      </c>
      <c r="B502" s="81" t="str">
        <f t="shared" si="116"/>
        <v>PROTECTION_EMSSNS_SCP1_PRTCTN</v>
      </c>
      <c r="C502" s="82" t="s">
        <v>1114</v>
      </c>
      <c r="D502" s="83" t="s">
        <v>1253</v>
      </c>
      <c r="E502" s="84" t="s">
        <v>1254</v>
      </c>
      <c r="F502" s="85" t="s">
        <v>11</v>
      </c>
      <c r="G502" s="85" t="s">
        <v>11</v>
      </c>
      <c r="H502" s="85" t="s">
        <v>13</v>
      </c>
      <c r="I502" s="85" t="s">
        <v>11</v>
      </c>
      <c r="J502" s="85" t="s">
        <v>13</v>
      </c>
      <c r="K502" s="85" t="s">
        <v>11</v>
      </c>
      <c r="L502" s="86" t="str">
        <f>IFERROR(VLOOKUP($B502,'LISTA - Atual'!$B$1:$I$444,5,0),"Novo")</f>
        <v>N</v>
      </c>
      <c r="M502" s="86" t="str">
        <f t="shared" ref="M502:M509" si="129">IF(L502="Novo","Novo Campo",IF(L502=F502,"Igual","Diferente"))</f>
        <v>Igual</v>
      </c>
      <c r="N502" s="86" t="str">
        <f>IFERROR(VLOOKUP($B502,'LISTA - Atual'!$B$1:$I$444,6,0),"Novo")</f>
        <v>N</v>
      </c>
      <c r="O502" s="86" t="str">
        <f t="shared" ref="O502:O509" si="130">IF(N502="Novo","Novo Campo",IF(N502=G502,"Igual","Diferente"))</f>
        <v>Igual</v>
      </c>
      <c r="P502" s="86" t="str">
        <f>IFERROR(VLOOKUP($B502,'LISTA - Atual'!$B$1:$I$444,7,0),"Novo")</f>
        <v>Y</v>
      </c>
      <c r="Q502" s="86" t="str">
        <f t="shared" ref="Q502:Q509" si="131">IF(P502="Novo","Novo Campo",IF(P502=H502,"Igual","Diferente"))</f>
        <v>Igual</v>
      </c>
      <c r="R502" s="86" t="s">
        <v>1563</v>
      </c>
      <c r="S502" s="86" t="str">
        <f>IFERROR(VLOOKUP($B502,'LISTA - Atual'!$B$1:$I$444,8,0),"Novo")</f>
        <v>Y</v>
      </c>
      <c r="T502" s="86" t="str">
        <f t="shared" ref="T502:T509" si="132">IF(S502="Novo","Novo Campo",IF(S502=J502,"Igual","Diferente"))</f>
        <v>Igual</v>
      </c>
      <c r="U502" s="86" t="s">
        <v>1563</v>
      </c>
      <c r="V502" s="86" t="s">
        <v>11</v>
      </c>
      <c r="W502" s="87" t="str">
        <f>IFERROR(VLOOKUP(B502,#REF!,11,0),"n/a")</f>
        <v>n/a</v>
      </c>
      <c r="X502" s="87" t="str">
        <f>IFERROR(VLOOKUP(B502,#REF!,8,0),"n/a")</f>
        <v>n/a</v>
      </c>
      <c r="Y502" s="87" t="str">
        <f t="shared" ref="Y502:Y509" si="133">$H$2</f>
        <v>PILAR3</v>
      </c>
      <c r="Z502" s="131" t="s">
        <v>1605</v>
      </c>
      <c r="AA502" s="227" t="e">
        <f>VLOOKUP(Table1[[#This Row],[CONCAT]],'Campos Resumo Prop2.0'!A:H,8,0)</f>
        <v>#N/A</v>
      </c>
      <c r="AB502" s="87" t="s">
        <v>1656</v>
      </c>
      <c r="AC502" s="137" t="s">
        <v>1625</v>
      </c>
      <c r="AD502" s="91">
        <f>INDEX(Auxiliar!$D$5:$I$10,MATCH('LISTA - Setembro2024'!AD$3,Auxiliar!$B$5:$B$10,0),MATCH('LISTA - Setembro2024'!$AC502,Auxiliar!$D$4:$I$4,0))</f>
        <v>0</v>
      </c>
      <c r="AE502" s="91">
        <f>INDEX(Auxiliar!$D$5:$I$10,MATCH('LISTA - Setembro2024'!AE$3,Auxiliar!$B$5:$B$10,0),MATCH('LISTA - Setembro2024'!$AC502,Auxiliar!$D$4:$I$4,0))</f>
        <v>0</v>
      </c>
      <c r="AF502" s="87">
        <f>INDEX(Auxiliar!$D$5:$I$10,MATCH('LISTA - Setembro2024'!AF$3,Auxiliar!$B$5:$B$10,0),MATCH('LISTA - Setembro2024'!$AC502,Auxiliar!$D$4:$I$4,0))</f>
        <v>0</v>
      </c>
      <c r="AG502" s="87" t="str">
        <f t="shared" si="117"/>
        <v>n.a.</v>
      </c>
      <c r="AH502" s="87">
        <f>INDEX(Auxiliar!$D$5:$I$10,MATCH('LISTA - Setembro2024'!AH$3,Auxiliar!$B$5:$B$10,0),MATCH('LISTA - Setembro2024'!$AG502,Auxiliar!$D$4:$I$4,0))</f>
        <v>0</v>
      </c>
      <c r="AI502" s="87">
        <f>INDEX(Auxiliar!$D$5:$I$10,MATCH('LISTA - Setembro2024'!AI$3,Auxiliar!$B$5:$B$10,0),MATCH('LISTA - Setembro2024'!$AC502,Auxiliar!$D$4:$I$4,0))</f>
        <v>0</v>
      </c>
      <c r="AJ502" s="87">
        <f>INDEX(Auxiliar!$D$5:$I$10,MATCH('LISTA - Setembro2024'!AJ$3,Auxiliar!$B$5:$B$10,0),MATCH('LISTA - Setembro2024'!$AC502,Auxiliar!$D$4:$I$4,0))</f>
        <v>0</v>
      </c>
      <c r="AK502" s="160">
        <f t="shared" si="118"/>
        <v>0</v>
      </c>
      <c r="AL502" s="87"/>
    </row>
    <row r="503" spans="1:38" ht="13.8" x14ac:dyDescent="0.25">
      <c r="A503" s="158" t="s">
        <v>1255</v>
      </c>
      <c r="B503" s="81" t="str">
        <f t="shared" si="116"/>
        <v>PROTECTION_EMSSNS_SCP2_PRTCTN</v>
      </c>
      <c r="C503" s="82" t="s">
        <v>1114</v>
      </c>
      <c r="D503" s="83" t="s">
        <v>1256</v>
      </c>
      <c r="E503" s="84" t="s">
        <v>1257</v>
      </c>
      <c r="F503" s="85" t="s">
        <v>11</v>
      </c>
      <c r="G503" s="85" t="s">
        <v>11</v>
      </c>
      <c r="H503" s="85" t="s">
        <v>13</v>
      </c>
      <c r="I503" s="85" t="s">
        <v>11</v>
      </c>
      <c r="J503" s="85" t="s">
        <v>13</v>
      </c>
      <c r="K503" s="85" t="s">
        <v>11</v>
      </c>
      <c r="L503" s="86" t="str">
        <f>IFERROR(VLOOKUP($B503,'LISTA - Atual'!$B$1:$I$444,5,0),"Novo")</f>
        <v>N</v>
      </c>
      <c r="M503" s="86" t="str">
        <f t="shared" si="129"/>
        <v>Igual</v>
      </c>
      <c r="N503" s="86" t="str">
        <f>IFERROR(VLOOKUP($B503,'LISTA - Atual'!$B$1:$I$444,6,0),"Novo")</f>
        <v>N</v>
      </c>
      <c r="O503" s="86" t="str">
        <f t="shared" si="130"/>
        <v>Igual</v>
      </c>
      <c r="P503" s="86" t="str">
        <f>IFERROR(VLOOKUP($B503,'LISTA - Atual'!$B$1:$I$444,7,0),"Novo")</f>
        <v>Y</v>
      </c>
      <c r="Q503" s="86" t="str">
        <f t="shared" si="131"/>
        <v>Igual</v>
      </c>
      <c r="R503" s="86" t="s">
        <v>1563</v>
      </c>
      <c r="S503" s="86" t="str">
        <f>IFERROR(VLOOKUP($B503,'LISTA - Atual'!$B$1:$I$444,8,0),"Novo")</f>
        <v>Y</v>
      </c>
      <c r="T503" s="86" t="str">
        <f t="shared" si="132"/>
        <v>Igual</v>
      </c>
      <c r="U503" s="86" t="s">
        <v>1563</v>
      </c>
      <c r="V503" s="86" t="s">
        <v>11</v>
      </c>
      <c r="W503" s="87" t="str">
        <f>IFERROR(VLOOKUP(B503,#REF!,11,0),"n/a")</f>
        <v>n/a</v>
      </c>
      <c r="X503" s="87" t="str">
        <f>IFERROR(VLOOKUP(B503,#REF!,8,0),"n/a")</f>
        <v>n/a</v>
      </c>
      <c r="Y503" s="87" t="str">
        <f t="shared" si="133"/>
        <v>PILAR3</v>
      </c>
      <c r="Z503" s="131" t="s">
        <v>1605</v>
      </c>
      <c r="AA503" s="227" t="e">
        <f>VLOOKUP(Table1[[#This Row],[CONCAT]],'Campos Resumo Prop2.0'!A:H,8,0)</f>
        <v>#N/A</v>
      </c>
      <c r="AB503" s="87" t="s">
        <v>1656</v>
      </c>
      <c r="AC503" s="137" t="s">
        <v>1625</v>
      </c>
      <c r="AD503" s="91">
        <f>INDEX(Auxiliar!$D$5:$I$10,MATCH('LISTA - Setembro2024'!AD$3,Auxiliar!$B$5:$B$10,0),MATCH('LISTA - Setembro2024'!$AC503,Auxiliar!$D$4:$I$4,0))</f>
        <v>0</v>
      </c>
      <c r="AE503" s="91">
        <f>INDEX(Auxiliar!$D$5:$I$10,MATCH('LISTA - Setembro2024'!AE$3,Auxiliar!$B$5:$B$10,0),MATCH('LISTA - Setembro2024'!$AC503,Auxiliar!$D$4:$I$4,0))</f>
        <v>0</v>
      </c>
      <c r="AF503" s="87">
        <f>INDEX(Auxiliar!$D$5:$I$10,MATCH('LISTA - Setembro2024'!AF$3,Auxiliar!$B$5:$B$10,0),MATCH('LISTA - Setembro2024'!$AC503,Auxiliar!$D$4:$I$4,0))</f>
        <v>0</v>
      </c>
      <c r="AG503" s="87" t="str">
        <f t="shared" si="117"/>
        <v>n.a.</v>
      </c>
      <c r="AH503" s="87">
        <f>INDEX(Auxiliar!$D$5:$I$10,MATCH('LISTA - Setembro2024'!AH$3,Auxiliar!$B$5:$B$10,0),MATCH('LISTA - Setembro2024'!$AG503,Auxiliar!$D$4:$I$4,0))</f>
        <v>0</v>
      </c>
      <c r="AI503" s="87">
        <f>INDEX(Auxiliar!$D$5:$I$10,MATCH('LISTA - Setembro2024'!AI$3,Auxiliar!$B$5:$B$10,0),MATCH('LISTA - Setembro2024'!$AC503,Auxiliar!$D$4:$I$4,0))</f>
        <v>0</v>
      </c>
      <c r="AJ503" s="87">
        <f>INDEX(Auxiliar!$D$5:$I$10,MATCH('LISTA - Setembro2024'!AJ$3,Auxiliar!$B$5:$B$10,0),MATCH('LISTA - Setembro2024'!$AC503,Auxiliar!$D$4:$I$4,0))</f>
        <v>0</v>
      </c>
      <c r="AK503" s="160">
        <f t="shared" si="118"/>
        <v>0</v>
      </c>
      <c r="AL503" s="87"/>
    </row>
    <row r="504" spans="1:38" ht="13.8" x14ac:dyDescent="0.25">
      <c r="A504" s="158" t="s">
        <v>1258</v>
      </c>
      <c r="B504" s="81" t="str">
        <f t="shared" si="116"/>
        <v>PROTECTION_EMSSNS_SCP3_PRTCTN</v>
      </c>
      <c r="C504" s="82" t="s">
        <v>1114</v>
      </c>
      <c r="D504" s="83" t="s">
        <v>1259</v>
      </c>
      <c r="E504" s="84" t="s">
        <v>1260</v>
      </c>
      <c r="F504" s="85" t="s">
        <v>11</v>
      </c>
      <c r="G504" s="85" t="s">
        <v>11</v>
      </c>
      <c r="H504" s="85" t="s">
        <v>13</v>
      </c>
      <c r="I504" s="85" t="s">
        <v>11</v>
      </c>
      <c r="J504" s="85" t="s">
        <v>13</v>
      </c>
      <c r="K504" s="85" t="s">
        <v>11</v>
      </c>
      <c r="L504" s="86" t="str">
        <f>IFERROR(VLOOKUP($B504,'LISTA - Atual'!$B$1:$I$444,5,0),"Novo")</f>
        <v>N</v>
      </c>
      <c r="M504" s="86" t="str">
        <f t="shared" si="129"/>
        <v>Igual</v>
      </c>
      <c r="N504" s="86" t="str">
        <f>IFERROR(VLOOKUP($B504,'LISTA - Atual'!$B$1:$I$444,6,0),"Novo")</f>
        <v>N</v>
      </c>
      <c r="O504" s="86" t="str">
        <f t="shared" si="130"/>
        <v>Igual</v>
      </c>
      <c r="P504" s="86" t="str">
        <f>IFERROR(VLOOKUP($B504,'LISTA - Atual'!$B$1:$I$444,7,0),"Novo")</f>
        <v>Y</v>
      </c>
      <c r="Q504" s="86" t="str">
        <f t="shared" si="131"/>
        <v>Igual</v>
      </c>
      <c r="R504" s="86" t="s">
        <v>1563</v>
      </c>
      <c r="S504" s="86" t="str">
        <f>IFERROR(VLOOKUP($B504,'LISTA - Atual'!$B$1:$I$444,8,0),"Novo")</f>
        <v>Y</v>
      </c>
      <c r="T504" s="86" t="str">
        <f t="shared" si="132"/>
        <v>Igual</v>
      </c>
      <c r="U504" s="86" t="s">
        <v>1563</v>
      </c>
      <c r="V504" s="86" t="s">
        <v>11</v>
      </c>
      <c r="W504" s="87" t="str">
        <f>IFERROR(VLOOKUP(B504,#REF!,11,0),"n/a")</f>
        <v>n/a</v>
      </c>
      <c r="X504" s="87" t="str">
        <f>IFERROR(VLOOKUP(B504,#REF!,8,0),"n/a")</f>
        <v>n/a</v>
      </c>
      <c r="Y504" s="87" t="str">
        <f t="shared" si="133"/>
        <v>PILAR3</v>
      </c>
      <c r="Z504" s="131" t="s">
        <v>1605</v>
      </c>
      <c r="AA504" s="227" t="e">
        <f>VLOOKUP(Table1[[#This Row],[CONCAT]],'Campos Resumo Prop2.0'!A:H,8,0)</f>
        <v>#N/A</v>
      </c>
      <c r="AB504" s="87" t="s">
        <v>1656</v>
      </c>
      <c r="AC504" s="137" t="s">
        <v>1625</v>
      </c>
      <c r="AD504" s="91">
        <f>INDEX(Auxiliar!$D$5:$I$10,MATCH('LISTA - Setembro2024'!AD$3,Auxiliar!$B$5:$B$10,0),MATCH('LISTA - Setembro2024'!$AC504,Auxiliar!$D$4:$I$4,0))</f>
        <v>0</v>
      </c>
      <c r="AE504" s="91">
        <f>INDEX(Auxiliar!$D$5:$I$10,MATCH('LISTA - Setembro2024'!AE$3,Auxiliar!$B$5:$B$10,0),MATCH('LISTA - Setembro2024'!$AC504,Auxiliar!$D$4:$I$4,0))</f>
        <v>0</v>
      </c>
      <c r="AF504" s="87">
        <f>INDEX(Auxiliar!$D$5:$I$10,MATCH('LISTA - Setembro2024'!AF$3,Auxiliar!$B$5:$B$10,0),MATCH('LISTA - Setembro2024'!$AC504,Auxiliar!$D$4:$I$4,0))</f>
        <v>0</v>
      </c>
      <c r="AG504" s="87" t="str">
        <f t="shared" si="117"/>
        <v>n.a.</v>
      </c>
      <c r="AH504" s="87">
        <f>INDEX(Auxiliar!$D$5:$I$10,MATCH('LISTA - Setembro2024'!AH$3,Auxiliar!$B$5:$B$10,0),MATCH('LISTA - Setembro2024'!$AG504,Auxiliar!$D$4:$I$4,0))</f>
        <v>0</v>
      </c>
      <c r="AI504" s="87">
        <f>INDEX(Auxiliar!$D$5:$I$10,MATCH('LISTA - Setembro2024'!AI$3,Auxiliar!$B$5:$B$10,0),MATCH('LISTA - Setembro2024'!$AC504,Auxiliar!$D$4:$I$4,0))</f>
        <v>0</v>
      </c>
      <c r="AJ504" s="87">
        <f>INDEX(Auxiliar!$D$5:$I$10,MATCH('LISTA - Setembro2024'!AJ$3,Auxiliar!$B$5:$B$10,0),MATCH('LISTA - Setembro2024'!$AC504,Auxiliar!$D$4:$I$4,0))</f>
        <v>0</v>
      </c>
      <c r="AK504" s="160">
        <f t="shared" si="118"/>
        <v>0</v>
      </c>
      <c r="AL504" s="87"/>
    </row>
    <row r="505" spans="1:38" ht="13.8" x14ac:dyDescent="0.25">
      <c r="A505" s="158" t="s">
        <v>1261</v>
      </c>
      <c r="B505" s="81" t="str">
        <f t="shared" si="116"/>
        <v>PROTECTION_MTHD_USD_PRTCTN_SCP_1</v>
      </c>
      <c r="C505" s="82" t="s">
        <v>1114</v>
      </c>
      <c r="D505" s="83" t="s">
        <v>1262</v>
      </c>
      <c r="E505" s="93" t="s">
        <v>1263</v>
      </c>
      <c r="F505" s="85" t="s">
        <v>11</v>
      </c>
      <c r="G505" s="85" t="s">
        <v>11</v>
      </c>
      <c r="H505" s="85" t="s">
        <v>13</v>
      </c>
      <c r="I505" s="85" t="s">
        <v>11</v>
      </c>
      <c r="J505" s="85" t="s">
        <v>13</v>
      </c>
      <c r="K505" s="85" t="s">
        <v>11</v>
      </c>
      <c r="L505" s="86" t="str">
        <f>IFERROR(VLOOKUP($B505,'LISTA - Atual'!$B$1:$I$444,5,0),"Novo")</f>
        <v>N</v>
      </c>
      <c r="M505" s="86" t="str">
        <f t="shared" si="129"/>
        <v>Igual</v>
      </c>
      <c r="N505" s="86" t="str">
        <f>IFERROR(VLOOKUP($B505,'LISTA - Atual'!$B$1:$I$444,6,0),"Novo")</f>
        <v>N</v>
      </c>
      <c r="O505" s="86" t="str">
        <f t="shared" si="130"/>
        <v>Igual</v>
      </c>
      <c r="P505" s="86" t="str">
        <f>IFERROR(VLOOKUP($B505,'LISTA - Atual'!$B$1:$I$444,7,0),"Novo")</f>
        <v>Y</v>
      </c>
      <c r="Q505" s="86" t="str">
        <f t="shared" si="131"/>
        <v>Igual</v>
      </c>
      <c r="R505" s="86" t="s">
        <v>1563</v>
      </c>
      <c r="S505" s="86" t="str">
        <f>IFERROR(VLOOKUP($B505,'LISTA - Atual'!$B$1:$I$444,8,0),"Novo")</f>
        <v>Y</v>
      </c>
      <c r="T505" s="86" t="str">
        <f t="shared" si="132"/>
        <v>Igual</v>
      </c>
      <c r="U505" s="86" t="s">
        <v>1563</v>
      </c>
      <c r="V505" s="86" t="s">
        <v>11</v>
      </c>
      <c r="W505" s="87" t="str">
        <f>IFERROR(VLOOKUP(B505,#REF!,11,0),"n/a")</f>
        <v>n/a</v>
      </c>
      <c r="X505" s="87" t="str">
        <f>IFERROR(VLOOKUP(B505,#REF!,8,0),"n/a")</f>
        <v>n/a</v>
      </c>
      <c r="Y505" s="87" t="str">
        <f t="shared" si="133"/>
        <v>PILAR3</v>
      </c>
      <c r="Z505" s="131" t="s">
        <v>1605</v>
      </c>
      <c r="AA505" s="227" t="e">
        <f>VLOOKUP(Table1[[#This Row],[CONCAT]],'Campos Resumo Prop2.0'!A:H,8,0)</f>
        <v>#N/A</v>
      </c>
      <c r="AB505" s="87" t="s">
        <v>1650</v>
      </c>
      <c r="AC505" s="137" t="s">
        <v>1625</v>
      </c>
      <c r="AD505" s="91">
        <f>INDEX(Auxiliar!$D$5:$I$10,MATCH('LISTA - Setembro2024'!AD$3,Auxiliar!$B$5:$B$10,0),MATCH('LISTA - Setembro2024'!$AC505,Auxiliar!$D$4:$I$4,0))</f>
        <v>0</v>
      </c>
      <c r="AE505" s="91">
        <f>INDEX(Auxiliar!$D$5:$I$10,MATCH('LISTA - Setembro2024'!AE$3,Auxiliar!$B$5:$B$10,0),MATCH('LISTA - Setembro2024'!$AC505,Auxiliar!$D$4:$I$4,0))</f>
        <v>0</v>
      </c>
      <c r="AF505" s="87">
        <f>INDEX(Auxiliar!$D$5:$I$10,MATCH('LISTA - Setembro2024'!AF$3,Auxiliar!$B$5:$B$10,0),MATCH('LISTA - Setembro2024'!$AC505,Auxiliar!$D$4:$I$4,0))</f>
        <v>0</v>
      </c>
      <c r="AG505" s="87" t="str">
        <f t="shared" si="117"/>
        <v>n.a.</v>
      </c>
      <c r="AH505" s="87">
        <f>INDEX(Auxiliar!$D$5:$I$10,MATCH('LISTA - Setembro2024'!AH$3,Auxiliar!$B$5:$B$10,0),MATCH('LISTA - Setembro2024'!$AG505,Auxiliar!$D$4:$I$4,0))</f>
        <v>0</v>
      </c>
      <c r="AI505" s="87">
        <f>INDEX(Auxiliar!$D$5:$I$10,MATCH('LISTA - Setembro2024'!AI$3,Auxiliar!$B$5:$B$10,0),MATCH('LISTA - Setembro2024'!$AC505,Auxiliar!$D$4:$I$4,0))</f>
        <v>0</v>
      </c>
      <c r="AJ505" s="87">
        <f>INDEX(Auxiliar!$D$5:$I$10,MATCH('LISTA - Setembro2024'!AJ$3,Auxiliar!$B$5:$B$10,0),MATCH('LISTA - Setembro2024'!$AC505,Auxiliar!$D$4:$I$4,0))</f>
        <v>0</v>
      </c>
      <c r="AK505" s="160">
        <f t="shared" si="118"/>
        <v>0</v>
      </c>
      <c r="AL505" s="87"/>
    </row>
    <row r="506" spans="1:38" ht="13.8" x14ac:dyDescent="0.25">
      <c r="A506" s="158" t="s">
        <v>1264</v>
      </c>
      <c r="B506" s="81" t="str">
        <f t="shared" si="116"/>
        <v>PROTECTION_MTHD_USD_PRTCTN_SCP_2</v>
      </c>
      <c r="C506" s="82" t="s">
        <v>1114</v>
      </c>
      <c r="D506" s="83" t="s">
        <v>1265</v>
      </c>
      <c r="E506" s="93" t="s">
        <v>1266</v>
      </c>
      <c r="F506" s="85" t="s">
        <v>11</v>
      </c>
      <c r="G506" s="85" t="s">
        <v>11</v>
      </c>
      <c r="H506" s="85" t="s">
        <v>13</v>
      </c>
      <c r="I506" s="85" t="s">
        <v>11</v>
      </c>
      <c r="J506" s="85" t="s">
        <v>13</v>
      </c>
      <c r="K506" s="85" t="s">
        <v>11</v>
      </c>
      <c r="L506" s="86" t="str">
        <f>IFERROR(VLOOKUP($B506,'LISTA - Atual'!$B$1:$I$444,5,0),"Novo")</f>
        <v>N</v>
      </c>
      <c r="M506" s="86" t="str">
        <f t="shared" si="129"/>
        <v>Igual</v>
      </c>
      <c r="N506" s="86" t="str">
        <f>IFERROR(VLOOKUP($B506,'LISTA - Atual'!$B$1:$I$444,6,0),"Novo")</f>
        <v>N</v>
      </c>
      <c r="O506" s="86" t="str">
        <f t="shared" si="130"/>
        <v>Igual</v>
      </c>
      <c r="P506" s="86" t="str">
        <f>IFERROR(VLOOKUP($B506,'LISTA - Atual'!$B$1:$I$444,7,0),"Novo")</f>
        <v>Y</v>
      </c>
      <c r="Q506" s="86" t="str">
        <f t="shared" si="131"/>
        <v>Igual</v>
      </c>
      <c r="R506" s="86" t="s">
        <v>1563</v>
      </c>
      <c r="S506" s="86" t="str">
        <f>IFERROR(VLOOKUP($B506,'LISTA - Atual'!$B$1:$I$444,8,0),"Novo")</f>
        <v>Y</v>
      </c>
      <c r="T506" s="86" t="str">
        <f t="shared" si="132"/>
        <v>Igual</v>
      </c>
      <c r="U506" s="86" t="s">
        <v>1563</v>
      </c>
      <c r="V506" s="86" t="s">
        <v>11</v>
      </c>
      <c r="W506" s="87" t="str">
        <f>IFERROR(VLOOKUP(B506,#REF!,11,0),"n/a")</f>
        <v>n/a</v>
      </c>
      <c r="X506" s="87" t="str">
        <f>IFERROR(VLOOKUP(B506,#REF!,8,0),"n/a")</f>
        <v>n/a</v>
      </c>
      <c r="Y506" s="87" t="str">
        <f t="shared" si="133"/>
        <v>PILAR3</v>
      </c>
      <c r="Z506" s="131" t="s">
        <v>1605</v>
      </c>
      <c r="AA506" s="227" t="e">
        <f>VLOOKUP(Table1[[#This Row],[CONCAT]],'Campos Resumo Prop2.0'!A:H,8,0)</f>
        <v>#N/A</v>
      </c>
      <c r="AB506" s="87" t="s">
        <v>1650</v>
      </c>
      <c r="AC506" s="137" t="s">
        <v>1625</v>
      </c>
      <c r="AD506" s="91">
        <f>INDEX(Auxiliar!$D$5:$I$10,MATCH('LISTA - Setembro2024'!AD$3,Auxiliar!$B$5:$B$10,0),MATCH('LISTA - Setembro2024'!$AC506,Auxiliar!$D$4:$I$4,0))</f>
        <v>0</v>
      </c>
      <c r="AE506" s="91">
        <f>INDEX(Auxiliar!$D$5:$I$10,MATCH('LISTA - Setembro2024'!AE$3,Auxiliar!$B$5:$B$10,0),MATCH('LISTA - Setembro2024'!$AC506,Auxiliar!$D$4:$I$4,0))</f>
        <v>0</v>
      </c>
      <c r="AF506" s="87">
        <f>INDEX(Auxiliar!$D$5:$I$10,MATCH('LISTA - Setembro2024'!AF$3,Auxiliar!$B$5:$B$10,0),MATCH('LISTA - Setembro2024'!$AC506,Auxiliar!$D$4:$I$4,0))</f>
        <v>0</v>
      </c>
      <c r="AG506" s="87" t="str">
        <f t="shared" si="117"/>
        <v>n.a.</v>
      </c>
      <c r="AH506" s="87">
        <f>INDEX(Auxiliar!$D$5:$I$10,MATCH('LISTA - Setembro2024'!AH$3,Auxiliar!$B$5:$B$10,0),MATCH('LISTA - Setembro2024'!$AG506,Auxiliar!$D$4:$I$4,0))</f>
        <v>0</v>
      </c>
      <c r="AI506" s="87">
        <f>INDEX(Auxiliar!$D$5:$I$10,MATCH('LISTA - Setembro2024'!AI$3,Auxiliar!$B$5:$B$10,0),MATCH('LISTA - Setembro2024'!$AC506,Auxiliar!$D$4:$I$4,0))</f>
        <v>0</v>
      </c>
      <c r="AJ506" s="87">
        <f>INDEX(Auxiliar!$D$5:$I$10,MATCH('LISTA - Setembro2024'!AJ$3,Auxiliar!$B$5:$B$10,0),MATCH('LISTA - Setembro2024'!$AC506,Auxiliar!$D$4:$I$4,0))</f>
        <v>0</v>
      </c>
      <c r="AK506" s="160">
        <f t="shared" si="118"/>
        <v>0</v>
      </c>
      <c r="AL506" s="87"/>
    </row>
    <row r="507" spans="1:38" ht="13.8" x14ac:dyDescent="0.25">
      <c r="A507" s="158" t="s">
        <v>1267</v>
      </c>
      <c r="B507" s="81" t="str">
        <f t="shared" si="116"/>
        <v>PROTECTION_MTHD_USD_PRTCTN_SCP_3</v>
      </c>
      <c r="C507" s="82" t="s">
        <v>1114</v>
      </c>
      <c r="D507" s="83" t="s">
        <v>1268</v>
      </c>
      <c r="E507" s="93" t="s">
        <v>1269</v>
      </c>
      <c r="F507" s="85" t="s">
        <v>11</v>
      </c>
      <c r="G507" s="85" t="s">
        <v>11</v>
      </c>
      <c r="H507" s="85" t="s">
        <v>13</v>
      </c>
      <c r="I507" s="85" t="s">
        <v>11</v>
      </c>
      <c r="J507" s="85" t="s">
        <v>13</v>
      </c>
      <c r="K507" s="85" t="s">
        <v>11</v>
      </c>
      <c r="L507" s="86" t="str">
        <f>IFERROR(VLOOKUP($B507,'LISTA - Atual'!$B$1:$I$444,5,0),"Novo")</f>
        <v>N</v>
      </c>
      <c r="M507" s="86" t="str">
        <f t="shared" si="129"/>
        <v>Igual</v>
      </c>
      <c r="N507" s="86" t="str">
        <f>IFERROR(VLOOKUP($B507,'LISTA - Atual'!$B$1:$I$444,6,0),"Novo")</f>
        <v>N</v>
      </c>
      <c r="O507" s="86" t="str">
        <f t="shared" si="130"/>
        <v>Igual</v>
      </c>
      <c r="P507" s="86" t="str">
        <f>IFERROR(VLOOKUP($B507,'LISTA - Atual'!$B$1:$I$444,7,0),"Novo")</f>
        <v>Y</v>
      </c>
      <c r="Q507" s="86" t="str">
        <f t="shared" si="131"/>
        <v>Igual</v>
      </c>
      <c r="R507" s="86" t="s">
        <v>1563</v>
      </c>
      <c r="S507" s="86" t="str">
        <f>IFERROR(VLOOKUP($B507,'LISTA - Atual'!$B$1:$I$444,8,0),"Novo")</f>
        <v>Y</v>
      </c>
      <c r="T507" s="86" t="str">
        <f t="shared" si="132"/>
        <v>Igual</v>
      </c>
      <c r="U507" s="86" t="s">
        <v>1563</v>
      </c>
      <c r="V507" s="86" t="s">
        <v>11</v>
      </c>
      <c r="W507" s="87" t="str">
        <f>IFERROR(VLOOKUP(B507,#REF!,11,0),"n/a")</f>
        <v>n/a</v>
      </c>
      <c r="X507" s="87" t="str">
        <f>IFERROR(VLOOKUP(B507,#REF!,8,0),"n/a")</f>
        <v>n/a</v>
      </c>
      <c r="Y507" s="87" t="str">
        <f t="shared" si="133"/>
        <v>PILAR3</v>
      </c>
      <c r="Z507" s="131" t="s">
        <v>1605</v>
      </c>
      <c r="AA507" s="227" t="e">
        <f>VLOOKUP(Table1[[#This Row],[CONCAT]],'Campos Resumo Prop2.0'!A:H,8,0)</f>
        <v>#N/A</v>
      </c>
      <c r="AB507" s="87" t="s">
        <v>1650</v>
      </c>
      <c r="AC507" s="137" t="s">
        <v>1625</v>
      </c>
      <c r="AD507" s="91">
        <f>INDEX(Auxiliar!$D$5:$I$10,MATCH('LISTA - Setembro2024'!AD$3,Auxiliar!$B$5:$B$10,0),MATCH('LISTA - Setembro2024'!$AC507,Auxiliar!$D$4:$I$4,0))</f>
        <v>0</v>
      </c>
      <c r="AE507" s="91">
        <f>INDEX(Auxiliar!$D$5:$I$10,MATCH('LISTA - Setembro2024'!AE$3,Auxiliar!$B$5:$B$10,0),MATCH('LISTA - Setembro2024'!$AC507,Auxiliar!$D$4:$I$4,0))</f>
        <v>0</v>
      </c>
      <c r="AF507" s="87">
        <f>INDEX(Auxiliar!$D$5:$I$10,MATCH('LISTA - Setembro2024'!AF$3,Auxiliar!$B$5:$B$10,0),MATCH('LISTA - Setembro2024'!$AC507,Auxiliar!$D$4:$I$4,0))</f>
        <v>0</v>
      </c>
      <c r="AG507" s="87" t="str">
        <f t="shared" si="117"/>
        <v>n.a.</v>
      </c>
      <c r="AH507" s="87">
        <f>INDEX(Auxiliar!$D$5:$I$10,MATCH('LISTA - Setembro2024'!AH$3,Auxiliar!$B$5:$B$10,0),MATCH('LISTA - Setembro2024'!$AG507,Auxiliar!$D$4:$I$4,0))</f>
        <v>0</v>
      </c>
      <c r="AI507" s="87">
        <f>INDEX(Auxiliar!$D$5:$I$10,MATCH('LISTA - Setembro2024'!AI$3,Auxiliar!$B$5:$B$10,0),MATCH('LISTA - Setembro2024'!$AC507,Auxiliar!$D$4:$I$4,0))</f>
        <v>0</v>
      </c>
      <c r="AJ507" s="87">
        <f>INDEX(Auxiliar!$D$5:$I$10,MATCH('LISTA - Setembro2024'!AJ$3,Auxiliar!$B$5:$B$10,0),MATCH('LISTA - Setembro2024'!$AC507,Auxiliar!$D$4:$I$4,0))</f>
        <v>0</v>
      </c>
      <c r="AK507" s="160">
        <f t="shared" si="118"/>
        <v>0</v>
      </c>
      <c r="AL507" s="87"/>
    </row>
    <row r="508" spans="1:38" ht="13.8" x14ac:dyDescent="0.25">
      <c r="A508" s="158" t="s">
        <v>1270</v>
      </c>
      <c r="B508" s="81" t="str">
        <f t="shared" si="116"/>
        <v>PROTECTION_FLG_ACT_PHYSCL_RSK</v>
      </c>
      <c r="C508" s="82" t="s">
        <v>1114</v>
      </c>
      <c r="D508" s="83" t="s">
        <v>376</v>
      </c>
      <c r="E508" s="93" t="s">
        <v>1271</v>
      </c>
      <c r="F508" s="85" t="s">
        <v>11</v>
      </c>
      <c r="G508" s="85" t="s">
        <v>11</v>
      </c>
      <c r="H508" s="85" t="s">
        <v>13</v>
      </c>
      <c r="I508" s="85" t="s">
        <v>11</v>
      </c>
      <c r="J508" s="85" t="s">
        <v>11</v>
      </c>
      <c r="K508" s="85" t="s">
        <v>11</v>
      </c>
      <c r="L508" s="86" t="str">
        <f>IFERROR(VLOOKUP($B508,'LISTA - Atual'!$B$1:$I$444,5,0),"Novo")</f>
        <v>N</v>
      </c>
      <c r="M508" s="86" t="str">
        <f t="shared" si="129"/>
        <v>Igual</v>
      </c>
      <c r="N508" s="86" t="str">
        <f>IFERROR(VLOOKUP($B508,'LISTA - Atual'!$B$1:$I$444,6,0),"Novo")</f>
        <v>N</v>
      </c>
      <c r="O508" s="86" t="str">
        <f t="shared" si="130"/>
        <v>Igual</v>
      </c>
      <c r="P508" s="86" t="str">
        <f>IFERROR(VLOOKUP($B508,'LISTA - Atual'!$B$1:$I$444,7,0),"Novo")</f>
        <v>Y</v>
      </c>
      <c r="Q508" s="86" t="str">
        <f t="shared" si="131"/>
        <v>Igual</v>
      </c>
      <c r="R508" s="86" t="s">
        <v>1563</v>
      </c>
      <c r="S508" s="86" t="str">
        <f>IFERROR(VLOOKUP($B508,'LISTA - Atual'!$B$1:$I$444,8,0),"Novo")</f>
        <v>N</v>
      </c>
      <c r="T508" s="86" t="str">
        <f t="shared" si="132"/>
        <v>Igual</v>
      </c>
      <c r="U508" s="86" t="s">
        <v>1563</v>
      </c>
      <c r="V508" s="86" t="s">
        <v>11</v>
      </c>
      <c r="W508" s="87" t="str">
        <f>IFERROR(VLOOKUP(B508,#REF!,11,0),"n/a")</f>
        <v>n/a</v>
      </c>
      <c r="X508" s="87" t="str">
        <f>IFERROR(VLOOKUP(B508,#REF!,8,0),"n/a")</f>
        <v>n/a</v>
      </c>
      <c r="Y508" s="87" t="str">
        <f t="shared" si="133"/>
        <v>PILAR3</v>
      </c>
      <c r="Z508" s="131" t="s">
        <v>1605</v>
      </c>
      <c r="AA508" s="227" t="e">
        <f>VLOOKUP(Table1[[#This Row],[CONCAT]],'Campos Resumo Prop2.0'!A:H,8,0)</f>
        <v>#N/A</v>
      </c>
      <c r="AB508" s="87" t="s">
        <v>1654</v>
      </c>
      <c r="AC508" s="137" t="s">
        <v>1625</v>
      </c>
      <c r="AD508" s="91">
        <f>INDEX(Auxiliar!$D$5:$I$10,MATCH('LISTA - Setembro2024'!AD$3,Auxiliar!$B$5:$B$10,0),MATCH('LISTA - Setembro2024'!$AC508,Auxiliar!$D$4:$I$4,0))</f>
        <v>0</v>
      </c>
      <c r="AE508" s="91">
        <f>INDEX(Auxiliar!$D$5:$I$10,MATCH('LISTA - Setembro2024'!AE$3,Auxiliar!$B$5:$B$10,0),MATCH('LISTA - Setembro2024'!$AC508,Auxiliar!$D$4:$I$4,0))</f>
        <v>0</v>
      </c>
      <c r="AF508" s="87">
        <f>INDEX(Auxiliar!$D$5:$I$10,MATCH('LISTA - Setembro2024'!AF$3,Auxiliar!$B$5:$B$10,0),MATCH('LISTA - Setembro2024'!$AC508,Auxiliar!$D$4:$I$4,0))</f>
        <v>0</v>
      </c>
      <c r="AG508" s="87" t="str">
        <f t="shared" si="117"/>
        <v>n.a.</v>
      </c>
      <c r="AH508" s="87">
        <f>INDEX(Auxiliar!$D$5:$I$10,MATCH('LISTA - Setembro2024'!AH$3,Auxiliar!$B$5:$B$10,0),MATCH('LISTA - Setembro2024'!$AG508,Auxiliar!$D$4:$I$4,0))</f>
        <v>0</v>
      </c>
      <c r="AI508" s="87">
        <f>INDEX(Auxiliar!$D$5:$I$10,MATCH('LISTA - Setembro2024'!AI$3,Auxiliar!$B$5:$B$10,0),MATCH('LISTA - Setembro2024'!$AC508,Auxiliar!$D$4:$I$4,0))</f>
        <v>0</v>
      </c>
      <c r="AJ508" s="87">
        <f>INDEX(Auxiliar!$D$5:$I$10,MATCH('LISTA - Setembro2024'!AJ$3,Auxiliar!$B$5:$B$10,0),MATCH('LISTA - Setembro2024'!$AC508,Auxiliar!$D$4:$I$4,0))</f>
        <v>0</v>
      </c>
      <c r="AK508" s="160">
        <f t="shared" si="118"/>
        <v>0</v>
      </c>
      <c r="AL508" s="87"/>
    </row>
    <row r="509" spans="1:38" ht="13.8" x14ac:dyDescent="0.25">
      <c r="A509" s="158" t="s">
        <v>1272</v>
      </c>
      <c r="B509" s="81" t="str">
        <f t="shared" si="116"/>
        <v>PROTECTION_FLG_CHRNC_PHYSCL_RSK</v>
      </c>
      <c r="C509" s="82" t="s">
        <v>1114</v>
      </c>
      <c r="D509" s="83" t="s">
        <v>379</v>
      </c>
      <c r="E509" s="93" t="s">
        <v>1273</v>
      </c>
      <c r="F509" s="85" t="s">
        <v>11</v>
      </c>
      <c r="G509" s="85" t="s">
        <v>11</v>
      </c>
      <c r="H509" s="85" t="s">
        <v>13</v>
      </c>
      <c r="I509" s="85" t="s">
        <v>11</v>
      </c>
      <c r="J509" s="85" t="s">
        <v>11</v>
      </c>
      <c r="K509" s="85" t="s">
        <v>11</v>
      </c>
      <c r="L509" s="86" t="str">
        <f>IFERROR(VLOOKUP($B509,'LISTA - Atual'!$B$1:$I$444,5,0),"Novo")</f>
        <v>N</v>
      </c>
      <c r="M509" s="86" t="str">
        <f t="shared" si="129"/>
        <v>Igual</v>
      </c>
      <c r="N509" s="86" t="str">
        <f>IFERROR(VLOOKUP($B509,'LISTA - Atual'!$B$1:$I$444,6,0),"Novo")</f>
        <v>N</v>
      </c>
      <c r="O509" s="86" t="str">
        <f t="shared" si="130"/>
        <v>Igual</v>
      </c>
      <c r="P509" s="86" t="str">
        <f>IFERROR(VLOOKUP($B509,'LISTA - Atual'!$B$1:$I$444,7,0),"Novo")</f>
        <v>Y</v>
      </c>
      <c r="Q509" s="86" t="str">
        <f t="shared" si="131"/>
        <v>Igual</v>
      </c>
      <c r="R509" s="86" t="s">
        <v>1563</v>
      </c>
      <c r="S509" s="86" t="str">
        <f>IFERROR(VLOOKUP($B509,'LISTA - Atual'!$B$1:$I$444,8,0),"Novo")</f>
        <v>N</v>
      </c>
      <c r="T509" s="86" t="str">
        <f t="shared" si="132"/>
        <v>Igual</v>
      </c>
      <c r="U509" s="86" t="s">
        <v>1563</v>
      </c>
      <c r="V509" s="86" t="s">
        <v>11</v>
      </c>
      <c r="W509" s="87" t="str">
        <f>IFERROR(VLOOKUP(B509,#REF!,11,0),"n/a")</f>
        <v>n/a</v>
      </c>
      <c r="X509" s="87" t="str">
        <f>IFERROR(VLOOKUP(B509,#REF!,8,0),"n/a")</f>
        <v>n/a</v>
      </c>
      <c r="Y509" s="87" t="str">
        <f t="shared" si="133"/>
        <v>PILAR3</v>
      </c>
      <c r="Z509" s="131" t="s">
        <v>1605</v>
      </c>
      <c r="AA509" s="227" t="e">
        <f>VLOOKUP(Table1[[#This Row],[CONCAT]],'Campos Resumo Prop2.0'!A:H,8,0)</f>
        <v>#N/A</v>
      </c>
      <c r="AB509" s="87" t="s">
        <v>1654</v>
      </c>
      <c r="AC509" s="137" t="s">
        <v>1625</v>
      </c>
      <c r="AD509" s="91">
        <f>INDEX(Auxiliar!$D$5:$I$10,MATCH('LISTA - Setembro2024'!AD$3,Auxiliar!$B$5:$B$10,0),MATCH('LISTA - Setembro2024'!$AC509,Auxiliar!$D$4:$I$4,0))</f>
        <v>0</v>
      </c>
      <c r="AE509" s="91">
        <f>INDEX(Auxiliar!$D$5:$I$10,MATCH('LISTA - Setembro2024'!AE$3,Auxiliar!$B$5:$B$10,0),MATCH('LISTA - Setembro2024'!$AC509,Auxiliar!$D$4:$I$4,0))</f>
        <v>0</v>
      </c>
      <c r="AF509" s="87">
        <f>INDEX(Auxiliar!$D$5:$I$10,MATCH('LISTA - Setembro2024'!AF$3,Auxiliar!$B$5:$B$10,0),MATCH('LISTA - Setembro2024'!$AC509,Auxiliar!$D$4:$I$4,0))</f>
        <v>0</v>
      </c>
      <c r="AG509" s="87" t="str">
        <f t="shared" si="117"/>
        <v>n.a.</v>
      </c>
      <c r="AH509" s="87">
        <f>INDEX(Auxiliar!$D$5:$I$10,MATCH('LISTA - Setembro2024'!AH$3,Auxiliar!$B$5:$B$10,0),MATCH('LISTA - Setembro2024'!$AG509,Auxiliar!$D$4:$I$4,0))</f>
        <v>0</v>
      </c>
      <c r="AI509" s="87">
        <f>INDEX(Auxiliar!$D$5:$I$10,MATCH('LISTA - Setembro2024'!AI$3,Auxiliar!$B$5:$B$10,0),MATCH('LISTA - Setembro2024'!$AC509,Auxiliar!$D$4:$I$4,0))</f>
        <v>0</v>
      </c>
      <c r="AJ509" s="87">
        <f>INDEX(Auxiliar!$D$5:$I$10,MATCH('LISTA - Setembro2024'!AJ$3,Auxiliar!$B$5:$B$10,0),MATCH('LISTA - Setembro2024'!$AC509,Auxiliar!$D$4:$I$4,0))</f>
        <v>0</v>
      </c>
      <c r="AK509" s="160">
        <f t="shared" si="118"/>
        <v>0</v>
      </c>
      <c r="AL509" s="87"/>
    </row>
    <row r="510" spans="1:38" ht="13.8" x14ac:dyDescent="0.25">
      <c r="A510" s="158" t="s">
        <v>1274</v>
      </c>
      <c r="B510" s="81" t="str">
        <f t="shared" si="116"/>
        <v>PROTECTION_INSRNC_ID</v>
      </c>
      <c r="C510" s="82" t="s">
        <v>1114</v>
      </c>
      <c r="D510" s="83" t="s">
        <v>1275</v>
      </c>
      <c r="E510" s="93" t="s">
        <v>1276</v>
      </c>
      <c r="F510" s="85" t="s">
        <v>11</v>
      </c>
      <c r="G510" s="85" t="s">
        <v>11</v>
      </c>
      <c r="H510" s="85" t="s">
        <v>11</v>
      </c>
      <c r="I510" s="85" t="s">
        <v>11</v>
      </c>
      <c r="J510" s="85" t="s">
        <v>13</v>
      </c>
      <c r="K510" s="85" t="s">
        <v>11</v>
      </c>
      <c r="L510" s="86" t="str">
        <f>IFERROR(VLOOKUP($B510,'LISTA - Atual'!$B$1:$I$444,5,0),"Novo")</f>
        <v>N</v>
      </c>
      <c r="M510" s="86" t="s">
        <v>1571</v>
      </c>
      <c r="N510" s="86" t="str">
        <f>IFERROR(VLOOKUP($B510,'LISTA - Atual'!$B$1:$I$444,6,0),"Novo")</f>
        <v>N</v>
      </c>
      <c r="O510" s="86" t="s">
        <v>1571</v>
      </c>
      <c r="P510" s="86" t="str">
        <f>IFERROR(VLOOKUP($B510,'LISTA - Atual'!$B$1:$I$444,7,0),"Novo")</f>
        <v>N</v>
      </c>
      <c r="Q510" s="86" t="s">
        <v>1571</v>
      </c>
      <c r="R510" s="86" t="s">
        <v>1563</v>
      </c>
      <c r="S510" s="86" t="str">
        <f>IFERROR(VLOOKUP($B510,'LISTA - Atual'!$B$1:$I$444,8,0),"Novo")</f>
        <v>Y</v>
      </c>
      <c r="T510" s="86" t="s">
        <v>1571</v>
      </c>
      <c r="U510" s="86" t="s">
        <v>1563</v>
      </c>
      <c r="V510" s="86" t="s">
        <v>11</v>
      </c>
      <c r="W510" s="87" t="str">
        <f>IFERROR(VLOOKUP(B510,#REF!,11,0),"n/a")</f>
        <v>n/a</v>
      </c>
      <c r="X510" s="87" t="str">
        <f>IFERROR(VLOOKUP(B510,#REF!,8,0),"n/a")</f>
        <v>n/a</v>
      </c>
      <c r="Y510" s="87" t="str">
        <f t="shared" ref="Y510:Y514" si="134">$J$2</f>
        <v>ESG_RISKS</v>
      </c>
      <c r="Z510" s="131" t="s">
        <v>1570</v>
      </c>
      <c r="AA510" s="227" t="str">
        <f>VLOOKUP(Table1[[#This Row],[CONCAT]],'Campos Resumo Prop2.0'!A:H,8,0)</f>
        <v>Não será contemplado no âmbito da proposta - Banco não tem esta informação na fonte/Sem materialidade</v>
      </c>
      <c r="AB510" s="87" t="s">
        <v>1659</v>
      </c>
      <c r="AC510" s="135" t="s">
        <v>1625</v>
      </c>
      <c r="AD510" s="91">
        <f>INDEX(Auxiliar!$D$5:$I$10,MATCH('LISTA - Setembro2024'!AD$3,Auxiliar!$B$5:$B$10,0),MATCH('LISTA - Setembro2024'!$AC510,Auxiliar!$D$4:$I$4,0))</f>
        <v>0</v>
      </c>
      <c r="AE510" s="91">
        <f>INDEX(Auxiliar!$D$5:$I$10,MATCH('LISTA - Setembro2024'!AE$3,Auxiliar!$B$5:$B$10,0),MATCH('LISTA - Setembro2024'!$AC510,Auxiliar!$D$4:$I$4,0))</f>
        <v>0</v>
      </c>
      <c r="AF510" s="87">
        <f>INDEX(Auxiliar!$D$5:$I$10,MATCH('LISTA - Setembro2024'!AF$3,Auxiliar!$B$5:$B$10,0),MATCH('LISTA - Setembro2024'!$AC510,Auxiliar!$D$4:$I$4,0))</f>
        <v>0</v>
      </c>
      <c r="AG510" s="87" t="str">
        <f t="shared" si="117"/>
        <v>n.a.</v>
      </c>
      <c r="AH510" s="87">
        <f>INDEX(Auxiliar!$D$5:$I$10,MATCH('LISTA - Setembro2024'!AH$3,Auxiliar!$B$5:$B$10,0),MATCH('LISTA - Setembro2024'!$AG510,Auxiliar!$D$4:$I$4,0))</f>
        <v>0</v>
      </c>
      <c r="AI510" s="87">
        <f>INDEX(Auxiliar!$D$5:$I$10,MATCH('LISTA - Setembro2024'!AI$3,Auxiliar!$B$5:$B$10,0),MATCH('LISTA - Setembro2024'!$AC510,Auxiliar!$D$4:$I$4,0))</f>
        <v>0</v>
      </c>
      <c r="AJ510" s="87">
        <f>INDEX(Auxiliar!$D$5:$I$10,MATCH('LISTA - Setembro2024'!AJ$3,Auxiliar!$B$5:$B$10,0),MATCH('LISTA - Setembro2024'!$AC510,Auxiliar!$D$4:$I$4,0))</f>
        <v>0</v>
      </c>
      <c r="AK510" s="160">
        <f t="shared" si="118"/>
        <v>0</v>
      </c>
      <c r="AL510" s="87"/>
    </row>
    <row r="511" spans="1:38" ht="13.8" x14ac:dyDescent="0.25">
      <c r="A511" s="158" t="s">
        <v>1277</v>
      </c>
      <c r="B511" s="81" t="str">
        <f t="shared" si="116"/>
        <v>PROTECTION_TYP_HZRDS_INSRD</v>
      </c>
      <c r="C511" s="82" t="s">
        <v>1114</v>
      </c>
      <c r="D511" s="92" t="s">
        <v>1278</v>
      </c>
      <c r="E511" s="93" t="s">
        <v>1279</v>
      </c>
      <c r="F511" s="85" t="s">
        <v>11</v>
      </c>
      <c r="G511" s="85" t="s">
        <v>11</v>
      </c>
      <c r="H511" s="85" t="s">
        <v>11</v>
      </c>
      <c r="I511" s="85" t="s">
        <v>11</v>
      </c>
      <c r="J511" s="85" t="s">
        <v>13</v>
      </c>
      <c r="K511" s="85" t="s">
        <v>11</v>
      </c>
      <c r="L511" s="86" t="str">
        <f>IFERROR(VLOOKUP($B511,'LISTA - Atual'!$B$1:$I$444,5,0),"Novo")</f>
        <v>N</v>
      </c>
      <c r="M511" s="86" t="s">
        <v>1571</v>
      </c>
      <c r="N511" s="86" t="str">
        <f>IFERROR(VLOOKUP($B511,'LISTA - Atual'!$B$1:$I$444,6,0),"Novo")</f>
        <v>N</v>
      </c>
      <c r="O511" s="86" t="s">
        <v>1571</v>
      </c>
      <c r="P511" s="86" t="str">
        <f>IFERROR(VLOOKUP($B511,'LISTA - Atual'!$B$1:$I$444,7,0),"Novo")</f>
        <v>N</v>
      </c>
      <c r="Q511" s="86" t="s">
        <v>1571</v>
      </c>
      <c r="R511" s="86" t="s">
        <v>1563</v>
      </c>
      <c r="S511" s="86" t="str">
        <f>IFERROR(VLOOKUP($B511,'LISTA - Atual'!$B$1:$I$444,8,0),"Novo")</f>
        <v>Y</v>
      </c>
      <c r="T511" s="86" t="s">
        <v>1571</v>
      </c>
      <c r="U511" s="86" t="s">
        <v>1563</v>
      </c>
      <c r="V511" s="86" t="s">
        <v>11</v>
      </c>
      <c r="W511" s="87" t="str">
        <f>IFERROR(VLOOKUP(B511,#REF!,11,0),"n/a")</f>
        <v>n/a</v>
      </c>
      <c r="X511" s="87" t="str">
        <f>IFERROR(VLOOKUP(B511,#REF!,8,0),"n/a")</f>
        <v>n/a</v>
      </c>
      <c r="Y511" s="87" t="str">
        <f t="shared" si="134"/>
        <v>ESG_RISKS</v>
      </c>
      <c r="Z511" s="131" t="s">
        <v>1570</v>
      </c>
      <c r="AA511" s="227" t="str">
        <f>VLOOKUP(Table1[[#This Row],[CONCAT]],'Campos Resumo Prop2.0'!A:H,8,0)</f>
        <v>Não será contemplado no âmbito da proposta - Banco não tem esta informação na fonte/Sem materialidade</v>
      </c>
      <c r="AB511" s="87" t="s">
        <v>1650</v>
      </c>
      <c r="AC511" s="135" t="s">
        <v>1625</v>
      </c>
      <c r="AD511" s="91">
        <f>INDEX(Auxiliar!$D$5:$I$10,MATCH('LISTA - Setembro2024'!AD$3,Auxiliar!$B$5:$B$10,0),MATCH('LISTA - Setembro2024'!$AC511,Auxiliar!$D$4:$I$4,0))</f>
        <v>0</v>
      </c>
      <c r="AE511" s="91">
        <f>INDEX(Auxiliar!$D$5:$I$10,MATCH('LISTA - Setembro2024'!AE$3,Auxiliar!$B$5:$B$10,0),MATCH('LISTA - Setembro2024'!$AC511,Auxiliar!$D$4:$I$4,0))</f>
        <v>0</v>
      </c>
      <c r="AF511" s="87">
        <f>INDEX(Auxiliar!$D$5:$I$10,MATCH('LISTA - Setembro2024'!AF$3,Auxiliar!$B$5:$B$10,0),MATCH('LISTA - Setembro2024'!$AC511,Auxiliar!$D$4:$I$4,0))</f>
        <v>0</v>
      </c>
      <c r="AG511" s="87" t="str">
        <f t="shared" si="117"/>
        <v>n.a.</v>
      </c>
      <c r="AH511" s="87">
        <f>INDEX(Auxiliar!$D$5:$I$10,MATCH('LISTA - Setembro2024'!AH$3,Auxiliar!$B$5:$B$10,0),MATCH('LISTA - Setembro2024'!$AG511,Auxiliar!$D$4:$I$4,0))</f>
        <v>0</v>
      </c>
      <c r="AI511" s="87">
        <f>INDEX(Auxiliar!$D$5:$I$10,MATCH('LISTA - Setembro2024'!AI$3,Auxiliar!$B$5:$B$10,0),MATCH('LISTA - Setembro2024'!$AC511,Auxiliar!$D$4:$I$4,0))</f>
        <v>0</v>
      </c>
      <c r="AJ511" s="87">
        <f>INDEX(Auxiliar!$D$5:$I$10,MATCH('LISTA - Setembro2024'!AJ$3,Auxiliar!$B$5:$B$10,0),MATCH('LISTA - Setembro2024'!$AC511,Auxiliar!$D$4:$I$4,0))</f>
        <v>0</v>
      </c>
      <c r="AK511" s="160">
        <f t="shared" si="118"/>
        <v>0</v>
      </c>
      <c r="AL511" s="87"/>
    </row>
    <row r="512" spans="1:38" ht="13.8" x14ac:dyDescent="0.25">
      <c r="A512" s="158" t="s">
        <v>1280</v>
      </c>
      <c r="B512" s="81" t="str">
        <f t="shared" si="116"/>
        <v>PROTECTION_AMNT_CVRD_INSRNC</v>
      </c>
      <c r="C512" s="82" t="s">
        <v>1114</v>
      </c>
      <c r="D512" s="83" t="s">
        <v>1281</v>
      </c>
      <c r="E512" s="93" t="s">
        <v>1282</v>
      </c>
      <c r="F512" s="85" t="s">
        <v>11</v>
      </c>
      <c r="G512" s="85" t="s">
        <v>11</v>
      </c>
      <c r="H512" s="85" t="s">
        <v>11</v>
      </c>
      <c r="I512" s="85" t="s">
        <v>11</v>
      </c>
      <c r="J512" s="85" t="s">
        <v>13</v>
      </c>
      <c r="K512" s="85" t="s">
        <v>11</v>
      </c>
      <c r="L512" s="86" t="str">
        <f>IFERROR(VLOOKUP($B512,'LISTA - Atual'!$B$1:$I$444,5,0),"Novo")</f>
        <v>N</v>
      </c>
      <c r="M512" s="86" t="s">
        <v>1571</v>
      </c>
      <c r="N512" s="86" t="str">
        <f>IFERROR(VLOOKUP($B512,'LISTA - Atual'!$B$1:$I$444,6,0),"Novo")</f>
        <v>N</v>
      </c>
      <c r="O512" s="86" t="s">
        <v>1571</v>
      </c>
      <c r="P512" s="86" t="str">
        <f>IFERROR(VLOOKUP($B512,'LISTA - Atual'!$B$1:$I$444,7,0),"Novo")</f>
        <v>N</v>
      </c>
      <c r="Q512" s="86" t="s">
        <v>1571</v>
      </c>
      <c r="R512" s="86" t="s">
        <v>1563</v>
      </c>
      <c r="S512" s="86" t="str">
        <f>IFERROR(VLOOKUP($B512,'LISTA - Atual'!$B$1:$I$444,8,0),"Novo")</f>
        <v>Y</v>
      </c>
      <c r="T512" s="86" t="s">
        <v>1571</v>
      </c>
      <c r="U512" s="86" t="s">
        <v>1563</v>
      </c>
      <c r="V512" s="86" t="s">
        <v>11</v>
      </c>
      <c r="W512" s="87" t="str">
        <f>IFERROR(VLOOKUP(B512,#REF!,11,0),"n/a")</f>
        <v>n/a</v>
      </c>
      <c r="X512" s="87" t="str">
        <f>IFERROR(VLOOKUP(B512,#REF!,8,0),"n/a")</f>
        <v>n/a</v>
      </c>
      <c r="Y512" s="87" t="str">
        <f t="shared" si="134"/>
        <v>ESG_RISKS</v>
      </c>
      <c r="Z512" s="131" t="s">
        <v>1570</v>
      </c>
      <c r="AA512" s="227" t="str">
        <f>VLOOKUP(Table1[[#This Row],[CONCAT]],'Campos Resumo Prop2.0'!A:H,8,0)</f>
        <v>Não será contemplado no âmbito da proposta - Banco não tem esta informação na fonte/Sem materialidade</v>
      </c>
      <c r="AB512" s="87" t="s">
        <v>1655</v>
      </c>
      <c r="AC512" s="135" t="s">
        <v>1625</v>
      </c>
      <c r="AD512" s="91">
        <f>INDEX(Auxiliar!$D$5:$I$10,MATCH('LISTA - Setembro2024'!AD$3,Auxiliar!$B$5:$B$10,0),MATCH('LISTA - Setembro2024'!$AC512,Auxiliar!$D$4:$I$4,0))</f>
        <v>0</v>
      </c>
      <c r="AE512" s="91">
        <f>INDEX(Auxiliar!$D$5:$I$10,MATCH('LISTA - Setembro2024'!AE$3,Auxiliar!$B$5:$B$10,0),MATCH('LISTA - Setembro2024'!$AC512,Auxiliar!$D$4:$I$4,0))</f>
        <v>0</v>
      </c>
      <c r="AF512" s="87">
        <f>INDEX(Auxiliar!$D$5:$I$10,MATCH('LISTA - Setembro2024'!AF$3,Auxiliar!$B$5:$B$10,0),MATCH('LISTA - Setembro2024'!$AC512,Auxiliar!$D$4:$I$4,0))</f>
        <v>0</v>
      </c>
      <c r="AG512" s="87" t="str">
        <f t="shared" si="117"/>
        <v>n.a.</v>
      </c>
      <c r="AH512" s="87">
        <f>INDEX(Auxiliar!$D$5:$I$10,MATCH('LISTA - Setembro2024'!AH$3,Auxiliar!$B$5:$B$10,0),MATCH('LISTA - Setembro2024'!$AG512,Auxiliar!$D$4:$I$4,0))</f>
        <v>0</v>
      </c>
      <c r="AI512" s="87">
        <f>INDEX(Auxiliar!$D$5:$I$10,MATCH('LISTA - Setembro2024'!AI$3,Auxiliar!$B$5:$B$10,0),MATCH('LISTA - Setembro2024'!$AC512,Auxiliar!$D$4:$I$4,0))</f>
        <v>0</v>
      </c>
      <c r="AJ512" s="87">
        <f>INDEX(Auxiliar!$D$5:$I$10,MATCH('LISTA - Setembro2024'!AJ$3,Auxiliar!$B$5:$B$10,0),MATCH('LISTA - Setembro2024'!$AC512,Auxiliar!$D$4:$I$4,0))</f>
        <v>0</v>
      </c>
      <c r="AK512" s="160">
        <f t="shared" si="118"/>
        <v>0</v>
      </c>
      <c r="AL512" s="87"/>
    </row>
    <row r="513" spans="1:38" ht="13.8" x14ac:dyDescent="0.25">
      <c r="A513" s="158" t="s">
        <v>1283</v>
      </c>
      <c r="B513" s="81" t="str">
        <f t="shared" si="116"/>
        <v>PROTECTION_DT_MTRTY_INSRNC</v>
      </c>
      <c r="C513" s="82" t="s">
        <v>1114</v>
      </c>
      <c r="D513" s="83" t="s">
        <v>1284</v>
      </c>
      <c r="E513" s="93" t="s">
        <v>1285</v>
      </c>
      <c r="F513" s="85" t="s">
        <v>11</v>
      </c>
      <c r="G513" s="85" t="s">
        <v>11</v>
      </c>
      <c r="H513" s="85" t="s">
        <v>11</v>
      </c>
      <c r="I513" s="85" t="s">
        <v>11</v>
      </c>
      <c r="J513" s="85" t="s">
        <v>13</v>
      </c>
      <c r="K513" s="85" t="s">
        <v>11</v>
      </c>
      <c r="L513" s="86" t="str">
        <f>IFERROR(VLOOKUP($B513,'LISTA - Atual'!$B$1:$I$444,5,0),"Novo")</f>
        <v>N</v>
      </c>
      <c r="M513" s="86" t="s">
        <v>1571</v>
      </c>
      <c r="N513" s="86" t="str">
        <f>IFERROR(VLOOKUP($B513,'LISTA - Atual'!$B$1:$I$444,6,0),"Novo")</f>
        <v>N</v>
      </c>
      <c r="O513" s="86" t="s">
        <v>1571</v>
      </c>
      <c r="P513" s="86" t="str">
        <f>IFERROR(VLOOKUP($B513,'LISTA - Atual'!$B$1:$I$444,7,0),"Novo")</f>
        <v>N</v>
      </c>
      <c r="Q513" s="86" t="s">
        <v>1571</v>
      </c>
      <c r="R513" s="86" t="s">
        <v>1563</v>
      </c>
      <c r="S513" s="86" t="str">
        <f>IFERROR(VLOOKUP($B513,'LISTA - Atual'!$B$1:$I$444,8,0),"Novo")</f>
        <v>Y</v>
      </c>
      <c r="T513" s="86" t="s">
        <v>1571</v>
      </c>
      <c r="U513" s="86" t="s">
        <v>1563</v>
      </c>
      <c r="V513" s="86" t="s">
        <v>11</v>
      </c>
      <c r="W513" s="87" t="str">
        <f>IFERROR(VLOOKUP(B513,#REF!,11,0),"n/a")</f>
        <v>n/a</v>
      </c>
      <c r="X513" s="87" t="str">
        <f>IFERROR(VLOOKUP(B513,#REF!,8,0),"n/a")</f>
        <v>n/a</v>
      </c>
      <c r="Y513" s="87" t="str">
        <f t="shared" si="134"/>
        <v>ESG_RISKS</v>
      </c>
      <c r="Z513" s="131" t="s">
        <v>1570</v>
      </c>
      <c r="AA513" s="227" t="str">
        <f>VLOOKUP(Table1[[#This Row],[CONCAT]],'Campos Resumo Prop2.0'!A:H,8,0)</f>
        <v>Não será contemplado no âmbito da proposta - Banco não tem esta informação na fonte/Sem materialidade</v>
      </c>
      <c r="AB513" s="87" t="s">
        <v>1651</v>
      </c>
      <c r="AC513" s="135" t="s">
        <v>1625</v>
      </c>
      <c r="AD513" s="91">
        <f>INDEX(Auxiliar!$D$5:$I$10,MATCH('LISTA - Setembro2024'!AD$3,Auxiliar!$B$5:$B$10,0),MATCH('LISTA - Setembro2024'!$AC513,Auxiliar!$D$4:$I$4,0))</f>
        <v>0</v>
      </c>
      <c r="AE513" s="91">
        <f>INDEX(Auxiliar!$D$5:$I$10,MATCH('LISTA - Setembro2024'!AE$3,Auxiliar!$B$5:$B$10,0),MATCH('LISTA - Setembro2024'!$AC513,Auxiliar!$D$4:$I$4,0))</f>
        <v>0</v>
      </c>
      <c r="AF513" s="87">
        <f>INDEX(Auxiliar!$D$5:$I$10,MATCH('LISTA - Setembro2024'!AF$3,Auxiliar!$B$5:$B$10,0),MATCH('LISTA - Setembro2024'!$AC513,Auxiliar!$D$4:$I$4,0))</f>
        <v>0</v>
      </c>
      <c r="AG513" s="87" t="str">
        <f t="shared" si="117"/>
        <v>n.a.</v>
      </c>
      <c r="AH513" s="87">
        <f>INDEX(Auxiliar!$D$5:$I$10,MATCH('LISTA - Setembro2024'!AH$3,Auxiliar!$B$5:$B$10,0),MATCH('LISTA - Setembro2024'!$AG513,Auxiliar!$D$4:$I$4,0))</f>
        <v>0</v>
      </c>
      <c r="AI513" s="87">
        <f>INDEX(Auxiliar!$D$5:$I$10,MATCH('LISTA - Setembro2024'!AI$3,Auxiliar!$B$5:$B$10,0),MATCH('LISTA - Setembro2024'!$AC513,Auxiliar!$D$4:$I$4,0))</f>
        <v>0</v>
      </c>
      <c r="AJ513" s="87">
        <f>INDEX(Auxiliar!$D$5:$I$10,MATCH('LISTA - Setembro2024'!AJ$3,Auxiliar!$B$5:$B$10,0),MATCH('LISTA - Setembro2024'!$AC513,Auxiliar!$D$4:$I$4,0))</f>
        <v>0</v>
      </c>
      <c r="AK513" s="160">
        <f t="shared" si="118"/>
        <v>0</v>
      </c>
      <c r="AL513" s="87"/>
    </row>
    <row r="514" spans="1:38" ht="13.8" x14ac:dyDescent="0.25">
      <c r="A514" s="158" t="s">
        <v>1286</v>
      </c>
      <c r="B514" s="81" t="str">
        <f t="shared" si="116"/>
        <v>PROTECTION_FLG_FRST_HM</v>
      </c>
      <c r="C514" s="82" t="s">
        <v>1114</v>
      </c>
      <c r="D514" s="83" t="s">
        <v>1287</v>
      </c>
      <c r="E514" s="93" t="s">
        <v>1288</v>
      </c>
      <c r="F514" s="85" t="s">
        <v>11</v>
      </c>
      <c r="G514" s="85" t="s">
        <v>11</v>
      </c>
      <c r="H514" s="85" t="s">
        <v>11</v>
      </c>
      <c r="I514" s="85" t="s">
        <v>11</v>
      </c>
      <c r="J514" s="85" t="s">
        <v>13</v>
      </c>
      <c r="K514" s="85" t="s">
        <v>11</v>
      </c>
      <c r="L514" s="86" t="str">
        <f>IFERROR(VLOOKUP($B514,'LISTA - Atual'!$B$1:$I$444,5,0),"Novo")</f>
        <v>N</v>
      </c>
      <c r="M514" s="86" t="s">
        <v>1571</v>
      </c>
      <c r="N514" s="86" t="str">
        <f>IFERROR(VLOOKUP($B514,'LISTA - Atual'!$B$1:$I$444,6,0),"Novo")</f>
        <v>N</v>
      </c>
      <c r="O514" s="86" t="s">
        <v>1571</v>
      </c>
      <c r="P514" s="86" t="str">
        <f>IFERROR(VLOOKUP($B514,'LISTA - Atual'!$B$1:$I$444,7,0),"Novo")</f>
        <v>N</v>
      </c>
      <c r="Q514" s="86" t="s">
        <v>1571</v>
      </c>
      <c r="R514" s="86" t="s">
        <v>1563</v>
      </c>
      <c r="S514" s="86" t="str">
        <f>IFERROR(VLOOKUP($B514,'LISTA - Atual'!$B$1:$I$444,8,0),"Novo")</f>
        <v>Y</v>
      </c>
      <c r="T514" s="86" t="s">
        <v>1571</v>
      </c>
      <c r="U514" s="86" t="s">
        <v>1563</v>
      </c>
      <c r="V514" s="86" t="s">
        <v>11</v>
      </c>
      <c r="W514" s="87" t="str">
        <f>IFERROR(VLOOKUP(B514,#REF!,11,0),"n/a")</f>
        <v>n/a</v>
      </c>
      <c r="X514" s="87" t="str">
        <f>IFERROR(VLOOKUP(B514,#REF!,8,0),"n/a")</f>
        <v>n/a</v>
      </c>
      <c r="Y514" s="87" t="str">
        <f t="shared" si="134"/>
        <v>ESG_RISKS</v>
      </c>
      <c r="Z514" s="131" t="s">
        <v>1570</v>
      </c>
      <c r="AA514" s="227" t="str">
        <f>VLOOKUP(Table1[[#This Row],[CONCAT]],'Campos Resumo Prop2.0'!A:H,8,0)</f>
        <v>Não será contemplado no âmbito da proposta - Banco não tem esta informação na fonte/Sem materialidade</v>
      </c>
      <c r="AB514" s="87" t="s">
        <v>1654</v>
      </c>
      <c r="AC514" s="135" t="s">
        <v>1625</v>
      </c>
      <c r="AD514" s="91">
        <f>INDEX(Auxiliar!$D$5:$I$10,MATCH('LISTA - Setembro2024'!AD$3,Auxiliar!$B$5:$B$10,0),MATCH('LISTA - Setembro2024'!$AC514,Auxiliar!$D$4:$I$4,0))</f>
        <v>0</v>
      </c>
      <c r="AE514" s="91">
        <f>INDEX(Auxiliar!$D$5:$I$10,MATCH('LISTA - Setembro2024'!AE$3,Auxiliar!$B$5:$B$10,0),MATCH('LISTA - Setembro2024'!$AC514,Auxiliar!$D$4:$I$4,0))</f>
        <v>0</v>
      </c>
      <c r="AF514" s="87">
        <f>INDEX(Auxiliar!$D$5:$I$10,MATCH('LISTA - Setembro2024'!AF$3,Auxiliar!$B$5:$B$10,0),MATCH('LISTA - Setembro2024'!$AC514,Auxiliar!$D$4:$I$4,0))</f>
        <v>0</v>
      </c>
      <c r="AG514" s="87" t="str">
        <f t="shared" si="117"/>
        <v>n.a.</v>
      </c>
      <c r="AH514" s="87">
        <f>INDEX(Auxiliar!$D$5:$I$10,MATCH('LISTA - Setembro2024'!AH$3,Auxiliar!$B$5:$B$10,0),MATCH('LISTA - Setembro2024'!$AG514,Auxiliar!$D$4:$I$4,0))</f>
        <v>0</v>
      </c>
      <c r="AI514" s="87">
        <f>INDEX(Auxiliar!$D$5:$I$10,MATCH('LISTA - Setembro2024'!AI$3,Auxiliar!$B$5:$B$10,0),MATCH('LISTA - Setembro2024'!$AC514,Auxiliar!$D$4:$I$4,0))</f>
        <v>0</v>
      </c>
      <c r="AJ514" s="87">
        <f>INDEX(Auxiliar!$D$5:$I$10,MATCH('LISTA - Setembro2024'!AJ$3,Auxiliar!$B$5:$B$10,0),MATCH('LISTA - Setembro2024'!$AC514,Auxiliar!$D$4:$I$4,0))</f>
        <v>0</v>
      </c>
      <c r="AK514" s="160">
        <f t="shared" si="118"/>
        <v>0</v>
      </c>
      <c r="AL514" s="87"/>
    </row>
    <row r="515" spans="1:38" ht="13.8" x14ac:dyDescent="0.25">
      <c r="A515" s="158" t="s">
        <v>1289</v>
      </c>
      <c r="B515" s="81" t="str">
        <f t="shared" si="116"/>
        <v>PROTECTION_YR_CNSTRCTN</v>
      </c>
      <c r="C515" s="82" t="s">
        <v>1114</v>
      </c>
      <c r="D515" s="83" t="s">
        <v>1290</v>
      </c>
      <c r="E515" s="93" t="s">
        <v>1291</v>
      </c>
      <c r="F515" s="85" t="s">
        <v>13</v>
      </c>
      <c r="G515" s="85" t="s">
        <v>11</v>
      </c>
      <c r="H515" s="89" t="s">
        <v>13</v>
      </c>
      <c r="I515" s="85" t="s">
        <v>11</v>
      </c>
      <c r="J515" s="89" t="s">
        <v>13</v>
      </c>
      <c r="K515" s="85" t="s">
        <v>11</v>
      </c>
      <c r="L515" s="86" t="str">
        <f>IFERROR(VLOOKUP($B515,'LISTA - Atual'!$B$1:$I$444,5,0),"Novo")</f>
        <v>Y</v>
      </c>
      <c r="M515" s="86" t="str">
        <f t="shared" ref="M515:M539" si="135">IF(L515="Novo","Novo Campo",IF(L515=F515,"Igual","Diferente"))</f>
        <v>Igual</v>
      </c>
      <c r="N515" s="86" t="str">
        <f>IFERROR(VLOOKUP($B515,'LISTA - Atual'!$B$1:$I$444,6,0),"Novo")</f>
        <v>N</v>
      </c>
      <c r="O515" s="86" t="str">
        <f t="shared" ref="O515:O539" si="136">IF(N515="Novo","Novo Campo",IF(N515=G515,"Igual","Diferente"))</f>
        <v>Igual</v>
      </c>
      <c r="P515" s="86" t="str">
        <f>IFERROR(VLOOKUP($B515,'LISTA - Atual'!$B$1:$I$444,7,0),"Novo")</f>
        <v>N</v>
      </c>
      <c r="Q515" s="86" t="str">
        <f t="shared" ref="Q515:Q539" si="137">IF(P515="Novo","Novo Campo",IF(P515=H515,"Igual","Diferente"))</f>
        <v>Diferente</v>
      </c>
      <c r="R515" s="86" t="s">
        <v>1563</v>
      </c>
      <c r="S515" s="86" t="str">
        <f>IFERROR(VLOOKUP($B515,'LISTA - Atual'!$B$1:$I$444,8,0),"Novo")</f>
        <v>N</v>
      </c>
      <c r="T515" s="86" t="str">
        <f t="shared" ref="T515:T539" si="138">IF(S515="Novo","Novo Campo",IF(S515=J515,"Igual","Diferente"))</f>
        <v>Diferente</v>
      </c>
      <c r="U515" s="86" t="s">
        <v>1563</v>
      </c>
      <c r="V515" s="86" t="s">
        <v>11</v>
      </c>
      <c r="W515" s="87" t="str">
        <f>IFERROR(VLOOKUP(B515,#REF!,11,0),"n/a")</f>
        <v>n/a</v>
      </c>
      <c r="X515" s="87" t="str">
        <f>IFERROR(VLOOKUP(B515,#REF!,8,0),"n/a")</f>
        <v>n/a</v>
      </c>
      <c r="Y515" s="87" t="str">
        <f>$F$2&amp;$Y$1&amp;$H$2</f>
        <v>ESTR &amp; PILAR3</v>
      </c>
      <c r="Z515" s="213" t="s">
        <v>1570</v>
      </c>
      <c r="AA515" s="227" t="str">
        <f>VLOOKUP(Table1[[#This Row],[CONCAT]],'Campos Resumo Prop2.0'!A:H,8,0)</f>
        <v>Não será contemplado no âmbito da proposta - Campos do LT ESTR</v>
      </c>
      <c r="AB515" s="87" t="s">
        <v>1658</v>
      </c>
      <c r="AC515" s="135" t="s">
        <v>1638</v>
      </c>
      <c r="AD515" s="91">
        <f>INDEX(Auxiliar!$D$5:$I$10,MATCH('LISTA - Setembro2024'!AD$3,Auxiliar!$B$5:$B$10,0),MATCH('LISTA - Setembro2024'!$AC515,Auxiliar!$D$4:$I$4,0))</f>
        <v>8</v>
      </c>
      <c r="AE515" s="88">
        <v>0</v>
      </c>
      <c r="AF515" s="87">
        <f>INDEX(Auxiliar!$D$5:$I$10,MATCH('LISTA - Setembro2024'!AF$3,Auxiliar!$B$5:$B$10,0),MATCH('LISTA - Setembro2024'!$AC515,Auxiliar!$D$4:$I$4,0))</f>
        <v>6</v>
      </c>
      <c r="AG515" s="87" t="str">
        <f t="shared" si="117"/>
        <v>n.a.</v>
      </c>
      <c r="AH515" s="87">
        <f>INDEX(Auxiliar!$D$5:$I$10,MATCH('LISTA - Setembro2024'!AH$3,Auxiliar!$B$5:$B$10,0),MATCH('LISTA - Setembro2024'!$AG515,Auxiliar!$D$4:$I$4,0))</f>
        <v>0</v>
      </c>
      <c r="AI515" s="87">
        <f>INDEX(Auxiliar!$D$5:$I$10,MATCH('LISTA - Setembro2024'!AI$3,Auxiliar!$B$5:$B$10,0),MATCH('LISTA - Setembro2024'!$AC515,Auxiliar!$D$4:$I$4,0))</f>
        <v>0.5</v>
      </c>
      <c r="AJ515" s="87">
        <f>INDEX(Auxiliar!$D$5:$I$10,MATCH('LISTA - Setembro2024'!AJ$3,Auxiliar!$B$5:$B$10,0),MATCH('LISTA - Setembro2024'!$AC515,Auxiliar!$D$4:$I$4,0))</f>
        <v>1</v>
      </c>
      <c r="AK515" s="242">
        <v>0</v>
      </c>
      <c r="AL515" s="87"/>
    </row>
    <row r="516" spans="1:38" ht="13.8" x14ac:dyDescent="0.25">
      <c r="A516" s="158" t="s">
        <v>1386</v>
      </c>
      <c r="B516" s="81" t="str">
        <f t="shared" si="116"/>
        <v>PROTECTION_BLDNG_AR</v>
      </c>
      <c r="C516" s="82" t="s">
        <v>1114</v>
      </c>
      <c r="D516" s="83" t="s">
        <v>1387</v>
      </c>
      <c r="E516" s="93" t="s">
        <v>1388</v>
      </c>
      <c r="F516" s="85" t="s">
        <v>11</v>
      </c>
      <c r="G516" s="85" t="s">
        <v>11</v>
      </c>
      <c r="H516" s="89" t="s">
        <v>13</v>
      </c>
      <c r="I516" s="85" t="s">
        <v>11</v>
      </c>
      <c r="J516" s="89" t="s">
        <v>13</v>
      </c>
      <c r="K516" s="85" t="s">
        <v>11</v>
      </c>
      <c r="L516" s="86" t="str">
        <f>IFERROR(VLOOKUP($B516,'LISTA - Atual'!$B$1:$I$444,5,0),"Novo")</f>
        <v>Novo</v>
      </c>
      <c r="M516" s="86" t="str">
        <f t="shared" si="135"/>
        <v>Novo Campo</v>
      </c>
      <c r="N516" s="86" t="str">
        <f>IFERROR(VLOOKUP($B516,'LISTA - Atual'!$B$1:$I$444,6,0),"Novo")</f>
        <v>Novo</v>
      </c>
      <c r="O516" s="86" t="str">
        <f t="shared" si="136"/>
        <v>Novo Campo</v>
      </c>
      <c r="P516" s="86" t="str">
        <f>IFERROR(VLOOKUP($B516,'LISTA - Atual'!$B$1:$I$444,7,0),"Novo")</f>
        <v>Novo</v>
      </c>
      <c r="Q516" s="86" t="str">
        <f t="shared" si="137"/>
        <v>Novo Campo</v>
      </c>
      <c r="R516" s="86" t="s">
        <v>1563</v>
      </c>
      <c r="S516" s="86" t="str">
        <f>IFERROR(VLOOKUP($B516,'LISTA - Atual'!$B$1:$I$444,8,0),"Novo")</f>
        <v>Novo</v>
      </c>
      <c r="T516" s="86" t="str">
        <f t="shared" si="138"/>
        <v>Novo Campo</v>
      </c>
      <c r="U516" s="86" t="s">
        <v>1563</v>
      </c>
      <c r="V516" s="86" t="s">
        <v>11</v>
      </c>
      <c r="W516" s="87" t="str">
        <f>IFERROR(VLOOKUP(B516,#REF!,11,0),"n/a")</f>
        <v>n/a</v>
      </c>
      <c r="X516" s="87" t="str">
        <f>IFERROR(VLOOKUP(B516,#REF!,8,0),"n/a")</f>
        <v>n/a</v>
      </c>
      <c r="Y516" s="87" t="str">
        <f>$H$2</f>
        <v>PILAR3</v>
      </c>
      <c r="Z516" s="131" t="s">
        <v>1570</v>
      </c>
      <c r="AA516" s="227" t="str">
        <f>VLOOKUP(Table1[[#This Row],[CONCAT]],'Campos Resumo Prop2.0'!A:H,8,0)</f>
        <v>Âmbito de proposta - Especificação</v>
      </c>
      <c r="AB516" s="87" t="s">
        <v>1656</v>
      </c>
      <c r="AC516" s="137" t="s">
        <v>1636</v>
      </c>
      <c r="AD516" s="91">
        <f>INDEX(Auxiliar!$D$5:$I$10,MATCH('LISTA - Setembro2024'!AD$3,Auxiliar!$B$5:$B$10,0),MATCH('LISTA - Setembro2024'!$AC516,Auxiliar!$D$4:$I$4,0))</f>
        <v>2</v>
      </c>
      <c r="AE516" s="242">
        <v>0</v>
      </c>
      <c r="AF516" s="87">
        <f>INDEX(Auxiliar!$D$5:$I$10,MATCH('LISTA - Setembro2024'!AF$3,Auxiliar!$B$5:$B$10,0),MATCH('LISTA - Setembro2024'!$AC516,Auxiliar!$D$4:$I$4,0))</f>
        <v>1.5</v>
      </c>
      <c r="AG516" s="87" t="str">
        <f t="shared" ref="AG516:AG539" si="139">IF(OR(AB516="Code List",AB516="Y, N"),AC516,"n.a.")</f>
        <v>n.a.</v>
      </c>
      <c r="AH516" s="87">
        <f>INDEX(Auxiliar!$D$5:$I$10,MATCH('LISTA - Setembro2024'!AH$3,Auxiliar!$B$5:$B$10,0),MATCH('LISTA - Setembro2024'!$AG516,Auxiliar!$D$4:$I$4,0))</f>
        <v>0</v>
      </c>
      <c r="AI516" s="87">
        <f>INDEX(Auxiliar!$D$5:$I$10,MATCH('LISTA - Setembro2024'!AI$3,Auxiliar!$B$5:$B$10,0),MATCH('LISTA - Setembro2024'!$AC516,Auxiliar!$D$4:$I$4,0))</f>
        <v>0.5</v>
      </c>
      <c r="AJ516" s="87">
        <f>INDEX(Auxiliar!$D$5:$I$10,MATCH('LISTA - Setembro2024'!AJ$3,Auxiliar!$B$5:$B$10,0),MATCH('LISTA - Setembro2024'!$AC516,Auxiliar!$D$4:$I$4,0))</f>
        <v>1</v>
      </c>
      <c r="AK516" s="242">
        <v>0</v>
      </c>
      <c r="AL516" s="87"/>
    </row>
    <row r="517" spans="1:38" ht="13.8" x14ac:dyDescent="0.25">
      <c r="A517" s="158" t="s">
        <v>1389</v>
      </c>
      <c r="B517" s="81" t="str">
        <f t="shared" ref="B517:B539" si="140">C517&amp;"_"&amp;D517</f>
        <v>PROTECTION_LND_AR</v>
      </c>
      <c r="C517" s="82" t="s">
        <v>1114</v>
      </c>
      <c r="D517" s="83" t="s">
        <v>1390</v>
      </c>
      <c r="E517" s="93" t="s">
        <v>1391</v>
      </c>
      <c r="F517" s="85" t="s">
        <v>13</v>
      </c>
      <c r="G517" s="85" t="s">
        <v>11</v>
      </c>
      <c r="H517" s="85" t="s">
        <v>11</v>
      </c>
      <c r="I517" s="85" t="s">
        <v>11</v>
      </c>
      <c r="J517" s="85" t="s">
        <v>11</v>
      </c>
      <c r="K517" s="85" t="s">
        <v>11</v>
      </c>
      <c r="L517" s="86" t="str">
        <f>IFERROR(VLOOKUP($B517,'LISTA - Atual'!$B$1:$I$444,5,0),"Novo")</f>
        <v>Novo</v>
      </c>
      <c r="M517" s="86" t="str">
        <f t="shared" si="135"/>
        <v>Novo Campo</v>
      </c>
      <c r="N517" s="86" t="str">
        <f>IFERROR(VLOOKUP($B517,'LISTA - Atual'!$B$1:$I$444,6,0),"Novo")</f>
        <v>Novo</v>
      </c>
      <c r="O517" s="86" t="str">
        <f t="shared" si="136"/>
        <v>Novo Campo</v>
      </c>
      <c r="P517" s="86" t="str">
        <f>IFERROR(VLOOKUP($B517,'LISTA - Atual'!$B$1:$I$444,7,0),"Novo")</f>
        <v>Novo</v>
      </c>
      <c r="Q517" s="86" t="str">
        <f t="shared" si="137"/>
        <v>Novo Campo</v>
      </c>
      <c r="R517" s="86" t="s">
        <v>1563</v>
      </c>
      <c r="S517" s="86" t="str">
        <f>IFERROR(VLOOKUP($B517,'LISTA - Atual'!$B$1:$I$444,8,0),"Novo")</f>
        <v>Novo</v>
      </c>
      <c r="T517" s="86" t="str">
        <f t="shared" si="138"/>
        <v>Novo Campo</v>
      </c>
      <c r="U517" s="86" t="s">
        <v>1563</v>
      </c>
      <c r="V517" s="86" t="s">
        <v>11</v>
      </c>
      <c r="W517" s="87" t="str">
        <f>IFERROR(VLOOKUP(B517,#REF!,11,0),"n/a")</f>
        <v>n/a</v>
      </c>
      <c r="X517" s="87" t="str">
        <f>IFERROR(VLOOKUP(B517,#REF!,8,0),"n/a")</f>
        <v>n/a</v>
      </c>
      <c r="Y517" s="87" t="str">
        <f t="shared" ref="Y517:Y518" si="141">$F$2</f>
        <v>ESTR</v>
      </c>
      <c r="Z517" s="131" t="s">
        <v>1570</v>
      </c>
      <c r="AA517" s="227" t="e">
        <f>VLOOKUP(Table1[[#This Row],[CONCAT]],'Campos Resumo Prop2.0'!A:H,8,0)</f>
        <v>#N/A</v>
      </c>
      <c r="AB517" s="87" t="s">
        <v>1656</v>
      </c>
      <c r="AC517" s="88" t="s">
        <v>1625</v>
      </c>
      <c r="AD517" s="91">
        <f>INDEX(Auxiliar!$D$5:$I$10,MATCH('LISTA - Setembro2024'!AD$3,Auxiliar!$B$5:$B$10,0),MATCH('LISTA - Setembro2024'!$AC517,Auxiliar!$D$4:$I$4,0))</f>
        <v>0</v>
      </c>
      <c r="AE517" s="91">
        <f>INDEX(Auxiliar!$D$5:$I$10,MATCH('LISTA - Setembro2024'!AE$3,Auxiliar!$B$5:$B$10,0),MATCH('LISTA - Setembro2024'!$AC517,Auxiliar!$D$4:$I$4,0))</f>
        <v>0</v>
      </c>
      <c r="AF517" s="87">
        <f>INDEX(Auxiliar!$D$5:$I$10,MATCH('LISTA - Setembro2024'!AF$3,Auxiliar!$B$5:$B$10,0),MATCH('LISTA - Setembro2024'!$AC517,Auxiliar!$D$4:$I$4,0))</f>
        <v>0</v>
      </c>
      <c r="AG517" s="87" t="str">
        <f t="shared" si="139"/>
        <v>n.a.</v>
      </c>
      <c r="AH517" s="87">
        <f>INDEX(Auxiliar!$D$5:$I$10,MATCH('LISTA - Setembro2024'!AH$3,Auxiliar!$B$5:$B$10,0),MATCH('LISTA - Setembro2024'!$AG517,Auxiliar!$D$4:$I$4,0))</f>
        <v>0</v>
      </c>
      <c r="AI517" s="87">
        <f>INDEX(Auxiliar!$D$5:$I$10,MATCH('LISTA - Setembro2024'!AI$3,Auxiliar!$B$5:$B$10,0),MATCH('LISTA - Setembro2024'!$AC517,Auxiliar!$D$4:$I$4,0))</f>
        <v>0</v>
      </c>
      <c r="AJ517" s="87">
        <f>INDEX(Auxiliar!$D$5:$I$10,MATCH('LISTA - Setembro2024'!AJ$3,Auxiliar!$B$5:$B$10,0),MATCH('LISTA - Setembro2024'!$AC517,Auxiliar!$D$4:$I$4,0))</f>
        <v>0</v>
      </c>
      <c r="AK517" s="160">
        <f t="shared" si="118"/>
        <v>0</v>
      </c>
      <c r="AL517" s="87" t="s">
        <v>1672</v>
      </c>
    </row>
    <row r="518" spans="1:38" ht="13.8" x14ac:dyDescent="0.25">
      <c r="A518" s="158" t="s">
        <v>1392</v>
      </c>
      <c r="B518" s="81" t="str">
        <f t="shared" si="140"/>
        <v>PROTECTION_LN_PSTN</v>
      </c>
      <c r="C518" s="82" t="s">
        <v>1114</v>
      </c>
      <c r="D518" s="92" t="s">
        <v>1393</v>
      </c>
      <c r="E518" s="93" t="s">
        <v>1394</v>
      </c>
      <c r="F518" s="108" t="s">
        <v>13</v>
      </c>
      <c r="G518" s="108" t="s">
        <v>11</v>
      </c>
      <c r="H518" s="108" t="s">
        <v>11</v>
      </c>
      <c r="I518" s="85" t="s">
        <v>11</v>
      </c>
      <c r="J518" s="108" t="s">
        <v>11</v>
      </c>
      <c r="K518" s="85" t="s">
        <v>11</v>
      </c>
      <c r="L518" s="86" t="str">
        <f>IFERROR(VLOOKUP($B518,'LISTA - Atual'!$B$1:$I$444,5,0),"Novo")</f>
        <v>Novo</v>
      </c>
      <c r="M518" s="86" t="str">
        <f t="shared" si="135"/>
        <v>Novo Campo</v>
      </c>
      <c r="N518" s="86" t="str">
        <f>IFERROR(VLOOKUP($B518,'LISTA - Atual'!$B$1:$I$444,6,0),"Novo")</f>
        <v>Novo</v>
      </c>
      <c r="O518" s="86" t="str">
        <f t="shared" si="136"/>
        <v>Novo Campo</v>
      </c>
      <c r="P518" s="86" t="str">
        <f>IFERROR(VLOOKUP($B518,'LISTA - Atual'!$B$1:$I$444,7,0),"Novo")</f>
        <v>Novo</v>
      </c>
      <c r="Q518" s="86" t="str">
        <f t="shared" si="137"/>
        <v>Novo Campo</v>
      </c>
      <c r="R518" s="86" t="s">
        <v>1563</v>
      </c>
      <c r="S518" s="86" t="str">
        <f>IFERROR(VLOOKUP($B518,'LISTA - Atual'!$B$1:$I$444,8,0),"Novo")</f>
        <v>Novo</v>
      </c>
      <c r="T518" s="86" t="str">
        <f t="shared" si="138"/>
        <v>Novo Campo</v>
      </c>
      <c r="U518" s="86" t="s">
        <v>1563</v>
      </c>
      <c r="V518" s="86" t="s">
        <v>11</v>
      </c>
      <c r="W518" s="87" t="str">
        <f>IFERROR(VLOOKUP(B518,#REF!,11,0),"n/a")</f>
        <v>n/a</v>
      </c>
      <c r="X518" s="87" t="str">
        <f>IFERROR(VLOOKUP(B518,#REF!,8,0),"n/a")</f>
        <v>n/a</v>
      </c>
      <c r="Y518" s="87" t="str">
        <f t="shared" si="141"/>
        <v>ESTR</v>
      </c>
      <c r="Z518" s="131" t="s">
        <v>1570</v>
      </c>
      <c r="AA518" s="227" t="e">
        <f>VLOOKUP(Table1[[#This Row],[CONCAT]],'Campos Resumo Prop2.0'!A:H,8,0)</f>
        <v>#N/A</v>
      </c>
      <c r="AB518" s="87" t="s">
        <v>1658</v>
      </c>
      <c r="AC518" s="88" t="s">
        <v>1625</v>
      </c>
      <c r="AD518" s="91">
        <f>INDEX(Auxiliar!$D$5:$I$10,MATCH('LISTA - Setembro2024'!AD$3,Auxiliar!$B$5:$B$10,0),MATCH('LISTA - Setembro2024'!$AC518,Auxiliar!$D$4:$I$4,0))</f>
        <v>0</v>
      </c>
      <c r="AE518" s="91">
        <f>INDEX(Auxiliar!$D$5:$I$10,MATCH('LISTA - Setembro2024'!AE$3,Auxiliar!$B$5:$B$10,0),MATCH('LISTA - Setembro2024'!$AC518,Auxiliar!$D$4:$I$4,0))</f>
        <v>0</v>
      </c>
      <c r="AF518" s="87">
        <f>INDEX(Auxiliar!$D$5:$I$10,MATCH('LISTA - Setembro2024'!AF$3,Auxiliar!$B$5:$B$10,0),MATCH('LISTA - Setembro2024'!$AC518,Auxiliar!$D$4:$I$4,0))</f>
        <v>0</v>
      </c>
      <c r="AG518" s="87" t="str">
        <f t="shared" si="139"/>
        <v>n.a.</v>
      </c>
      <c r="AH518" s="87">
        <f>INDEX(Auxiliar!$D$5:$I$10,MATCH('LISTA - Setembro2024'!AH$3,Auxiliar!$B$5:$B$10,0),MATCH('LISTA - Setembro2024'!$AG518,Auxiliar!$D$4:$I$4,0))</f>
        <v>0</v>
      </c>
      <c r="AI518" s="87">
        <f>INDEX(Auxiliar!$D$5:$I$10,MATCH('LISTA - Setembro2024'!AI$3,Auxiliar!$B$5:$B$10,0),MATCH('LISTA - Setembro2024'!$AC518,Auxiliar!$D$4:$I$4,0))</f>
        <v>0</v>
      </c>
      <c r="AJ518" s="87">
        <f>INDEX(Auxiliar!$D$5:$I$10,MATCH('LISTA - Setembro2024'!AJ$3,Auxiliar!$B$5:$B$10,0),MATCH('LISTA - Setembro2024'!$AC518,Auxiliar!$D$4:$I$4,0))</f>
        <v>0</v>
      </c>
      <c r="AK518" s="160">
        <f t="shared" ref="AK518:AK539" si="142">SUM(AF518,AH518:AJ518)</f>
        <v>0</v>
      </c>
      <c r="AL518" s="87"/>
    </row>
    <row r="519" spans="1:38" ht="13.8" x14ac:dyDescent="0.25">
      <c r="A519" s="158" t="s">
        <v>1511</v>
      </c>
      <c r="B519" s="81" t="str">
        <f t="shared" si="140"/>
        <v>PROTECTION_RL_ESTT_CRTFCTN</v>
      </c>
      <c r="C519" s="82" t="s">
        <v>1114</v>
      </c>
      <c r="D519" s="95" t="s">
        <v>1512</v>
      </c>
      <c r="E519" s="93" t="s">
        <v>1513</v>
      </c>
      <c r="F519" s="108" t="s">
        <v>11</v>
      </c>
      <c r="G519" s="108" t="s">
        <v>11</v>
      </c>
      <c r="H519" s="108" t="s">
        <v>13</v>
      </c>
      <c r="I519" s="85" t="s">
        <v>11</v>
      </c>
      <c r="J519" s="108" t="s">
        <v>13</v>
      </c>
      <c r="K519" s="85" t="s">
        <v>11</v>
      </c>
      <c r="L519" s="86" t="str">
        <f>IFERROR(VLOOKUP($B519,'LISTA - Atual'!$B$1:$I$444,5,0),"Novo")</f>
        <v>Novo</v>
      </c>
      <c r="M519" s="86" t="str">
        <f t="shared" si="135"/>
        <v>Novo Campo</v>
      </c>
      <c r="N519" s="86" t="str">
        <f>IFERROR(VLOOKUP($B519,'LISTA - Atual'!$B$1:$I$444,6,0),"Novo")</f>
        <v>Novo</v>
      </c>
      <c r="O519" s="86" t="str">
        <f t="shared" si="136"/>
        <v>Novo Campo</v>
      </c>
      <c r="P519" s="86" t="str">
        <f>IFERROR(VLOOKUP($B519,'LISTA - Atual'!$B$1:$I$444,7,0),"Novo")</f>
        <v>Novo</v>
      </c>
      <c r="Q519" s="86" t="str">
        <f t="shared" si="137"/>
        <v>Novo Campo</v>
      </c>
      <c r="R519" s="86" t="s">
        <v>1563</v>
      </c>
      <c r="S519" s="86" t="str">
        <f>IFERROR(VLOOKUP($B519,'LISTA - Atual'!$B$1:$I$444,8,0),"Novo")</f>
        <v>Novo</v>
      </c>
      <c r="T519" s="86" t="str">
        <f t="shared" si="138"/>
        <v>Novo Campo</v>
      </c>
      <c r="U519" s="86" t="s">
        <v>1563</v>
      </c>
      <c r="V519" s="86" t="s">
        <v>11</v>
      </c>
      <c r="W519" s="87" t="str">
        <f>IFERROR(VLOOKUP(B519,#REF!,11,0),"n/a")</f>
        <v>n/a</v>
      </c>
      <c r="X519" s="87" t="str">
        <f>IFERROR(VLOOKUP(B519,#REF!,8,0),"n/a")</f>
        <v>n/a</v>
      </c>
      <c r="Y519" s="87" t="str">
        <f t="shared" ref="Y519:Y525" si="143">$H$2</f>
        <v>PILAR3</v>
      </c>
      <c r="Z519" s="131" t="s">
        <v>1570</v>
      </c>
      <c r="AA519" s="227" t="str">
        <f>VLOOKUP(Table1[[#This Row],[CONCAT]],'Campos Resumo Prop2.0'!A:H,8,0)</f>
        <v>Não será contemplado no âmbito da proposta - Banco não tem esta informação na fonte/Sem materialidade</v>
      </c>
      <c r="AB519" s="87" t="s">
        <v>1650</v>
      </c>
      <c r="AC519" s="135" t="s">
        <v>1625</v>
      </c>
      <c r="AD519" s="91">
        <f>INDEX(Auxiliar!$D$5:$I$10,MATCH('LISTA - Setembro2024'!AD$3,Auxiliar!$B$5:$B$10,0),MATCH('LISTA - Setembro2024'!$AC519,Auxiliar!$D$4:$I$4,0))</f>
        <v>0</v>
      </c>
      <c r="AE519" s="91">
        <f>INDEX(Auxiliar!$D$5:$I$10,MATCH('LISTA - Setembro2024'!AE$3,Auxiliar!$B$5:$B$10,0),MATCH('LISTA - Setembro2024'!$AC519,Auxiliar!$D$4:$I$4,0))</f>
        <v>0</v>
      </c>
      <c r="AF519" s="87">
        <f>INDEX(Auxiliar!$D$5:$I$10,MATCH('LISTA - Setembro2024'!AF$3,Auxiliar!$B$5:$B$10,0),MATCH('LISTA - Setembro2024'!$AC519,Auxiliar!$D$4:$I$4,0))</f>
        <v>0</v>
      </c>
      <c r="AG519" s="87" t="str">
        <f t="shared" si="139"/>
        <v>n.a.</v>
      </c>
      <c r="AH519" s="87">
        <f>INDEX(Auxiliar!$D$5:$I$10,MATCH('LISTA - Setembro2024'!AH$3,Auxiliar!$B$5:$B$10,0),MATCH('LISTA - Setembro2024'!$AG519,Auxiliar!$D$4:$I$4,0))</f>
        <v>0</v>
      </c>
      <c r="AI519" s="87">
        <f>INDEX(Auxiliar!$D$5:$I$10,MATCH('LISTA - Setembro2024'!AI$3,Auxiliar!$B$5:$B$10,0),MATCH('LISTA - Setembro2024'!$AC519,Auxiliar!$D$4:$I$4,0))</f>
        <v>0</v>
      </c>
      <c r="AJ519" s="87">
        <f>INDEX(Auxiliar!$D$5:$I$10,MATCH('LISTA - Setembro2024'!AJ$3,Auxiliar!$B$5:$B$10,0),MATCH('LISTA - Setembro2024'!$AC519,Auxiliar!$D$4:$I$4,0))</f>
        <v>0</v>
      </c>
      <c r="AK519" s="160">
        <f t="shared" si="142"/>
        <v>0</v>
      </c>
      <c r="AL519" s="87"/>
    </row>
    <row r="520" spans="1:38" ht="13.8" x14ac:dyDescent="0.25">
      <c r="A520" s="158" t="s">
        <v>1514</v>
      </c>
      <c r="B520" s="81" t="str">
        <f t="shared" si="140"/>
        <v>PROTECTION_TYP_VHCL</v>
      </c>
      <c r="C520" s="82" t="s">
        <v>1114</v>
      </c>
      <c r="D520" s="95" t="s">
        <v>1515</v>
      </c>
      <c r="E520" s="93" t="s">
        <v>1516</v>
      </c>
      <c r="F520" s="108" t="s">
        <v>11</v>
      </c>
      <c r="G520" s="108" t="s">
        <v>11</v>
      </c>
      <c r="H520" s="108" t="s">
        <v>13</v>
      </c>
      <c r="I520" s="85" t="s">
        <v>11</v>
      </c>
      <c r="J520" s="108" t="s">
        <v>13</v>
      </c>
      <c r="K520" s="85" t="s">
        <v>11</v>
      </c>
      <c r="L520" s="86" t="str">
        <f>IFERROR(VLOOKUP($B520,'LISTA - Atual'!$B$1:$I$444,5,0),"Novo")</f>
        <v>Novo</v>
      </c>
      <c r="M520" s="86" t="str">
        <f t="shared" si="135"/>
        <v>Novo Campo</v>
      </c>
      <c r="N520" s="86" t="str">
        <f>IFERROR(VLOOKUP($B520,'LISTA - Atual'!$B$1:$I$444,6,0),"Novo")</f>
        <v>Novo</v>
      </c>
      <c r="O520" s="86" t="str">
        <f t="shared" si="136"/>
        <v>Novo Campo</v>
      </c>
      <c r="P520" s="86" t="str">
        <f>IFERROR(VLOOKUP($B520,'LISTA - Atual'!$B$1:$I$444,7,0),"Novo")</f>
        <v>Novo</v>
      </c>
      <c r="Q520" s="86" t="str">
        <f t="shared" si="137"/>
        <v>Novo Campo</v>
      </c>
      <c r="R520" s="86" t="s">
        <v>1563</v>
      </c>
      <c r="S520" s="86" t="str">
        <f>IFERROR(VLOOKUP($B520,'LISTA - Atual'!$B$1:$I$444,8,0),"Novo")</f>
        <v>Novo</v>
      </c>
      <c r="T520" s="86" t="str">
        <f t="shared" si="138"/>
        <v>Novo Campo</v>
      </c>
      <c r="U520" s="86" t="s">
        <v>1563</v>
      </c>
      <c r="V520" s="86" t="s">
        <v>11</v>
      </c>
      <c r="W520" s="87" t="str">
        <f>IFERROR(VLOOKUP(B520,#REF!,11,0),"n/a")</f>
        <v>n/a</v>
      </c>
      <c r="X520" s="87" t="str">
        <f>IFERROR(VLOOKUP(B520,#REF!,8,0),"n/a")</f>
        <v>n/a</v>
      </c>
      <c r="Y520" s="87" t="str">
        <f t="shared" si="143"/>
        <v>PILAR3</v>
      </c>
      <c r="Z520" s="131" t="s">
        <v>1570</v>
      </c>
      <c r="AA520" s="227" t="str">
        <f>VLOOKUP(Table1[[#This Row],[CONCAT]],'Campos Resumo Prop2.0'!A:H,8,0)</f>
        <v>Não será contemplado no âmbito da proposta - Banco não tem esta informação na fonte/Sem materialidade</v>
      </c>
      <c r="AB520" s="87" t="s">
        <v>1650</v>
      </c>
      <c r="AC520" s="135" t="s">
        <v>1625</v>
      </c>
      <c r="AD520" s="91">
        <f>INDEX(Auxiliar!$D$5:$I$10,MATCH('LISTA - Setembro2024'!AD$3,Auxiliar!$B$5:$B$10,0),MATCH('LISTA - Setembro2024'!$AC520,Auxiliar!$D$4:$I$4,0))</f>
        <v>0</v>
      </c>
      <c r="AE520" s="91">
        <f>INDEX(Auxiliar!$D$5:$I$10,MATCH('LISTA - Setembro2024'!AE$3,Auxiliar!$B$5:$B$10,0),MATCH('LISTA - Setembro2024'!$AC520,Auxiliar!$D$4:$I$4,0))</f>
        <v>0</v>
      </c>
      <c r="AF520" s="87">
        <f>INDEX(Auxiliar!$D$5:$I$10,MATCH('LISTA - Setembro2024'!AF$3,Auxiliar!$B$5:$B$10,0),MATCH('LISTA - Setembro2024'!$AC520,Auxiliar!$D$4:$I$4,0))</f>
        <v>0</v>
      </c>
      <c r="AG520" s="87" t="str">
        <f t="shared" si="139"/>
        <v>n.a.</v>
      </c>
      <c r="AH520" s="87">
        <f>INDEX(Auxiliar!$D$5:$I$10,MATCH('LISTA - Setembro2024'!AH$3,Auxiliar!$B$5:$B$10,0),MATCH('LISTA - Setembro2024'!$AG520,Auxiliar!$D$4:$I$4,0))</f>
        <v>0</v>
      </c>
      <c r="AI520" s="87">
        <f>INDEX(Auxiliar!$D$5:$I$10,MATCH('LISTA - Setembro2024'!AI$3,Auxiliar!$B$5:$B$10,0),MATCH('LISTA - Setembro2024'!$AC520,Auxiliar!$D$4:$I$4,0))</f>
        <v>0</v>
      </c>
      <c r="AJ520" s="87">
        <f>INDEX(Auxiliar!$D$5:$I$10,MATCH('LISTA - Setembro2024'!AJ$3,Auxiliar!$B$5:$B$10,0),MATCH('LISTA - Setembro2024'!$AC520,Auxiliar!$D$4:$I$4,0))</f>
        <v>0</v>
      </c>
      <c r="AK520" s="160">
        <f t="shared" si="142"/>
        <v>0</v>
      </c>
      <c r="AL520" s="87"/>
    </row>
    <row r="521" spans="1:38" ht="13.8" x14ac:dyDescent="0.25">
      <c r="A521" s="158" t="s">
        <v>1517</v>
      </c>
      <c r="B521" s="81" t="str">
        <f t="shared" si="140"/>
        <v>PROTECTION_DT_RGSTRTN</v>
      </c>
      <c r="C521" s="82" t="s">
        <v>1114</v>
      </c>
      <c r="D521" s="95" t="s">
        <v>1518</v>
      </c>
      <c r="E521" s="93" t="s">
        <v>1519</v>
      </c>
      <c r="F521" s="108" t="s">
        <v>11</v>
      </c>
      <c r="G521" s="108" t="s">
        <v>11</v>
      </c>
      <c r="H521" s="108" t="s">
        <v>13</v>
      </c>
      <c r="I521" s="85" t="s">
        <v>11</v>
      </c>
      <c r="J521" s="108" t="s">
        <v>13</v>
      </c>
      <c r="K521" s="85" t="s">
        <v>11</v>
      </c>
      <c r="L521" s="86" t="str">
        <f>IFERROR(VLOOKUP($B521,'LISTA - Atual'!$B$1:$I$444,5,0),"Novo")</f>
        <v>Novo</v>
      </c>
      <c r="M521" s="86" t="str">
        <f t="shared" si="135"/>
        <v>Novo Campo</v>
      </c>
      <c r="N521" s="86" t="str">
        <f>IFERROR(VLOOKUP($B521,'LISTA - Atual'!$B$1:$I$444,6,0),"Novo")</f>
        <v>Novo</v>
      </c>
      <c r="O521" s="86" t="str">
        <f t="shared" si="136"/>
        <v>Novo Campo</v>
      </c>
      <c r="P521" s="86" t="str">
        <f>IFERROR(VLOOKUP($B521,'LISTA - Atual'!$B$1:$I$444,7,0),"Novo")</f>
        <v>Novo</v>
      </c>
      <c r="Q521" s="86" t="str">
        <f t="shared" si="137"/>
        <v>Novo Campo</v>
      </c>
      <c r="R521" s="86" t="s">
        <v>1563</v>
      </c>
      <c r="S521" s="86" t="str">
        <f>IFERROR(VLOOKUP($B521,'LISTA - Atual'!$B$1:$I$444,8,0),"Novo")</f>
        <v>Novo</v>
      </c>
      <c r="T521" s="86" t="str">
        <f t="shared" si="138"/>
        <v>Novo Campo</v>
      </c>
      <c r="U521" s="86" t="s">
        <v>1563</v>
      </c>
      <c r="V521" s="86" t="s">
        <v>11</v>
      </c>
      <c r="W521" s="87" t="str">
        <f>IFERROR(VLOOKUP(B521,#REF!,11,0),"n/a")</f>
        <v>n/a</v>
      </c>
      <c r="X521" s="87" t="str">
        <f>IFERROR(VLOOKUP(B521,#REF!,8,0),"n/a")</f>
        <v>n/a</v>
      </c>
      <c r="Y521" s="87" t="str">
        <f t="shared" si="143"/>
        <v>PILAR3</v>
      </c>
      <c r="Z521" s="131" t="s">
        <v>1570</v>
      </c>
      <c r="AA521" s="227" t="str">
        <f>VLOOKUP(Table1[[#This Row],[CONCAT]],'Campos Resumo Prop2.0'!A:H,8,0)</f>
        <v>Não será contemplado no âmbito da proposta - Banco não tem esta informação na fonte/Sem materialidade</v>
      </c>
      <c r="AB521" s="87" t="s">
        <v>1651</v>
      </c>
      <c r="AC521" s="135" t="s">
        <v>1625</v>
      </c>
      <c r="AD521" s="91">
        <f>INDEX(Auxiliar!$D$5:$I$10,MATCH('LISTA - Setembro2024'!AD$3,Auxiliar!$B$5:$B$10,0),MATCH('LISTA - Setembro2024'!$AC521,Auxiliar!$D$4:$I$4,0))</f>
        <v>0</v>
      </c>
      <c r="AE521" s="91">
        <f>INDEX(Auxiliar!$D$5:$I$10,MATCH('LISTA - Setembro2024'!AE$3,Auxiliar!$B$5:$B$10,0),MATCH('LISTA - Setembro2024'!$AC521,Auxiliar!$D$4:$I$4,0))</f>
        <v>0</v>
      </c>
      <c r="AF521" s="87">
        <f>INDEX(Auxiliar!$D$5:$I$10,MATCH('LISTA - Setembro2024'!AF$3,Auxiliar!$B$5:$B$10,0),MATCH('LISTA - Setembro2024'!$AC521,Auxiliar!$D$4:$I$4,0))</f>
        <v>0</v>
      </c>
      <c r="AG521" s="87" t="str">
        <f t="shared" si="139"/>
        <v>n.a.</v>
      </c>
      <c r="AH521" s="87">
        <f>INDEX(Auxiliar!$D$5:$I$10,MATCH('LISTA - Setembro2024'!AH$3,Auxiliar!$B$5:$B$10,0),MATCH('LISTA - Setembro2024'!$AG521,Auxiliar!$D$4:$I$4,0))</f>
        <v>0</v>
      </c>
      <c r="AI521" s="87">
        <f>INDEX(Auxiliar!$D$5:$I$10,MATCH('LISTA - Setembro2024'!AI$3,Auxiliar!$B$5:$B$10,0),MATCH('LISTA - Setembro2024'!$AC521,Auxiliar!$D$4:$I$4,0))</f>
        <v>0</v>
      </c>
      <c r="AJ521" s="87">
        <f>INDEX(Auxiliar!$D$5:$I$10,MATCH('LISTA - Setembro2024'!AJ$3,Auxiliar!$B$5:$B$10,0),MATCH('LISTA - Setembro2024'!$AC521,Auxiliar!$D$4:$I$4,0))</f>
        <v>0</v>
      </c>
      <c r="AK521" s="160">
        <f t="shared" si="142"/>
        <v>0</v>
      </c>
      <c r="AL521" s="87"/>
    </row>
    <row r="522" spans="1:38" ht="13.8" x14ac:dyDescent="0.25">
      <c r="A522" s="158" t="s">
        <v>1520</v>
      </c>
      <c r="B522" s="81" t="str">
        <f t="shared" si="140"/>
        <v>PROTECTION_PRMRY_ENRGY_DMND_NN_RNWBL</v>
      </c>
      <c r="C522" s="82" t="s">
        <v>1114</v>
      </c>
      <c r="D522" s="95" t="s">
        <v>1521</v>
      </c>
      <c r="E522" s="93" t="s">
        <v>1522</v>
      </c>
      <c r="F522" s="108" t="s">
        <v>11</v>
      </c>
      <c r="G522" s="108" t="s">
        <v>11</v>
      </c>
      <c r="H522" s="108" t="s">
        <v>13</v>
      </c>
      <c r="I522" s="85" t="s">
        <v>11</v>
      </c>
      <c r="J522" s="108" t="s">
        <v>13</v>
      </c>
      <c r="K522" s="85" t="s">
        <v>11</v>
      </c>
      <c r="L522" s="86" t="str">
        <f>IFERROR(VLOOKUP($B522,'LISTA - Atual'!$B$1:$I$444,5,0),"Novo")</f>
        <v>Novo</v>
      </c>
      <c r="M522" s="86" t="str">
        <f t="shared" si="135"/>
        <v>Novo Campo</v>
      </c>
      <c r="N522" s="86" t="str">
        <f>IFERROR(VLOOKUP($B522,'LISTA - Atual'!$B$1:$I$444,6,0),"Novo")</f>
        <v>Novo</v>
      </c>
      <c r="O522" s="86" t="str">
        <f t="shared" si="136"/>
        <v>Novo Campo</v>
      </c>
      <c r="P522" s="86" t="str">
        <f>IFERROR(VLOOKUP($B522,'LISTA - Atual'!$B$1:$I$444,7,0),"Novo")</f>
        <v>Novo</v>
      </c>
      <c r="Q522" s="86" t="str">
        <f t="shared" si="137"/>
        <v>Novo Campo</v>
      </c>
      <c r="R522" s="86" t="s">
        <v>1563</v>
      </c>
      <c r="S522" s="86" t="str">
        <f>IFERROR(VLOOKUP($B522,'LISTA - Atual'!$B$1:$I$444,8,0),"Novo")</f>
        <v>Novo</v>
      </c>
      <c r="T522" s="86" t="str">
        <f t="shared" si="138"/>
        <v>Novo Campo</v>
      </c>
      <c r="U522" s="86" t="s">
        <v>1563</v>
      </c>
      <c r="V522" s="86" t="s">
        <v>11</v>
      </c>
      <c r="W522" s="87" t="str">
        <f>IFERROR(VLOOKUP(B522,#REF!,11,0),"n/a")</f>
        <v>n/a</v>
      </c>
      <c r="X522" s="87" t="str">
        <f>IFERROR(VLOOKUP(B522,#REF!,8,0),"n/a")</f>
        <v>n/a</v>
      </c>
      <c r="Y522" s="87" t="str">
        <f t="shared" si="143"/>
        <v>PILAR3</v>
      </c>
      <c r="Z522" s="131" t="s">
        <v>1570</v>
      </c>
      <c r="AA522" s="227" t="str">
        <f>VLOOKUP(Table1[[#This Row],[CONCAT]],'Campos Resumo Prop2.0'!A:H,8,0)</f>
        <v>Âmbito de proposta - Especificação &amp; Simular</v>
      </c>
      <c r="AB522" s="87" t="s">
        <v>1656</v>
      </c>
      <c r="AC522" s="137" t="s">
        <v>1677</v>
      </c>
      <c r="AD522" s="91">
        <f>INDEX(Auxiliar!$D$5:$I$10,MATCH('LISTA - Setembro2024'!AD$3,Auxiliar!$B$5:$B$10,0),MATCH('LISTA - Setembro2024'!$AC522,Auxiliar!$D$4:$I$4,0))</f>
        <v>10</v>
      </c>
      <c r="AE522" s="91">
        <f>INDEX(Auxiliar!$D$5:$I$10,MATCH('LISTA - Setembro2024'!AE$3,Auxiliar!$B$5:$B$10,0),MATCH('LISTA - Setembro2024'!$AC522,Auxiliar!$D$4:$I$4,0))</f>
        <v>8</v>
      </c>
      <c r="AF522" s="87">
        <f>INDEX(Auxiliar!$D$5:$I$10,MATCH('LISTA - Setembro2024'!AF$3,Auxiliar!$B$5:$B$10,0),MATCH('LISTA - Setembro2024'!$AC522,Auxiliar!$D$4:$I$4,0))</f>
        <v>3</v>
      </c>
      <c r="AG522" s="87" t="str">
        <f t="shared" si="139"/>
        <v>n.a.</v>
      </c>
      <c r="AH522" s="87">
        <f>INDEX(Auxiliar!$D$5:$I$10,MATCH('LISTA - Setembro2024'!AH$3,Auxiliar!$B$5:$B$10,0),MATCH('LISTA - Setembro2024'!$AG522,Auxiliar!$D$4:$I$4,0))</f>
        <v>0</v>
      </c>
      <c r="AI522" s="87">
        <f>INDEX(Auxiliar!$D$5:$I$10,MATCH('LISTA - Setembro2024'!AI$3,Auxiliar!$B$5:$B$10,0),MATCH('LISTA - Setembro2024'!$AC522,Auxiliar!$D$4:$I$4,0))</f>
        <v>1</v>
      </c>
      <c r="AJ522" s="87">
        <f>INDEX(Auxiliar!$D$5:$I$10,MATCH('LISTA - Setembro2024'!AJ$3,Auxiliar!$B$5:$B$10,0),MATCH('LISTA - Setembro2024'!$AC522,Auxiliar!$D$4:$I$4,0))</f>
        <v>2</v>
      </c>
      <c r="AK522" s="160">
        <f t="shared" si="142"/>
        <v>6</v>
      </c>
      <c r="AL522" s="87"/>
    </row>
    <row r="523" spans="1:38" ht="13.8" x14ac:dyDescent="0.25">
      <c r="A523" s="158" t="s">
        <v>1523</v>
      </c>
      <c r="B523" s="81" t="str">
        <f t="shared" si="140"/>
        <v>PROTECTION_PRMRY_ENRGY_DMND_TTL</v>
      </c>
      <c r="C523" s="82" t="s">
        <v>1114</v>
      </c>
      <c r="D523" s="95" t="s">
        <v>1524</v>
      </c>
      <c r="E523" s="93" t="s">
        <v>1525</v>
      </c>
      <c r="F523" s="108" t="s">
        <v>11</v>
      </c>
      <c r="G523" s="108" t="s">
        <v>11</v>
      </c>
      <c r="H523" s="108" t="s">
        <v>13</v>
      </c>
      <c r="I523" s="85" t="s">
        <v>11</v>
      </c>
      <c r="J523" s="108" t="s">
        <v>13</v>
      </c>
      <c r="K523" s="85" t="s">
        <v>11</v>
      </c>
      <c r="L523" s="86" t="str">
        <f>IFERROR(VLOOKUP($B523,'LISTA - Atual'!$B$1:$I$444,5,0),"Novo")</f>
        <v>Novo</v>
      </c>
      <c r="M523" s="86" t="str">
        <f t="shared" si="135"/>
        <v>Novo Campo</v>
      </c>
      <c r="N523" s="86" t="str">
        <f>IFERROR(VLOOKUP($B523,'LISTA - Atual'!$B$1:$I$444,6,0),"Novo")</f>
        <v>Novo</v>
      </c>
      <c r="O523" s="86" t="str">
        <f t="shared" si="136"/>
        <v>Novo Campo</v>
      </c>
      <c r="P523" s="86" t="str">
        <f>IFERROR(VLOOKUP($B523,'LISTA - Atual'!$B$1:$I$444,7,0),"Novo")</f>
        <v>Novo</v>
      </c>
      <c r="Q523" s="86" t="str">
        <f t="shared" si="137"/>
        <v>Novo Campo</v>
      </c>
      <c r="R523" s="86" t="s">
        <v>1563</v>
      </c>
      <c r="S523" s="86" t="str">
        <f>IFERROR(VLOOKUP($B523,'LISTA - Atual'!$B$1:$I$444,8,0),"Novo")</f>
        <v>Novo</v>
      </c>
      <c r="T523" s="86" t="str">
        <f t="shared" si="138"/>
        <v>Novo Campo</v>
      </c>
      <c r="U523" s="86" t="s">
        <v>1563</v>
      </c>
      <c r="V523" s="86" t="s">
        <v>11</v>
      </c>
      <c r="W523" s="87" t="str">
        <f>IFERROR(VLOOKUP(B523,#REF!,11,0),"n/a")</f>
        <v>n/a</v>
      </c>
      <c r="X523" s="87" t="str">
        <f>IFERROR(VLOOKUP(B523,#REF!,8,0),"n/a")</f>
        <v>n/a</v>
      </c>
      <c r="Y523" s="87" t="str">
        <f t="shared" si="143"/>
        <v>PILAR3</v>
      </c>
      <c r="Z523" s="131" t="s">
        <v>1570</v>
      </c>
      <c r="AA523" s="227" t="str">
        <f>VLOOKUP(Table1[[#This Row],[CONCAT]],'Campos Resumo Prop2.0'!A:H,8,0)</f>
        <v>Âmbito de proposta - Especificação &amp; Simular</v>
      </c>
      <c r="AB523" s="87" t="s">
        <v>1656</v>
      </c>
      <c r="AC523" s="137" t="s">
        <v>1638</v>
      </c>
      <c r="AD523" s="91">
        <f>INDEX(Auxiliar!$D$5:$I$10,MATCH('LISTA - Setembro2024'!AD$3,Auxiliar!$B$5:$B$10,0),MATCH('LISTA - Setembro2024'!$AC523,Auxiliar!$D$4:$I$4,0))</f>
        <v>8</v>
      </c>
      <c r="AE523" s="91">
        <f>INDEX(Auxiliar!$D$5:$I$10,MATCH('LISTA - Setembro2024'!AE$3,Auxiliar!$B$5:$B$10,0),MATCH('LISTA - Setembro2024'!$AC523,Auxiliar!$D$4:$I$4,0))</f>
        <v>6</v>
      </c>
      <c r="AF523" s="87">
        <f>INDEX(Auxiliar!$D$5:$I$10,MATCH('LISTA - Setembro2024'!AF$3,Auxiliar!$B$5:$B$10,0),MATCH('LISTA - Setembro2024'!$AC523,Auxiliar!$D$4:$I$4,0))</f>
        <v>6</v>
      </c>
      <c r="AG523" s="87" t="str">
        <f t="shared" si="139"/>
        <v>n.a.</v>
      </c>
      <c r="AH523" s="87">
        <f>INDEX(Auxiliar!$D$5:$I$10,MATCH('LISTA - Setembro2024'!AH$3,Auxiliar!$B$5:$B$10,0),MATCH('LISTA - Setembro2024'!$AG523,Auxiliar!$D$4:$I$4,0))</f>
        <v>0</v>
      </c>
      <c r="AI523" s="87">
        <f>INDEX(Auxiliar!$D$5:$I$10,MATCH('LISTA - Setembro2024'!AI$3,Auxiliar!$B$5:$B$10,0),MATCH('LISTA - Setembro2024'!$AC523,Auxiliar!$D$4:$I$4,0))</f>
        <v>0.5</v>
      </c>
      <c r="AJ523" s="87">
        <f>INDEX(Auxiliar!$D$5:$I$10,MATCH('LISTA - Setembro2024'!AJ$3,Auxiliar!$B$5:$B$10,0),MATCH('LISTA - Setembro2024'!$AC523,Auxiliar!$D$4:$I$4,0))</f>
        <v>1</v>
      </c>
      <c r="AK523" s="160">
        <f t="shared" si="142"/>
        <v>7.5</v>
      </c>
      <c r="AL523" s="87"/>
    </row>
    <row r="524" spans="1:38" ht="13.8" x14ac:dyDescent="0.25">
      <c r="A524" s="158" t="s">
        <v>1526</v>
      </c>
      <c r="B524" s="81" t="str">
        <f t="shared" si="140"/>
        <v>PROTECTION_PRMRY_ENRGY_DMND_RFRNC_VL</v>
      </c>
      <c r="C524" s="82" t="s">
        <v>1114</v>
      </c>
      <c r="D524" s="95" t="s">
        <v>1527</v>
      </c>
      <c r="E524" s="93" t="s">
        <v>1528</v>
      </c>
      <c r="F524" s="108" t="s">
        <v>11</v>
      </c>
      <c r="G524" s="108" t="s">
        <v>11</v>
      </c>
      <c r="H524" s="108" t="s">
        <v>13</v>
      </c>
      <c r="I524" s="85" t="s">
        <v>11</v>
      </c>
      <c r="J524" s="108" t="s">
        <v>13</v>
      </c>
      <c r="K524" s="85" t="s">
        <v>11</v>
      </c>
      <c r="L524" s="86" t="str">
        <f>IFERROR(VLOOKUP($B524,'LISTA - Atual'!$B$1:$I$444,5,0),"Novo")</f>
        <v>Novo</v>
      </c>
      <c r="M524" s="86" t="str">
        <f t="shared" si="135"/>
        <v>Novo Campo</v>
      </c>
      <c r="N524" s="86" t="str">
        <f>IFERROR(VLOOKUP($B524,'LISTA - Atual'!$B$1:$I$444,6,0),"Novo")</f>
        <v>Novo</v>
      </c>
      <c r="O524" s="86" t="str">
        <f t="shared" si="136"/>
        <v>Novo Campo</v>
      </c>
      <c r="P524" s="86" t="str">
        <f>IFERROR(VLOOKUP($B524,'LISTA - Atual'!$B$1:$I$444,7,0),"Novo")</f>
        <v>Novo</v>
      </c>
      <c r="Q524" s="86" t="str">
        <f t="shared" si="137"/>
        <v>Novo Campo</v>
      </c>
      <c r="R524" s="86" t="s">
        <v>1563</v>
      </c>
      <c r="S524" s="86" t="str">
        <f>IFERROR(VLOOKUP($B524,'LISTA - Atual'!$B$1:$I$444,8,0),"Novo")</f>
        <v>Novo</v>
      </c>
      <c r="T524" s="86" t="str">
        <f t="shared" si="138"/>
        <v>Novo Campo</v>
      </c>
      <c r="U524" s="86" t="s">
        <v>1563</v>
      </c>
      <c r="V524" s="86" t="s">
        <v>11</v>
      </c>
      <c r="W524" s="87" t="str">
        <f>IFERROR(VLOOKUP(B524,#REF!,11,0),"n/a")</f>
        <v>n/a</v>
      </c>
      <c r="X524" s="87" t="str">
        <f>IFERROR(VLOOKUP(B524,#REF!,8,0),"n/a")</f>
        <v>n/a</v>
      </c>
      <c r="Y524" s="87" t="str">
        <f t="shared" si="143"/>
        <v>PILAR3</v>
      </c>
      <c r="Z524" s="131" t="s">
        <v>1570</v>
      </c>
      <c r="AA524" s="227" t="str">
        <f>VLOOKUP(Table1[[#This Row],[CONCAT]],'Campos Resumo Prop2.0'!A:H,8,0)</f>
        <v>Âmbito de proposta - Especificação &amp; Simular</v>
      </c>
      <c r="AB524" s="87" t="s">
        <v>1656</v>
      </c>
      <c r="AC524" s="137" t="s">
        <v>1638</v>
      </c>
      <c r="AD524" s="91">
        <f>INDEX(Auxiliar!$D$5:$I$10,MATCH('LISTA - Setembro2024'!AD$3,Auxiliar!$B$5:$B$10,0),MATCH('LISTA - Setembro2024'!$AC524,Auxiliar!$D$4:$I$4,0))</f>
        <v>8</v>
      </c>
      <c r="AE524" s="91">
        <f>INDEX(Auxiliar!$D$5:$I$10,MATCH('LISTA - Setembro2024'!AE$3,Auxiliar!$B$5:$B$10,0),MATCH('LISTA - Setembro2024'!$AC524,Auxiliar!$D$4:$I$4,0))</f>
        <v>6</v>
      </c>
      <c r="AF524" s="87">
        <f>INDEX(Auxiliar!$D$5:$I$10,MATCH('LISTA - Setembro2024'!AF$3,Auxiliar!$B$5:$B$10,0),MATCH('LISTA - Setembro2024'!$AC524,Auxiliar!$D$4:$I$4,0))</f>
        <v>6</v>
      </c>
      <c r="AG524" s="87" t="str">
        <f t="shared" si="139"/>
        <v>n.a.</v>
      </c>
      <c r="AH524" s="87">
        <f>INDEX(Auxiliar!$D$5:$I$10,MATCH('LISTA - Setembro2024'!AH$3,Auxiliar!$B$5:$B$10,0),MATCH('LISTA - Setembro2024'!$AG524,Auxiliar!$D$4:$I$4,0))</f>
        <v>0</v>
      </c>
      <c r="AI524" s="87">
        <f>INDEX(Auxiliar!$D$5:$I$10,MATCH('LISTA - Setembro2024'!AI$3,Auxiliar!$B$5:$B$10,0),MATCH('LISTA - Setembro2024'!$AC524,Auxiliar!$D$4:$I$4,0))</f>
        <v>0.5</v>
      </c>
      <c r="AJ524" s="87">
        <f>INDEX(Auxiliar!$D$5:$I$10,MATCH('LISTA - Setembro2024'!AJ$3,Auxiliar!$B$5:$B$10,0),MATCH('LISTA - Setembro2024'!$AC524,Auxiliar!$D$4:$I$4,0))</f>
        <v>1</v>
      </c>
      <c r="AK524" s="160">
        <f t="shared" si="142"/>
        <v>7.5</v>
      </c>
      <c r="AL524" s="87"/>
    </row>
    <row r="525" spans="1:38" ht="13.8" x14ac:dyDescent="0.25">
      <c r="A525" s="158" t="s">
        <v>1529</v>
      </c>
      <c r="B525" s="81" t="str">
        <f t="shared" si="140"/>
        <v>PROTECTION_RL_ESTT_CLMT_ZN</v>
      </c>
      <c r="C525" s="82" t="s">
        <v>1114</v>
      </c>
      <c r="D525" s="95" t="s">
        <v>1530</v>
      </c>
      <c r="E525" s="93" t="s">
        <v>1531</v>
      </c>
      <c r="F525" s="108" t="s">
        <v>11</v>
      </c>
      <c r="G525" s="108" t="s">
        <v>11</v>
      </c>
      <c r="H525" s="108" t="s">
        <v>13</v>
      </c>
      <c r="I525" s="85" t="s">
        <v>11</v>
      </c>
      <c r="J525" s="108" t="s">
        <v>13</v>
      </c>
      <c r="K525" s="85" t="s">
        <v>11</v>
      </c>
      <c r="L525" s="86" t="str">
        <f>IFERROR(VLOOKUP($B525,'LISTA - Atual'!$B$1:$I$444,5,0),"Novo")</f>
        <v>Novo</v>
      </c>
      <c r="M525" s="86" t="str">
        <f t="shared" si="135"/>
        <v>Novo Campo</v>
      </c>
      <c r="N525" s="86" t="str">
        <f>IFERROR(VLOOKUP($B525,'LISTA - Atual'!$B$1:$I$444,6,0),"Novo")</f>
        <v>Novo</v>
      </c>
      <c r="O525" s="86" t="str">
        <f t="shared" si="136"/>
        <v>Novo Campo</v>
      </c>
      <c r="P525" s="86" t="str">
        <f>IFERROR(VLOOKUP($B525,'LISTA - Atual'!$B$1:$I$444,7,0),"Novo")</f>
        <v>Novo</v>
      </c>
      <c r="Q525" s="86" t="str">
        <f t="shared" si="137"/>
        <v>Novo Campo</v>
      </c>
      <c r="R525" s="86" t="s">
        <v>1563</v>
      </c>
      <c r="S525" s="86" t="str">
        <f>IFERROR(VLOOKUP($B525,'LISTA - Atual'!$B$1:$I$444,8,0),"Novo")</f>
        <v>Novo</v>
      </c>
      <c r="T525" s="86" t="str">
        <f t="shared" si="138"/>
        <v>Novo Campo</v>
      </c>
      <c r="U525" s="86" t="s">
        <v>1563</v>
      </c>
      <c r="V525" s="86" t="s">
        <v>11</v>
      </c>
      <c r="W525" s="87" t="str">
        <f>IFERROR(VLOOKUP(B525,#REF!,11,0),"n/a")</f>
        <v>n/a</v>
      </c>
      <c r="X525" s="87" t="str">
        <f>IFERROR(VLOOKUP(B525,#REF!,8,0),"n/a")</f>
        <v>n/a</v>
      </c>
      <c r="Y525" s="87" t="str">
        <f t="shared" si="143"/>
        <v>PILAR3</v>
      </c>
      <c r="Z525" s="131" t="s">
        <v>1570</v>
      </c>
      <c r="AA525" s="227" t="str">
        <f>VLOOKUP(Table1[[#This Row],[CONCAT]],'Campos Resumo Prop2.0'!A:H,8,0)</f>
        <v>Âmbito de proposta - Especificação &amp; Simular</v>
      </c>
      <c r="AB525" s="87" t="s">
        <v>1650</v>
      </c>
      <c r="AC525" s="137" t="s">
        <v>1638</v>
      </c>
      <c r="AD525" s="91">
        <f>INDEX(Auxiliar!$D$5:$I$10,MATCH('LISTA - Setembro2024'!AD$3,Auxiliar!$B$5:$B$10,0),MATCH('LISTA - Setembro2024'!$AC525,Auxiliar!$D$4:$I$4,0))</f>
        <v>8</v>
      </c>
      <c r="AE525" s="91">
        <f>INDEX(Auxiliar!$D$5:$I$10,MATCH('LISTA - Setembro2024'!AE$3,Auxiliar!$B$5:$B$10,0),MATCH('LISTA - Setembro2024'!$AC525,Auxiliar!$D$4:$I$4,0))</f>
        <v>6</v>
      </c>
      <c r="AF525" s="87">
        <f>INDEX(Auxiliar!$D$5:$I$10,MATCH('LISTA - Setembro2024'!AF$3,Auxiliar!$B$5:$B$10,0),MATCH('LISTA - Setembro2024'!$AC525,Auxiliar!$D$4:$I$4,0))</f>
        <v>6</v>
      </c>
      <c r="AG525" s="87" t="str">
        <f t="shared" si="139"/>
        <v>Alta</v>
      </c>
      <c r="AH525" s="87">
        <f>INDEX(Auxiliar!$D$5:$I$10,MATCH('LISTA - Setembro2024'!AH$3,Auxiliar!$B$5:$B$10,0),MATCH('LISTA - Setembro2024'!$AG525,Auxiliar!$D$4:$I$4,0))</f>
        <v>0.5</v>
      </c>
      <c r="AI525" s="87">
        <f>INDEX(Auxiliar!$D$5:$I$10,MATCH('LISTA - Setembro2024'!AI$3,Auxiliar!$B$5:$B$10,0),MATCH('LISTA - Setembro2024'!$AC525,Auxiliar!$D$4:$I$4,0))</f>
        <v>0.5</v>
      </c>
      <c r="AJ525" s="87">
        <f>INDEX(Auxiliar!$D$5:$I$10,MATCH('LISTA - Setembro2024'!AJ$3,Auxiliar!$B$5:$B$10,0),MATCH('LISTA - Setembro2024'!$AC525,Auxiliar!$D$4:$I$4,0))</f>
        <v>1</v>
      </c>
      <c r="AK525" s="160">
        <f t="shared" si="142"/>
        <v>8</v>
      </c>
      <c r="AL525" s="87"/>
    </row>
    <row r="526" spans="1:38" ht="13.8" x14ac:dyDescent="0.25">
      <c r="A526" s="158" t="s">
        <v>1532</v>
      </c>
      <c r="B526" s="81" t="str">
        <f t="shared" si="140"/>
        <v>PROTECTION_RL_ESTT_LNGTD</v>
      </c>
      <c r="C526" s="82" t="s">
        <v>1114</v>
      </c>
      <c r="D526" s="95" t="s">
        <v>1533</v>
      </c>
      <c r="E526" s="94" t="s">
        <v>1534</v>
      </c>
      <c r="F526" s="108" t="s">
        <v>13</v>
      </c>
      <c r="G526" s="108" t="s">
        <v>11</v>
      </c>
      <c r="H526" s="108" t="s">
        <v>11</v>
      </c>
      <c r="I526" s="85" t="s">
        <v>11</v>
      </c>
      <c r="J526" s="108" t="s">
        <v>11</v>
      </c>
      <c r="K526" s="85" t="s">
        <v>11</v>
      </c>
      <c r="L526" s="86" t="str">
        <f>IFERROR(VLOOKUP($B526,'LISTA - Atual'!$B$1:$I$444,5,0),"Novo")</f>
        <v>Novo</v>
      </c>
      <c r="M526" s="86" t="str">
        <f t="shared" si="135"/>
        <v>Novo Campo</v>
      </c>
      <c r="N526" s="86" t="str">
        <f>IFERROR(VLOOKUP($B526,'LISTA - Atual'!$B$1:$I$444,6,0),"Novo")</f>
        <v>Novo</v>
      </c>
      <c r="O526" s="86" t="str">
        <f t="shared" si="136"/>
        <v>Novo Campo</v>
      </c>
      <c r="P526" s="86" t="str">
        <f>IFERROR(VLOOKUP($B526,'LISTA - Atual'!$B$1:$I$444,7,0),"Novo")</f>
        <v>Novo</v>
      </c>
      <c r="Q526" s="86" t="str">
        <f t="shared" si="137"/>
        <v>Novo Campo</v>
      </c>
      <c r="R526" s="86" t="s">
        <v>1563</v>
      </c>
      <c r="S526" s="86" t="str">
        <f>IFERROR(VLOOKUP($B526,'LISTA - Atual'!$B$1:$I$444,8,0),"Novo")</f>
        <v>Novo</v>
      </c>
      <c r="T526" s="86" t="str">
        <f t="shared" si="138"/>
        <v>Novo Campo</v>
      </c>
      <c r="U526" s="86" t="s">
        <v>1563</v>
      </c>
      <c r="V526" s="86" t="s">
        <v>11</v>
      </c>
      <c r="W526" s="87" t="str">
        <f>IFERROR(VLOOKUP(B526,#REF!,11,0),"n/a")</f>
        <v>n/a</v>
      </c>
      <c r="X526" s="87" t="str">
        <f>IFERROR(VLOOKUP(B526,#REF!,8,0),"n/a")</f>
        <v>n/a</v>
      </c>
      <c r="Y526" s="87" t="str">
        <f t="shared" ref="Y526:Y527" si="144">$F$2</f>
        <v>ESTR</v>
      </c>
      <c r="Z526" s="131" t="s">
        <v>1570</v>
      </c>
      <c r="AA526" s="227" t="e">
        <f>VLOOKUP(Table1[[#This Row],[CONCAT]],'Campos Resumo Prop2.0'!A:H,8,0)</f>
        <v>#N/A</v>
      </c>
      <c r="AB526" s="87" t="s">
        <v>1663</v>
      </c>
      <c r="AC526" s="88" t="s">
        <v>1625</v>
      </c>
      <c r="AD526" s="91">
        <f>INDEX(Auxiliar!$D$5:$I$10,MATCH('LISTA - Setembro2024'!AD$3,Auxiliar!$B$5:$B$10,0),MATCH('LISTA - Setembro2024'!$AC526,Auxiliar!$D$4:$I$4,0))</f>
        <v>0</v>
      </c>
      <c r="AE526" s="91">
        <f>INDEX(Auxiliar!$D$5:$I$10,MATCH('LISTA - Setembro2024'!AE$3,Auxiliar!$B$5:$B$10,0),MATCH('LISTA - Setembro2024'!$AC526,Auxiliar!$D$4:$I$4,0))</f>
        <v>0</v>
      </c>
      <c r="AF526" s="87">
        <f>INDEX(Auxiliar!$D$5:$I$10,MATCH('LISTA - Setembro2024'!AF$3,Auxiliar!$B$5:$B$10,0),MATCH('LISTA - Setembro2024'!$AC526,Auxiliar!$D$4:$I$4,0))</f>
        <v>0</v>
      </c>
      <c r="AG526" s="87" t="str">
        <f t="shared" si="139"/>
        <v>n.a.</v>
      </c>
      <c r="AH526" s="87">
        <f>INDEX(Auxiliar!$D$5:$I$10,MATCH('LISTA - Setembro2024'!AH$3,Auxiliar!$B$5:$B$10,0),MATCH('LISTA - Setembro2024'!$AG526,Auxiliar!$D$4:$I$4,0))</f>
        <v>0</v>
      </c>
      <c r="AI526" s="87">
        <f>INDEX(Auxiliar!$D$5:$I$10,MATCH('LISTA - Setembro2024'!AI$3,Auxiliar!$B$5:$B$10,0),MATCH('LISTA - Setembro2024'!$AC526,Auxiliar!$D$4:$I$4,0))</f>
        <v>0</v>
      </c>
      <c r="AJ526" s="87">
        <f>INDEX(Auxiliar!$D$5:$I$10,MATCH('LISTA - Setembro2024'!AJ$3,Auxiliar!$B$5:$B$10,0),MATCH('LISTA - Setembro2024'!$AC526,Auxiliar!$D$4:$I$4,0))</f>
        <v>0</v>
      </c>
      <c r="AK526" s="160">
        <f t="shared" si="142"/>
        <v>0</v>
      </c>
      <c r="AL526" s="87" t="s">
        <v>1672</v>
      </c>
    </row>
    <row r="527" spans="1:38" ht="13.8" x14ac:dyDescent="0.25">
      <c r="A527" s="158" t="s">
        <v>1535</v>
      </c>
      <c r="B527" s="81" t="str">
        <f t="shared" si="140"/>
        <v>PROTECTION_RL_ESTT_LTTD</v>
      </c>
      <c r="C527" s="82" t="s">
        <v>1114</v>
      </c>
      <c r="D527" s="95" t="s">
        <v>1536</v>
      </c>
      <c r="E527" s="94" t="s">
        <v>1537</v>
      </c>
      <c r="F527" s="108" t="s">
        <v>13</v>
      </c>
      <c r="G527" s="108" t="s">
        <v>11</v>
      </c>
      <c r="H527" s="108" t="s">
        <v>11</v>
      </c>
      <c r="I527" s="85" t="s">
        <v>11</v>
      </c>
      <c r="J527" s="108" t="s">
        <v>11</v>
      </c>
      <c r="K527" s="85" t="s">
        <v>11</v>
      </c>
      <c r="L527" s="86" t="str">
        <f>IFERROR(VLOOKUP($B527,'LISTA - Atual'!$B$1:$I$444,5,0),"Novo")</f>
        <v>Novo</v>
      </c>
      <c r="M527" s="86" t="str">
        <f t="shared" si="135"/>
        <v>Novo Campo</v>
      </c>
      <c r="N527" s="86" t="str">
        <f>IFERROR(VLOOKUP($B527,'LISTA - Atual'!$B$1:$I$444,6,0),"Novo")</f>
        <v>Novo</v>
      </c>
      <c r="O527" s="86" t="str">
        <f t="shared" si="136"/>
        <v>Novo Campo</v>
      </c>
      <c r="P527" s="86" t="str">
        <f>IFERROR(VLOOKUP($B527,'LISTA - Atual'!$B$1:$I$444,7,0),"Novo")</f>
        <v>Novo</v>
      </c>
      <c r="Q527" s="86" t="str">
        <f t="shared" si="137"/>
        <v>Novo Campo</v>
      </c>
      <c r="R527" s="86" t="s">
        <v>1563</v>
      </c>
      <c r="S527" s="86" t="str">
        <f>IFERROR(VLOOKUP($B527,'LISTA - Atual'!$B$1:$I$444,8,0),"Novo")</f>
        <v>Novo</v>
      </c>
      <c r="T527" s="86" t="str">
        <f t="shared" si="138"/>
        <v>Novo Campo</v>
      </c>
      <c r="U527" s="86" t="s">
        <v>1563</v>
      </c>
      <c r="V527" s="86" t="s">
        <v>11</v>
      </c>
      <c r="W527" s="87" t="str">
        <f>IFERROR(VLOOKUP(B527,#REF!,11,0),"n/a")</f>
        <v>n/a</v>
      </c>
      <c r="X527" s="87" t="str">
        <f>IFERROR(VLOOKUP(B527,#REF!,8,0),"n/a")</f>
        <v>n/a</v>
      </c>
      <c r="Y527" s="87" t="str">
        <f t="shared" si="144"/>
        <v>ESTR</v>
      </c>
      <c r="Z527" s="131" t="s">
        <v>1570</v>
      </c>
      <c r="AA527" s="227" t="e">
        <f>VLOOKUP(Table1[[#This Row],[CONCAT]],'Campos Resumo Prop2.0'!A:H,8,0)</f>
        <v>#N/A</v>
      </c>
      <c r="AB527" s="87" t="s">
        <v>1663</v>
      </c>
      <c r="AC527" s="88" t="s">
        <v>1625</v>
      </c>
      <c r="AD527" s="91">
        <f>INDEX(Auxiliar!$D$5:$I$10,MATCH('LISTA - Setembro2024'!AD$3,Auxiliar!$B$5:$B$10,0),MATCH('LISTA - Setembro2024'!$AC527,Auxiliar!$D$4:$I$4,0))</f>
        <v>0</v>
      </c>
      <c r="AE527" s="91">
        <f>INDEX(Auxiliar!$D$5:$I$10,MATCH('LISTA - Setembro2024'!AE$3,Auxiliar!$B$5:$B$10,0),MATCH('LISTA - Setembro2024'!$AC527,Auxiliar!$D$4:$I$4,0))</f>
        <v>0</v>
      </c>
      <c r="AF527" s="87">
        <f>INDEX(Auxiliar!$D$5:$I$10,MATCH('LISTA - Setembro2024'!AF$3,Auxiliar!$B$5:$B$10,0),MATCH('LISTA - Setembro2024'!$AC527,Auxiliar!$D$4:$I$4,0))</f>
        <v>0</v>
      </c>
      <c r="AG527" s="87" t="str">
        <f t="shared" si="139"/>
        <v>n.a.</v>
      </c>
      <c r="AH527" s="87">
        <f>INDEX(Auxiliar!$D$5:$I$10,MATCH('LISTA - Setembro2024'!AH$3,Auxiliar!$B$5:$B$10,0),MATCH('LISTA - Setembro2024'!$AG527,Auxiliar!$D$4:$I$4,0))</f>
        <v>0</v>
      </c>
      <c r="AI527" s="87">
        <f>INDEX(Auxiliar!$D$5:$I$10,MATCH('LISTA - Setembro2024'!AI$3,Auxiliar!$B$5:$B$10,0),MATCH('LISTA - Setembro2024'!$AC527,Auxiliar!$D$4:$I$4,0))</f>
        <v>0</v>
      </c>
      <c r="AJ527" s="87">
        <f>INDEX(Auxiliar!$D$5:$I$10,MATCH('LISTA - Setembro2024'!AJ$3,Auxiliar!$B$5:$B$10,0),MATCH('LISTA - Setembro2024'!$AC527,Auxiliar!$D$4:$I$4,0))</f>
        <v>0</v>
      </c>
      <c r="AK527" s="160">
        <f t="shared" si="142"/>
        <v>0</v>
      </c>
      <c r="AL527" s="87" t="s">
        <v>1672</v>
      </c>
    </row>
    <row r="528" spans="1:38" ht="13.8" x14ac:dyDescent="0.25">
      <c r="A528" s="158" t="s">
        <v>1538</v>
      </c>
      <c r="B528" s="81" t="str">
        <f t="shared" si="140"/>
        <v>PROTECTION_FLG_ELCTRC_VHCL</v>
      </c>
      <c r="C528" s="82" t="s">
        <v>1114</v>
      </c>
      <c r="D528" s="95" t="s">
        <v>1539</v>
      </c>
      <c r="E528" s="94" t="s">
        <v>1540</v>
      </c>
      <c r="F528" s="108" t="s">
        <v>11</v>
      </c>
      <c r="G528" s="108" t="s">
        <v>13</v>
      </c>
      <c r="H528" s="108" t="s">
        <v>11</v>
      </c>
      <c r="I528" s="85" t="s">
        <v>11</v>
      </c>
      <c r="J528" s="108" t="s">
        <v>11</v>
      </c>
      <c r="K528" s="85" t="s">
        <v>11</v>
      </c>
      <c r="L528" s="86" t="str">
        <f>IFERROR(VLOOKUP($B528,'LISTA - Atual'!$B$1:$I$444,5,0),"Novo")</f>
        <v>Novo</v>
      </c>
      <c r="M528" s="86" t="str">
        <f t="shared" si="135"/>
        <v>Novo Campo</v>
      </c>
      <c r="N528" s="86" t="str">
        <f>IFERROR(VLOOKUP($B528,'LISTA - Atual'!$B$1:$I$444,6,0),"Novo")</f>
        <v>Novo</v>
      </c>
      <c r="O528" s="86" t="str">
        <f t="shared" si="136"/>
        <v>Novo Campo</v>
      </c>
      <c r="P528" s="86" t="str">
        <f>IFERROR(VLOOKUP($B528,'LISTA - Atual'!$B$1:$I$444,7,0),"Novo")</f>
        <v>Novo</v>
      </c>
      <c r="Q528" s="86" t="str">
        <f t="shared" si="137"/>
        <v>Novo Campo</v>
      </c>
      <c r="R528" s="86" t="s">
        <v>1563</v>
      </c>
      <c r="S528" s="86" t="str">
        <f>IFERROR(VLOOKUP($B528,'LISTA - Atual'!$B$1:$I$444,8,0),"Novo")</f>
        <v>Novo</v>
      </c>
      <c r="T528" s="86" t="str">
        <f t="shared" si="138"/>
        <v>Novo Campo</v>
      </c>
      <c r="U528" s="86" t="s">
        <v>1563</v>
      </c>
      <c r="V528" s="86" t="s">
        <v>11</v>
      </c>
      <c r="W528" s="87" t="str">
        <f>IFERROR(VLOOKUP(B528,#REF!,11,0),"n/a")</f>
        <v>n/a</v>
      </c>
      <c r="X528" s="87" t="str">
        <f>IFERROR(VLOOKUP(B528,#REF!,8,0),"n/a")</f>
        <v>n/a</v>
      </c>
      <c r="Y528" s="87" t="str">
        <f>$G$2</f>
        <v>GD</v>
      </c>
      <c r="Z528" s="131" t="s">
        <v>1570</v>
      </c>
      <c r="AA528" s="227" t="e">
        <f>VLOOKUP(Table1[[#This Row],[CONCAT]],'Campos Resumo Prop2.0'!A:H,8,0)</f>
        <v>#N/A</v>
      </c>
      <c r="AB528" s="87" t="s">
        <v>1654</v>
      </c>
      <c r="AC528" s="137" t="s">
        <v>1625</v>
      </c>
      <c r="AD528" s="91">
        <f>INDEX(Auxiliar!$D$5:$I$10,MATCH('LISTA - Setembro2024'!AD$3,Auxiliar!$B$5:$B$10,0),MATCH('LISTA - Setembro2024'!$AC528,Auxiliar!$D$4:$I$4,0))</f>
        <v>0</v>
      </c>
      <c r="AE528" s="91">
        <f>INDEX(Auxiliar!$D$5:$I$10,MATCH('LISTA - Setembro2024'!AE$3,Auxiliar!$B$5:$B$10,0),MATCH('LISTA - Setembro2024'!$AC528,Auxiliar!$D$4:$I$4,0))</f>
        <v>0</v>
      </c>
      <c r="AF528" s="87">
        <f>INDEX(Auxiliar!$D$5:$I$10,MATCH('LISTA - Setembro2024'!AF$3,Auxiliar!$B$5:$B$10,0),MATCH('LISTA - Setembro2024'!$AC528,Auxiliar!$D$4:$I$4,0))</f>
        <v>0</v>
      </c>
      <c r="AG528" s="87" t="str">
        <f t="shared" si="139"/>
        <v>n.a.</v>
      </c>
      <c r="AH528" s="87">
        <f>INDEX(Auxiliar!$D$5:$I$10,MATCH('LISTA - Setembro2024'!AH$3,Auxiliar!$B$5:$B$10,0),MATCH('LISTA - Setembro2024'!$AG528,Auxiliar!$D$4:$I$4,0))</f>
        <v>0</v>
      </c>
      <c r="AI528" s="87">
        <f>INDEX(Auxiliar!$D$5:$I$10,MATCH('LISTA - Setembro2024'!AI$3,Auxiliar!$B$5:$B$10,0),MATCH('LISTA - Setembro2024'!$AC528,Auxiliar!$D$4:$I$4,0))</f>
        <v>0</v>
      </c>
      <c r="AJ528" s="87">
        <f>INDEX(Auxiliar!$D$5:$I$10,MATCH('LISTA - Setembro2024'!AJ$3,Auxiliar!$B$5:$B$10,0),MATCH('LISTA - Setembro2024'!$AC528,Auxiliar!$D$4:$I$4,0))</f>
        <v>0</v>
      </c>
      <c r="AK528" s="160">
        <f t="shared" si="142"/>
        <v>0</v>
      </c>
      <c r="AL528" s="87"/>
    </row>
    <row r="529" spans="1:38" ht="13.8" x14ac:dyDescent="0.25">
      <c r="A529" s="158" t="s">
        <v>1541</v>
      </c>
      <c r="B529" s="81" t="str">
        <f t="shared" si="140"/>
        <v>INSTR_ACTIVITY_COD_SOC</v>
      </c>
      <c r="C529" s="82" t="s">
        <v>1542</v>
      </c>
      <c r="D529" s="95" t="s">
        <v>12</v>
      </c>
      <c r="E529" s="84" t="s">
        <v>14</v>
      </c>
      <c r="F529" s="108" t="s">
        <v>11</v>
      </c>
      <c r="G529" s="108" t="s">
        <v>13</v>
      </c>
      <c r="H529" s="108" t="s">
        <v>13</v>
      </c>
      <c r="I529" s="85" t="s">
        <v>11</v>
      </c>
      <c r="J529" s="85" t="s">
        <v>11</v>
      </c>
      <c r="K529" s="85" t="s">
        <v>11</v>
      </c>
      <c r="L529" s="86" t="str">
        <f>IFERROR(VLOOKUP($B529,'LISTA - Atual'!$B$1:$I$444,5,0),"Novo")</f>
        <v>Novo</v>
      </c>
      <c r="M529" s="86" t="str">
        <f t="shared" si="135"/>
        <v>Novo Campo</v>
      </c>
      <c r="N529" s="86" t="str">
        <f>IFERROR(VLOOKUP($B529,'LISTA - Atual'!$B$1:$I$444,6,0),"Novo")</f>
        <v>Novo</v>
      </c>
      <c r="O529" s="86" t="str">
        <f t="shared" si="136"/>
        <v>Novo Campo</v>
      </c>
      <c r="P529" s="86" t="str">
        <f>IFERROR(VLOOKUP($B529,'LISTA - Atual'!$B$1:$I$444,7,0),"Novo")</f>
        <v>Novo</v>
      </c>
      <c r="Q529" s="86" t="str">
        <f t="shared" si="137"/>
        <v>Novo Campo</v>
      </c>
      <c r="R529" s="86" t="s">
        <v>1563</v>
      </c>
      <c r="S529" s="86" t="str">
        <f>IFERROR(VLOOKUP($B529,'LISTA - Atual'!$B$1:$I$444,8,0),"Novo")</f>
        <v>Novo</v>
      </c>
      <c r="T529" s="86" t="str">
        <f t="shared" si="138"/>
        <v>Novo Campo</v>
      </c>
      <c r="U529" s="86" t="s">
        <v>1563</v>
      </c>
      <c r="V529" s="86" t="s">
        <v>11</v>
      </c>
      <c r="W529" s="87" t="str">
        <f>IFERROR(VLOOKUP(B529,#REF!,11,0),"n/a")</f>
        <v>n/a</v>
      </c>
      <c r="X529" s="87" t="str">
        <f>IFERROR(VLOOKUP(B529,#REF!,8,0),"n/a")</f>
        <v>n/a</v>
      </c>
      <c r="Y529" s="87" t="str">
        <f>$G$2&amp;$Y$1&amp;$H$2</f>
        <v>GD &amp; PILAR3</v>
      </c>
      <c r="Z529" s="131" t="s">
        <v>1607</v>
      </c>
      <c r="AA529" s="227" t="str">
        <f>VLOOKUP(Table1[[#This Row],[CONCAT]],'Campos Resumo Prop2.0'!A:H,8,0)</f>
        <v>SB - Validar com CdG</v>
      </c>
      <c r="AB529" s="87" t="s">
        <v>1649</v>
      </c>
      <c r="AC529" s="135" t="s">
        <v>1674</v>
      </c>
      <c r="AD529" s="91">
        <f>INDEX(Auxiliar!$D$5:$I$10,MATCH('LISTA - Setembro2024'!AD$3,Auxiliar!$B$5:$B$10,0),MATCH('LISTA - Setembro2024'!$AC529,Auxiliar!$D$4:$I$4,0))</f>
        <v>1</v>
      </c>
      <c r="AE529" s="91">
        <f>INDEX(Auxiliar!$D$5:$I$10,MATCH('LISTA - Setembro2024'!AE$3,Auxiliar!$B$5:$B$10,0),MATCH('LISTA - Setembro2024'!$AC529,Auxiliar!$D$4:$I$4,0))</f>
        <v>1</v>
      </c>
      <c r="AF529" s="87">
        <f>INDEX(Auxiliar!$D$5:$I$10,MATCH('LISTA - Setembro2024'!AF$3,Auxiliar!$B$5:$B$10,0),MATCH('LISTA - Setembro2024'!$AC529,Auxiliar!$D$4:$I$4,0))</f>
        <v>1</v>
      </c>
      <c r="AG529" s="87" t="str">
        <f t="shared" si="139"/>
        <v>n.a.</v>
      </c>
      <c r="AH529" s="87">
        <f>INDEX(Auxiliar!$D$5:$I$10,MATCH('LISTA - Setembro2024'!AH$3,Auxiliar!$B$5:$B$10,0),MATCH('LISTA - Setembro2024'!$AG529,Auxiliar!$D$4:$I$4,0))</f>
        <v>0</v>
      </c>
      <c r="AI529" s="87">
        <f>INDEX(Auxiliar!$D$5:$I$10,MATCH('LISTA - Setembro2024'!AI$3,Auxiliar!$B$5:$B$10,0),MATCH('LISTA - Setembro2024'!$AC529,Auxiliar!$D$4:$I$4,0))</f>
        <v>0.5</v>
      </c>
      <c r="AJ529" s="87">
        <f>INDEX(Auxiliar!$D$5:$I$10,MATCH('LISTA - Setembro2024'!AJ$3,Auxiliar!$B$5:$B$10,0),MATCH('LISTA - Setembro2024'!$AC529,Auxiliar!$D$4:$I$4,0))</f>
        <v>1</v>
      </c>
      <c r="AK529" s="160">
        <f t="shared" si="142"/>
        <v>2.5</v>
      </c>
      <c r="AL529" s="87"/>
    </row>
    <row r="530" spans="1:38" ht="13.8" x14ac:dyDescent="0.25">
      <c r="A530" s="158" t="s">
        <v>1543</v>
      </c>
      <c r="B530" s="81" t="str">
        <f t="shared" si="140"/>
        <v>INSTR_ACTIVITY_DT_RFRNC</v>
      </c>
      <c r="C530" s="82" t="s">
        <v>1542</v>
      </c>
      <c r="D530" s="95" t="s">
        <v>38</v>
      </c>
      <c r="E530" s="84" t="s">
        <v>402</v>
      </c>
      <c r="F530" s="85" t="s">
        <v>11</v>
      </c>
      <c r="G530" s="85" t="s">
        <v>13</v>
      </c>
      <c r="H530" s="85" t="s">
        <v>13</v>
      </c>
      <c r="I530" s="85" t="s">
        <v>11</v>
      </c>
      <c r="J530" s="85" t="s">
        <v>11</v>
      </c>
      <c r="K530" s="85" t="s">
        <v>11</v>
      </c>
      <c r="L530" s="86" t="str">
        <f>IFERROR(VLOOKUP($B530,'LISTA - Atual'!$B$1:$I$444,5,0),"Novo")</f>
        <v>Novo</v>
      </c>
      <c r="M530" s="86" t="str">
        <f t="shared" si="135"/>
        <v>Novo Campo</v>
      </c>
      <c r="N530" s="86" t="str">
        <f>IFERROR(VLOOKUP($B530,'LISTA - Atual'!$B$1:$I$444,6,0),"Novo")</f>
        <v>Novo</v>
      </c>
      <c r="O530" s="86" t="str">
        <f t="shared" si="136"/>
        <v>Novo Campo</v>
      </c>
      <c r="P530" s="86" t="str">
        <f>IFERROR(VLOOKUP($B530,'LISTA - Atual'!$B$1:$I$444,7,0),"Novo")</f>
        <v>Novo</v>
      </c>
      <c r="Q530" s="86" t="str">
        <f t="shared" si="137"/>
        <v>Novo Campo</v>
      </c>
      <c r="R530" s="86" t="s">
        <v>1563</v>
      </c>
      <c r="S530" s="86" t="str">
        <f>IFERROR(VLOOKUP($B530,'LISTA - Atual'!$B$1:$I$444,8,0),"Novo")</f>
        <v>Novo</v>
      </c>
      <c r="T530" s="86" t="str">
        <f t="shared" si="138"/>
        <v>Novo Campo</v>
      </c>
      <c r="U530" s="86" t="s">
        <v>1563</v>
      </c>
      <c r="V530" s="86" t="s">
        <v>11</v>
      </c>
      <c r="W530" s="87" t="str">
        <f>IFERROR(VLOOKUP(B530,#REF!,11,0),"n/a")</f>
        <v>n/a</v>
      </c>
      <c r="X530" s="87" t="str">
        <f>IFERROR(VLOOKUP(B530,#REF!,8,0),"n/a")</f>
        <v>n/a</v>
      </c>
      <c r="Y530" s="87" t="str">
        <f>$G$2&amp;$Y$1&amp;$H$2</f>
        <v>GD &amp; PILAR3</v>
      </c>
      <c r="Z530" s="131" t="s">
        <v>1607</v>
      </c>
      <c r="AA530" s="227" t="str">
        <f>VLOOKUP(Table1[[#This Row],[CONCAT]],'Campos Resumo Prop2.0'!A:H,8,0)</f>
        <v>SB - Validar com CdG</v>
      </c>
      <c r="AB530" s="87" t="s">
        <v>1651</v>
      </c>
      <c r="AC530" s="135" t="s">
        <v>1674</v>
      </c>
      <c r="AD530" s="91">
        <f>INDEX(Auxiliar!$D$5:$I$10,MATCH('LISTA - Setembro2024'!AD$3,Auxiliar!$B$5:$B$10,0),MATCH('LISTA - Setembro2024'!$AC530,Auxiliar!$D$4:$I$4,0))</f>
        <v>1</v>
      </c>
      <c r="AE530" s="91">
        <f>INDEX(Auxiliar!$D$5:$I$10,MATCH('LISTA - Setembro2024'!AE$3,Auxiliar!$B$5:$B$10,0),MATCH('LISTA - Setembro2024'!$AC530,Auxiliar!$D$4:$I$4,0))</f>
        <v>1</v>
      </c>
      <c r="AF530" s="87">
        <f>INDEX(Auxiliar!$D$5:$I$10,MATCH('LISTA - Setembro2024'!AF$3,Auxiliar!$B$5:$B$10,0),MATCH('LISTA - Setembro2024'!$AC530,Auxiliar!$D$4:$I$4,0))</f>
        <v>1</v>
      </c>
      <c r="AG530" s="87" t="str">
        <f t="shared" si="139"/>
        <v>n.a.</v>
      </c>
      <c r="AH530" s="87">
        <f>INDEX(Auxiliar!$D$5:$I$10,MATCH('LISTA - Setembro2024'!AH$3,Auxiliar!$B$5:$B$10,0),MATCH('LISTA - Setembro2024'!$AG530,Auxiliar!$D$4:$I$4,0))</f>
        <v>0</v>
      </c>
      <c r="AI530" s="87">
        <f>INDEX(Auxiliar!$D$5:$I$10,MATCH('LISTA - Setembro2024'!AI$3,Auxiliar!$B$5:$B$10,0),MATCH('LISTA - Setembro2024'!$AC530,Auxiliar!$D$4:$I$4,0))</f>
        <v>0.5</v>
      </c>
      <c r="AJ530" s="87">
        <f>INDEX(Auxiliar!$D$5:$I$10,MATCH('LISTA - Setembro2024'!AJ$3,Auxiliar!$B$5:$B$10,0),MATCH('LISTA - Setembro2024'!$AC530,Auxiliar!$D$4:$I$4,0))</f>
        <v>1</v>
      </c>
      <c r="AK530" s="160">
        <f t="shared" si="142"/>
        <v>2.5</v>
      </c>
      <c r="AL530" s="87"/>
    </row>
    <row r="531" spans="1:38" ht="13.8" x14ac:dyDescent="0.25">
      <c r="A531" s="158" t="s">
        <v>1544</v>
      </c>
      <c r="B531" s="81" t="str">
        <f t="shared" si="140"/>
        <v>INSTR_ACTIVITY_INSTRMNT_ID</v>
      </c>
      <c r="C531" s="82" t="s">
        <v>1542</v>
      </c>
      <c r="D531" s="95" t="s">
        <v>405</v>
      </c>
      <c r="E531" s="84" t="s">
        <v>406</v>
      </c>
      <c r="F531" s="85" t="s">
        <v>11</v>
      </c>
      <c r="G531" s="85" t="s">
        <v>13</v>
      </c>
      <c r="H531" s="85" t="s">
        <v>13</v>
      </c>
      <c r="I531" s="85" t="s">
        <v>11</v>
      </c>
      <c r="J531" s="85" t="s">
        <v>11</v>
      </c>
      <c r="K531" s="85" t="s">
        <v>11</v>
      </c>
      <c r="L531" s="86" t="str">
        <f>IFERROR(VLOOKUP($B531,'LISTA - Atual'!$B$1:$I$444,5,0),"Novo")</f>
        <v>Novo</v>
      </c>
      <c r="M531" s="86" t="str">
        <f t="shared" si="135"/>
        <v>Novo Campo</v>
      </c>
      <c r="N531" s="86" t="str">
        <f>IFERROR(VLOOKUP($B531,'LISTA - Atual'!$B$1:$I$444,6,0),"Novo")</f>
        <v>Novo</v>
      </c>
      <c r="O531" s="86" t="str">
        <f t="shared" si="136"/>
        <v>Novo Campo</v>
      </c>
      <c r="P531" s="86" t="str">
        <f>IFERROR(VLOOKUP($B531,'LISTA - Atual'!$B$1:$I$444,7,0),"Novo")</f>
        <v>Novo</v>
      </c>
      <c r="Q531" s="86" t="str">
        <f t="shared" si="137"/>
        <v>Novo Campo</v>
      </c>
      <c r="R531" s="86" t="s">
        <v>1563</v>
      </c>
      <c r="S531" s="86" t="str">
        <f>IFERROR(VLOOKUP($B531,'LISTA - Atual'!$B$1:$I$444,8,0),"Novo")</f>
        <v>Novo</v>
      </c>
      <c r="T531" s="86" t="str">
        <f t="shared" si="138"/>
        <v>Novo Campo</v>
      </c>
      <c r="U531" s="86" t="s">
        <v>1563</v>
      </c>
      <c r="V531" s="86" t="s">
        <v>11</v>
      </c>
      <c r="W531" s="87" t="str">
        <f>IFERROR(VLOOKUP(B531,#REF!,11,0),"n/a")</f>
        <v>n/a</v>
      </c>
      <c r="X531" s="87" t="str">
        <f>IFERROR(VLOOKUP(B531,#REF!,8,0),"n/a")</f>
        <v>n/a</v>
      </c>
      <c r="Y531" s="87" t="str">
        <f>$G$2&amp;$Y$1&amp;$H$2</f>
        <v>GD &amp; PILAR3</v>
      </c>
      <c r="Z531" s="131" t="s">
        <v>1607</v>
      </c>
      <c r="AA531" s="227" t="str">
        <f>VLOOKUP(Table1[[#This Row],[CONCAT]],'Campos Resumo Prop2.0'!A:H,8,0)</f>
        <v>SB - Validar com CdG</v>
      </c>
      <c r="AB531" s="87" t="s">
        <v>1659</v>
      </c>
      <c r="AC531" s="135" t="s">
        <v>1674</v>
      </c>
      <c r="AD531" s="91">
        <f>INDEX(Auxiliar!$D$5:$I$10,MATCH('LISTA - Setembro2024'!AD$3,Auxiliar!$B$5:$B$10,0),MATCH('LISTA - Setembro2024'!$AC531,Auxiliar!$D$4:$I$4,0))</f>
        <v>1</v>
      </c>
      <c r="AE531" s="91">
        <f>INDEX(Auxiliar!$D$5:$I$10,MATCH('LISTA - Setembro2024'!AE$3,Auxiliar!$B$5:$B$10,0),MATCH('LISTA - Setembro2024'!$AC531,Auxiliar!$D$4:$I$4,0))</f>
        <v>1</v>
      </c>
      <c r="AF531" s="87">
        <f>INDEX(Auxiliar!$D$5:$I$10,MATCH('LISTA - Setembro2024'!AF$3,Auxiliar!$B$5:$B$10,0),MATCH('LISTA - Setembro2024'!$AC531,Auxiliar!$D$4:$I$4,0))</f>
        <v>1</v>
      </c>
      <c r="AG531" s="87" t="str">
        <f t="shared" si="139"/>
        <v>n.a.</v>
      </c>
      <c r="AH531" s="87">
        <f>INDEX(Auxiliar!$D$5:$I$10,MATCH('LISTA - Setembro2024'!AH$3,Auxiliar!$B$5:$B$10,0),MATCH('LISTA - Setembro2024'!$AG531,Auxiliar!$D$4:$I$4,0))</f>
        <v>0</v>
      </c>
      <c r="AI531" s="87">
        <f>INDEX(Auxiliar!$D$5:$I$10,MATCH('LISTA - Setembro2024'!AI$3,Auxiliar!$B$5:$B$10,0),MATCH('LISTA - Setembro2024'!$AC531,Auxiliar!$D$4:$I$4,0))</f>
        <v>0.5</v>
      </c>
      <c r="AJ531" s="87">
        <f>INDEX(Auxiliar!$D$5:$I$10,MATCH('LISTA - Setembro2024'!AJ$3,Auxiliar!$B$5:$B$10,0),MATCH('LISTA - Setembro2024'!$AC531,Auxiliar!$D$4:$I$4,0))</f>
        <v>1</v>
      </c>
      <c r="AK531" s="160">
        <f t="shared" si="142"/>
        <v>2.5</v>
      </c>
      <c r="AL531" s="87"/>
    </row>
    <row r="532" spans="1:38" ht="13.8" x14ac:dyDescent="0.25">
      <c r="A532" s="158" t="s">
        <v>1545</v>
      </c>
      <c r="B532" s="81" t="str">
        <f t="shared" si="140"/>
        <v>INSTR_ACTIVITY_SSTNBL_CTGRY</v>
      </c>
      <c r="C532" s="82" t="s">
        <v>1542</v>
      </c>
      <c r="D532" s="95" t="s">
        <v>967</v>
      </c>
      <c r="E532" s="84" t="s">
        <v>1546</v>
      </c>
      <c r="F532" s="85" t="s">
        <v>11</v>
      </c>
      <c r="G532" s="85" t="s">
        <v>13</v>
      </c>
      <c r="H532" s="85" t="s">
        <v>13</v>
      </c>
      <c r="I532" s="85" t="s">
        <v>11</v>
      </c>
      <c r="J532" s="85" t="s">
        <v>11</v>
      </c>
      <c r="K532" s="85" t="s">
        <v>11</v>
      </c>
      <c r="L532" s="86" t="str">
        <f>IFERROR(VLOOKUP($B532,'LISTA - Atual'!$B$1:$I$444,5,0),"Novo")</f>
        <v>Novo</v>
      </c>
      <c r="M532" s="86" t="str">
        <f t="shared" si="135"/>
        <v>Novo Campo</v>
      </c>
      <c r="N532" s="86" t="str">
        <f>IFERROR(VLOOKUP($B532,'LISTA - Atual'!$B$1:$I$444,6,0),"Novo")</f>
        <v>Novo</v>
      </c>
      <c r="O532" s="86" t="str">
        <f t="shared" si="136"/>
        <v>Novo Campo</v>
      </c>
      <c r="P532" s="86" t="str">
        <f>IFERROR(VLOOKUP($B532,'LISTA - Atual'!$B$1:$I$444,7,0),"Novo")</f>
        <v>Novo</v>
      </c>
      <c r="Q532" s="86" t="str">
        <f t="shared" si="137"/>
        <v>Novo Campo</v>
      </c>
      <c r="R532" s="86" t="s">
        <v>1563</v>
      </c>
      <c r="S532" s="86" t="str">
        <f>IFERROR(VLOOKUP($B532,'LISTA - Atual'!$B$1:$I$444,8,0),"Novo")</f>
        <v>Novo</v>
      </c>
      <c r="T532" s="86" t="str">
        <f t="shared" si="138"/>
        <v>Novo Campo</v>
      </c>
      <c r="U532" s="86" t="s">
        <v>1563</v>
      </c>
      <c r="V532" s="86" t="s">
        <v>11</v>
      </c>
      <c r="W532" s="87" t="str">
        <f>IFERROR(VLOOKUP(B532,#REF!,11,0),"n/a")</f>
        <v>n/a</v>
      </c>
      <c r="X532" s="87" t="str">
        <f>IFERROR(VLOOKUP(B532,#REF!,8,0),"n/a")</f>
        <v>n/a</v>
      </c>
      <c r="Y532" s="87" t="str">
        <f>$G$2&amp;$Y$1&amp;$H$2</f>
        <v>GD &amp; PILAR3</v>
      </c>
      <c r="Z532" s="131" t="s">
        <v>1608</v>
      </c>
      <c r="AA532" s="227" t="e">
        <f>VLOOKUP(Table1[[#This Row],[CONCAT]],'Campos Resumo Prop2.0'!A:H,8,0)</f>
        <v>#N/A</v>
      </c>
      <c r="AB532" s="87" t="s">
        <v>1650</v>
      </c>
      <c r="AC532" s="137" t="s">
        <v>1625</v>
      </c>
      <c r="AD532" s="91">
        <f>INDEX(Auxiliar!$D$5:$I$10,MATCH('LISTA - Setembro2024'!AD$3,Auxiliar!$B$5:$B$10,0),MATCH('LISTA - Setembro2024'!$AC532,Auxiliar!$D$4:$I$4,0))</f>
        <v>0</v>
      </c>
      <c r="AE532" s="91">
        <f>INDEX(Auxiliar!$D$5:$I$10,MATCH('LISTA - Setembro2024'!AE$3,Auxiliar!$B$5:$B$10,0),MATCH('LISTA - Setembro2024'!$AC532,Auxiliar!$D$4:$I$4,0))</f>
        <v>0</v>
      </c>
      <c r="AF532" s="87">
        <f>INDEX(Auxiliar!$D$5:$I$10,MATCH('LISTA - Setembro2024'!AF$3,Auxiliar!$B$5:$B$10,0),MATCH('LISTA - Setembro2024'!$AC532,Auxiliar!$D$4:$I$4,0))</f>
        <v>0</v>
      </c>
      <c r="AG532" s="87" t="str">
        <f t="shared" si="139"/>
        <v>n.a.</v>
      </c>
      <c r="AH532" s="87">
        <f>INDEX(Auxiliar!$D$5:$I$10,MATCH('LISTA - Setembro2024'!AH$3,Auxiliar!$B$5:$B$10,0),MATCH('LISTA - Setembro2024'!$AG532,Auxiliar!$D$4:$I$4,0))</f>
        <v>0</v>
      </c>
      <c r="AI532" s="87">
        <f>INDEX(Auxiliar!$D$5:$I$10,MATCH('LISTA - Setembro2024'!AI$3,Auxiliar!$B$5:$B$10,0),MATCH('LISTA - Setembro2024'!$AC532,Auxiliar!$D$4:$I$4,0))</f>
        <v>0</v>
      </c>
      <c r="AJ532" s="87">
        <f>INDEX(Auxiliar!$D$5:$I$10,MATCH('LISTA - Setembro2024'!AJ$3,Auxiliar!$B$5:$B$10,0),MATCH('LISTA - Setembro2024'!$AC532,Auxiliar!$D$4:$I$4,0))</f>
        <v>0</v>
      </c>
      <c r="AK532" s="160">
        <f t="shared" si="142"/>
        <v>0</v>
      </c>
      <c r="AL532" s="87"/>
    </row>
    <row r="533" spans="1:38" ht="13.8" x14ac:dyDescent="0.25">
      <c r="A533" s="158" t="s">
        <v>1547</v>
      </c>
      <c r="B533" s="81" t="str">
        <f t="shared" si="140"/>
        <v>INSTR_ACTIVITY_PRCNTG_ACTVTY</v>
      </c>
      <c r="C533" s="82" t="s">
        <v>1542</v>
      </c>
      <c r="D533" s="95" t="s">
        <v>1548</v>
      </c>
      <c r="E533" s="87" t="s">
        <v>1549</v>
      </c>
      <c r="F533" s="108" t="s">
        <v>13</v>
      </c>
      <c r="G533" s="85" t="s">
        <v>13</v>
      </c>
      <c r="H533" s="85" t="s">
        <v>13</v>
      </c>
      <c r="I533" s="85" t="s">
        <v>11</v>
      </c>
      <c r="J533" s="85" t="s">
        <v>11</v>
      </c>
      <c r="K533" s="85" t="s">
        <v>11</v>
      </c>
      <c r="L533" s="86" t="str">
        <f>IFERROR(VLOOKUP($B533,'LISTA - Atual'!$B$1:$I$444,5,0),"Novo")</f>
        <v>Novo</v>
      </c>
      <c r="M533" s="86" t="str">
        <f t="shared" si="135"/>
        <v>Novo Campo</v>
      </c>
      <c r="N533" s="86" t="str">
        <f>IFERROR(VLOOKUP($B533,'LISTA - Atual'!$B$1:$I$444,6,0),"Novo")</f>
        <v>Novo</v>
      </c>
      <c r="O533" s="86" t="str">
        <f t="shared" si="136"/>
        <v>Novo Campo</v>
      </c>
      <c r="P533" s="86" t="str">
        <f>IFERROR(VLOOKUP($B533,'LISTA - Atual'!$B$1:$I$444,7,0),"Novo")</f>
        <v>Novo</v>
      </c>
      <c r="Q533" s="86" t="str">
        <f t="shared" si="137"/>
        <v>Novo Campo</v>
      </c>
      <c r="R533" s="86" t="s">
        <v>1563</v>
      </c>
      <c r="S533" s="86" t="str">
        <f>IFERROR(VLOOKUP($B533,'LISTA - Atual'!$B$1:$I$444,8,0),"Novo")</f>
        <v>Novo</v>
      </c>
      <c r="T533" s="86" t="str">
        <f t="shared" si="138"/>
        <v>Novo Campo</v>
      </c>
      <c r="U533" s="86" t="s">
        <v>1563</v>
      </c>
      <c r="V533" s="86" t="s">
        <v>11</v>
      </c>
      <c r="W533" s="87" t="str">
        <f>IFERROR(VLOOKUP(B533,#REF!,11,0),"n/a")</f>
        <v>n/a</v>
      </c>
      <c r="X533" s="87" t="str">
        <f>IFERROR(VLOOKUP(B533,#REF!,8,0),"n/a")</f>
        <v>n/a</v>
      </c>
      <c r="Y533" s="87" t="str">
        <f>$F$2&amp;$Y$1&amp;$G$2&amp;$Y$1&amp;$H$2</f>
        <v>ESTR &amp; GD &amp; PILAR3</v>
      </c>
      <c r="Z533" s="131" t="s">
        <v>1607</v>
      </c>
      <c r="AA533" s="227" t="str">
        <f>VLOOKUP(Table1[[#This Row],[CONCAT]],'Campos Resumo Prop2.0'!A:H,8,0)</f>
        <v>SB - Validar com CdG</v>
      </c>
      <c r="AB533" s="87" t="s">
        <v>1656</v>
      </c>
      <c r="AC533" s="135" t="s">
        <v>1637</v>
      </c>
      <c r="AD533" s="91">
        <f>INDEX(Auxiliar!$D$5:$I$10,MATCH('LISTA - Setembro2024'!AD$3,Auxiliar!$B$5:$B$10,0),MATCH('LISTA - Setembro2024'!$AC533,Auxiliar!$D$4:$I$4,0))</f>
        <v>4</v>
      </c>
      <c r="AE533" s="91">
        <f>INDEX(Auxiliar!$D$5:$I$10,MATCH('LISTA - Setembro2024'!AE$3,Auxiliar!$B$5:$B$10,0),MATCH('LISTA - Setembro2024'!$AC533,Auxiliar!$D$4:$I$4,0))</f>
        <v>3</v>
      </c>
      <c r="AF533" s="87">
        <f>INDEX(Auxiliar!$D$5:$I$10,MATCH('LISTA - Setembro2024'!AF$3,Auxiliar!$B$5:$B$10,0),MATCH('LISTA - Setembro2024'!$AC533,Auxiliar!$D$4:$I$4,0))</f>
        <v>3</v>
      </c>
      <c r="AG533" s="87" t="str">
        <f t="shared" si="139"/>
        <v>n.a.</v>
      </c>
      <c r="AH533" s="87">
        <f>INDEX(Auxiliar!$D$5:$I$10,MATCH('LISTA - Setembro2024'!AH$3,Auxiliar!$B$5:$B$10,0),MATCH('LISTA - Setembro2024'!$AG533,Auxiliar!$D$4:$I$4,0))</f>
        <v>0</v>
      </c>
      <c r="AI533" s="87">
        <f>INDEX(Auxiliar!$D$5:$I$10,MATCH('LISTA - Setembro2024'!AI$3,Auxiliar!$B$5:$B$10,0),MATCH('LISTA - Setembro2024'!$AC533,Auxiliar!$D$4:$I$4,0))</f>
        <v>0.5</v>
      </c>
      <c r="AJ533" s="87">
        <f>INDEX(Auxiliar!$D$5:$I$10,MATCH('LISTA - Setembro2024'!AJ$3,Auxiliar!$B$5:$B$10,0),MATCH('LISTA - Setembro2024'!$AC533,Auxiliar!$D$4:$I$4,0))</f>
        <v>1</v>
      </c>
      <c r="AK533" s="160">
        <f t="shared" si="142"/>
        <v>4.5</v>
      </c>
      <c r="AL533" s="87" t="s">
        <v>1673</v>
      </c>
    </row>
    <row r="534" spans="1:38" ht="13.8" x14ac:dyDescent="0.25">
      <c r="A534" s="158" t="s">
        <v>1550</v>
      </c>
      <c r="B534" s="81" t="str">
        <f t="shared" si="140"/>
        <v>INSTR_ACTIVITY_ENVRNMNTL_OBJCTV</v>
      </c>
      <c r="C534" s="82" t="s">
        <v>1542</v>
      </c>
      <c r="D534" s="95" t="s">
        <v>1057</v>
      </c>
      <c r="E534" s="84" t="s">
        <v>1058</v>
      </c>
      <c r="F534" s="85" t="s">
        <v>11</v>
      </c>
      <c r="G534" s="85" t="s">
        <v>11</v>
      </c>
      <c r="H534" s="85" t="s">
        <v>13</v>
      </c>
      <c r="I534" s="85" t="s">
        <v>11</v>
      </c>
      <c r="J534" s="85" t="s">
        <v>11</v>
      </c>
      <c r="K534" s="85" t="s">
        <v>11</v>
      </c>
      <c r="L534" s="86" t="str">
        <f>IFERROR(VLOOKUP($B534,'LISTA - Atual'!$B$1:$I$444,5,0),"Novo")</f>
        <v>Novo</v>
      </c>
      <c r="M534" s="86" t="str">
        <f t="shared" si="135"/>
        <v>Novo Campo</v>
      </c>
      <c r="N534" s="86" t="str">
        <f>IFERROR(VLOOKUP($B534,'LISTA - Atual'!$B$1:$I$444,6,0),"Novo")</f>
        <v>Novo</v>
      </c>
      <c r="O534" s="86" t="str">
        <f t="shared" si="136"/>
        <v>Novo Campo</v>
      </c>
      <c r="P534" s="86" t="str">
        <f>IFERROR(VLOOKUP($B534,'LISTA - Atual'!$B$1:$I$444,7,0),"Novo")</f>
        <v>Novo</v>
      </c>
      <c r="Q534" s="86" t="str">
        <f t="shared" si="137"/>
        <v>Novo Campo</v>
      </c>
      <c r="R534" s="86" t="s">
        <v>1563</v>
      </c>
      <c r="S534" s="86" t="str">
        <f>IFERROR(VLOOKUP($B534,'LISTA - Atual'!$B$1:$I$444,8,0),"Novo")</f>
        <v>Novo</v>
      </c>
      <c r="T534" s="86" t="str">
        <f t="shared" si="138"/>
        <v>Novo Campo</v>
      </c>
      <c r="U534" s="86" t="s">
        <v>1563</v>
      </c>
      <c r="V534" s="86" t="s">
        <v>11</v>
      </c>
      <c r="W534" s="87" t="str">
        <f>IFERROR(VLOOKUP(B534,#REF!,11,0),"n/a")</f>
        <v>n/a</v>
      </c>
      <c r="X534" s="87" t="str">
        <f>IFERROR(VLOOKUP(B534,#REF!,8,0),"n/a")</f>
        <v>n/a</v>
      </c>
      <c r="Y534" s="87" t="str">
        <f t="shared" ref="Y534:Y535" si="145">$H$2</f>
        <v>PILAR3</v>
      </c>
      <c r="Z534" s="131" t="s">
        <v>1608</v>
      </c>
      <c r="AA534" s="227" t="e">
        <f>VLOOKUP(Table1[[#This Row],[CONCAT]],'Campos Resumo Prop2.0'!A:H,8,0)</f>
        <v>#N/A</v>
      </c>
      <c r="AB534" s="87" t="s">
        <v>1650</v>
      </c>
      <c r="AC534" s="137" t="s">
        <v>1625</v>
      </c>
      <c r="AD534" s="91">
        <f>INDEX(Auxiliar!$D$5:$I$10,MATCH('LISTA - Setembro2024'!AD$3,Auxiliar!$B$5:$B$10,0),MATCH('LISTA - Setembro2024'!$AC534,Auxiliar!$D$4:$I$4,0))</f>
        <v>0</v>
      </c>
      <c r="AE534" s="91">
        <f>INDEX(Auxiliar!$D$5:$I$10,MATCH('LISTA - Setembro2024'!AE$3,Auxiliar!$B$5:$B$10,0),MATCH('LISTA - Setembro2024'!$AC534,Auxiliar!$D$4:$I$4,0))</f>
        <v>0</v>
      </c>
      <c r="AF534" s="87">
        <f>INDEX(Auxiliar!$D$5:$I$10,MATCH('LISTA - Setembro2024'!AF$3,Auxiliar!$B$5:$B$10,0),MATCH('LISTA - Setembro2024'!$AC534,Auxiliar!$D$4:$I$4,0))</f>
        <v>0</v>
      </c>
      <c r="AG534" s="87" t="str">
        <f t="shared" si="139"/>
        <v>n.a.</v>
      </c>
      <c r="AH534" s="87">
        <f>INDEX(Auxiliar!$D$5:$I$10,MATCH('LISTA - Setembro2024'!AH$3,Auxiliar!$B$5:$B$10,0),MATCH('LISTA - Setembro2024'!$AG534,Auxiliar!$D$4:$I$4,0))</f>
        <v>0</v>
      </c>
      <c r="AI534" s="87">
        <f>INDEX(Auxiliar!$D$5:$I$10,MATCH('LISTA - Setembro2024'!AI$3,Auxiliar!$B$5:$B$10,0),MATCH('LISTA - Setembro2024'!$AC534,Auxiliar!$D$4:$I$4,0))</f>
        <v>0</v>
      </c>
      <c r="AJ534" s="87">
        <f>INDEX(Auxiliar!$D$5:$I$10,MATCH('LISTA - Setembro2024'!AJ$3,Auxiliar!$B$5:$B$10,0),MATCH('LISTA - Setembro2024'!$AC534,Auxiliar!$D$4:$I$4,0))</f>
        <v>0</v>
      </c>
      <c r="AK534" s="160">
        <f t="shared" si="142"/>
        <v>0</v>
      </c>
      <c r="AL534" s="87"/>
    </row>
    <row r="535" spans="1:38" ht="13.8" x14ac:dyDescent="0.25">
      <c r="A535" s="158" t="s">
        <v>1551</v>
      </c>
      <c r="B535" s="81" t="str">
        <f t="shared" si="140"/>
        <v>INSTR_ACTIVITY_TYP_ACTVTY</v>
      </c>
      <c r="C535" s="82" t="s">
        <v>1542</v>
      </c>
      <c r="D535" s="95" t="s">
        <v>1066</v>
      </c>
      <c r="E535" s="84" t="s">
        <v>1067</v>
      </c>
      <c r="F535" s="85" t="s">
        <v>11</v>
      </c>
      <c r="G535" s="85" t="s">
        <v>11</v>
      </c>
      <c r="H535" s="85" t="s">
        <v>13</v>
      </c>
      <c r="I535" s="85" t="s">
        <v>11</v>
      </c>
      <c r="J535" s="85" t="s">
        <v>11</v>
      </c>
      <c r="K535" s="85" t="s">
        <v>11</v>
      </c>
      <c r="L535" s="86" t="str">
        <f>IFERROR(VLOOKUP($B535,'LISTA - Atual'!$B$1:$I$444,5,0),"Novo")</f>
        <v>Novo</v>
      </c>
      <c r="M535" s="86" t="str">
        <f t="shared" si="135"/>
        <v>Novo Campo</v>
      </c>
      <c r="N535" s="86" t="str">
        <f>IFERROR(VLOOKUP($B535,'LISTA - Atual'!$B$1:$I$444,6,0),"Novo")</f>
        <v>Novo</v>
      </c>
      <c r="O535" s="86" t="str">
        <f t="shared" si="136"/>
        <v>Novo Campo</v>
      </c>
      <c r="P535" s="86" t="str">
        <f>IFERROR(VLOOKUP($B535,'LISTA - Atual'!$B$1:$I$444,7,0),"Novo")</f>
        <v>Novo</v>
      </c>
      <c r="Q535" s="86" t="str">
        <f t="shared" si="137"/>
        <v>Novo Campo</v>
      </c>
      <c r="R535" s="86" t="s">
        <v>1563</v>
      </c>
      <c r="S535" s="86" t="str">
        <f>IFERROR(VLOOKUP($B535,'LISTA - Atual'!$B$1:$I$444,8,0),"Novo")</f>
        <v>Novo</v>
      </c>
      <c r="T535" s="86" t="str">
        <f t="shared" si="138"/>
        <v>Novo Campo</v>
      </c>
      <c r="U535" s="86" t="s">
        <v>1563</v>
      </c>
      <c r="V535" s="86" t="s">
        <v>11</v>
      </c>
      <c r="W535" s="87" t="str">
        <f>IFERROR(VLOOKUP(B535,#REF!,11,0),"n/a")</f>
        <v>n/a</v>
      </c>
      <c r="X535" s="87" t="str">
        <f>IFERROR(VLOOKUP(B535,#REF!,8,0),"n/a")</f>
        <v>n/a</v>
      </c>
      <c r="Y535" s="87" t="str">
        <f t="shared" si="145"/>
        <v>PILAR3</v>
      </c>
      <c r="Z535" s="131" t="s">
        <v>1608</v>
      </c>
      <c r="AA535" s="227" t="e">
        <f>VLOOKUP(Table1[[#This Row],[CONCAT]],'Campos Resumo Prop2.0'!A:H,8,0)</f>
        <v>#N/A</v>
      </c>
      <c r="AB535" s="87" t="s">
        <v>1650</v>
      </c>
      <c r="AC535" s="137" t="s">
        <v>1625</v>
      </c>
      <c r="AD535" s="91">
        <f>INDEX(Auxiliar!$D$5:$I$10,MATCH('LISTA - Setembro2024'!AD$3,Auxiliar!$B$5:$B$10,0),MATCH('LISTA - Setembro2024'!$AC535,Auxiliar!$D$4:$I$4,0))</f>
        <v>0</v>
      </c>
      <c r="AE535" s="91">
        <f>INDEX(Auxiliar!$D$5:$I$10,MATCH('LISTA - Setembro2024'!AE$3,Auxiliar!$B$5:$B$10,0),MATCH('LISTA - Setembro2024'!$AC535,Auxiliar!$D$4:$I$4,0))</f>
        <v>0</v>
      </c>
      <c r="AF535" s="87">
        <f>INDEX(Auxiliar!$D$5:$I$10,MATCH('LISTA - Setembro2024'!AF$3,Auxiliar!$B$5:$B$10,0),MATCH('LISTA - Setembro2024'!$AC535,Auxiliar!$D$4:$I$4,0))</f>
        <v>0</v>
      </c>
      <c r="AG535" s="87" t="str">
        <f t="shared" si="139"/>
        <v>n.a.</v>
      </c>
      <c r="AH535" s="87">
        <f>INDEX(Auxiliar!$D$5:$I$10,MATCH('LISTA - Setembro2024'!AH$3,Auxiliar!$B$5:$B$10,0),MATCH('LISTA - Setembro2024'!$AG535,Auxiliar!$D$4:$I$4,0))</f>
        <v>0</v>
      </c>
      <c r="AI535" s="87">
        <f>INDEX(Auxiliar!$D$5:$I$10,MATCH('LISTA - Setembro2024'!AI$3,Auxiliar!$B$5:$B$10,0),MATCH('LISTA - Setembro2024'!$AC535,Auxiliar!$D$4:$I$4,0))</f>
        <v>0</v>
      </c>
      <c r="AJ535" s="87">
        <f>INDEX(Auxiliar!$D$5:$I$10,MATCH('LISTA - Setembro2024'!AJ$3,Auxiliar!$B$5:$B$10,0),MATCH('LISTA - Setembro2024'!$AC535,Auxiliar!$D$4:$I$4,0))</f>
        <v>0</v>
      </c>
      <c r="AK535" s="160">
        <f t="shared" si="142"/>
        <v>0</v>
      </c>
      <c r="AL535" s="87"/>
    </row>
    <row r="536" spans="1:38" ht="13.8" x14ac:dyDescent="0.25">
      <c r="A536" s="158" t="s">
        <v>1552</v>
      </c>
      <c r="B536" s="81" t="str">
        <f t="shared" si="140"/>
        <v>INSTR_ACTIVITY_SSTNBL_INDCTR</v>
      </c>
      <c r="C536" s="82" t="s">
        <v>1542</v>
      </c>
      <c r="D536" s="95" t="s">
        <v>964</v>
      </c>
      <c r="E536" s="84" t="s">
        <v>965</v>
      </c>
      <c r="F536" s="85" t="s">
        <v>11</v>
      </c>
      <c r="G536" s="85" t="s">
        <v>13</v>
      </c>
      <c r="H536" s="85" t="s">
        <v>13</v>
      </c>
      <c r="I536" s="85" t="s">
        <v>11</v>
      </c>
      <c r="J536" s="85" t="s">
        <v>11</v>
      </c>
      <c r="K536" s="85" t="s">
        <v>11</v>
      </c>
      <c r="L536" s="86" t="str">
        <f>IFERROR(VLOOKUP($B536,'LISTA - Atual'!$B$1:$I$444,5,0),"Novo")</f>
        <v>Novo</v>
      </c>
      <c r="M536" s="86" t="str">
        <f t="shared" si="135"/>
        <v>Novo Campo</v>
      </c>
      <c r="N536" s="86" t="str">
        <f>IFERROR(VLOOKUP($B536,'LISTA - Atual'!$B$1:$I$444,6,0),"Novo")</f>
        <v>Novo</v>
      </c>
      <c r="O536" s="86" t="str">
        <f t="shared" si="136"/>
        <v>Novo Campo</v>
      </c>
      <c r="P536" s="86" t="str">
        <f>IFERROR(VLOOKUP($B536,'LISTA - Atual'!$B$1:$I$444,7,0),"Novo")</f>
        <v>Novo</v>
      </c>
      <c r="Q536" s="86" t="str">
        <f t="shared" si="137"/>
        <v>Novo Campo</v>
      </c>
      <c r="R536" s="86" t="s">
        <v>1563</v>
      </c>
      <c r="S536" s="86" t="str">
        <f>IFERROR(VLOOKUP($B536,'LISTA - Atual'!$B$1:$I$444,8,0),"Novo")</f>
        <v>Novo</v>
      </c>
      <c r="T536" s="86" t="str">
        <f t="shared" si="138"/>
        <v>Novo Campo</v>
      </c>
      <c r="U536" s="86" t="s">
        <v>1563</v>
      </c>
      <c r="V536" s="86" t="s">
        <v>11</v>
      </c>
      <c r="W536" s="87" t="str">
        <f>IFERROR(VLOOKUP(B536,#REF!,11,0),"n/a")</f>
        <v>n/a</v>
      </c>
      <c r="X536" s="87" t="str">
        <f>IFERROR(VLOOKUP(B536,#REF!,8,0),"n/a")</f>
        <v>n/a</v>
      </c>
      <c r="Y536" s="87" t="str">
        <f>$G$2&amp;$Y$1&amp;$H$2</f>
        <v>GD &amp; PILAR3</v>
      </c>
      <c r="Z536" s="131" t="s">
        <v>1608</v>
      </c>
      <c r="AA536" s="227" t="e">
        <f>VLOOKUP(Table1[[#This Row],[CONCAT]],'Campos Resumo Prop2.0'!A:H,8,0)</f>
        <v>#N/A</v>
      </c>
      <c r="AB536" s="87" t="s">
        <v>1650</v>
      </c>
      <c r="AC536" s="137" t="s">
        <v>1625</v>
      </c>
      <c r="AD536" s="91">
        <f>INDEX(Auxiliar!$D$5:$I$10,MATCH('LISTA - Setembro2024'!AD$3,Auxiliar!$B$5:$B$10,0),MATCH('LISTA - Setembro2024'!$AC536,Auxiliar!$D$4:$I$4,0))</f>
        <v>0</v>
      </c>
      <c r="AE536" s="91">
        <f>INDEX(Auxiliar!$D$5:$I$10,MATCH('LISTA - Setembro2024'!AE$3,Auxiliar!$B$5:$B$10,0),MATCH('LISTA - Setembro2024'!$AC536,Auxiliar!$D$4:$I$4,0))</f>
        <v>0</v>
      </c>
      <c r="AF536" s="87">
        <f>INDEX(Auxiliar!$D$5:$I$10,MATCH('LISTA - Setembro2024'!AF$3,Auxiliar!$B$5:$B$10,0),MATCH('LISTA - Setembro2024'!$AC536,Auxiliar!$D$4:$I$4,0))</f>
        <v>0</v>
      </c>
      <c r="AG536" s="87" t="str">
        <f t="shared" si="139"/>
        <v>n.a.</v>
      </c>
      <c r="AH536" s="87">
        <f>INDEX(Auxiliar!$D$5:$I$10,MATCH('LISTA - Setembro2024'!AH$3,Auxiliar!$B$5:$B$10,0),MATCH('LISTA - Setembro2024'!$AG536,Auxiliar!$D$4:$I$4,0))</f>
        <v>0</v>
      </c>
      <c r="AI536" s="87">
        <f>INDEX(Auxiliar!$D$5:$I$10,MATCH('LISTA - Setembro2024'!AI$3,Auxiliar!$B$5:$B$10,0),MATCH('LISTA - Setembro2024'!$AC536,Auxiliar!$D$4:$I$4,0))</f>
        <v>0</v>
      </c>
      <c r="AJ536" s="87">
        <f>INDEX(Auxiliar!$D$5:$I$10,MATCH('LISTA - Setembro2024'!AJ$3,Auxiliar!$B$5:$B$10,0),MATCH('LISTA - Setembro2024'!$AC536,Auxiliar!$D$4:$I$4,0))</f>
        <v>0</v>
      </c>
      <c r="AK536" s="160">
        <f t="shared" si="142"/>
        <v>0</v>
      </c>
      <c r="AL536" s="87"/>
    </row>
    <row r="537" spans="1:38" ht="13.8" x14ac:dyDescent="0.25">
      <c r="A537" s="158" t="s">
        <v>1553</v>
      </c>
      <c r="B537" s="81" t="str">
        <f t="shared" si="140"/>
        <v>INSTR_ACTIVITY_FLG_SBSTNTL_CNTRBTN</v>
      </c>
      <c r="C537" s="82" t="s">
        <v>1542</v>
      </c>
      <c r="D537" s="95" t="s">
        <v>1554</v>
      </c>
      <c r="E537" s="84" t="s">
        <v>1555</v>
      </c>
      <c r="F537" s="85" t="s">
        <v>11</v>
      </c>
      <c r="G537" s="85" t="s">
        <v>11</v>
      </c>
      <c r="H537" s="85" t="s">
        <v>13</v>
      </c>
      <c r="I537" s="85" t="s">
        <v>11</v>
      </c>
      <c r="J537" s="85" t="s">
        <v>11</v>
      </c>
      <c r="K537" s="85" t="s">
        <v>11</v>
      </c>
      <c r="L537" s="86" t="str">
        <f>IFERROR(VLOOKUP($B537,'LISTA - Atual'!$B$1:$I$444,5,0),"Novo")</f>
        <v>Novo</v>
      </c>
      <c r="M537" s="86" t="str">
        <f t="shared" si="135"/>
        <v>Novo Campo</v>
      </c>
      <c r="N537" s="86" t="str">
        <f>IFERROR(VLOOKUP($B537,'LISTA - Atual'!$B$1:$I$444,6,0),"Novo")</f>
        <v>Novo</v>
      </c>
      <c r="O537" s="86" t="str">
        <f t="shared" si="136"/>
        <v>Novo Campo</v>
      </c>
      <c r="P537" s="86" t="str">
        <f>IFERROR(VLOOKUP($B537,'LISTA - Atual'!$B$1:$I$444,7,0),"Novo")</f>
        <v>Novo</v>
      </c>
      <c r="Q537" s="86" t="str">
        <f t="shared" si="137"/>
        <v>Novo Campo</v>
      </c>
      <c r="R537" s="86" t="s">
        <v>1563</v>
      </c>
      <c r="S537" s="86" t="str">
        <f>IFERROR(VLOOKUP($B537,'LISTA - Atual'!$B$1:$I$444,8,0),"Novo")</f>
        <v>Novo</v>
      </c>
      <c r="T537" s="86" t="str">
        <f t="shared" si="138"/>
        <v>Novo Campo</v>
      </c>
      <c r="U537" s="86" t="s">
        <v>1563</v>
      </c>
      <c r="V537" s="86" t="s">
        <v>11</v>
      </c>
      <c r="W537" s="87" t="str">
        <f>IFERROR(VLOOKUP(B537,#REF!,11,0),"n/a")</f>
        <v>n/a</v>
      </c>
      <c r="X537" s="87" t="str">
        <f>IFERROR(VLOOKUP(B537,#REF!,8,0),"n/a")</f>
        <v>n/a</v>
      </c>
      <c r="Y537" s="87" t="str">
        <f t="shared" ref="Y537:Y539" si="146">$H$2</f>
        <v>PILAR3</v>
      </c>
      <c r="Z537" s="131" t="s">
        <v>1607</v>
      </c>
      <c r="AA537" s="227" t="str">
        <f>VLOOKUP(Table1[[#This Row],[CONCAT]],'Campos Resumo Prop2.0'!A:H,8,0)</f>
        <v>Âmbito de proposta - Especificação &amp; Simular</v>
      </c>
      <c r="AB537" s="87" t="s">
        <v>1654</v>
      </c>
      <c r="AC537" s="137" t="s">
        <v>1637</v>
      </c>
      <c r="AD537" s="91">
        <f>INDEX(Auxiliar!$D$5:$I$10,MATCH('LISTA - Setembro2024'!AD$3,Auxiliar!$B$5:$B$10,0),MATCH('LISTA - Setembro2024'!$AC537,Auxiliar!$D$4:$I$4,0))</f>
        <v>4</v>
      </c>
      <c r="AE537" s="91">
        <f>INDEX(Auxiliar!$D$5:$I$10,MATCH('LISTA - Setembro2024'!AE$3,Auxiliar!$B$5:$B$10,0),MATCH('LISTA - Setembro2024'!$AC537,Auxiliar!$D$4:$I$4,0))</f>
        <v>3</v>
      </c>
      <c r="AF537" s="87">
        <f>INDEX(Auxiliar!$D$5:$I$10,MATCH('LISTA - Setembro2024'!AF$3,Auxiliar!$B$5:$B$10,0),MATCH('LISTA - Setembro2024'!$AC537,Auxiliar!$D$4:$I$4,0))</f>
        <v>3</v>
      </c>
      <c r="AG537" s="87" t="s">
        <v>1625</v>
      </c>
      <c r="AH537" s="87">
        <f>INDEX(Auxiliar!$D$5:$I$10,MATCH('LISTA - Setembro2024'!AH$3,Auxiliar!$B$5:$B$10,0),MATCH('LISTA - Setembro2024'!$AG537,Auxiliar!$D$4:$I$4,0))</f>
        <v>0</v>
      </c>
      <c r="AI537" s="87">
        <f>INDEX(Auxiliar!$D$5:$I$10,MATCH('LISTA - Setembro2024'!AI$3,Auxiliar!$B$5:$B$10,0),MATCH('LISTA - Setembro2024'!$AC537,Auxiliar!$D$4:$I$4,0))</f>
        <v>0.5</v>
      </c>
      <c r="AJ537" s="87">
        <f>INDEX(Auxiliar!$D$5:$I$10,MATCH('LISTA - Setembro2024'!AJ$3,Auxiliar!$B$5:$B$10,0),MATCH('LISTA - Setembro2024'!$AC537,Auxiliar!$D$4:$I$4,0))</f>
        <v>1</v>
      </c>
      <c r="AK537" s="160">
        <f t="shared" si="142"/>
        <v>4.5</v>
      </c>
      <c r="AL537" s="87"/>
    </row>
    <row r="538" spans="1:38" ht="13.8" x14ac:dyDescent="0.25">
      <c r="A538" s="158" t="s">
        <v>1556</v>
      </c>
      <c r="B538" s="81" t="str">
        <f t="shared" si="140"/>
        <v>INSTR_ACTIVITY_FLG_DNSH_CMPLNC</v>
      </c>
      <c r="C538" s="82" t="s">
        <v>1542</v>
      </c>
      <c r="D538" s="95" t="s">
        <v>1557</v>
      </c>
      <c r="E538" s="84" t="s">
        <v>1558</v>
      </c>
      <c r="F538" s="85" t="s">
        <v>11</v>
      </c>
      <c r="G538" s="85" t="s">
        <v>11</v>
      </c>
      <c r="H538" s="85" t="s">
        <v>13</v>
      </c>
      <c r="I538" s="85" t="s">
        <v>11</v>
      </c>
      <c r="J538" s="85" t="s">
        <v>11</v>
      </c>
      <c r="K538" s="85" t="s">
        <v>11</v>
      </c>
      <c r="L538" s="86" t="str">
        <f>IFERROR(VLOOKUP($B538,'LISTA - Atual'!$B$1:$I$444,5,0),"Novo")</f>
        <v>Novo</v>
      </c>
      <c r="M538" s="86" t="str">
        <f t="shared" si="135"/>
        <v>Novo Campo</v>
      </c>
      <c r="N538" s="86" t="str">
        <f>IFERROR(VLOOKUP($B538,'LISTA - Atual'!$B$1:$I$444,6,0),"Novo")</f>
        <v>Novo</v>
      </c>
      <c r="O538" s="86" t="str">
        <f t="shared" si="136"/>
        <v>Novo Campo</v>
      </c>
      <c r="P538" s="86" t="str">
        <f>IFERROR(VLOOKUP($B538,'LISTA - Atual'!$B$1:$I$444,7,0),"Novo")</f>
        <v>Novo</v>
      </c>
      <c r="Q538" s="86" t="str">
        <f t="shared" si="137"/>
        <v>Novo Campo</v>
      </c>
      <c r="R538" s="86" t="s">
        <v>1563</v>
      </c>
      <c r="S538" s="86" t="str">
        <f>IFERROR(VLOOKUP($B538,'LISTA - Atual'!$B$1:$I$444,8,0),"Novo")</f>
        <v>Novo</v>
      </c>
      <c r="T538" s="86" t="str">
        <f t="shared" si="138"/>
        <v>Novo Campo</v>
      </c>
      <c r="U538" s="86" t="s">
        <v>1563</v>
      </c>
      <c r="V538" s="86" t="s">
        <v>11</v>
      </c>
      <c r="W538" s="87" t="str">
        <f>IFERROR(VLOOKUP(B538,#REF!,11,0),"n/a")</f>
        <v>n/a</v>
      </c>
      <c r="X538" s="87" t="str">
        <f>IFERROR(VLOOKUP(B538,#REF!,8,0),"n/a")</f>
        <v>n/a</v>
      </c>
      <c r="Y538" s="87" t="str">
        <f t="shared" si="146"/>
        <v>PILAR3</v>
      </c>
      <c r="Z538" s="131" t="s">
        <v>1607</v>
      </c>
      <c r="AA538" s="227" t="str">
        <f>VLOOKUP(Table1[[#This Row],[CONCAT]],'Campos Resumo Prop2.0'!A:H,8,0)</f>
        <v>Não será contemplado no âmbito da proposta - Banco não tem esta informação na fonte/Sem materialidade</v>
      </c>
      <c r="AB538" s="87" t="s">
        <v>1654</v>
      </c>
      <c r="AC538" s="135" t="s">
        <v>1625</v>
      </c>
      <c r="AD538" s="91">
        <f>INDEX(Auxiliar!$D$5:$I$10,MATCH('LISTA - Setembro2024'!AD$3,Auxiliar!$B$5:$B$10,0),MATCH('LISTA - Setembro2024'!$AC538,Auxiliar!$D$4:$I$4,0))</f>
        <v>0</v>
      </c>
      <c r="AE538" s="91">
        <f>INDEX(Auxiliar!$D$5:$I$10,MATCH('LISTA - Setembro2024'!AE$3,Auxiliar!$B$5:$B$10,0),MATCH('LISTA - Setembro2024'!$AC538,Auxiliar!$D$4:$I$4,0))</f>
        <v>0</v>
      </c>
      <c r="AF538" s="87">
        <f>INDEX(Auxiliar!$D$5:$I$10,MATCH('LISTA - Setembro2024'!AF$3,Auxiliar!$B$5:$B$10,0),MATCH('LISTA - Setembro2024'!$AC538,Auxiliar!$D$4:$I$4,0))</f>
        <v>0</v>
      </c>
      <c r="AG538" s="87" t="str">
        <f t="shared" si="139"/>
        <v>n.a.</v>
      </c>
      <c r="AH538" s="87">
        <f>INDEX(Auxiliar!$D$5:$I$10,MATCH('LISTA - Setembro2024'!AH$3,Auxiliar!$B$5:$B$10,0),MATCH('LISTA - Setembro2024'!$AG538,Auxiliar!$D$4:$I$4,0))</f>
        <v>0</v>
      </c>
      <c r="AI538" s="87">
        <f>INDEX(Auxiliar!$D$5:$I$10,MATCH('LISTA - Setembro2024'!AI$3,Auxiliar!$B$5:$B$10,0),MATCH('LISTA - Setembro2024'!$AC538,Auxiliar!$D$4:$I$4,0))</f>
        <v>0</v>
      </c>
      <c r="AJ538" s="87">
        <f>INDEX(Auxiliar!$D$5:$I$10,MATCH('LISTA - Setembro2024'!AJ$3,Auxiliar!$B$5:$B$10,0),MATCH('LISTA - Setembro2024'!$AC538,Auxiliar!$D$4:$I$4,0))</f>
        <v>0</v>
      </c>
      <c r="AK538" s="160">
        <f t="shared" si="142"/>
        <v>0</v>
      </c>
      <c r="AL538" s="87"/>
    </row>
    <row r="539" spans="1:38" ht="13.8" x14ac:dyDescent="0.25">
      <c r="A539" s="158" t="s">
        <v>1559</v>
      </c>
      <c r="B539" s="81" t="str">
        <f t="shared" si="140"/>
        <v>INSTR_ACTIVITY_DNSH_DTL</v>
      </c>
      <c r="C539" s="82" t="s">
        <v>1542</v>
      </c>
      <c r="D539" s="95" t="s">
        <v>1560</v>
      </c>
      <c r="E539" s="84" t="s">
        <v>1561</v>
      </c>
      <c r="F539" s="85" t="s">
        <v>11</v>
      </c>
      <c r="G539" s="85" t="s">
        <v>11</v>
      </c>
      <c r="H539" s="85" t="s">
        <v>13</v>
      </c>
      <c r="I539" s="85" t="s">
        <v>11</v>
      </c>
      <c r="J539" s="85" t="s">
        <v>11</v>
      </c>
      <c r="K539" s="85" t="s">
        <v>11</v>
      </c>
      <c r="L539" s="86" t="str">
        <f>IFERROR(VLOOKUP($B539,'LISTA - Atual'!$B$1:$I$444,5,0),"Novo")</f>
        <v>Novo</v>
      </c>
      <c r="M539" s="86" t="str">
        <f t="shared" si="135"/>
        <v>Novo Campo</v>
      </c>
      <c r="N539" s="86" t="str">
        <f>IFERROR(VLOOKUP($B539,'LISTA - Atual'!$B$1:$I$444,6,0),"Novo")</f>
        <v>Novo</v>
      </c>
      <c r="O539" s="86" t="str">
        <f t="shared" si="136"/>
        <v>Novo Campo</v>
      </c>
      <c r="P539" s="86" t="str">
        <f>IFERROR(VLOOKUP($B539,'LISTA - Atual'!$B$1:$I$444,7,0),"Novo")</f>
        <v>Novo</v>
      </c>
      <c r="Q539" s="86" t="str">
        <f t="shared" si="137"/>
        <v>Novo Campo</v>
      </c>
      <c r="R539" s="86" t="s">
        <v>1563</v>
      </c>
      <c r="S539" s="86" t="str">
        <f>IFERROR(VLOOKUP($B539,'LISTA - Atual'!$B$1:$I$444,8,0),"Novo")</f>
        <v>Novo</v>
      </c>
      <c r="T539" s="86" t="str">
        <f t="shared" si="138"/>
        <v>Novo Campo</v>
      </c>
      <c r="U539" s="86" t="s">
        <v>1563</v>
      </c>
      <c r="V539" s="86" t="s">
        <v>11</v>
      </c>
      <c r="W539" s="87" t="str">
        <f>IFERROR(VLOOKUP(B539,#REF!,11,0),"n/a")</f>
        <v>n/a</v>
      </c>
      <c r="X539" s="87" t="str">
        <f>IFERROR(VLOOKUP(B539,#REF!,8,0),"n/a")</f>
        <v>n/a</v>
      </c>
      <c r="Y539" s="87" t="str">
        <f t="shared" si="146"/>
        <v>PILAR3</v>
      </c>
      <c r="Z539" s="131" t="s">
        <v>1607</v>
      </c>
      <c r="AA539" s="227" t="str">
        <f>VLOOKUP(Table1[[#This Row],[CONCAT]],'Campos Resumo Prop2.0'!A:H,8,0)</f>
        <v>Não será contemplado no âmbito da proposta - Banco não tem esta informação na fonte/Sem materialidade</v>
      </c>
      <c r="AB539" s="87" t="s">
        <v>1650</v>
      </c>
      <c r="AC539" s="135" t="s">
        <v>1625</v>
      </c>
      <c r="AD539" s="91">
        <f>INDEX(Auxiliar!$D$5:$I$10,MATCH('LISTA - Setembro2024'!AD$3,Auxiliar!$B$5:$B$10,0),MATCH('LISTA - Setembro2024'!$AC539,Auxiliar!$D$4:$I$4,0))</f>
        <v>0</v>
      </c>
      <c r="AE539" s="91">
        <f>INDEX(Auxiliar!$D$5:$I$10,MATCH('LISTA - Setembro2024'!AE$3,Auxiliar!$B$5:$B$10,0),MATCH('LISTA - Setembro2024'!$AC539,Auxiliar!$D$4:$I$4,0))</f>
        <v>0</v>
      </c>
      <c r="AF539" s="87">
        <f>INDEX(Auxiliar!$D$5:$I$10,MATCH('LISTA - Setembro2024'!AF$3,Auxiliar!$B$5:$B$10,0),MATCH('LISTA - Setembro2024'!$AC539,Auxiliar!$D$4:$I$4,0))</f>
        <v>0</v>
      </c>
      <c r="AG539" s="87" t="str">
        <f t="shared" si="139"/>
        <v>n.a.</v>
      </c>
      <c r="AH539" s="87">
        <f>INDEX(Auxiliar!$D$5:$I$10,MATCH('LISTA - Setembro2024'!AH$3,Auxiliar!$B$5:$B$10,0),MATCH('LISTA - Setembro2024'!$AG539,Auxiliar!$D$4:$I$4,0))</f>
        <v>0</v>
      </c>
      <c r="AI539" s="87">
        <f>INDEX(Auxiliar!$D$5:$I$10,MATCH('LISTA - Setembro2024'!AI$3,Auxiliar!$B$5:$B$10,0),MATCH('LISTA - Setembro2024'!$AC539,Auxiliar!$D$4:$I$4,0))</f>
        <v>0</v>
      </c>
      <c r="AJ539" s="87">
        <f>INDEX(Auxiliar!$D$5:$I$10,MATCH('LISTA - Setembro2024'!AJ$3,Auxiliar!$B$5:$B$10,0),MATCH('LISTA - Setembro2024'!$AC539,Auxiliar!$D$4:$I$4,0))</f>
        <v>0</v>
      </c>
      <c r="AK539" s="160">
        <f t="shared" si="142"/>
        <v>0</v>
      </c>
      <c r="AL539" s="163"/>
    </row>
    <row r="541" spans="1:38" ht="13.8" x14ac:dyDescent="0.25">
      <c r="A541" s="37"/>
      <c r="B541" s="37"/>
      <c r="D541" s="37"/>
    </row>
    <row r="542" spans="1:38" ht="14.85" customHeight="1" x14ac:dyDescent="0.25">
      <c r="A542" s="37"/>
      <c r="B542" s="37"/>
      <c r="D542" s="37"/>
    </row>
    <row r="543" spans="1:38" ht="14.85" customHeight="1" x14ac:dyDescent="0.25">
      <c r="A543" s="37"/>
      <c r="B543" s="37"/>
      <c r="D543" s="37"/>
    </row>
    <row r="544" spans="1:38" ht="14.85" customHeight="1" x14ac:dyDescent="0.25">
      <c r="A544" s="37"/>
      <c r="B544" s="37"/>
      <c r="D544" s="37"/>
    </row>
    <row r="545" spans="1:4" ht="14.85" customHeight="1" x14ac:dyDescent="0.25">
      <c r="A545" s="37"/>
      <c r="B545" s="37"/>
      <c r="D545" s="37"/>
    </row>
    <row r="546" spans="1:4" ht="14.85" customHeight="1" x14ac:dyDescent="0.25">
      <c r="A546" s="37"/>
      <c r="B546" s="37"/>
      <c r="D546" s="37"/>
    </row>
    <row r="547" spans="1:4" ht="14.85" customHeight="1" x14ac:dyDescent="0.25">
      <c r="A547" s="37"/>
      <c r="B547" s="37"/>
      <c r="D547" s="37"/>
    </row>
    <row r="548" spans="1:4" ht="14.85" customHeight="1" x14ac:dyDescent="0.25">
      <c r="A548" s="37"/>
      <c r="B548" s="37"/>
      <c r="D548" s="37"/>
    </row>
    <row r="549" spans="1:4" ht="14.85" customHeight="1" x14ac:dyDescent="0.25">
      <c r="A549" s="37"/>
      <c r="B549" s="37"/>
      <c r="D549" s="37"/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Auxiliar!$D$4:$I$4</xm:f>
          </x14:formula1>
          <xm:sqref>AG4:AG539 AC4:AC539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autoPageBreaks="0"/>
  </sheetPr>
  <dimension ref="A1:I547"/>
  <sheetViews>
    <sheetView showGridLines="0" zoomScale="85" zoomScaleNormal="85" workbookViewId="0">
      <pane xSplit="4" ySplit="1" topLeftCell="E2" activePane="bottomRight" state="frozen"/>
      <selection pane="topRight" activeCell="EP15" sqref="EP15"/>
      <selection pane="bottomLeft" activeCell="EP15" sqref="EP15"/>
      <selection pane="bottomRight" activeCell="I17" sqref="I17"/>
    </sheetView>
  </sheetViews>
  <sheetFormatPr defaultColWidth="9" defaultRowHeight="14.85" customHeight="1" outlineLevelCol="1" x14ac:dyDescent="0.25"/>
  <cols>
    <col min="1" max="1" width="14.69921875" style="36" customWidth="1"/>
    <col min="2" max="2" width="14.69921875" style="36" hidden="1" customWidth="1"/>
    <col min="3" max="3" width="17.5" style="37" customWidth="1"/>
    <col min="4" max="4" width="40.5" style="38" customWidth="1"/>
    <col min="5" max="5" width="60.3984375" style="6" customWidth="1"/>
    <col min="6" max="6" width="21.3984375" style="39" customWidth="1" outlineLevel="1"/>
    <col min="7" max="9" width="18.69921875" style="38" customWidth="1" outlineLevel="1"/>
    <col min="10" max="16384" width="9" style="6"/>
  </cols>
  <sheetData>
    <row r="1" spans="1:9" ht="27.6" x14ac:dyDescent="0.25">
      <c r="A1" s="1" t="s">
        <v>0</v>
      </c>
      <c r="B1" s="1"/>
      <c r="C1" s="2" t="s">
        <v>1</v>
      </c>
      <c r="D1" s="3" t="s">
        <v>2</v>
      </c>
      <c r="E1" s="4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1:9" ht="15" hidden="1" customHeight="1" x14ac:dyDescent="0.25">
      <c r="A2" s="7" t="s">
        <v>9</v>
      </c>
      <c r="B2" s="47" t="str">
        <f>C2&amp;"_"&amp;D2</f>
        <v>ENTITY_COD_SOC</v>
      </c>
      <c r="C2" s="8" t="s">
        <v>10</v>
      </c>
      <c r="D2" s="9" t="s">
        <v>12</v>
      </c>
      <c r="E2" s="14" t="s">
        <v>14</v>
      </c>
      <c r="F2" s="10" t="s">
        <v>13</v>
      </c>
      <c r="G2" s="10" t="s">
        <v>11</v>
      </c>
      <c r="H2" s="10" t="s">
        <v>13</v>
      </c>
      <c r="I2" s="10" t="s">
        <v>13</v>
      </c>
    </row>
    <row r="3" spans="1:9" ht="15" hidden="1" customHeight="1" x14ac:dyDescent="0.25">
      <c r="A3" s="7" t="s">
        <v>16</v>
      </c>
      <c r="B3" s="47" t="str">
        <f t="shared" ref="B3:B66" si="0">C3&amp;"_"&amp;D3</f>
        <v>ENTITY_CNTRY</v>
      </c>
      <c r="C3" s="8" t="s">
        <v>10</v>
      </c>
      <c r="D3" s="9" t="s">
        <v>17</v>
      </c>
      <c r="E3" s="14" t="s">
        <v>18</v>
      </c>
      <c r="F3" s="10" t="s">
        <v>13</v>
      </c>
      <c r="G3" s="10" t="s">
        <v>11</v>
      </c>
      <c r="H3" s="10" t="s">
        <v>13</v>
      </c>
      <c r="I3" s="10" t="s">
        <v>13</v>
      </c>
    </row>
    <row r="4" spans="1:9" ht="15" hidden="1" customHeight="1" x14ac:dyDescent="0.25">
      <c r="A4" s="7" t="s">
        <v>19</v>
      </c>
      <c r="B4" s="47" t="str">
        <f t="shared" si="0"/>
        <v>ENTITY_DT_BRTH</v>
      </c>
      <c r="C4" s="8" t="s">
        <v>10</v>
      </c>
      <c r="D4" s="9" t="s">
        <v>20</v>
      </c>
      <c r="E4" s="14" t="s">
        <v>21</v>
      </c>
      <c r="F4" s="10" t="s">
        <v>13</v>
      </c>
      <c r="G4" s="10" t="s">
        <v>11</v>
      </c>
      <c r="H4" s="10" t="s">
        <v>11</v>
      </c>
      <c r="I4" s="10" t="s">
        <v>11</v>
      </c>
    </row>
    <row r="5" spans="1:9" ht="15" hidden="1" customHeight="1" x14ac:dyDescent="0.25">
      <c r="A5" s="7" t="s">
        <v>22</v>
      </c>
      <c r="B5" s="47" t="str">
        <f t="shared" si="0"/>
        <v>ENTITY_DT_DFLT_STTS</v>
      </c>
      <c r="C5" s="8" t="s">
        <v>10</v>
      </c>
      <c r="D5" s="9" t="s">
        <v>23</v>
      </c>
      <c r="E5" s="14" t="s">
        <v>24</v>
      </c>
      <c r="F5" s="10" t="s">
        <v>13</v>
      </c>
      <c r="G5" s="10" t="s">
        <v>11</v>
      </c>
      <c r="H5" s="10" t="s">
        <v>11</v>
      </c>
      <c r="I5" s="10" t="s">
        <v>11</v>
      </c>
    </row>
    <row r="6" spans="1:9" ht="15" hidden="1" customHeight="1" x14ac:dyDescent="0.25">
      <c r="A6" s="7" t="s">
        <v>25</v>
      </c>
      <c r="B6" s="47" t="str">
        <f t="shared" si="0"/>
        <v>ENTITY_DT_FNNCL_STTMTS</v>
      </c>
      <c r="C6" s="8" t="s">
        <v>10</v>
      </c>
      <c r="D6" s="9" t="s">
        <v>26</v>
      </c>
      <c r="E6" s="14" t="s">
        <v>27</v>
      </c>
      <c r="F6" s="10" t="s">
        <v>13</v>
      </c>
      <c r="G6" s="10" t="s">
        <v>11</v>
      </c>
      <c r="H6" s="10" t="s">
        <v>11</v>
      </c>
      <c r="I6" s="10" t="s">
        <v>11</v>
      </c>
    </row>
    <row r="7" spans="1:9" ht="15" hidden="1" customHeight="1" x14ac:dyDescent="0.25">
      <c r="A7" s="7" t="s">
        <v>28</v>
      </c>
      <c r="B7" s="47" t="str">
        <f t="shared" si="0"/>
        <v>ENTITY_DT_FNNCL_STTMTS_PRVS</v>
      </c>
      <c r="C7" s="8" t="s">
        <v>10</v>
      </c>
      <c r="D7" s="9" t="s">
        <v>29</v>
      </c>
      <c r="E7" s="14" t="s">
        <v>30</v>
      </c>
      <c r="F7" s="10" t="s">
        <v>13</v>
      </c>
      <c r="G7" s="10" t="s">
        <v>11</v>
      </c>
      <c r="H7" s="10" t="s">
        <v>11</v>
      </c>
      <c r="I7" s="10" t="s">
        <v>11</v>
      </c>
    </row>
    <row r="8" spans="1:9" ht="15" hidden="1" customHeight="1" x14ac:dyDescent="0.25">
      <c r="A8" s="7" t="s">
        <v>31</v>
      </c>
      <c r="B8" s="47" t="str">
        <f t="shared" si="0"/>
        <v>ENTITY_DT_INTTN_LGL_PRCDNGS_LE</v>
      </c>
      <c r="C8" s="8" t="s">
        <v>10</v>
      </c>
      <c r="D8" s="9" t="s">
        <v>32</v>
      </c>
      <c r="E8" s="14" t="s">
        <v>33</v>
      </c>
      <c r="F8" s="10" t="s">
        <v>13</v>
      </c>
      <c r="G8" s="10" t="s">
        <v>11</v>
      </c>
      <c r="H8" s="10" t="s">
        <v>11</v>
      </c>
      <c r="I8" s="10" t="s">
        <v>11</v>
      </c>
    </row>
    <row r="9" spans="1:9" ht="15" hidden="1" customHeight="1" x14ac:dyDescent="0.25">
      <c r="A9" s="7" t="s">
        <v>34</v>
      </c>
      <c r="B9" s="47" t="str">
        <f t="shared" si="0"/>
        <v>ENTITY_DT_PRFRMNG_STTS_LE</v>
      </c>
      <c r="C9" s="8" t="s">
        <v>10</v>
      </c>
      <c r="D9" s="9" t="s">
        <v>35</v>
      </c>
      <c r="E9" s="14" t="s">
        <v>36</v>
      </c>
      <c r="F9" s="10" t="s">
        <v>13</v>
      </c>
      <c r="G9" s="10" t="s">
        <v>11</v>
      </c>
      <c r="H9" s="10" t="s">
        <v>11</v>
      </c>
      <c r="I9" s="10" t="s">
        <v>11</v>
      </c>
    </row>
    <row r="10" spans="1:9" ht="15" hidden="1" customHeight="1" x14ac:dyDescent="0.25">
      <c r="A10" s="7" t="s">
        <v>37</v>
      </c>
      <c r="B10" s="47" t="str">
        <f t="shared" si="0"/>
        <v>ENTITY_DT_RFRNC</v>
      </c>
      <c r="C10" s="8" t="s">
        <v>10</v>
      </c>
      <c r="D10" s="9" t="s">
        <v>38</v>
      </c>
      <c r="E10" s="14" t="s">
        <v>39</v>
      </c>
      <c r="F10" s="10" t="s">
        <v>13</v>
      </c>
      <c r="G10" s="10" t="s">
        <v>11</v>
      </c>
      <c r="H10" s="10" t="s">
        <v>13</v>
      </c>
      <c r="I10" s="10" t="s">
        <v>11</v>
      </c>
    </row>
    <row r="11" spans="1:9" ht="15" hidden="1" customHeight="1" x14ac:dyDescent="0.25">
      <c r="A11" s="7" t="s">
        <v>40</v>
      </c>
      <c r="B11" s="47" t="str">
        <f t="shared" si="0"/>
        <v>ENTITY_ENTTY_ID</v>
      </c>
      <c r="C11" s="8" t="s">
        <v>10</v>
      </c>
      <c r="D11" s="9" t="s">
        <v>41</v>
      </c>
      <c r="E11" s="14" t="s">
        <v>42</v>
      </c>
      <c r="F11" s="10" t="s">
        <v>13</v>
      </c>
      <c r="G11" s="10" t="s">
        <v>11</v>
      </c>
      <c r="H11" s="10" t="s">
        <v>13</v>
      </c>
      <c r="I11" s="10" t="s">
        <v>13</v>
      </c>
    </row>
    <row r="12" spans="1:9" ht="15" hidden="1" customHeight="1" x14ac:dyDescent="0.25">
      <c r="A12" s="7" t="s">
        <v>43</v>
      </c>
      <c r="B12" s="47" t="str">
        <f t="shared" si="0"/>
        <v>ENTITY_GCC_PRNT_ID</v>
      </c>
      <c r="C12" s="8" t="s">
        <v>10</v>
      </c>
      <c r="D12" s="9" t="s">
        <v>44</v>
      </c>
      <c r="E12" s="14" t="s">
        <v>45</v>
      </c>
      <c r="F12" s="10" t="s">
        <v>13</v>
      </c>
      <c r="G12" s="10" t="s">
        <v>11</v>
      </c>
      <c r="H12" s="10" t="s">
        <v>11</v>
      </c>
      <c r="I12" s="10" t="s">
        <v>11</v>
      </c>
    </row>
    <row r="13" spans="1:9" ht="15" hidden="1" customHeight="1" x14ac:dyDescent="0.25">
      <c r="A13" s="7" t="s">
        <v>46</v>
      </c>
      <c r="B13" s="47" t="str">
        <f t="shared" si="0"/>
        <v>ENTITY_GCC_PRNT_NM</v>
      </c>
      <c r="C13" s="8" t="s">
        <v>10</v>
      </c>
      <c r="D13" s="9" t="s">
        <v>47</v>
      </c>
      <c r="E13" s="14" t="s">
        <v>48</v>
      </c>
      <c r="F13" s="10" t="s">
        <v>13</v>
      </c>
      <c r="G13" s="10" t="s">
        <v>11</v>
      </c>
      <c r="H13" s="10" t="s">
        <v>11</v>
      </c>
      <c r="I13" s="10" t="s">
        <v>11</v>
      </c>
    </row>
    <row r="14" spans="1:9" ht="15" hidden="1" customHeight="1" x14ac:dyDescent="0.25">
      <c r="A14" s="7" t="s">
        <v>49</v>
      </c>
      <c r="B14" s="47" t="str">
        <f t="shared" si="0"/>
        <v>ENTITY_INTRNL_SGMNT</v>
      </c>
      <c r="C14" s="8" t="s">
        <v>10</v>
      </c>
      <c r="D14" s="9" t="s">
        <v>50</v>
      </c>
      <c r="E14" s="14" t="s">
        <v>51</v>
      </c>
      <c r="F14" s="10" t="s">
        <v>13</v>
      </c>
      <c r="G14" s="10" t="s">
        <v>11</v>
      </c>
      <c r="H14" s="10" t="s">
        <v>11</v>
      </c>
      <c r="I14" s="10" t="s">
        <v>11</v>
      </c>
    </row>
    <row r="15" spans="1:9" ht="15" hidden="1" customHeight="1" x14ac:dyDescent="0.25">
      <c r="A15" s="7" t="s">
        <v>52</v>
      </c>
      <c r="B15" s="47" t="str">
        <f t="shared" si="0"/>
        <v>ENTITY_INTRNL_UNT</v>
      </c>
      <c r="C15" s="8" t="s">
        <v>10</v>
      </c>
      <c r="D15" s="9" t="s">
        <v>53</v>
      </c>
      <c r="E15" s="14" t="s">
        <v>54</v>
      </c>
      <c r="F15" s="10" t="s">
        <v>13</v>
      </c>
      <c r="G15" s="10" t="s">
        <v>11</v>
      </c>
      <c r="H15" s="10" t="s">
        <v>11</v>
      </c>
      <c r="I15" s="10" t="s">
        <v>11</v>
      </c>
    </row>
    <row r="16" spans="1:9" ht="15" hidden="1" customHeight="1" x14ac:dyDescent="0.25">
      <c r="A16" s="7" t="s">
        <v>55</v>
      </c>
      <c r="B16" s="47" t="str">
        <f t="shared" si="0"/>
        <v>ENTITY_LEI</v>
      </c>
      <c r="C16" s="8" t="s">
        <v>10</v>
      </c>
      <c r="D16" s="9" t="s">
        <v>56</v>
      </c>
      <c r="E16" s="14" t="s">
        <v>57</v>
      </c>
      <c r="F16" s="10" t="s">
        <v>13</v>
      </c>
      <c r="G16" s="10" t="s">
        <v>11</v>
      </c>
      <c r="H16" s="10" t="s">
        <v>13</v>
      </c>
      <c r="I16" s="10" t="s">
        <v>11</v>
      </c>
    </row>
    <row r="17" spans="1:9" ht="15" customHeight="1" x14ac:dyDescent="0.25">
      <c r="A17" s="7" t="s">
        <v>58</v>
      </c>
      <c r="B17" s="47" t="str">
        <f t="shared" si="0"/>
        <v>ENTITY_ENTTY_NM</v>
      </c>
      <c r="C17" s="8" t="s">
        <v>10</v>
      </c>
      <c r="D17" s="9" t="s">
        <v>59</v>
      </c>
      <c r="E17" s="14" t="s">
        <v>60</v>
      </c>
      <c r="F17" s="10" t="s">
        <v>13</v>
      </c>
      <c r="G17" s="10" t="s">
        <v>11</v>
      </c>
      <c r="H17" s="10" t="s">
        <v>11</v>
      </c>
      <c r="I17" s="10" t="s">
        <v>11</v>
      </c>
    </row>
    <row r="18" spans="1:9" ht="15" hidden="1" customHeight="1" x14ac:dyDescent="0.25">
      <c r="A18" s="7" t="s">
        <v>61</v>
      </c>
      <c r="B18" s="47" t="str">
        <f t="shared" si="0"/>
        <v>ENTITY_EXTRNL_RTNG_NM</v>
      </c>
      <c r="C18" s="8" t="s">
        <v>10</v>
      </c>
      <c r="D18" s="9" t="s">
        <v>62</v>
      </c>
      <c r="E18" s="14" t="s">
        <v>63</v>
      </c>
      <c r="F18" s="10" t="s">
        <v>13</v>
      </c>
      <c r="G18" s="10" t="s">
        <v>11</v>
      </c>
      <c r="H18" s="10" t="s">
        <v>11</v>
      </c>
      <c r="I18" s="10" t="s">
        <v>11</v>
      </c>
    </row>
    <row r="19" spans="1:9" ht="15" hidden="1" customHeight="1" x14ac:dyDescent="0.25">
      <c r="A19" s="7" t="s">
        <v>64</v>
      </c>
      <c r="B19" s="47" t="str">
        <f t="shared" si="0"/>
        <v>ENTITY_ACCNTNG_FRMWRK_SL</v>
      </c>
      <c r="C19" s="8" t="s">
        <v>10</v>
      </c>
      <c r="D19" s="9" t="s">
        <v>65</v>
      </c>
      <c r="E19" s="14" t="s">
        <v>66</v>
      </c>
      <c r="F19" s="10" t="s">
        <v>13</v>
      </c>
      <c r="G19" s="10" t="s">
        <v>11</v>
      </c>
      <c r="H19" s="10" t="s">
        <v>11</v>
      </c>
      <c r="I19" s="10" t="s">
        <v>11</v>
      </c>
    </row>
    <row r="20" spans="1:9" ht="15" hidden="1" customHeight="1" x14ac:dyDescent="0.25">
      <c r="A20" s="7" t="s">
        <v>67</v>
      </c>
      <c r="B20" s="47" t="str">
        <f t="shared" si="0"/>
        <v>ENTITY_CR_FLG</v>
      </c>
      <c r="C20" s="8" t="s">
        <v>10</v>
      </c>
      <c r="D20" s="9" t="s">
        <v>68</v>
      </c>
      <c r="E20" s="14" t="s">
        <v>69</v>
      </c>
      <c r="F20" s="10" t="s">
        <v>13</v>
      </c>
      <c r="G20" s="10" t="s">
        <v>11</v>
      </c>
      <c r="H20" s="10" t="s">
        <v>11</v>
      </c>
      <c r="I20" s="10" t="s">
        <v>11</v>
      </c>
    </row>
    <row r="21" spans="1:9" ht="15" hidden="1" customHeight="1" x14ac:dyDescent="0.25">
      <c r="A21" s="7" t="s">
        <v>70</v>
      </c>
      <c r="B21" s="47" t="str">
        <f t="shared" si="0"/>
        <v>ENTITY_DCSD</v>
      </c>
      <c r="C21" s="8" t="s">
        <v>10</v>
      </c>
      <c r="D21" s="9" t="s">
        <v>71</v>
      </c>
      <c r="E21" s="14" t="s">
        <v>72</v>
      </c>
      <c r="F21" s="10" t="s">
        <v>13</v>
      </c>
      <c r="G21" s="10" t="s">
        <v>11</v>
      </c>
      <c r="H21" s="10" t="s">
        <v>11</v>
      </c>
      <c r="I21" s="10" t="s">
        <v>11</v>
      </c>
    </row>
    <row r="22" spans="1:9" ht="15" hidden="1" customHeight="1" x14ac:dyDescent="0.25">
      <c r="A22" s="7" t="s">
        <v>73</v>
      </c>
      <c r="B22" s="47" t="str">
        <f t="shared" si="0"/>
        <v>ENTITY_DFLT_STTS</v>
      </c>
      <c r="C22" s="8" t="s">
        <v>10</v>
      </c>
      <c r="D22" s="9" t="s">
        <v>74</v>
      </c>
      <c r="E22" s="14" t="s">
        <v>75</v>
      </c>
      <c r="F22" s="10" t="s">
        <v>13</v>
      </c>
      <c r="G22" s="10" t="s">
        <v>11</v>
      </c>
      <c r="H22" s="10" t="s">
        <v>11</v>
      </c>
      <c r="I22" s="10" t="s">
        <v>11</v>
      </c>
    </row>
    <row r="23" spans="1:9" ht="15" hidden="1" customHeight="1" x14ac:dyDescent="0.25">
      <c r="A23" s="7" t="s">
        <v>76</v>
      </c>
      <c r="B23" s="47" t="str">
        <f t="shared" si="0"/>
        <v>ENTITY_DT_EXTRNL_RTNG</v>
      </c>
      <c r="C23" s="8" t="s">
        <v>10</v>
      </c>
      <c r="D23" s="9" t="s">
        <v>77</v>
      </c>
      <c r="E23" s="14" t="s">
        <v>78</v>
      </c>
      <c r="F23" s="10" t="s">
        <v>13</v>
      </c>
      <c r="G23" s="10" t="s">
        <v>11</v>
      </c>
      <c r="H23" s="10" t="s">
        <v>11</v>
      </c>
      <c r="I23" s="10" t="s">
        <v>11</v>
      </c>
    </row>
    <row r="24" spans="1:9" ht="15" hidden="1" customHeight="1" x14ac:dyDescent="0.25">
      <c r="A24" s="7" t="s">
        <v>79</v>
      </c>
      <c r="B24" s="47" t="str">
        <f t="shared" si="0"/>
        <v>ENTITY_DT_INTRNL_RTNG</v>
      </c>
      <c r="C24" s="8" t="s">
        <v>10</v>
      </c>
      <c r="D24" s="9" t="s">
        <v>80</v>
      </c>
      <c r="E24" s="14" t="s">
        <v>81</v>
      </c>
      <c r="F24" s="10" t="s">
        <v>13</v>
      </c>
      <c r="G24" s="10" t="s">
        <v>11</v>
      </c>
      <c r="H24" s="10" t="s">
        <v>11</v>
      </c>
      <c r="I24" s="10" t="s">
        <v>11</v>
      </c>
    </row>
    <row r="25" spans="1:9" ht="15" hidden="1" customHeight="1" x14ac:dyDescent="0.25">
      <c r="A25" s="7" t="s">
        <v>82</v>
      </c>
      <c r="B25" s="47" t="str">
        <f t="shared" si="0"/>
        <v>ENTITY_ECNMC_ACTVTY</v>
      </c>
      <c r="C25" s="8" t="s">
        <v>10</v>
      </c>
      <c r="D25" s="9" t="s">
        <v>83</v>
      </c>
      <c r="E25" s="14" t="s">
        <v>84</v>
      </c>
      <c r="F25" s="10" t="s">
        <v>13</v>
      </c>
      <c r="G25" s="10" t="s">
        <v>11</v>
      </c>
      <c r="H25" s="10" t="s">
        <v>13</v>
      </c>
      <c r="I25" s="10" t="s">
        <v>13</v>
      </c>
    </row>
    <row r="26" spans="1:9" ht="15" hidden="1" customHeight="1" x14ac:dyDescent="0.25">
      <c r="A26" s="7" t="s">
        <v>85</v>
      </c>
      <c r="B26" s="47" t="str">
        <f t="shared" si="0"/>
        <v>ENTITY_EMPLYMNT_STTS_INTRNL</v>
      </c>
      <c r="C26" s="8" t="s">
        <v>10</v>
      </c>
      <c r="D26" s="9" t="s">
        <v>86</v>
      </c>
      <c r="E26" s="14" t="s">
        <v>87</v>
      </c>
      <c r="F26" s="10" t="s">
        <v>13</v>
      </c>
      <c r="G26" s="10" t="s">
        <v>11</v>
      </c>
      <c r="H26" s="10" t="s">
        <v>11</v>
      </c>
      <c r="I26" s="10" t="s">
        <v>11</v>
      </c>
    </row>
    <row r="27" spans="1:9" ht="15" hidden="1" customHeight="1" x14ac:dyDescent="0.25">
      <c r="A27" s="7" t="s">
        <v>88</v>
      </c>
      <c r="B27" s="47" t="str">
        <f t="shared" si="0"/>
        <v>ENTITY_EMPLYMNT_STTS</v>
      </c>
      <c r="C27" s="8" t="s">
        <v>10</v>
      </c>
      <c r="D27" s="9" t="s">
        <v>89</v>
      </c>
      <c r="E27" s="14" t="s">
        <v>90</v>
      </c>
      <c r="F27" s="10" t="s">
        <v>13</v>
      </c>
      <c r="G27" s="10" t="s">
        <v>11</v>
      </c>
      <c r="H27" s="10" t="s">
        <v>11</v>
      </c>
      <c r="I27" s="10" t="s">
        <v>11</v>
      </c>
    </row>
    <row r="28" spans="1:9" ht="15" hidden="1" customHeight="1" x14ac:dyDescent="0.25">
      <c r="A28" s="7" t="s">
        <v>91</v>
      </c>
      <c r="B28" s="47" t="str">
        <f t="shared" si="0"/>
        <v>ENTITY_ENTRPRS_SZ_LE</v>
      </c>
      <c r="C28" s="8" t="s">
        <v>10</v>
      </c>
      <c r="D28" s="9" t="s">
        <v>92</v>
      </c>
      <c r="E28" s="14" t="s">
        <v>93</v>
      </c>
      <c r="F28" s="10" t="s">
        <v>13</v>
      </c>
      <c r="G28" s="10" t="s">
        <v>11</v>
      </c>
      <c r="H28" s="10" t="s">
        <v>11</v>
      </c>
      <c r="I28" s="10" t="s">
        <v>11</v>
      </c>
    </row>
    <row r="29" spans="1:9" ht="15" hidden="1" customHeight="1" x14ac:dyDescent="0.25">
      <c r="A29" s="7" t="s">
        <v>94</v>
      </c>
      <c r="B29" s="47" t="str">
        <f t="shared" si="0"/>
        <v>ENTITY_EXTRNL_RTNG</v>
      </c>
      <c r="C29" s="8" t="s">
        <v>10</v>
      </c>
      <c r="D29" s="9" t="s">
        <v>95</v>
      </c>
      <c r="E29" s="14" t="s">
        <v>96</v>
      </c>
      <c r="F29" s="10" t="s">
        <v>13</v>
      </c>
      <c r="G29" s="10" t="s">
        <v>11</v>
      </c>
      <c r="H29" s="10" t="s">
        <v>11</v>
      </c>
      <c r="I29" s="10" t="s">
        <v>11</v>
      </c>
    </row>
    <row r="30" spans="1:9" ht="15" hidden="1" customHeight="1" x14ac:dyDescent="0.25">
      <c r="A30" s="7" t="s">
        <v>97</v>
      </c>
      <c r="B30" s="47" t="str">
        <f t="shared" si="0"/>
        <v>ENTITY_EXTRNL_RTNG_PRVS</v>
      </c>
      <c r="C30" s="8" t="s">
        <v>10</v>
      </c>
      <c r="D30" s="9" t="s">
        <v>98</v>
      </c>
      <c r="E30" s="14" t="s">
        <v>99</v>
      </c>
      <c r="F30" s="10" t="s">
        <v>13</v>
      </c>
      <c r="G30" s="10" t="s">
        <v>11</v>
      </c>
      <c r="H30" s="10" t="s">
        <v>11</v>
      </c>
      <c r="I30" s="10" t="s">
        <v>11</v>
      </c>
    </row>
    <row r="31" spans="1:9" ht="15" hidden="1" customHeight="1" x14ac:dyDescent="0.25">
      <c r="A31" s="7" t="s">
        <v>100</v>
      </c>
      <c r="B31" s="47" t="str">
        <f t="shared" si="0"/>
        <v>ENTITY_FLG_BNKRPTCY_IN_GRP</v>
      </c>
      <c r="C31" s="8" t="s">
        <v>10</v>
      </c>
      <c r="D31" s="9" t="s">
        <v>101</v>
      </c>
      <c r="E31" s="14" t="s">
        <v>102</v>
      </c>
      <c r="F31" s="10" t="s">
        <v>13</v>
      </c>
      <c r="G31" s="10" t="s">
        <v>11</v>
      </c>
      <c r="H31" s="10" t="s">
        <v>11</v>
      </c>
      <c r="I31" s="10" t="s">
        <v>11</v>
      </c>
    </row>
    <row r="32" spans="1:9" ht="15" hidden="1" customHeight="1" x14ac:dyDescent="0.25">
      <c r="A32" s="7" t="s">
        <v>103</v>
      </c>
      <c r="B32" s="47" t="str">
        <f t="shared" si="0"/>
        <v>ENTITY_FLG_HGH_CDS</v>
      </c>
      <c r="C32" s="8" t="s">
        <v>10</v>
      </c>
      <c r="D32" s="9" t="s">
        <v>104</v>
      </c>
      <c r="E32" s="14" t="s">
        <v>105</v>
      </c>
      <c r="F32" s="10" t="s">
        <v>13</v>
      </c>
      <c r="G32" s="10" t="s">
        <v>11</v>
      </c>
      <c r="H32" s="10" t="s">
        <v>11</v>
      </c>
      <c r="I32" s="10" t="s">
        <v>11</v>
      </c>
    </row>
    <row r="33" spans="1:9" ht="15" hidden="1" customHeight="1" x14ac:dyDescent="0.25">
      <c r="A33" s="7" t="s">
        <v>106</v>
      </c>
      <c r="B33" s="47" t="str">
        <f t="shared" si="0"/>
        <v>ENTITY_FLG_ISDA_CRDT_EVNT</v>
      </c>
      <c r="C33" s="8" t="s">
        <v>10</v>
      </c>
      <c r="D33" s="9" t="s">
        <v>107</v>
      </c>
      <c r="E33" s="14" t="s">
        <v>108</v>
      </c>
      <c r="F33" s="10" t="s">
        <v>13</v>
      </c>
      <c r="G33" s="10" t="s">
        <v>11</v>
      </c>
      <c r="H33" s="10" t="s">
        <v>11</v>
      </c>
      <c r="I33" s="10" t="s">
        <v>11</v>
      </c>
    </row>
    <row r="34" spans="1:9" ht="15" hidden="1" customHeight="1" x14ac:dyDescent="0.25">
      <c r="A34" s="7" t="s">
        <v>109</v>
      </c>
      <c r="B34" s="47" t="str">
        <f t="shared" si="0"/>
        <v>ENTITY_FLG_NN_ACCRL</v>
      </c>
      <c r="C34" s="8" t="s">
        <v>10</v>
      </c>
      <c r="D34" s="9" t="s">
        <v>110</v>
      </c>
      <c r="E34" s="14" t="s">
        <v>111</v>
      </c>
      <c r="F34" s="10" t="s">
        <v>13</v>
      </c>
      <c r="G34" s="10" t="s">
        <v>11</v>
      </c>
      <c r="H34" s="10" t="s">
        <v>11</v>
      </c>
      <c r="I34" s="10" t="s">
        <v>11</v>
      </c>
    </row>
    <row r="35" spans="1:9" ht="15" hidden="1" customHeight="1" x14ac:dyDescent="0.25">
      <c r="A35" s="7" t="s">
        <v>112</v>
      </c>
      <c r="B35" s="47" t="str">
        <f t="shared" si="0"/>
        <v>ENTITY_FLG_RQST_BNKRPTCY</v>
      </c>
      <c r="C35" s="8" t="s">
        <v>10</v>
      </c>
      <c r="D35" s="9" t="s">
        <v>113</v>
      </c>
      <c r="E35" s="14" t="s">
        <v>114</v>
      </c>
      <c r="F35" s="10" t="s">
        <v>13</v>
      </c>
      <c r="G35" s="10" t="s">
        <v>11</v>
      </c>
      <c r="H35" s="10" t="s">
        <v>11</v>
      </c>
      <c r="I35" s="10" t="s">
        <v>11</v>
      </c>
    </row>
    <row r="36" spans="1:9" ht="15" hidden="1" customHeight="1" x14ac:dyDescent="0.25">
      <c r="A36" s="7" t="s">
        <v>115</v>
      </c>
      <c r="B36" s="47" t="str">
        <f t="shared" si="0"/>
        <v>ENTITY_FLG_RQST_DSTRSSD_RSTRCTRNG</v>
      </c>
      <c r="C36" s="8" t="s">
        <v>10</v>
      </c>
      <c r="D36" s="9" t="s">
        <v>116</v>
      </c>
      <c r="E36" s="14" t="s">
        <v>117</v>
      </c>
      <c r="F36" s="10" t="s">
        <v>13</v>
      </c>
      <c r="G36" s="10" t="s">
        <v>11</v>
      </c>
      <c r="H36" s="10" t="s">
        <v>11</v>
      </c>
      <c r="I36" s="10" t="s">
        <v>11</v>
      </c>
    </row>
    <row r="37" spans="1:9" ht="15" hidden="1" customHeight="1" x14ac:dyDescent="0.25">
      <c r="A37" s="7" t="s">
        <v>118</v>
      </c>
      <c r="B37" s="47" t="str">
        <f t="shared" si="0"/>
        <v>ENTITY_FLG_RQST_EMRGNCY_FNDNG</v>
      </c>
      <c r="C37" s="8" t="s">
        <v>10</v>
      </c>
      <c r="D37" s="9" t="s">
        <v>119</v>
      </c>
      <c r="E37" s="14" t="s">
        <v>120</v>
      </c>
      <c r="F37" s="10" t="s">
        <v>13</v>
      </c>
      <c r="G37" s="10" t="s">
        <v>11</v>
      </c>
      <c r="H37" s="10" t="s">
        <v>11</v>
      </c>
      <c r="I37" s="10" t="s">
        <v>11</v>
      </c>
    </row>
    <row r="38" spans="1:9" ht="15" hidden="1" customHeight="1" x14ac:dyDescent="0.25">
      <c r="A38" s="7" t="s">
        <v>121</v>
      </c>
      <c r="B38" s="47" t="str">
        <f t="shared" si="0"/>
        <v>ENTITY_FLG_SLL_WTH_LSS</v>
      </c>
      <c r="C38" s="8" t="s">
        <v>10</v>
      </c>
      <c r="D38" s="9" t="s">
        <v>122</v>
      </c>
      <c r="E38" s="14" t="s">
        <v>123</v>
      </c>
      <c r="F38" s="10" t="s">
        <v>13</v>
      </c>
      <c r="G38" s="10" t="s">
        <v>11</v>
      </c>
      <c r="H38" s="10" t="s">
        <v>11</v>
      </c>
      <c r="I38" s="10" t="s">
        <v>11</v>
      </c>
    </row>
    <row r="39" spans="1:9" ht="15" hidden="1" customHeight="1" x14ac:dyDescent="0.25">
      <c r="A39" s="7" t="s">
        <v>124</v>
      </c>
      <c r="B39" s="47" t="str">
        <f t="shared" si="0"/>
        <v>ENTITY_INCM_SC</v>
      </c>
      <c r="C39" s="8" t="s">
        <v>10</v>
      </c>
      <c r="D39" s="9" t="s">
        <v>125</v>
      </c>
      <c r="E39" s="14" t="s">
        <v>126</v>
      </c>
      <c r="F39" s="10" t="s">
        <v>13</v>
      </c>
      <c r="G39" s="10" t="s">
        <v>11</v>
      </c>
      <c r="H39" s="10" t="s">
        <v>11</v>
      </c>
      <c r="I39" s="10" t="s">
        <v>11</v>
      </c>
    </row>
    <row r="40" spans="1:9" ht="15" hidden="1" customHeight="1" x14ac:dyDescent="0.25">
      <c r="A40" s="7" t="s">
        <v>127</v>
      </c>
      <c r="B40" s="47" t="str">
        <f t="shared" si="0"/>
        <v>ENTITY_INTRNL_RTNG</v>
      </c>
      <c r="C40" s="8" t="s">
        <v>10</v>
      </c>
      <c r="D40" s="9" t="s">
        <v>128</v>
      </c>
      <c r="E40" s="14" t="s">
        <v>129</v>
      </c>
      <c r="F40" s="10" t="s">
        <v>13</v>
      </c>
      <c r="G40" s="10" t="s">
        <v>11</v>
      </c>
      <c r="H40" s="10" t="s">
        <v>11</v>
      </c>
      <c r="I40" s="10" t="s">
        <v>11</v>
      </c>
    </row>
    <row r="41" spans="1:9" ht="15" hidden="1" customHeight="1" x14ac:dyDescent="0.25">
      <c r="A41" s="7" t="s">
        <v>130</v>
      </c>
      <c r="B41" s="47" t="str">
        <f t="shared" si="0"/>
        <v>ENTITY_INTRNL_RTNG_PRVS</v>
      </c>
      <c r="C41" s="8" t="s">
        <v>10</v>
      </c>
      <c r="D41" s="9" t="s">
        <v>131</v>
      </c>
      <c r="E41" s="14" t="s">
        <v>132</v>
      </c>
      <c r="F41" s="10" t="s">
        <v>13</v>
      </c>
      <c r="G41" s="10" t="s">
        <v>11</v>
      </c>
      <c r="H41" s="10" t="s">
        <v>11</v>
      </c>
      <c r="I41" s="10" t="s">
        <v>11</v>
      </c>
    </row>
    <row r="42" spans="1:9" ht="15" hidden="1" customHeight="1" x14ac:dyDescent="0.25">
      <c r="A42" s="7" t="s">
        <v>133</v>
      </c>
      <c r="B42" s="47" t="str">
        <f t="shared" si="0"/>
        <v>ENTITY_LGL_PRCDNG_STTS_LE</v>
      </c>
      <c r="C42" s="8" t="s">
        <v>10</v>
      </c>
      <c r="D42" s="9" t="s">
        <v>134</v>
      </c>
      <c r="E42" s="14" t="s">
        <v>135</v>
      </c>
      <c r="F42" s="10" t="s">
        <v>13</v>
      </c>
      <c r="G42" s="10" t="s">
        <v>11</v>
      </c>
      <c r="H42" s="10" t="s">
        <v>11</v>
      </c>
      <c r="I42" s="10" t="s">
        <v>11</v>
      </c>
    </row>
    <row r="43" spans="1:9" ht="15" hidden="1" customHeight="1" x14ac:dyDescent="0.25">
      <c r="A43" s="7" t="s">
        <v>136</v>
      </c>
      <c r="B43" s="47" t="str">
        <f t="shared" si="0"/>
        <v>ENTITY_OWND_BY_SPNSR</v>
      </c>
      <c r="C43" s="8" t="s">
        <v>10</v>
      </c>
      <c r="D43" s="9" t="s">
        <v>137</v>
      </c>
      <c r="E43" s="14" t="s">
        <v>138</v>
      </c>
      <c r="F43" s="10" t="s">
        <v>13</v>
      </c>
      <c r="G43" s="10" t="s">
        <v>11</v>
      </c>
      <c r="H43" s="10" t="s">
        <v>11</v>
      </c>
      <c r="I43" s="10" t="s">
        <v>11</v>
      </c>
    </row>
    <row r="44" spans="1:9" ht="15" hidden="1" customHeight="1" x14ac:dyDescent="0.25">
      <c r="A44" s="7" t="s">
        <v>139</v>
      </c>
      <c r="B44" s="47" t="str">
        <f t="shared" si="0"/>
        <v>ENTITY_PRFRMNG_STTS_LE</v>
      </c>
      <c r="C44" s="8" t="s">
        <v>10</v>
      </c>
      <c r="D44" s="9" t="s">
        <v>140</v>
      </c>
      <c r="E44" s="14" t="s">
        <v>141</v>
      </c>
      <c r="F44" s="10" t="s">
        <v>13</v>
      </c>
      <c r="G44" s="10" t="s">
        <v>11</v>
      </c>
      <c r="H44" s="10" t="s">
        <v>11</v>
      </c>
      <c r="I44" s="10" t="s">
        <v>11</v>
      </c>
    </row>
    <row r="45" spans="1:9" ht="15" hidden="1" customHeight="1" x14ac:dyDescent="0.25">
      <c r="A45" s="7" t="s">
        <v>142</v>
      </c>
      <c r="B45" s="47" t="str">
        <f t="shared" si="0"/>
        <v>ENTITY_RTNG_MTHD</v>
      </c>
      <c r="C45" s="8" t="s">
        <v>10</v>
      </c>
      <c r="D45" s="9" t="s">
        <v>143</v>
      </c>
      <c r="E45" s="14" t="s">
        <v>144</v>
      </c>
      <c r="F45" s="10" t="s">
        <v>13</v>
      </c>
      <c r="G45" s="10" t="s">
        <v>11</v>
      </c>
      <c r="H45" s="10" t="s">
        <v>11</v>
      </c>
      <c r="I45" s="10" t="s">
        <v>11</v>
      </c>
    </row>
    <row r="46" spans="1:9" ht="15" hidden="1" customHeight="1" x14ac:dyDescent="0.25">
      <c r="A46" s="7" t="s">
        <v>145</v>
      </c>
      <c r="B46" s="47" t="str">
        <f t="shared" si="0"/>
        <v>ENTITY_RTNG_SCL</v>
      </c>
      <c r="C46" s="8" t="s">
        <v>10</v>
      </c>
      <c r="D46" s="9" t="s">
        <v>146</v>
      </c>
      <c r="E46" s="14" t="s">
        <v>147</v>
      </c>
      <c r="F46" s="10" t="s">
        <v>13</v>
      </c>
      <c r="G46" s="10" t="s">
        <v>11</v>
      </c>
      <c r="H46" s="10" t="s">
        <v>11</v>
      </c>
      <c r="I46" s="10" t="s">
        <v>11</v>
      </c>
    </row>
    <row r="47" spans="1:9" ht="15" hidden="1" customHeight="1" x14ac:dyDescent="0.25">
      <c r="A47" s="7" t="s">
        <v>148</v>
      </c>
      <c r="B47" s="47" t="str">
        <f t="shared" si="0"/>
        <v>ENTITY_WTCH_LST</v>
      </c>
      <c r="C47" s="8" t="s">
        <v>10</v>
      </c>
      <c r="D47" s="9" t="s">
        <v>149</v>
      </c>
      <c r="E47" s="14" t="s">
        <v>150</v>
      </c>
      <c r="F47" s="10" t="s">
        <v>13</v>
      </c>
      <c r="G47" s="10" t="s">
        <v>11</v>
      </c>
      <c r="H47" s="10" t="s">
        <v>11</v>
      </c>
      <c r="I47" s="10" t="s">
        <v>11</v>
      </c>
    </row>
    <row r="48" spans="1:9" ht="15" hidden="1" customHeight="1" x14ac:dyDescent="0.25">
      <c r="A48" s="7" t="s">
        <v>151</v>
      </c>
      <c r="B48" s="47" t="str">
        <f t="shared" si="0"/>
        <v>ENTITY_SNGL_PRPS_VHCL</v>
      </c>
      <c r="C48" s="8" t="s">
        <v>10</v>
      </c>
      <c r="D48" s="9" t="s">
        <v>152</v>
      </c>
      <c r="E48" s="14" t="s">
        <v>153</v>
      </c>
      <c r="F48" s="10" t="s">
        <v>13</v>
      </c>
      <c r="G48" s="10" t="s">
        <v>11</v>
      </c>
      <c r="H48" s="10" t="s">
        <v>11</v>
      </c>
      <c r="I48" s="10" t="s">
        <v>11</v>
      </c>
    </row>
    <row r="49" spans="1:9" ht="15" hidden="1" customHeight="1" x14ac:dyDescent="0.25">
      <c r="A49" s="7" t="s">
        <v>154</v>
      </c>
      <c r="B49" s="47" t="str">
        <f t="shared" si="0"/>
        <v>ENTITY_GRP_EBITDA</v>
      </c>
      <c r="C49" s="8" t="s">
        <v>10</v>
      </c>
      <c r="D49" s="9" t="s">
        <v>155</v>
      </c>
      <c r="E49" s="14" t="s">
        <v>156</v>
      </c>
      <c r="F49" s="10" t="s">
        <v>13</v>
      </c>
      <c r="G49" s="10" t="s">
        <v>11</v>
      </c>
      <c r="H49" s="10" t="s">
        <v>11</v>
      </c>
      <c r="I49" s="10" t="s">
        <v>11</v>
      </c>
    </row>
    <row r="50" spans="1:9" ht="15" hidden="1" customHeight="1" x14ac:dyDescent="0.25">
      <c r="A50" s="7" t="s">
        <v>157</v>
      </c>
      <c r="B50" s="47" t="str">
        <f t="shared" si="0"/>
        <v>ENTITY_GRP_EQTY</v>
      </c>
      <c r="C50" s="8" t="s">
        <v>10</v>
      </c>
      <c r="D50" s="9" t="s">
        <v>158</v>
      </c>
      <c r="E50" s="14" t="s">
        <v>159</v>
      </c>
      <c r="F50" s="10" t="s">
        <v>13</v>
      </c>
      <c r="G50" s="10" t="s">
        <v>11</v>
      </c>
      <c r="H50" s="10" t="s">
        <v>13</v>
      </c>
      <c r="I50" s="10" t="s">
        <v>11</v>
      </c>
    </row>
    <row r="51" spans="1:9" ht="15" hidden="1" customHeight="1" x14ac:dyDescent="0.25">
      <c r="A51" s="7" t="s">
        <v>160</v>
      </c>
      <c r="B51" s="47" t="str">
        <f t="shared" si="0"/>
        <v>ENTITY_GRP_NT_DBT</v>
      </c>
      <c r="C51" s="8" t="s">
        <v>10</v>
      </c>
      <c r="D51" s="9" t="s">
        <v>161</v>
      </c>
      <c r="E51" s="14" t="s">
        <v>162</v>
      </c>
      <c r="F51" s="10" t="s">
        <v>13</v>
      </c>
      <c r="G51" s="10" t="s">
        <v>11</v>
      </c>
      <c r="H51" s="10" t="s">
        <v>11</v>
      </c>
      <c r="I51" s="10" t="s">
        <v>11</v>
      </c>
    </row>
    <row r="52" spans="1:9" ht="15" hidden="1" customHeight="1" x14ac:dyDescent="0.25">
      <c r="A52" s="7" t="s">
        <v>163</v>
      </c>
      <c r="B52" s="47" t="str">
        <f t="shared" si="0"/>
        <v>ENTITY_ANNL_TRNVR_LE</v>
      </c>
      <c r="C52" s="8" t="s">
        <v>10</v>
      </c>
      <c r="D52" s="9" t="s">
        <v>164</v>
      </c>
      <c r="E52" s="14" t="s">
        <v>165</v>
      </c>
      <c r="F52" s="10" t="s">
        <v>13</v>
      </c>
      <c r="G52" s="10" t="s">
        <v>11</v>
      </c>
      <c r="H52" s="10" t="s">
        <v>13</v>
      </c>
      <c r="I52" s="10" t="s">
        <v>11</v>
      </c>
    </row>
    <row r="53" spans="1:9" ht="15" hidden="1" customHeight="1" x14ac:dyDescent="0.25">
      <c r="A53" s="7" t="s">
        <v>166</v>
      </c>
      <c r="B53" s="47" t="str">
        <f t="shared" si="0"/>
        <v>ENTITY_ANNL_TRNVR_PRVS</v>
      </c>
      <c r="C53" s="8" t="s">
        <v>10</v>
      </c>
      <c r="D53" s="9" t="s">
        <v>167</v>
      </c>
      <c r="E53" s="14" t="s">
        <v>168</v>
      </c>
      <c r="F53" s="10" t="s">
        <v>13</v>
      </c>
      <c r="G53" s="10" t="s">
        <v>11</v>
      </c>
      <c r="H53" s="10" t="s">
        <v>11</v>
      </c>
      <c r="I53" s="10" t="s">
        <v>11</v>
      </c>
    </row>
    <row r="54" spans="1:9" ht="15" hidden="1" customHeight="1" x14ac:dyDescent="0.25">
      <c r="A54" s="7" t="s">
        <v>169</v>
      </c>
      <c r="B54" s="47" t="str">
        <f t="shared" si="0"/>
        <v>ENTITY_CAPEX</v>
      </c>
      <c r="C54" s="8" t="s">
        <v>10</v>
      </c>
      <c r="D54" s="9" t="s">
        <v>170</v>
      </c>
      <c r="E54" s="14" t="s">
        <v>171</v>
      </c>
      <c r="F54" s="10" t="s">
        <v>13</v>
      </c>
      <c r="G54" s="10" t="s">
        <v>11</v>
      </c>
      <c r="H54" s="10" t="s">
        <v>11</v>
      </c>
      <c r="I54" s="10" t="s">
        <v>11</v>
      </c>
    </row>
    <row r="55" spans="1:9" ht="15" hidden="1" customHeight="1" x14ac:dyDescent="0.25">
      <c r="A55" s="7" t="s">
        <v>172</v>
      </c>
      <c r="B55" s="47" t="str">
        <f t="shared" si="0"/>
        <v>ENTITY_CAPEX_PRVS</v>
      </c>
      <c r="C55" s="8" t="s">
        <v>10</v>
      </c>
      <c r="D55" s="9" t="s">
        <v>173</v>
      </c>
      <c r="E55" s="14" t="s">
        <v>174</v>
      </c>
      <c r="F55" s="10" t="s">
        <v>13</v>
      </c>
      <c r="G55" s="10" t="s">
        <v>11</v>
      </c>
      <c r="H55" s="10" t="s">
        <v>11</v>
      </c>
      <c r="I55" s="10" t="s">
        <v>11</v>
      </c>
    </row>
    <row r="56" spans="1:9" ht="15" hidden="1" customHeight="1" x14ac:dyDescent="0.25">
      <c r="A56" s="7" t="s">
        <v>175</v>
      </c>
      <c r="B56" s="47" t="str">
        <f t="shared" si="0"/>
        <v>ENTITY_CLLCTN_MD</v>
      </c>
      <c r="C56" s="8" t="s">
        <v>10</v>
      </c>
      <c r="D56" s="9" t="s">
        <v>176</v>
      </c>
      <c r="E56" s="14" t="s">
        <v>177</v>
      </c>
      <c r="F56" s="10" t="s">
        <v>13</v>
      </c>
      <c r="G56" s="10" t="s">
        <v>11</v>
      </c>
      <c r="H56" s="10" t="s">
        <v>11</v>
      </c>
      <c r="I56" s="10" t="s">
        <v>11</v>
      </c>
    </row>
    <row r="57" spans="1:9" ht="15" hidden="1" customHeight="1" x14ac:dyDescent="0.25">
      <c r="A57" s="7" t="s">
        <v>178</v>
      </c>
      <c r="B57" s="47" t="str">
        <f t="shared" si="0"/>
        <v>ENTITY_CSH</v>
      </c>
      <c r="C57" s="8" t="s">
        <v>10</v>
      </c>
      <c r="D57" s="9" t="s">
        <v>179</v>
      </c>
      <c r="E57" s="14" t="s">
        <v>180</v>
      </c>
      <c r="F57" s="10" t="s">
        <v>13</v>
      </c>
      <c r="G57" s="10" t="s">
        <v>11</v>
      </c>
      <c r="H57" s="10" t="s">
        <v>11</v>
      </c>
      <c r="I57" s="10" t="s">
        <v>11</v>
      </c>
    </row>
    <row r="58" spans="1:9" ht="15" hidden="1" customHeight="1" x14ac:dyDescent="0.25">
      <c r="A58" s="7" t="s">
        <v>181</v>
      </c>
      <c r="B58" s="47" t="str">
        <f t="shared" si="0"/>
        <v>ENTITY_CSH_PRVS</v>
      </c>
      <c r="C58" s="8" t="s">
        <v>10</v>
      </c>
      <c r="D58" s="9" t="s">
        <v>182</v>
      </c>
      <c r="E58" s="14" t="s">
        <v>183</v>
      </c>
      <c r="F58" s="10" t="s">
        <v>13</v>
      </c>
      <c r="G58" s="10" t="s">
        <v>11</v>
      </c>
      <c r="H58" s="10" t="s">
        <v>11</v>
      </c>
      <c r="I58" s="10" t="s">
        <v>11</v>
      </c>
    </row>
    <row r="59" spans="1:9" ht="15" hidden="1" customHeight="1" x14ac:dyDescent="0.25">
      <c r="A59" s="7" t="s">
        <v>184</v>
      </c>
      <c r="B59" s="47" t="str">
        <f t="shared" si="0"/>
        <v>ENTITY_EBITDA</v>
      </c>
      <c r="C59" s="8" t="s">
        <v>10</v>
      </c>
      <c r="D59" s="9" t="s">
        <v>185</v>
      </c>
      <c r="E59" s="14" t="s">
        <v>186</v>
      </c>
      <c r="F59" s="10" t="s">
        <v>13</v>
      </c>
      <c r="G59" s="10" t="s">
        <v>11</v>
      </c>
      <c r="H59" s="10" t="s">
        <v>11</v>
      </c>
      <c r="I59" s="10" t="s">
        <v>11</v>
      </c>
    </row>
    <row r="60" spans="1:9" ht="15" hidden="1" customHeight="1" x14ac:dyDescent="0.25">
      <c r="A60" s="7" t="s">
        <v>187</v>
      </c>
      <c r="B60" s="47" t="str">
        <f t="shared" si="0"/>
        <v>ENTITY_EBITDA_PRVS</v>
      </c>
      <c r="C60" s="8" t="s">
        <v>10</v>
      </c>
      <c r="D60" s="9" t="s">
        <v>188</v>
      </c>
      <c r="E60" s="14" t="s">
        <v>189</v>
      </c>
      <c r="F60" s="10" t="s">
        <v>13</v>
      </c>
      <c r="G60" s="10" t="s">
        <v>11</v>
      </c>
      <c r="H60" s="10" t="s">
        <v>11</v>
      </c>
      <c r="I60" s="10" t="s">
        <v>11</v>
      </c>
    </row>
    <row r="61" spans="1:9" ht="15" hidden="1" customHeight="1" x14ac:dyDescent="0.25">
      <c r="A61" s="7" t="s">
        <v>190</v>
      </c>
      <c r="B61" s="47" t="str">
        <f t="shared" si="0"/>
        <v>ENTITY_EQTY</v>
      </c>
      <c r="C61" s="8" t="s">
        <v>10</v>
      </c>
      <c r="D61" s="9" t="s">
        <v>191</v>
      </c>
      <c r="E61" s="14" t="s">
        <v>192</v>
      </c>
      <c r="F61" s="10" t="s">
        <v>13</v>
      </c>
      <c r="G61" s="10" t="s">
        <v>11</v>
      </c>
      <c r="H61" s="10" t="s">
        <v>13</v>
      </c>
      <c r="I61" s="10" t="s">
        <v>11</v>
      </c>
    </row>
    <row r="62" spans="1:9" ht="15" hidden="1" customHeight="1" x14ac:dyDescent="0.25">
      <c r="A62" s="7" t="s">
        <v>193</v>
      </c>
      <c r="B62" s="47" t="str">
        <f t="shared" si="0"/>
        <v>ENTITY_EQTY_PRVS</v>
      </c>
      <c r="C62" s="8" t="s">
        <v>10</v>
      </c>
      <c r="D62" s="9" t="s">
        <v>194</v>
      </c>
      <c r="E62" s="14" t="s">
        <v>195</v>
      </c>
      <c r="F62" s="10" t="s">
        <v>13</v>
      </c>
      <c r="G62" s="10" t="s">
        <v>11</v>
      </c>
      <c r="H62" s="10" t="s">
        <v>11</v>
      </c>
      <c r="I62" s="10" t="s">
        <v>11</v>
      </c>
    </row>
    <row r="63" spans="1:9" ht="15" hidden="1" customHeight="1" x14ac:dyDescent="0.25">
      <c r="A63" s="7" t="s">
        <v>196</v>
      </c>
      <c r="B63" s="47" t="str">
        <f t="shared" si="0"/>
        <v>ENTITY_GRP_TTL_DBT</v>
      </c>
      <c r="C63" s="8" t="s">
        <v>10</v>
      </c>
      <c r="D63" s="9" t="s">
        <v>197</v>
      </c>
      <c r="E63" s="14" t="s">
        <v>198</v>
      </c>
      <c r="F63" s="10" t="s">
        <v>13</v>
      </c>
      <c r="G63" s="10" t="s">
        <v>11</v>
      </c>
      <c r="H63" s="10" t="s">
        <v>13</v>
      </c>
      <c r="I63" s="10" t="s">
        <v>11</v>
      </c>
    </row>
    <row r="64" spans="1:9" ht="15" hidden="1" customHeight="1" x14ac:dyDescent="0.25">
      <c r="A64" s="7" t="s">
        <v>199</v>
      </c>
      <c r="B64" s="47" t="str">
        <f t="shared" si="0"/>
        <v>ENTITY_GDWILL</v>
      </c>
      <c r="C64" s="8" t="s">
        <v>10</v>
      </c>
      <c r="D64" s="9" t="s">
        <v>200</v>
      </c>
      <c r="E64" s="14" t="s">
        <v>201</v>
      </c>
      <c r="F64" s="10" t="s">
        <v>13</v>
      </c>
      <c r="G64" s="10" t="s">
        <v>11</v>
      </c>
      <c r="H64" s="10" t="s">
        <v>11</v>
      </c>
      <c r="I64" s="10" t="s">
        <v>11</v>
      </c>
    </row>
    <row r="65" spans="1:9" ht="15" hidden="1" customHeight="1" x14ac:dyDescent="0.25">
      <c r="A65" s="7" t="s">
        <v>202</v>
      </c>
      <c r="B65" s="47" t="str">
        <f t="shared" si="0"/>
        <v>ENTITY_GDWILL_PRVS</v>
      </c>
      <c r="C65" s="8" t="s">
        <v>10</v>
      </c>
      <c r="D65" s="9" t="s">
        <v>203</v>
      </c>
      <c r="E65" s="14" t="s">
        <v>204</v>
      </c>
      <c r="F65" s="10" t="s">
        <v>13</v>
      </c>
      <c r="G65" s="10" t="s">
        <v>11</v>
      </c>
      <c r="H65" s="10" t="s">
        <v>11</v>
      </c>
      <c r="I65" s="10" t="s">
        <v>11</v>
      </c>
    </row>
    <row r="66" spans="1:9" ht="15" hidden="1" customHeight="1" x14ac:dyDescent="0.25">
      <c r="A66" s="7" t="s">
        <v>205</v>
      </c>
      <c r="B66" s="47" t="str">
        <f t="shared" si="0"/>
        <v>ENTITY_LTI</v>
      </c>
      <c r="C66" s="8" t="s">
        <v>10</v>
      </c>
      <c r="D66" s="9" t="s">
        <v>206</v>
      </c>
      <c r="E66" s="14" t="s">
        <v>207</v>
      </c>
      <c r="F66" s="10" t="s">
        <v>13</v>
      </c>
      <c r="G66" s="10" t="s">
        <v>11</v>
      </c>
      <c r="H66" s="10" t="s">
        <v>11</v>
      </c>
      <c r="I66" s="10" t="s">
        <v>11</v>
      </c>
    </row>
    <row r="67" spans="1:9" ht="15" hidden="1" customHeight="1" x14ac:dyDescent="0.25">
      <c r="A67" s="7" t="s">
        <v>208</v>
      </c>
      <c r="B67" s="47" t="str">
        <f t="shared" ref="B67:B130" si="1">C67&amp;"_"&amp;D67</f>
        <v>ENTITY_LVRG</v>
      </c>
      <c r="C67" s="8" t="s">
        <v>10</v>
      </c>
      <c r="D67" s="9" t="s">
        <v>209</v>
      </c>
      <c r="E67" s="14" t="s">
        <v>210</v>
      </c>
      <c r="F67" s="10" t="s">
        <v>13</v>
      </c>
      <c r="G67" s="10" t="s">
        <v>11</v>
      </c>
      <c r="H67" s="10" t="s">
        <v>11</v>
      </c>
      <c r="I67" s="10" t="s">
        <v>11</v>
      </c>
    </row>
    <row r="68" spans="1:9" ht="15" hidden="1" customHeight="1" x14ac:dyDescent="0.25">
      <c r="A68" s="7" t="s">
        <v>211</v>
      </c>
      <c r="B68" s="47" t="str">
        <f t="shared" si="1"/>
        <v>ENTITY_LVRG_PRVS</v>
      </c>
      <c r="C68" s="8" t="s">
        <v>10</v>
      </c>
      <c r="D68" s="9" t="s">
        <v>212</v>
      </c>
      <c r="E68" s="14" t="s">
        <v>213</v>
      </c>
      <c r="F68" s="10" t="s">
        <v>13</v>
      </c>
      <c r="G68" s="10" t="s">
        <v>11</v>
      </c>
      <c r="H68" s="10" t="s">
        <v>11</v>
      </c>
      <c r="I68" s="10" t="s">
        <v>11</v>
      </c>
    </row>
    <row r="69" spans="1:9" ht="15" hidden="1" customHeight="1" x14ac:dyDescent="0.25">
      <c r="A69" s="7" t="s">
        <v>214</v>
      </c>
      <c r="B69" s="47" t="str">
        <f t="shared" si="1"/>
        <v>ENTITY_MNTHL_INCM</v>
      </c>
      <c r="C69" s="8" t="s">
        <v>10</v>
      </c>
      <c r="D69" s="9" t="s">
        <v>215</v>
      </c>
      <c r="E69" s="14" t="s">
        <v>216</v>
      </c>
      <c r="F69" s="10" t="s">
        <v>13</v>
      </c>
      <c r="G69" s="10" t="s">
        <v>11</v>
      </c>
      <c r="H69" s="10" t="s">
        <v>11</v>
      </c>
      <c r="I69" s="10" t="s">
        <v>11</v>
      </c>
    </row>
    <row r="70" spans="1:9" ht="15" hidden="1" customHeight="1" x14ac:dyDescent="0.25">
      <c r="A70" s="7" t="s">
        <v>217</v>
      </c>
      <c r="B70" s="47" t="str">
        <f t="shared" si="1"/>
        <v>ENTITY_MNTHL_INCM_SLR</v>
      </c>
      <c r="C70" s="8" t="s">
        <v>10</v>
      </c>
      <c r="D70" s="9" t="s">
        <v>218</v>
      </c>
      <c r="E70" s="14" t="s">
        <v>219</v>
      </c>
      <c r="F70" s="10" t="s">
        <v>13</v>
      </c>
      <c r="G70" s="10" t="s">
        <v>11</v>
      </c>
      <c r="H70" s="10" t="s">
        <v>11</v>
      </c>
      <c r="I70" s="10" t="s">
        <v>11</v>
      </c>
    </row>
    <row r="71" spans="1:9" ht="15" hidden="1" customHeight="1" x14ac:dyDescent="0.25">
      <c r="A71" s="7" t="s">
        <v>220</v>
      </c>
      <c r="B71" s="47" t="str">
        <f t="shared" si="1"/>
        <v>ENTITY_MNTHL_TRNVR</v>
      </c>
      <c r="C71" s="8" t="s">
        <v>10</v>
      </c>
      <c r="D71" s="9" t="s">
        <v>221</v>
      </c>
      <c r="E71" s="14" t="s">
        <v>222</v>
      </c>
      <c r="F71" s="10" t="s">
        <v>13</v>
      </c>
      <c r="G71" s="10" t="s">
        <v>11</v>
      </c>
      <c r="H71" s="10" t="s">
        <v>11</v>
      </c>
      <c r="I71" s="10" t="s">
        <v>11</v>
      </c>
    </row>
    <row r="72" spans="1:9" ht="15" hidden="1" customHeight="1" x14ac:dyDescent="0.25">
      <c r="A72" s="7" t="s">
        <v>223</v>
      </c>
      <c r="B72" s="47" t="str">
        <f t="shared" si="1"/>
        <v>ENTITY_NT_INCM</v>
      </c>
      <c r="C72" s="8" t="s">
        <v>10</v>
      </c>
      <c r="D72" s="9" t="s">
        <v>224</v>
      </c>
      <c r="E72" s="14" t="s">
        <v>225</v>
      </c>
      <c r="F72" s="10" t="s">
        <v>13</v>
      </c>
      <c r="G72" s="10" t="s">
        <v>11</v>
      </c>
      <c r="H72" s="10" t="s">
        <v>11</v>
      </c>
      <c r="I72" s="10" t="s">
        <v>11</v>
      </c>
    </row>
    <row r="73" spans="1:9" ht="15" hidden="1" customHeight="1" x14ac:dyDescent="0.25">
      <c r="A73" s="7" t="s">
        <v>226</v>
      </c>
      <c r="B73" s="47" t="str">
        <f t="shared" si="1"/>
        <v>ENTITY_NT_INCM_PRVS</v>
      </c>
      <c r="C73" s="8" t="s">
        <v>10</v>
      </c>
      <c r="D73" s="9" t="s">
        <v>227</v>
      </c>
      <c r="E73" s="14" t="s">
        <v>228</v>
      </c>
      <c r="F73" s="10" t="s">
        <v>13</v>
      </c>
      <c r="G73" s="10" t="s">
        <v>11</v>
      </c>
      <c r="H73" s="10" t="s">
        <v>11</v>
      </c>
      <c r="I73" s="10" t="s">
        <v>11</v>
      </c>
    </row>
    <row r="74" spans="1:9" ht="15" hidden="1" customHeight="1" x14ac:dyDescent="0.25">
      <c r="A74" s="7" t="s">
        <v>229</v>
      </c>
      <c r="B74" s="47" t="str">
        <f t="shared" si="1"/>
        <v>ENTITY_TTL_DBT</v>
      </c>
      <c r="C74" s="8" t="s">
        <v>10</v>
      </c>
      <c r="D74" s="9" t="s">
        <v>230</v>
      </c>
      <c r="E74" s="14" t="s">
        <v>231</v>
      </c>
      <c r="F74" s="10" t="s">
        <v>13</v>
      </c>
      <c r="G74" s="10" t="s">
        <v>11</v>
      </c>
      <c r="H74" s="10" t="s">
        <v>13</v>
      </c>
      <c r="I74" s="10" t="s">
        <v>11</v>
      </c>
    </row>
    <row r="75" spans="1:9" ht="15" hidden="1" customHeight="1" x14ac:dyDescent="0.25">
      <c r="A75" s="7" t="s">
        <v>232</v>
      </c>
      <c r="B75" s="47" t="str">
        <f t="shared" si="1"/>
        <v>ENTITY_TTL_DBT_PRVS</v>
      </c>
      <c r="C75" s="8" t="s">
        <v>10</v>
      </c>
      <c r="D75" s="9" t="s">
        <v>233</v>
      </c>
      <c r="E75" s="14" t="s">
        <v>234</v>
      </c>
      <c r="F75" s="10" t="s">
        <v>13</v>
      </c>
      <c r="G75" s="10" t="s">
        <v>11</v>
      </c>
      <c r="H75" s="10" t="s">
        <v>11</v>
      </c>
      <c r="I75" s="10" t="s">
        <v>11</v>
      </c>
    </row>
    <row r="76" spans="1:9" ht="15" hidden="1" customHeight="1" x14ac:dyDescent="0.25">
      <c r="A76" s="7" t="s">
        <v>235</v>
      </c>
      <c r="B76" s="47" t="str">
        <f t="shared" si="1"/>
        <v>ENTITY_TTL_INTRST_PD</v>
      </c>
      <c r="C76" s="8" t="s">
        <v>10</v>
      </c>
      <c r="D76" s="9" t="s">
        <v>236</v>
      </c>
      <c r="E76" s="14" t="s">
        <v>237</v>
      </c>
      <c r="F76" s="10" t="s">
        <v>13</v>
      </c>
      <c r="G76" s="10" t="s">
        <v>11</v>
      </c>
      <c r="H76" s="10" t="s">
        <v>11</v>
      </c>
      <c r="I76" s="10" t="s">
        <v>11</v>
      </c>
    </row>
    <row r="77" spans="1:9" ht="15" hidden="1" customHeight="1" x14ac:dyDescent="0.25">
      <c r="A77" s="7" t="s">
        <v>238</v>
      </c>
      <c r="B77" s="47" t="str">
        <f t="shared" si="1"/>
        <v>ENTITY_TTL_LVRG_RT</v>
      </c>
      <c r="C77" s="8" t="s">
        <v>10</v>
      </c>
      <c r="D77" s="9" t="s">
        <v>239</v>
      </c>
      <c r="E77" s="14" t="s">
        <v>240</v>
      </c>
      <c r="F77" s="10" t="s">
        <v>13</v>
      </c>
      <c r="G77" s="10" t="s">
        <v>11</v>
      </c>
      <c r="H77" s="10" t="s">
        <v>11</v>
      </c>
      <c r="I77" s="10" t="s">
        <v>11</v>
      </c>
    </row>
    <row r="78" spans="1:9" ht="15" hidden="1" customHeight="1" x14ac:dyDescent="0.25">
      <c r="A78" s="7" t="s">
        <v>241</v>
      </c>
      <c r="B78" s="47" t="str">
        <f t="shared" si="1"/>
        <v>ENTITY_TTL_LVRG_RT_PRVS</v>
      </c>
      <c r="C78" s="8" t="s">
        <v>10</v>
      </c>
      <c r="D78" s="9" t="s">
        <v>242</v>
      </c>
      <c r="E78" s="14" t="s">
        <v>243</v>
      </c>
      <c r="F78" s="10" t="s">
        <v>13</v>
      </c>
      <c r="G78" s="10" t="s">
        <v>11</v>
      </c>
      <c r="H78" s="10" t="s">
        <v>11</v>
      </c>
      <c r="I78" s="10" t="s">
        <v>11</v>
      </c>
    </row>
    <row r="79" spans="1:9" ht="15" hidden="1" customHeight="1" x14ac:dyDescent="0.25">
      <c r="A79" s="7" t="s">
        <v>244</v>
      </c>
      <c r="B79" s="47" t="str">
        <f t="shared" si="1"/>
        <v>ENTITY_DBT_RPYMNT_CPCTY_SNR_DBT</v>
      </c>
      <c r="C79" s="8" t="s">
        <v>10</v>
      </c>
      <c r="D79" s="9" t="s">
        <v>245</v>
      </c>
      <c r="E79" s="14" t="s">
        <v>246</v>
      </c>
      <c r="F79" s="10" t="s">
        <v>13</v>
      </c>
      <c r="G79" s="10" t="s">
        <v>11</v>
      </c>
      <c r="H79" s="10" t="s">
        <v>11</v>
      </c>
      <c r="I79" s="10" t="s">
        <v>11</v>
      </c>
    </row>
    <row r="80" spans="1:9" ht="15" hidden="1" customHeight="1" x14ac:dyDescent="0.25">
      <c r="A80" s="7" t="s">
        <v>247</v>
      </c>
      <c r="B80" s="47" t="str">
        <f t="shared" si="1"/>
        <v>ENTITY_DBT_RPYMNT_CPCTY_TTL</v>
      </c>
      <c r="C80" s="8" t="s">
        <v>10</v>
      </c>
      <c r="D80" s="9" t="s">
        <v>248</v>
      </c>
      <c r="E80" s="14" t="s">
        <v>249</v>
      </c>
      <c r="F80" s="10" t="s">
        <v>13</v>
      </c>
      <c r="G80" s="10" t="s">
        <v>11</v>
      </c>
      <c r="H80" s="10" t="s">
        <v>11</v>
      </c>
      <c r="I80" s="10" t="s">
        <v>11</v>
      </c>
    </row>
    <row r="81" spans="1:9" ht="15" hidden="1" customHeight="1" x14ac:dyDescent="0.25">
      <c r="A81" s="7" t="s">
        <v>250</v>
      </c>
      <c r="B81" s="47" t="str">
        <f t="shared" si="1"/>
        <v>ENTITY_DBT_SRVC_RT</v>
      </c>
      <c r="C81" s="8" t="s">
        <v>10</v>
      </c>
      <c r="D81" s="9" t="s">
        <v>251</v>
      </c>
      <c r="E81" s="14" t="s">
        <v>252</v>
      </c>
      <c r="F81" s="10" t="s">
        <v>13</v>
      </c>
      <c r="G81" s="10" t="s">
        <v>11</v>
      </c>
      <c r="H81" s="10" t="s">
        <v>11</v>
      </c>
      <c r="I81" s="10" t="s">
        <v>11</v>
      </c>
    </row>
    <row r="82" spans="1:9" ht="15" hidden="1" customHeight="1" x14ac:dyDescent="0.25">
      <c r="A82" s="7" t="s">
        <v>253</v>
      </c>
      <c r="B82" s="47" t="str">
        <f t="shared" si="1"/>
        <v>ENTITY_DBT_SRVC_RT_12M</v>
      </c>
      <c r="C82" s="8" t="s">
        <v>10</v>
      </c>
      <c r="D82" s="9" t="s">
        <v>254</v>
      </c>
      <c r="E82" s="14" t="s">
        <v>255</v>
      </c>
      <c r="F82" s="10" t="s">
        <v>13</v>
      </c>
      <c r="G82" s="10" t="s">
        <v>11</v>
      </c>
      <c r="H82" s="10" t="s">
        <v>11</v>
      </c>
      <c r="I82" s="10" t="s">
        <v>11</v>
      </c>
    </row>
    <row r="83" spans="1:9" ht="15" hidden="1" customHeight="1" x14ac:dyDescent="0.25">
      <c r="A83" s="7" t="s">
        <v>256</v>
      </c>
      <c r="B83" s="47" t="str">
        <f t="shared" si="1"/>
        <v>ENTITY_PD_CRR_RD</v>
      </c>
      <c r="C83" s="8" t="s">
        <v>10</v>
      </c>
      <c r="D83" s="9" t="s">
        <v>257</v>
      </c>
      <c r="E83" s="14" t="s">
        <v>258</v>
      </c>
      <c r="F83" s="10" t="s">
        <v>13</v>
      </c>
      <c r="G83" s="10" t="s">
        <v>11</v>
      </c>
      <c r="H83" s="10" t="s">
        <v>11</v>
      </c>
      <c r="I83" s="10" t="s">
        <v>11</v>
      </c>
    </row>
    <row r="84" spans="1:9" ht="15" hidden="1" customHeight="1" x14ac:dyDescent="0.25">
      <c r="A84" s="7" t="s">
        <v>259</v>
      </c>
      <c r="B84" s="47" t="str">
        <f t="shared" si="1"/>
        <v>ENTITY_PD_IFRS9_12M_RD</v>
      </c>
      <c r="C84" s="8" t="s">
        <v>10</v>
      </c>
      <c r="D84" s="9" t="s">
        <v>260</v>
      </c>
      <c r="E84" s="14" t="s">
        <v>261</v>
      </c>
      <c r="F84" s="10" t="s">
        <v>13</v>
      </c>
      <c r="G84" s="10" t="s">
        <v>11</v>
      </c>
      <c r="H84" s="10" t="s">
        <v>11</v>
      </c>
      <c r="I84" s="10" t="s">
        <v>11</v>
      </c>
    </row>
    <row r="85" spans="1:9" ht="15" hidden="1" customHeight="1" x14ac:dyDescent="0.25">
      <c r="A85" s="7" t="s">
        <v>262</v>
      </c>
      <c r="B85" s="47" t="str">
        <f t="shared" si="1"/>
        <v>ENTITY_PD_IFRS9_12M_RD_T1</v>
      </c>
      <c r="C85" s="8" t="s">
        <v>10</v>
      </c>
      <c r="D85" s="9" t="s">
        <v>263</v>
      </c>
      <c r="E85" s="14" t="s">
        <v>264</v>
      </c>
      <c r="F85" s="10" t="s">
        <v>13</v>
      </c>
      <c r="G85" s="10" t="s">
        <v>11</v>
      </c>
      <c r="H85" s="10" t="s">
        <v>11</v>
      </c>
      <c r="I85" s="10" t="s">
        <v>11</v>
      </c>
    </row>
    <row r="86" spans="1:9" ht="15" hidden="1" customHeight="1" x14ac:dyDescent="0.25">
      <c r="A86" s="7" t="s">
        <v>265</v>
      </c>
      <c r="B86" s="47" t="str">
        <f t="shared" si="1"/>
        <v>ENTITY_TAX_ID</v>
      </c>
      <c r="C86" s="8" t="s">
        <v>10</v>
      </c>
      <c r="D86" s="9" t="s">
        <v>266</v>
      </c>
      <c r="E86" s="14" t="s">
        <v>267</v>
      </c>
      <c r="F86" s="10" t="s">
        <v>13</v>
      </c>
      <c r="G86" s="10" t="s">
        <v>11</v>
      </c>
      <c r="H86" s="10" t="s">
        <v>11</v>
      </c>
      <c r="I86" s="10" t="s">
        <v>11</v>
      </c>
    </row>
    <row r="87" spans="1:9" ht="15" hidden="1" customHeight="1" x14ac:dyDescent="0.25">
      <c r="A87" s="7" t="s">
        <v>268</v>
      </c>
      <c r="B87" s="47" t="str">
        <f t="shared" si="1"/>
        <v>ENTITY_ANNL_TRNVR_LE_BDR</v>
      </c>
      <c r="C87" s="8" t="s">
        <v>10</v>
      </c>
      <c r="D87" s="9" t="s">
        <v>269</v>
      </c>
      <c r="E87" s="14" t="s">
        <v>270</v>
      </c>
      <c r="F87" s="10" t="s">
        <v>13</v>
      </c>
      <c r="G87" s="10" t="s">
        <v>11</v>
      </c>
      <c r="H87" s="10" t="s">
        <v>11</v>
      </c>
      <c r="I87" s="10" t="s">
        <v>11</v>
      </c>
    </row>
    <row r="88" spans="1:9" ht="15" hidden="1" customHeight="1" x14ac:dyDescent="0.25">
      <c r="A88" s="7" t="s">
        <v>271</v>
      </c>
      <c r="B88" s="47" t="str">
        <f t="shared" si="1"/>
        <v>ENTITY_ANNL_TRNVR_PRVS_BDR</v>
      </c>
      <c r="C88" s="8" t="s">
        <v>10</v>
      </c>
      <c r="D88" s="9" t="s">
        <v>272</v>
      </c>
      <c r="E88" s="14" t="s">
        <v>273</v>
      </c>
      <c r="F88" s="10" t="s">
        <v>13</v>
      </c>
      <c r="G88" s="10" t="s">
        <v>11</v>
      </c>
      <c r="H88" s="10" t="s">
        <v>11</v>
      </c>
      <c r="I88" s="10" t="s">
        <v>11</v>
      </c>
    </row>
    <row r="89" spans="1:9" ht="15" hidden="1" customHeight="1" x14ac:dyDescent="0.25">
      <c r="A89" s="7" t="s">
        <v>274</v>
      </c>
      <c r="B89" s="47" t="str">
        <f t="shared" si="1"/>
        <v>ENTITY_OSI_ID</v>
      </c>
      <c r="C89" s="8" t="s">
        <v>10</v>
      </c>
      <c r="D89" s="9" t="s">
        <v>275</v>
      </c>
      <c r="E89" s="14" t="s">
        <v>276</v>
      </c>
      <c r="F89" s="10" t="s">
        <v>13</v>
      </c>
      <c r="G89" s="10" t="s">
        <v>11</v>
      </c>
      <c r="H89" s="10" t="s">
        <v>11</v>
      </c>
      <c r="I89" s="10" t="s">
        <v>11</v>
      </c>
    </row>
    <row r="90" spans="1:9" ht="15" hidden="1" customHeight="1" x14ac:dyDescent="0.25">
      <c r="A90" s="7" t="s">
        <v>277</v>
      </c>
      <c r="B90" s="47" t="str">
        <f t="shared" si="1"/>
        <v>ENTITY_PD_CRR_RD_T1</v>
      </c>
      <c r="C90" s="8" t="s">
        <v>10</v>
      </c>
      <c r="D90" s="9" t="s">
        <v>278</v>
      </c>
      <c r="E90" s="14" t="s">
        <v>279</v>
      </c>
      <c r="F90" s="10" t="s">
        <v>13</v>
      </c>
      <c r="G90" s="10" t="s">
        <v>11</v>
      </c>
      <c r="H90" s="10" t="s">
        <v>11</v>
      </c>
      <c r="I90" s="10" t="s">
        <v>11</v>
      </c>
    </row>
    <row r="91" spans="1:9" ht="15" hidden="1" customHeight="1" x14ac:dyDescent="0.25">
      <c r="A91" s="7" t="s">
        <v>280</v>
      </c>
      <c r="B91" s="47" t="str">
        <f t="shared" si="1"/>
        <v>ENTITY_EC_GRP_ID</v>
      </c>
      <c r="C91" s="8" t="s">
        <v>10</v>
      </c>
      <c r="D91" s="9" t="s">
        <v>281</v>
      </c>
      <c r="E91" s="14" t="s">
        <v>282</v>
      </c>
      <c r="F91" s="10" t="s">
        <v>13</v>
      </c>
      <c r="G91" s="10" t="s">
        <v>11</v>
      </c>
      <c r="H91" s="10" t="s">
        <v>11</v>
      </c>
      <c r="I91" s="10" t="s">
        <v>11</v>
      </c>
    </row>
    <row r="92" spans="1:9" ht="15" hidden="1" customHeight="1" x14ac:dyDescent="0.25">
      <c r="A92" s="7" t="s">
        <v>283</v>
      </c>
      <c r="B92" s="47" t="str">
        <f t="shared" si="1"/>
        <v>ENTITY_EC_GRP_NM</v>
      </c>
      <c r="C92" s="8" t="s">
        <v>10</v>
      </c>
      <c r="D92" s="9" t="s">
        <v>284</v>
      </c>
      <c r="E92" s="14" t="s">
        <v>285</v>
      </c>
      <c r="F92" s="10" t="s">
        <v>13</v>
      </c>
      <c r="G92" s="10" t="s">
        <v>11</v>
      </c>
      <c r="H92" s="10" t="s">
        <v>11</v>
      </c>
      <c r="I92" s="10" t="s">
        <v>11</v>
      </c>
    </row>
    <row r="93" spans="1:9" ht="15" hidden="1" customHeight="1" x14ac:dyDescent="0.25">
      <c r="A93" s="7" t="s">
        <v>286</v>
      </c>
      <c r="B93" s="47" t="str">
        <f t="shared" si="1"/>
        <v>ENTITY_PST_CD</v>
      </c>
      <c r="C93" s="8" t="s">
        <v>10</v>
      </c>
      <c r="D93" s="9" t="s">
        <v>287</v>
      </c>
      <c r="E93" s="14" t="s">
        <v>288</v>
      </c>
      <c r="F93" s="10" t="s">
        <v>11</v>
      </c>
      <c r="G93" s="10" t="s">
        <v>11</v>
      </c>
      <c r="H93" s="10" t="s">
        <v>13</v>
      </c>
      <c r="I93" s="10" t="s">
        <v>13</v>
      </c>
    </row>
    <row r="94" spans="1:9" ht="15" hidden="1" customHeight="1" x14ac:dyDescent="0.25">
      <c r="A94" s="7" t="s">
        <v>289</v>
      </c>
      <c r="B94" s="47" t="str">
        <f t="shared" si="1"/>
        <v>ENTITY_ESG_SBSCTR</v>
      </c>
      <c r="C94" s="8" t="s">
        <v>10</v>
      </c>
      <c r="D94" s="9" t="s">
        <v>290</v>
      </c>
      <c r="E94" s="14" t="s">
        <v>291</v>
      </c>
      <c r="F94" s="10" t="s">
        <v>11</v>
      </c>
      <c r="G94" s="10" t="s">
        <v>11</v>
      </c>
      <c r="H94" s="10" t="s">
        <v>13</v>
      </c>
      <c r="I94" s="10" t="s">
        <v>11</v>
      </c>
    </row>
    <row r="95" spans="1:9" ht="13.8" hidden="1" x14ac:dyDescent="0.25">
      <c r="A95" s="7" t="s">
        <v>292</v>
      </c>
      <c r="B95" s="47" t="str">
        <f t="shared" si="1"/>
        <v>ENTITY_NACE_ESG</v>
      </c>
      <c r="C95" s="8" t="s">
        <v>10</v>
      </c>
      <c r="D95" s="9" t="s">
        <v>293</v>
      </c>
      <c r="E95" s="14" t="s">
        <v>294</v>
      </c>
      <c r="F95" s="10" t="s">
        <v>11</v>
      </c>
      <c r="G95" s="10" t="s">
        <v>11</v>
      </c>
      <c r="H95" s="10" t="s">
        <v>13</v>
      </c>
      <c r="I95" s="10" t="s">
        <v>13</v>
      </c>
    </row>
    <row r="96" spans="1:9" ht="15" hidden="1" customHeight="1" x14ac:dyDescent="0.25">
      <c r="A96" s="7" t="s">
        <v>295</v>
      </c>
      <c r="B96" s="47" t="str">
        <f t="shared" si="1"/>
        <v>ENTITY_TTL_LBLTY</v>
      </c>
      <c r="C96" s="8" t="s">
        <v>10</v>
      </c>
      <c r="D96" s="9" t="s">
        <v>296</v>
      </c>
      <c r="E96" s="14" t="s">
        <v>297</v>
      </c>
      <c r="F96" s="10" t="s">
        <v>11</v>
      </c>
      <c r="G96" s="10" t="s">
        <v>11</v>
      </c>
      <c r="H96" s="10" t="s">
        <v>13</v>
      </c>
      <c r="I96" s="10" t="s">
        <v>11</v>
      </c>
    </row>
    <row r="97" spans="1:9" ht="15" hidden="1" customHeight="1" x14ac:dyDescent="0.25">
      <c r="A97" s="7" t="s">
        <v>298</v>
      </c>
      <c r="B97" s="47" t="str">
        <f t="shared" si="1"/>
        <v>ENTITY_TXNMY_ELGBL_CAPEX_CCM</v>
      </c>
      <c r="C97" s="8" t="s">
        <v>10</v>
      </c>
      <c r="D97" s="9" t="s">
        <v>299</v>
      </c>
      <c r="E97" s="14" t="s">
        <v>300</v>
      </c>
      <c r="F97" s="10" t="s">
        <v>11</v>
      </c>
      <c r="G97" s="10" t="s">
        <v>11</v>
      </c>
      <c r="H97" s="10" t="s">
        <v>13</v>
      </c>
      <c r="I97" s="10" t="s">
        <v>11</v>
      </c>
    </row>
    <row r="98" spans="1:9" ht="15" hidden="1" customHeight="1" x14ac:dyDescent="0.25">
      <c r="A98" s="7" t="s">
        <v>301</v>
      </c>
      <c r="B98" s="47" t="str">
        <f t="shared" si="1"/>
        <v>ENTITY_TXNMY_ELGBL_TRNVR_CCM</v>
      </c>
      <c r="C98" s="8" t="s">
        <v>10</v>
      </c>
      <c r="D98" s="9" t="s">
        <v>302</v>
      </c>
      <c r="E98" s="14" t="s">
        <v>303</v>
      </c>
      <c r="F98" s="10" t="s">
        <v>11</v>
      </c>
      <c r="G98" s="10" t="s">
        <v>11</v>
      </c>
      <c r="H98" s="10" t="s">
        <v>13</v>
      </c>
      <c r="I98" s="10" t="s">
        <v>11</v>
      </c>
    </row>
    <row r="99" spans="1:9" ht="15" hidden="1" customHeight="1" x14ac:dyDescent="0.25">
      <c r="A99" s="7" t="s">
        <v>304</v>
      </c>
      <c r="B99" s="47" t="str">
        <f t="shared" si="1"/>
        <v>ENTITY_TXNMY_ELGBL_CAPEX_CCA</v>
      </c>
      <c r="C99" s="8" t="s">
        <v>10</v>
      </c>
      <c r="D99" s="9" t="s">
        <v>305</v>
      </c>
      <c r="E99" s="14" t="s">
        <v>306</v>
      </c>
      <c r="F99" s="10" t="s">
        <v>11</v>
      </c>
      <c r="G99" s="10" t="s">
        <v>11</v>
      </c>
      <c r="H99" s="10" t="s">
        <v>13</v>
      </c>
      <c r="I99" s="10" t="s">
        <v>11</v>
      </c>
    </row>
    <row r="100" spans="1:9" ht="15" hidden="1" customHeight="1" x14ac:dyDescent="0.25">
      <c r="A100" s="7" t="s">
        <v>307</v>
      </c>
      <c r="B100" s="47" t="str">
        <f t="shared" si="1"/>
        <v>ENTITY_TXNMY_ELGBL_TRNVR_CCA</v>
      </c>
      <c r="C100" s="8" t="s">
        <v>10</v>
      </c>
      <c r="D100" s="9" t="s">
        <v>308</v>
      </c>
      <c r="E100" s="14" t="s">
        <v>309</v>
      </c>
      <c r="F100" s="10" t="s">
        <v>11</v>
      </c>
      <c r="G100" s="10" t="s">
        <v>11</v>
      </c>
      <c r="H100" s="10" t="s">
        <v>13</v>
      </c>
      <c r="I100" s="10" t="s">
        <v>11</v>
      </c>
    </row>
    <row r="101" spans="1:9" ht="15" hidden="1" customHeight="1" x14ac:dyDescent="0.25">
      <c r="A101" s="7" t="s">
        <v>310</v>
      </c>
      <c r="B101" s="47" t="str">
        <f t="shared" si="1"/>
        <v>ENTITY_ENBLNG_CAPEX_CCM</v>
      </c>
      <c r="C101" s="8" t="s">
        <v>10</v>
      </c>
      <c r="D101" s="9" t="s">
        <v>311</v>
      </c>
      <c r="E101" s="14" t="s">
        <v>312</v>
      </c>
      <c r="F101" s="10" t="s">
        <v>11</v>
      </c>
      <c r="G101" s="10" t="s">
        <v>11</v>
      </c>
      <c r="H101" s="10" t="s">
        <v>13</v>
      </c>
      <c r="I101" s="10" t="s">
        <v>11</v>
      </c>
    </row>
    <row r="102" spans="1:9" ht="15" hidden="1" customHeight="1" x14ac:dyDescent="0.25">
      <c r="A102" s="7" t="s">
        <v>313</v>
      </c>
      <c r="B102" s="47" t="str">
        <f t="shared" si="1"/>
        <v>ENTITY_ENBLNG_CAPEX_CCA</v>
      </c>
      <c r="C102" s="8" t="s">
        <v>10</v>
      </c>
      <c r="D102" s="9" t="s">
        <v>314</v>
      </c>
      <c r="E102" s="14" t="s">
        <v>315</v>
      </c>
      <c r="F102" s="10" t="s">
        <v>11</v>
      </c>
      <c r="G102" s="10" t="s">
        <v>11</v>
      </c>
      <c r="H102" s="10" t="s">
        <v>13</v>
      </c>
      <c r="I102" s="10" t="s">
        <v>11</v>
      </c>
    </row>
    <row r="103" spans="1:9" ht="15" hidden="1" customHeight="1" x14ac:dyDescent="0.25">
      <c r="A103" s="7" t="s">
        <v>316</v>
      </c>
      <c r="B103" s="47" t="str">
        <f t="shared" si="1"/>
        <v>ENTITY_TRNSTNL_CAPEX</v>
      </c>
      <c r="C103" s="8" t="s">
        <v>10</v>
      </c>
      <c r="D103" s="9" t="s">
        <v>317</v>
      </c>
      <c r="E103" s="14" t="s">
        <v>318</v>
      </c>
      <c r="F103" s="10" t="s">
        <v>11</v>
      </c>
      <c r="G103" s="10" t="s">
        <v>11</v>
      </c>
      <c r="H103" s="10" t="s">
        <v>13</v>
      </c>
      <c r="I103" s="10" t="s">
        <v>11</v>
      </c>
    </row>
    <row r="104" spans="1:9" ht="15" hidden="1" customHeight="1" x14ac:dyDescent="0.25">
      <c r="A104" s="7" t="s">
        <v>319</v>
      </c>
      <c r="B104" s="47" t="str">
        <f t="shared" si="1"/>
        <v>ENTITY_PURE_CAPEX_CCM</v>
      </c>
      <c r="C104" s="8" t="s">
        <v>10</v>
      </c>
      <c r="D104" s="9" t="s">
        <v>320</v>
      </c>
      <c r="E104" s="14" t="s">
        <v>321</v>
      </c>
      <c r="F104" s="10" t="s">
        <v>11</v>
      </c>
      <c r="G104" s="10" t="s">
        <v>11</v>
      </c>
      <c r="H104" s="10" t="s">
        <v>13</v>
      </c>
      <c r="I104" s="10" t="s">
        <v>11</v>
      </c>
    </row>
    <row r="105" spans="1:9" ht="15" hidden="1" customHeight="1" x14ac:dyDescent="0.25">
      <c r="A105" s="7" t="s">
        <v>322</v>
      </c>
      <c r="B105" s="47" t="str">
        <f t="shared" si="1"/>
        <v>ENTITY_PURE_CAPEX_CCA</v>
      </c>
      <c r="C105" s="8" t="s">
        <v>10</v>
      </c>
      <c r="D105" s="9" t="s">
        <v>323</v>
      </c>
      <c r="E105" s="14" t="s">
        <v>324</v>
      </c>
      <c r="F105" s="10" t="s">
        <v>11</v>
      </c>
      <c r="G105" s="10" t="s">
        <v>11</v>
      </c>
      <c r="H105" s="10" t="s">
        <v>13</v>
      </c>
      <c r="I105" s="10" t="s">
        <v>11</v>
      </c>
    </row>
    <row r="106" spans="1:9" ht="15" hidden="1" customHeight="1" x14ac:dyDescent="0.25">
      <c r="A106" s="7" t="s">
        <v>325</v>
      </c>
      <c r="B106" s="47" t="str">
        <f t="shared" si="1"/>
        <v>ENTITY_ENBLNG_TRNVR_CCM</v>
      </c>
      <c r="C106" s="8" t="s">
        <v>10</v>
      </c>
      <c r="D106" s="9" t="s">
        <v>326</v>
      </c>
      <c r="E106" s="14" t="s">
        <v>327</v>
      </c>
      <c r="F106" s="10" t="s">
        <v>11</v>
      </c>
      <c r="G106" s="10" t="s">
        <v>11</v>
      </c>
      <c r="H106" s="10" t="s">
        <v>13</v>
      </c>
      <c r="I106" s="10" t="s">
        <v>11</v>
      </c>
    </row>
    <row r="107" spans="1:9" ht="15" hidden="1" customHeight="1" x14ac:dyDescent="0.25">
      <c r="A107" s="7" t="s">
        <v>328</v>
      </c>
      <c r="B107" s="47" t="str">
        <f t="shared" si="1"/>
        <v>ENTITY_ENBLNG_TRNVR_CCA</v>
      </c>
      <c r="C107" s="8" t="s">
        <v>10</v>
      </c>
      <c r="D107" s="9" t="s">
        <v>329</v>
      </c>
      <c r="E107" s="14" t="s">
        <v>330</v>
      </c>
      <c r="F107" s="10" t="s">
        <v>11</v>
      </c>
      <c r="G107" s="10" t="s">
        <v>11</v>
      </c>
      <c r="H107" s="10" t="s">
        <v>13</v>
      </c>
      <c r="I107" s="10" t="s">
        <v>11</v>
      </c>
    </row>
    <row r="108" spans="1:9" ht="15" hidden="1" customHeight="1" x14ac:dyDescent="0.25">
      <c r="A108" s="7" t="s">
        <v>331</v>
      </c>
      <c r="B108" s="47" t="str">
        <f t="shared" si="1"/>
        <v>ENTITY_TRNSTNL_TRNVR</v>
      </c>
      <c r="C108" s="8" t="s">
        <v>10</v>
      </c>
      <c r="D108" s="9" t="s">
        <v>332</v>
      </c>
      <c r="E108" s="14" t="s">
        <v>333</v>
      </c>
      <c r="F108" s="10" t="s">
        <v>11</v>
      </c>
      <c r="G108" s="10" t="s">
        <v>11</v>
      </c>
      <c r="H108" s="10" t="s">
        <v>13</v>
      </c>
      <c r="I108" s="10" t="s">
        <v>11</v>
      </c>
    </row>
    <row r="109" spans="1:9" ht="15" hidden="1" customHeight="1" x14ac:dyDescent="0.25">
      <c r="A109" s="7" t="s">
        <v>334</v>
      </c>
      <c r="B109" s="47" t="str">
        <f t="shared" si="1"/>
        <v>ENTITY_PURE_TRNVR_CCM</v>
      </c>
      <c r="C109" s="8" t="s">
        <v>10</v>
      </c>
      <c r="D109" s="9" t="s">
        <v>335</v>
      </c>
      <c r="E109" s="14" t="s">
        <v>336</v>
      </c>
      <c r="F109" s="10" t="s">
        <v>11</v>
      </c>
      <c r="G109" s="10" t="s">
        <v>11</v>
      </c>
      <c r="H109" s="10" t="s">
        <v>13</v>
      </c>
      <c r="I109" s="10" t="s">
        <v>11</v>
      </c>
    </row>
    <row r="110" spans="1:9" ht="15" hidden="1" customHeight="1" x14ac:dyDescent="0.25">
      <c r="A110" s="7" t="s">
        <v>337</v>
      </c>
      <c r="B110" s="47" t="str">
        <f t="shared" si="1"/>
        <v>ENTITY_PURE_TRNVR_CCA</v>
      </c>
      <c r="C110" s="8" t="s">
        <v>10</v>
      </c>
      <c r="D110" s="9" t="s">
        <v>338</v>
      </c>
      <c r="E110" s="14" t="s">
        <v>339</v>
      </c>
      <c r="F110" s="10" t="s">
        <v>11</v>
      </c>
      <c r="G110" s="10" t="s">
        <v>11</v>
      </c>
      <c r="H110" s="10" t="s">
        <v>13</v>
      </c>
      <c r="I110" s="10" t="s">
        <v>11</v>
      </c>
    </row>
    <row r="111" spans="1:9" ht="15" hidden="1" customHeight="1" x14ac:dyDescent="0.25">
      <c r="A111" s="7" t="s">
        <v>340</v>
      </c>
      <c r="B111" s="47" t="str">
        <f t="shared" si="1"/>
        <v>ENTITY_FLG_NFRD_APPLCBLTY</v>
      </c>
      <c r="C111" s="8" t="s">
        <v>10</v>
      </c>
      <c r="D111" s="9" t="s">
        <v>341</v>
      </c>
      <c r="E111" s="14" t="s">
        <v>342</v>
      </c>
      <c r="F111" s="10" t="s">
        <v>11</v>
      </c>
      <c r="G111" s="10" t="s">
        <v>11</v>
      </c>
      <c r="H111" s="10" t="s">
        <v>13</v>
      </c>
      <c r="I111" s="10" t="s">
        <v>13</v>
      </c>
    </row>
    <row r="112" spans="1:9" ht="15" hidden="1" customHeight="1" x14ac:dyDescent="0.25">
      <c r="A112" s="7" t="s">
        <v>343</v>
      </c>
      <c r="B112" s="47" t="str">
        <f t="shared" si="1"/>
        <v>ENTITY_FLG_GRP_NFRD_APPLCBLTY</v>
      </c>
      <c r="C112" s="8" t="s">
        <v>10</v>
      </c>
      <c r="D112" s="9" t="s">
        <v>344</v>
      </c>
      <c r="E112" s="14" t="s">
        <v>345</v>
      </c>
      <c r="F112" s="10" t="s">
        <v>11</v>
      </c>
      <c r="G112" s="10" t="s">
        <v>11</v>
      </c>
      <c r="H112" s="10" t="s">
        <v>13</v>
      </c>
      <c r="I112" s="10" t="s">
        <v>13</v>
      </c>
    </row>
    <row r="113" spans="1:9" ht="15" hidden="1" customHeight="1" x14ac:dyDescent="0.25">
      <c r="A113" s="7" t="s">
        <v>346</v>
      </c>
      <c r="B113" s="47" t="str">
        <f t="shared" si="1"/>
        <v>ENTITY_ISIN</v>
      </c>
      <c r="C113" s="8" t="s">
        <v>10</v>
      </c>
      <c r="D113" s="9" t="s">
        <v>347</v>
      </c>
      <c r="E113" s="14" t="s">
        <v>347</v>
      </c>
      <c r="F113" s="10" t="s">
        <v>11</v>
      </c>
      <c r="G113" s="10" t="s">
        <v>11</v>
      </c>
      <c r="H113" s="10" t="s">
        <v>13</v>
      </c>
      <c r="I113" s="10" t="s">
        <v>11</v>
      </c>
    </row>
    <row r="114" spans="1:9" ht="15" hidden="1" customHeight="1" x14ac:dyDescent="0.25">
      <c r="A114" s="7" t="s">
        <v>348</v>
      </c>
      <c r="B114" s="47" t="str">
        <f t="shared" si="1"/>
        <v>ENTITY_GRP_ANNL_TRNVR_LE</v>
      </c>
      <c r="C114" s="8" t="s">
        <v>10</v>
      </c>
      <c r="D114" s="9" t="s">
        <v>349</v>
      </c>
      <c r="E114" s="14" t="s">
        <v>350</v>
      </c>
      <c r="F114" s="10" t="s">
        <v>11</v>
      </c>
      <c r="G114" s="10" t="s">
        <v>11</v>
      </c>
      <c r="H114" s="10" t="s">
        <v>13</v>
      </c>
      <c r="I114" s="10" t="s">
        <v>11</v>
      </c>
    </row>
    <row r="115" spans="1:9" ht="15" hidden="1" customHeight="1" x14ac:dyDescent="0.25">
      <c r="A115" s="7" t="s">
        <v>351</v>
      </c>
      <c r="B115" s="47" t="str">
        <f t="shared" si="1"/>
        <v>ENTITY_GRP_TTL_LBLTY</v>
      </c>
      <c r="C115" s="8" t="s">
        <v>10</v>
      </c>
      <c r="D115" s="9" t="s">
        <v>352</v>
      </c>
      <c r="E115" s="14" t="s">
        <v>353</v>
      </c>
      <c r="F115" s="10" t="s">
        <v>11</v>
      </c>
      <c r="G115" s="10" t="s">
        <v>11</v>
      </c>
      <c r="H115" s="10" t="s">
        <v>13</v>
      </c>
      <c r="I115" s="10" t="s">
        <v>11</v>
      </c>
    </row>
    <row r="116" spans="1:9" ht="15" hidden="1" customHeight="1" x14ac:dyDescent="0.25">
      <c r="A116" s="7" t="s">
        <v>354</v>
      </c>
      <c r="B116" s="47" t="str">
        <f t="shared" si="1"/>
        <v>ENTITY_CNTRPRTY_EMSSNS_SCP1</v>
      </c>
      <c r="C116" s="8" t="s">
        <v>10</v>
      </c>
      <c r="D116" s="9" t="s">
        <v>355</v>
      </c>
      <c r="E116" s="14" t="s">
        <v>356</v>
      </c>
      <c r="F116" s="10" t="s">
        <v>11</v>
      </c>
      <c r="G116" s="10" t="s">
        <v>11</v>
      </c>
      <c r="H116" s="10" t="s">
        <v>13</v>
      </c>
      <c r="I116" s="10" t="s">
        <v>13</v>
      </c>
    </row>
    <row r="117" spans="1:9" ht="15" hidden="1" customHeight="1" x14ac:dyDescent="0.25">
      <c r="A117" s="7" t="s">
        <v>357</v>
      </c>
      <c r="B117" s="47" t="str">
        <f t="shared" si="1"/>
        <v>ENTITY_CNTRPRTY_EMSSNS_SCP2</v>
      </c>
      <c r="C117" s="8" t="s">
        <v>10</v>
      </c>
      <c r="D117" s="9" t="s">
        <v>358</v>
      </c>
      <c r="E117" s="14" t="s">
        <v>359</v>
      </c>
      <c r="F117" s="10" t="s">
        <v>11</v>
      </c>
      <c r="G117" s="10" t="s">
        <v>11</v>
      </c>
      <c r="H117" s="10" t="s">
        <v>13</v>
      </c>
      <c r="I117" s="10" t="s">
        <v>13</v>
      </c>
    </row>
    <row r="118" spans="1:9" ht="15" hidden="1" customHeight="1" x14ac:dyDescent="0.25">
      <c r="A118" s="7" t="s">
        <v>360</v>
      </c>
      <c r="B118" s="47" t="str">
        <f t="shared" si="1"/>
        <v>ENTITY_CNTRPRTY_EMSSNS_SCP3</v>
      </c>
      <c r="C118" s="8" t="s">
        <v>10</v>
      </c>
      <c r="D118" s="9" t="s">
        <v>361</v>
      </c>
      <c r="E118" s="14" t="s">
        <v>362</v>
      </c>
      <c r="F118" s="10" t="s">
        <v>11</v>
      </c>
      <c r="G118" s="10" t="s">
        <v>11</v>
      </c>
      <c r="H118" s="10" t="s">
        <v>13</v>
      </c>
      <c r="I118" s="10" t="s">
        <v>13</v>
      </c>
    </row>
    <row r="119" spans="1:9" ht="15" hidden="1" customHeight="1" x14ac:dyDescent="0.25">
      <c r="A119" s="7" t="s">
        <v>363</v>
      </c>
      <c r="B119" s="47" t="str">
        <f t="shared" si="1"/>
        <v>ENTITY_FLG_EXCLDD_EU_PRS_ALGND_BNCHMRK</v>
      </c>
      <c r="C119" s="8" t="s">
        <v>10</v>
      </c>
      <c r="D119" s="9" t="s">
        <v>364</v>
      </c>
      <c r="E119" s="14" t="s">
        <v>365</v>
      </c>
      <c r="F119" s="10" t="s">
        <v>11</v>
      </c>
      <c r="G119" s="10" t="s">
        <v>11</v>
      </c>
      <c r="H119" s="10" t="s">
        <v>13</v>
      </c>
      <c r="I119" s="10" t="s">
        <v>11</v>
      </c>
    </row>
    <row r="120" spans="1:9" ht="15" hidden="1" customHeight="1" x14ac:dyDescent="0.25">
      <c r="A120" s="7" t="s">
        <v>366</v>
      </c>
      <c r="B120" s="47" t="str">
        <f t="shared" si="1"/>
        <v>ENTITY_GRP_EMSSNS_SCP1</v>
      </c>
      <c r="C120" s="8" t="s">
        <v>10</v>
      </c>
      <c r="D120" s="9" t="s">
        <v>367</v>
      </c>
      <c r="E120" s="14" t="s">
        <v>368</v>
      </c>
      <c r="F120" s="10" t="s">
        <v>11</v>
      </c>
      <c r="G120" s="10" t="s">
        <v>11</v>
      </c>
      <c r="H120" s="10" t="s">
        <v>13</v>
      </c>
      <c r="I120" s="10" t="s">
        <v>13</v>
      </c>
    </row>
    <row r="121" spans="1:9" ht="15" hidden="1" customHeight="1" x14ac:dyDescent="0.25">
      <c r="A121" s="7" t="s">
        <v>369</v>
      </c>
      <c r="B121" s="47" t="str">
        <f t="shared" si="1"/>
        <v>ENTITY_GRP_EMSSNS_SCP2</v>
      </c>
      <c r="C121" s="8" t="s">
        <v>10</v>
      </c>
      <c r="D121" s="9" t="s">
        <v>370</v>
      </c>
      <c r="E121" s="14" t="s">
        <v>371</v>
      </c>
      <c r="F121" s="10" t="s">
        <v>11</v>
      </c>
      <c r="G121" s="10" t="s">
        <v>11</v>
      </c>
      <c r="H121" s="10" t="s">
        <v>13</v>
      </c>
      <c r="I121" s="10" t="s">
        <v>13</v>
      </c>
    </row>
    <row r="122" spans="1:9" ht="15" hidden="1" customHeight="1" x14ac:dyDescent="0.25">
      <c r="A122" s="7" t="s">
        <v>372</v>
      </c>
      <c r="B122" s="47" t="str">
        <f t="shared" si="1"/>
        <v>ENTITY_GRP_EMSSNS_SCP3</v>
      </c>
      <c r="C122" s="8" t="s">
        <v>10</v>
      </c>
      <c r="D122" s="9" t="s">
        <v>373</v>
      </c>
      <c r="E122" s="14" t="s">
        <v>374</v>
      </c>
      <c r="F122" s="10" t="s">
        <v>11</v>
      </c>
      <c r="G122" s="10" t="s">
        <v>11</v>
      </c>
      <c r="H122" s="10" t="s">
        <v>13</v>
      </c>
      <c r="I122" s="10" t="s">
        <v>13</v>
      </c>
    </row>
    <row r="123" spans="1:9" ht="15" hidden="1" customHeight="1" x14ac:dyDescent="0.25">
      <c r="A123" s="7" t="s">
        <v>375</v>
      </c>
      <c r="B123" s="47" t="str">
        <f t="shared" si="1"/>
        <v>ENTITY_FLG_ACT_PHYSCL_RSK</v>
      </c>
      <c r="C123" s="8" t="s">
        <v>10</v>
      </c>
      <c r="D123" s="9" t="s">
        <v>376</v>
      </c>
      <c r="E123" s="32" t="s">
        <v>377</v>
      </c>
      <c r="F123" s="10" t="s">
        <v>11</v>
      </c>
      <c r="G123" s="10" t="s">
        <v>11</v>
      </c>
      <c r="H123" s="10" t="s">
        <v>13</v>
      </c>
      <c r="I123" s="10" t="s">
        <v>11</v>
      </c>
    </row>
    <row r="124" spans="1:9" ht="15" hidden="1" customHeight="1" x14ac:dyDescent="0.25">
      <c r="A124" s="7" t="s">
        <v>378</v>
      </c>
      <c r="B124" s="47" t="str">
        <f t="shared" si="1"/>
        <v>ENTITY_FLG_CHRNC_PHYSCL_RSK</v>
      </c>
      <c r="C124" s="8" t="s">
        <v>10</v>
      </c>
      <c r="D124" s="9" t="s">
        <v>379</v>
      </c>
      <c r="E124" s="32" t="s">
        <v>380</v>
      </c>
      <c r="F124" s="10" t="s">
        <v>11</v>
      </c>
      <c r="G124" s="10" t="s">
        <v>11</v>
      </c>
      <c r="H124" s="10" t="s">
        <v>13</v>
      </c>
      <c r="I124" s="10" t="s">
        <v>11</v>
      </c>
    </row>
    <row r="125" spans="1:9" ht="15" hidden="1" customHeight="1" x14ac:dyDescent="0.25">
      <c r="A125" s="7" t="s">
        <v>381</v>
      </c>
      <c r="B125" s="47" t="str">
        <f t="shared" si="1"/>
        <v>ENTITY_GRP_ECNMC_ACTVTY</v>
      </c>
      <c r="C125" s="8" t="s">
        <v>10</v>
      </c>
      <c r="D125" s="9" t="s">
        <v>382</v>
      </c>
      <c r="E125" s="32" t="s">
        <v>383</v>
      </c>
      <c r="F125" s="10" t="s">
        <v>11</v>
      </c>
      <c r="G125" s="10" t="s">
        <v>11</v>
      </c>
      <c r="H125" s="10" t="s">
        <v>11</v>
      </c>
      <c r="I125" s="10" t="s">
        <v>13</v>
      </c>
    </row>
    <row r="126" spans="1:9" ht="15" hidden="1" customHeight="1" x14ac:dyDescent="0.25">
      <c r="A126" s="7" t="s">
        <v>384</v>
      </c>
      <c r="B126" s="47" t="str">
        <f t="shared" si="1"/>
        <v>ENTITY_PRSN_TYP</v>
      </c>
      <c r="C126" s="8" t="s">
        <v>10</v>
      </c>
      <c r="D126" s="9" t="s">
        <v>385</v>
      </c>
      <c r="E126" s="32" t="s">
        <v>386</v>
      </c>
      <c r="F126" s="10" t="s">
        <v>13</v>
      </c>
      <c r="G126" s="10" t="s">
        <v>11</v>
      </c>
      <c r="H126" s="10" t="s">
        <v>11</v>
      </c>
      <c r="I126" s="10" t="s">
        <v>11</v>
      </c>
    </row>
    <row r="127" spans="1:9" ht="15" hidden="1" customHeight="1" x14ac:dyDescent="0.25">
      <c r="A127" s="7" t="s">
        <v>387</v>
      </c>
      <c r="B127" s="47" t="str">
        <f t="shared" si="1"/>
        <v>ENTITY_FR_CSH_FLW</v>
      </c>
      <c r="C127" s="8" t="s">
        <v>10</v>
      </c>
      <c r="D127" s="9" t="s">
        <v>388</v>
      </c>
      <c r="E127" s="33" t="s">
        <v>389</v>
      </c>
      <c r="F127" s="10" t="s">
        <v>13</v>
      </c>
      <c r="G127" s="10" t="s">
        <v>11</v>
      </c>
      <c r="H127" s="10" t="s">
        <v>11</v>
      </c>
      <c r="I127" s="10" t="s">
        <v>11</v>
      </c>
    </row>
    <row r="128" spans="1:9" ht="15" hidden="1" customHeight="1" x14ac:dyDescent="0.25">
      <c r="A128" s="7" t="s">
        <v>390</v>
      </c>
      <c r="B128" s="47" t="str">
        <f t="shared" si="1"/>
        <v>ENTITY_FR_CSH_FLW_T1</v>
      </c>
      <c r="C128" s="8" t="s">
        <v>10</v>
      </c>
      <c r="D128" s="9" t="s">
        <v>391</v>
      </c>
      <c r="E128" s="33" t="s">
        <v>392</v>
      </c>
      <c r="F128" s="10" t="s">
        <v>13</v>
      </c>
      <c r="G128" s="10" t="s">
        <v>11</v>
      </c>
      <c r="H128" s="10" t="s">
        <v>11</v>
      </c>
      <c r="I128" s="10" t="s">
        <v>11</v>
      </c>
    </row>
    <row r="129" spans="1:9" ht="15" hidden="1" customHeight="1" x14ac:dyDescent="0.25">
      <c r="A129" s="7" t="s">
        <v>393</v>
      </c>
      <c r="B129" s="47" t="str">
        <f t="shared" si="1"/>
        <v>ENTITY_FR_CSH_FLW_T2</v>
      </c>
      <c r="C129" s="8" t="s">
        <v>10</v>
      </c>
      <c r="D129" s="9" t="s">
        <v>394</v>
      </c>
      <c r="E129" s="33" t="s">
        <v>395</v>
      </c>
      <c r="F129" s="10" t="s">
        <v>13</v>
      </c>
      <c r="G129" s="10" t="s">
        <v>11</v>
      </c>
      <c r="H129" s="10" t="s">
        <v>11</v>
      </c>
      <c r="I129" s="10" t="s">
        <v>11</v>
      </c>
    </row>
    <row r="130" spans="1:9" ht="15" hidden="1" customHeight="1" x14ac:dyDescent="0.25">
      <c r="A130" s="7" t="s">
        <v>396</v>
      </c>
      <c r="B130" s="47" t="str">
        <f t="shared" si="1"/>
        <v>ENTITY_FR_CSH_FLW_T3</v>
      </c>
      <c r="C130" s="8" t="s">
        <v>10</v>
      </c>
      <c r="D130" s="9" t="s">
        <v>397</v>
      </c>
      <c r="E130" s="32" t="s">
        <v>398</v>
      </c>
      <c r="F130" s="10" t="s">
        <v>13</v>
      </c>
      <c r="G130" s="10" t="s">
        <v>11</v>
      </c>
      <c r="H130" s="10" t="s">
        <v>11</v>
      </c>
      <c r="I130" s="10" t="s">
        <v>11</v>
      </c>
    </row>
    <row r="131" spans="1:9" ht="15" hidden="1" customHeight="1" x14ac:dyDescent="0.25">
      <c r="A131" s="40" t="s">
        <v>1292</v>
      </c>
      <c r="B131" s="47" t="str">
        <f t="shared" ref="B131:B194" si="2">C131&amp;"_"&amp;D131</f>
        <v>ENTITY_ADDRSS_CTY</v>
      </c>
      <c r="C131" s="8" t="s">
        <v>10</v>
      </c>
      <c r="D131" s="41" t="s">
        <v>1293</v>
      </c>
      <c r="E131" s="33" t="s">
        <v>1294</v>
      </c>
      <c r="F131" s="10" t="s">
        <v>13</v>
      </c>
      <c r="G131" s="10" t="s">
        <v>11</v>
      </c>
      <c r="H131" s="10" t="s">
        <v>11</v>
      </c>
      <c r="I131" s="10" t="s">
        <v>11</v>
      </c>
    </row>
    <row r="132" spans="1:9" ht="15" hidden="1" customHeight="1" x14ac:dyDescent="0.25">
      <c r="A132" s="40" t="s">
        <v>1295</v>
      </c>
      <c r="B132" s="47" t="str">
        <f t="shared" si="2"/>
        <v>ENTITY_ADDRSS_STRT</v>
      </c>
      <c r="C132" s="8" t="s">
        <v>10</v>
      </c>
      <c r="D132" s="41" t="s">
        <v>1296</v>
      </c>
      <c r="E132" s="33" t="s">
        <v>1297</v>
      </c>
      <c r="F132" s="10" t="s">
        <v>13</v>
      </c>
      <c r="G132" s="10" t="s">
        <v>11</v>
      </c>
      <c r="H132" s="10" t="s">
        <v>11</v>
      </c>
      <c r="I132" s="10" t="s">
        <v>11</v>
      </c>
    </row>
    <row r="133" spans="1:9" ht="15" hidden="1" customHeight="1" x14ac:dyDescent="0.25">
      <c r="A133" s="40" t="s">
        <v>1298</v>
      </c>
      <c r="B133" s="47" t="str">
        <f t="shared" si="2"/>
        <v>ENTITY_DT_ENTRPRS_SZ</v>
      </c>
      <c r="C133" s="8" t="s">
        <v>10</v>
      </c>
      <c r="D133" s="41" t="s">
        <v>1299</v>
      </c>
      <c r="E133" s="32" t="s">
        <v>1300</v>
      </c>
      <c r="F133" s="10" t="s">
        <v>13</v>
      </c>
      <c r="G133" s="10" t="s">
        <v>11</v>
      </c>
      <c r="H133" s="10" t="s">
        <v>11</v>
      </c>
      <c r="I133" s="10" t="s">
        <v>11</v>
      </c>
    </row>
    <row r="134" spans="1:9" ht="15" hidden="1" customHeight="1" x14ac:dyDescent="0.25">
      <c r="A134" s="40" t="s">
        <v>1301</v>
      </c>
      <c r="B134" s="47" t="str">
        <f t="shared" si="2"/>
        <v>ENTITY_NMBR_EMPLYS</v>
      </c>
      <c r="C134" s="8" t="s">
        <v>10</v>
      </c>
      <c r="D134" s="41" t="s">
        <v>1302</v>
      </c>
      <c r="E134" s="33" t="s">
        <v>1303</v>
      </c>
      <c r="F134" s="10" t="s">
        <v>13</v>
      </c>
      <c r="G134" s="10" t="s">
        <v>11</v>
      </c>
      <c r="H134" s="10" t="s">
        <v>11</v>
      </c>
      <c r="I134" s="10" t="s">
        <v>11</v>
      </c>
    </row>
    <row r="135" spans="1:9" ht="15" hidden="1" customHeight="1" x14ac:dyDescent="0.25">
      <c r="A135" s="40" t="s">
        <v>1304</v>
      </c>
      <c r="B135" s="47" t="str">
        <f t="shared" si="2"/>
        <v>ENTITY_LGL_FRM</v>
      </c>
      <c r="C135" s="8" t="s">
        <v>10</v>
      </c>
      <c r="D135" s="41" t="s">
        <v>1305</v>
      </c>
      <c r="E135" s="33" t="s">
        <v>1306</v>
      </c>
      <c r="F135" s="10" t="s">
        <v>13</v>
      </c>
      <c r="G135" s="10" t="s">
        <v>11</v>
      </c>
      <c r="H135" s="10" t="s">
        <v>11</v>
      </c>
      <c r="I135" s="10" t="s">
        <v>11</v>
      </c>
    </row>
    <row r="136" spans="1:9" ht="15" hidden="1" customHeight="1" x14ac:dyDescent="0.25">
      <c r="A136" s="40" t="s">
        <v>1307</v>
      </c>
      <c r="B136" s="47" t="str">
        <f t="shared" si="2"/>
        <v>ENTITY_HD_OFFC_UNDRTKNG_ID</v>
      </c>
      <c r="C136" s="8" t="s">
        <v>10</v>
      </c>
      <c r="D136" s="41" t="s">
        <v>1308</v>
      </c>
      <c r="E136" s="32" t="s">
        <v>1309</v>
      </c>
      <c r="F136" s="10" t="s">
        <v>13</v>
      </c>
      <c r="G136" s="10" t="s">
        <v>11</v>
      </c>
      <c r="H136" s="10" t="s">
        <v>11</v>
      </c>
      <c r="I136" s="10" t="s">
        <v>11</v>
      </c>
    </row>
    <row r="137" spans="1:9" ht="15" hidden="1" customHeight="1" x14ac:dyDescent="0.25">
      <c r="A137" s="40" t="s">
        <v>1310</v>
      </c>
      <c r="B137" s="47" t="str">
        <f t="shared" si="2"/>
        <v>ENTITY_IMMDT_PRNT_UNDRTKNG_ID</v>
      </c>
      <c r="C137" s="8" t="s">
        <v>10</v>
      </c>
      <c r="D137" s="41" t="s">
        <v>1311</v>
      </c>
      <c r="E137" s="33" t="s">
        <v>1312</v>
      </c>
      <c r="F137" s="10" t="s">
        <v>13</v>
      </c>
      <c r="G137" s="10" t="s">
        <v>11</v>
      </c>
      <c r="H137" s="10" t="s">
        <v>11</v>
      </c>
      <c r="I137" s="10" t="s">
        <v>11</v>
      </c>
    </row>
    <row r="138" spans="1:9" ht="15" hidden="1" customHeight="1" x14ac:dyDescent="0.25">
      <c r="A138" s="40" t="s">
        <v>1313</v>
      </c>
      <c r="B138" s="47" t="str">
        <f t="shared" si="2"/>
        <v>ENTITY_ULTMT_PRNT_UNDRTKNG_ID</v>
      </c>
      <c r="C138" s="8" t="s">
        <v>10</v>
      </c>
      <c r="D138" s="41" t="s">
        <v>1314</v>
      </c>
      <c r="E138" s="33" t="s">
        <v>1315</v>
      </c>
      <c r="F138" s="10" t="s">
        <v>13</v>
      </c>
      <c r="G138" s="10" t="s">
        <v>11</v>
      </c>
      <c r="H138" s="10" t="s">
        <v>11</v>
      </c>
      <c r="I138" s="10" t="s">
        <v>11</v>
      </c>
    </row>
    <row r="139" spans="1:9" ht="15" hidden="1" customHeight="1" x14ac:dyDescent="0.25">
      <c r="A139" s="40" t="s">
        <v>1316</v>
      </c>
      <c r="B139" s="47" t="str">
        <f t="shared" si="2"/>
        <v>ENTITY_TTL_ASSTS</v>
      </c>
      <c r="C139" s="8" t="s">
        <v>10</v>
      </c>
      <c r="D139" s="41" t="s">
        <v>1317</v>
      </c>
      <c r="E139" s="32" t="s">
        <v>1318</v>
      </c>
      <c r="F139" s="10" t="s">
        <v>13</v>
      </c>
      <c r="G139" s="10" t="s">
        <v>11</v>
      </c>
      <c r="H139" s="10" t="s">
        <v>11</v>
      </c>
      <c r="I139" s="10" t="s">
        <v>11</v>
      </c>
    </row>
    <row r="140" spans="1:9" ht="15" hidden="1" customHeight="1" x14ac:dyDescent="0.25">
      <c r="A140" s="40" t="s">
        <v>1319</v>
      </c>
      <c r="B140" s="47" t="str">
        <f t="shared" si="2"/>
        <v>ENTITY_FLLN_ANGL_NRRW_DFNTN</v>
      </c>
      <c r="C140" s="8" t="s">
        <v>10</v>
      </c>
      <c r="D140" s="41" t="s">
        <v>1320</v>
      </c>
      <c r="E140" s="33" t="s">
        <v>1321</v>
      </c>
      <c r="F140" s="10" t="s">
        <v>13</v>
      </c>
      <c r="G140" s="10" t="s">
        <v>11</v>
      </c>
      <c r="H140" s="10" t="s">
        <v>11</v>
      </c>
      <c r="I140" s="10" t="s">
        <v>11</v>
      </c>
    </row>
    <row r="141" spans="1:9" ht="15" hidden="1" customHeight="1" x14ac:dyDescent="0.25">
      <c r="A141" s="40" t="s">
        <v>1322</v>
      </c>
      <c r="B141" s="47" t="str">
        <f t="shared" si="2"/>
        <v>ENTITY_FLLN_ANGL_EXTNDD_DFNTN</v>
      </c>
      <c r="C141" s="8" t="s">
        <v>10</v>
      </c>
      <c r="D141" s="41" t="s">
        <v>1323</v>
      </c>
      <c r="E141" s="32" t="s">
        <v>1324</v>
      </c>
      <c r="F141" s="10" t="s">
        <v>13</v>
      </c>
      <c r="G141" s="10" t="s">
        <v>11</v>
      </c>
      <c r="H141" s="10" t="s">
        <v>11</v>
      </c>
      <c r="I141" s="10" t="s">
        <v>11</v>
      </c>
    </row>
    <row r="142" spans="1:9" ht="15" hidden="1" customHeight="1" x14ac:dyDescent="0.25">
      <c r="A142" s="40" t="s">
        <v>1325</v>
      </c>
      <c r="B142" s="47" t="str">
        <f t="shared" si="2"/>
        <v>ENTITY_ENTTY_ID_BDR</v>
      </c>
      <c r="C142" s="8" t="s">
        <v>10</v>
      </c>
      <c r="D142" s="41" t="s">
        <v>1326</v>
      </c>
      <c r="E142" s="30" t="s">
        <v>1327</v>
      </c>
      <c r="F142" s="10" t="s">
        <v>13</v>
      </c>
      <c r="G142" s="10" t="s">
        <v>11</v>
      </c>
      <c r="H142" s="10" t="s">
        <v>11</v>
      </c>
      <c r="I142" s="10" t="s">
        <v>11</v>
      </c>
    </row>
    <row r="143" spans="1:9" ht="15" hidden="1" customHeight="1" x14ac:dyDescent="0.25">
      <c r="A143" s="7" t="s">
        <v>399</v>
      </c>
      <c r="B143" s="47" t="str">
        <f t="shared" si="2"/>
        <v>INSTR_ENTITY_COD_SOC</v>
      </c>
      <c r="C143" s="8" t="s">
        <v>400</v>
      </c>
      <c r="D143" s="9" t="s">
        <v>12</v>
      </c>
      <c r="E143" s="14" t="s">
        <v>14</v>
      </c>
      <c r="F143" s="10" t="s">
        <v>13</v>
      </c>
      <c r="G143" s="10" t="s">
        <v>11</v>
      </c>
      <c r="H143" s="10" t="s">
        <v>13</v>
      </c>
      <c r="I143" s="10" t="s">
        <v>11</v>
      </c>
    </row>
    <row r="144" spans="1:9" ht="15" hidden="1" customHeight="1" x14ac:dyDescent="0.25">
      <c r="A144" s="7" t="s">
        <v>401</v>
      </c>
      <c r="B144" s="47" t="str">
        <f t="shared" si="2"/>
        <v>INSTR_ENTITY_DT_RFRNC</v>
      </c>
      <c r="C144" s="8" t="s">
        <v>400</v>
      </c>
      <c r="D144" s="9" t="s">
        <v>38</v>
      </c>
      <c r="E144" s="14" t="s">
        <v>402</v>
      </c>
      <c r="F144" s="10" t="s">
        <v>13</v>
      </c>
      <c r="G144" s="10" t="s">
        <v>11</v>
      </c>
      <c r="H144" s="10" t="s">
        <v>13</v>
      </c>
      <c r="I144" s="10" t="s">
        <v>11</v>
      </c>
    </row>
    <row r="145" spans="1:9" ht="15" hidden="1" customHeight="1" x14ac:dyDescent="0.25">
      <c r="A145" s="7" t="s">
        <v>403</v>
      </c>
      <c r="B145" s="47" t="str">
        <f t="shared" si="2"/>
        <v>INSTR_ENTITY_ENTTY_ID</v>
      </c>
      <c r="C145" s="8" t="s">
        <v>400</v>
      </c>
      <c r="D145" s="9" t="s">
        <v>41</v>
      </c>
      <c r="E145" s="14" t="s">
        <v>42</v>
      </c>
      <c r="F145" s="10" t="s">
        <v>13</v>
      </c>
      <c r="G145" s="10" t="s">
        <v>11</v>
      </c>
      <c r="H145" s="10" t="s">
        <v>13</v>
      </c>
      <c r="I145" s="10" t="s">
        <v>11</v>
      </c>
    </row>
    <row r="146" spans="1:9" ht="15" hidden="1" customHeight="1" x14ac:dyDescent="0.25">
      <c r="A146" s="7" t="s">
        <v>404</v>
      </c>
      <c r="B146" s="47" t="str">
        <f t="shared" si="2"/>
        <v>INSTR_ENTITY_INSTRMNT_ID</v>
      </c>
      <c r="C146" s="8" t="s">
        <v>400</v>
      </c>
      <c r="D146" s="9" t="s">
        <v>405</v>
      </c>
      <c r="E146" s="14" t="s">
        <v>406</v>
      </c>
      <c r="F146" s="10" t="s">
        <v>13</v>
      </c>
      <c r="G146" s="10" t="s">
        <v>11</v>
      </c>
      <c r="H146" s="10" t="s">
        <v>13</v>
      </c>
      <c r="I146" s="10" t="s">
        <v>11</v>
      </c>
    </row>
    <row r="147" spans="1:9" ht="15" hidden="1" customHeight="1" x14ac:dyDescent="0.25">
      <c r="A147" s="7" t="s">
        <v>407</v>
      </c>
      <c r="B147" s="47" t="str">
        <f t="shared" si="2"/>
        <v>INSTR_ENTITY_JNT_LBLTY_AMNT</v>
      </c>
      <c r="C147" s="8" t="s">
        <v>400</v>
      </c>
      <c r="D147" s="9" t="s">
        <v>408</v>
      </c>
      <c r="E147" s="14" t="s">
        <v>409</v>
      </c>
      <c r="F147" s="10" t="s">
        <v>13</v>
      </c>
      <c r="G147" s="10" t="s">
        <v>11</v>
      </c>
      <c r="H147" s="10" t="s">
        <v>11</v>
      </c>
      <c r="I147" s="10" t="s">
        <v>11</v>
      </c>
    </row>
    <row r="148" spans="1:9" ht="15" hidden="1" customHeight="1" x14ac:dyDescent="0.25">
      <c r="A148" s="7" t="s">
        <v>410</v>
      </c>
      <c r="B148" s="47" t="str">
        <f t="shared" si="2"/>
        <v>INSTR_ENTITY_MN_ENTTY_ID</v>
      </c>
      <c r="C148" s="8" t="s">
        <v>400</v>
      </c>
      <c r="D148" s="9" t="s">
        <v>411</v>
      </c>
      <c r="E148" s="14" t="s">
        <v>412</v>
      </c>
      <c r="F148" s="10" t="s">
        <v>13</v>
      </c>
      <c r="G148" s="10" t="s">
        <v>11</v>
      </c>
      <c r="H148" s="10" t="s">
        <v>13</v>
      </c>
      <c r="I148" s="10" t="s">
        <v>11</v>
      </c>
    </row>
    <row r="149" spans="1:9" ht="15" hidden="1" customHeight="1" x14ac:dyDescent="0.25">
      <c r="A149" s="7" t="s">
        <v>413</v>
      </c>
      <c r="B149" s="47" t="str">
        <f t="shared" si="2"/>
        <v>INSTRUMENT_COD_SOC</v>
      </c>
      <c r="C149" s="8" t="s">
        <v>414</v>
      </c>
      <c r="D149" s="9" t="s">
        <v>12</v>
      </c>
      <c r="E149" s="14" t="s">
        <v>14</v>
      </c>
      <c r="F149" s="10" t="s">
        <v>13</v>
      </c>
      <c r="G149" s="10" t="s">
        <v>13</v>
      </c>
      <c r="H149" s="10" t="s">
        <v>13</v>
      </c>
      <c r="I149" s="10" t="s">
        <v>13</v>
      </c>
    </row>
    <row r="150" spans="1:9" ht="15" hidden="1" customHeight="1" x14ac:dyDescent="0.25">
      <c r="A150" s="7" t="s">
        <v>415</v>
      </c>
      <c r="B150" s="47" t="str">
        <f t="shared" si="2"/>
        <v>INSTRUMENT_SUBPORTFOLIO_ID</v>
      </c>
      <c r="C150" s="8" t="s">
        <v>414</v>
      </c>
      <c r="D150" s="9" t="s">
        <v>416</v>
      </c>
      <c r="E150" s="14" t="s">
        <v>417</v>
      </c>
      <c r="F150" s="10" t="s">
        <v>13</v>
      </c>
      <c r="G150" s="10" t="s">
        <v>13</v>
      </c>
      <c r="H150" s="10" t="s">
        <v>13</v>
      </c>
      <c r="I150" s="10" t="s">
        <v>13</v>
      </c>
    </row>
    <row r="151" spans="1:9" ht="15" hidden="1" customHeight="1" x14ac:dyDescent="0.25">
      <c r="A151" s="7" t="s">
        <v>418</v>
      </c>
      <c r="B151" s="47" t="str">
        <f t="shared" si="2"/>
        <v>INSTRUMENT_CRE_FNRP18</v>
      </c>
      <c r="C151" s="8" t="s">
        <v>414</v>
      </c>
      <c r="D151" s="9" t="s">
        <v>419</v>
      </c>
      <c r="E151" s="14" t="s">
        <v>420</v>
      </c>
      <c r="F151" s="10" t="s">
        <v>13</v>
      </c>
      <c r="G151" s="10" t="s">
        <v>11</v>
      </c>
      <c r="H151" s="10" t="s">
        <v>11</v>
      </c>
      <c r="I151" s="10" t="s">
        <v>11</v>
      </c>
    </row>
    <row r="152" spans="1:9" ht="15" hidden="1" customHeight="1" x14ac:dyDescent="0.25">
      <c r="A152" s="7" t="s">
        <v>421</v>
      </c>
      <c r="B152" s="47" t="str">
        <f t="shared" si="2"/>
        <v>INSTRUMENT_SME_FNRP18</v>
      </c>
      <c r="C152" s="8" t="s">
        <v>414</v>
      </c>
      <c r="D152" s="9" t="s">
        <v>422</v>
      </c>
      <c r="E152" s="14" t="s">
        <v>423</v>
      </c>
      <c r="F152" s="10" t="s">
        <v>13</v>
      </c>
      <c r="G152" s="10" t="s">
        <v>11</v>
      </c>
      <c r="H152" s="10" t="s">
        <v>11</v>
      </c>
      <c r="I152" s="10" t="s">
        <v>11</v>
      </c>
    </row>
    <row r="153" spans="1:9" ht="15" hidden="1" customHeight="1" x14ac:dyDescent="0.25">
      <c r="A153" s="7" t="s">
        <v>424</v>
      </c>
      <c r="B153" s="47" t="str">
        <f t="shared" si="2"/>
        <v>INSTRUMENT_RRE_FNRP18</v>
      </c>
      <c r="C153" s="8" t="s">
        <v>414</v>
      </c>
      <c r="D153" s="9" t="s">
        <v>425</v>
      </c>
      <c r="E153" s="14" t="s">
        <v>426</v>
      </c>
      <c r="F153" s="10" t="s">
        <v>13</v>
      </c>
      <c r="G153" s="10" t="s">
        <v>11</v>
      </c>
      <c r="H153" s="10" t="s">
        <v>11</v>
      </c>
      <c r="I153" s="10" t="s">
        <v>11</v>
      </c>
    </row>
    <row r="154" spans="1:9" ht="15" hidden="1" customHeight="1" x14ac:dyDescent="0.25">
      <c r="A154" s="7" t="s">
        <v>427</v>
      </c>
      <c r="B154" s="47" t="str">
        <f t="shared" si="2"/>
        <v>INSTRUMENT_CNSMPTN_FNRP18</v>
      </c>
      <c r="C154" s="8" t="s">
        <v>414</v>
      </c>
      <c r="D154" s="9" t="s">
        <v>428</v>
      </c>
      <c r="E154" s="14" t="s">
        <v>429</v>
      </c>
      <c r="F154" s="10" t="s">
        <v>13</v>
      </c>
      <c r="G154" s="10" t="s">
        <v>11</v>
      </c>
      <c r="H154" s="10" t="s">
        <v>11</v>
      </c>
      <c r="I154" s="10" t="s">
        <v>11</v>
      </c>
    </row>
    <row r="155" spans="1:9" ht="15" hidden="1" customHeight="1" x14ac:dyDescent="0.25">
      <c r="A155" s="7" t="s">
        <v>430</v>
      </c>
      <c r="B155" s="47" t="str">
        <f t="shared" si="2"/>
        <v>INSTRUMENT_DT_RFRNC</v>
      </c>
      <c r="C155" s="8" t="s">
        <v>414</v>
      </c>
      <c r="D155" s="9" t="s">
        <v>38</v>
      </c>
      <c r="E155" s="14" t="s">
        <v>402</v>
      </c>
      <c r="F155" s="10" t="s">
        <v>13</v>
      </c>
      <c r="G155" s="10" t="s">
        <v>13</v>
      </c>
      <c r="H155" s="10" t="s">
        <v>13</v>
      </c>
      <c r="I155" s="10" t="s">
        <v>13</v>
      </c>
    </row>
    <row r="156" spans="1:9" ht="15" hidden="1" customHeight="1" x14ac:dyDescent="0.25">
      <c r="A156" s="7" t="s">
        <v>431</v>
      </c>
      <c r="B156" s="47" t="str">
        <f t="shared" si="2"/>
        <v>INSTRUMENT_INSTRMNT_ID</v>
      </c>
      <c r="C156" s="8" t="s">
        <v>414</v>
      </c>
      <c r="D156" s="9" t="s">
        <v>405</v>
      </c>
      <c r="E156" s="14" t="s">
        <v>406</v>
      </c>
      <c r="F156" s="10" t="s">
        <v>13</v>
      </c>
      <c r="G156" s="10" t="s">
        <v>13</v>
      </c>
      <c r="H156" s="10" t="s">
        <v>13</v>
      </c>
      <c r="I156" s="10" t="s">
        <v>13</v>
      </c>
    </row>
    <row r="157" spans="1:9" ht="15" hidden="1" customHeight="1" x14ac:dyDescent="0.25">
      <c r="A157" s="7" t="s">
        <v>432</v>
      </c>
      <c r="B157" s="47" t="str">
        <f t="shared" si="2"/>
        <v>INSTRUMENT_CNTRCT_ID</v>
      </c>
      <c r="C157" s="8" t="s">
        <v>414</v>
      </c>
      <c r="D157" s="9" t="s">
        <v>433</v>
      </c>
      <c r="E157" s="14" t="s">
        <v>434</v>
      </c>
      <c r="F157" s="10" t="s">
        <v>13</v>
      </c>
      <c r="G157" s="10" t="s">
        <v>11</v>
      </c>
      <c r="H157" s="10" t="s">
        <v>11</v>
      </c>
      <c r="I157" s="10" t="s">
        <v>11</v>
      </c>
    </row>
    <row r="158" spans="1:9" ht="15" hidden="1" customHeight="1" x14ac:dyDescent="0.25">
      <c r="A158" s="7" t="s">
        <v>435</v>
      </c>
      <c r="B158" s="47" t="str">
        <f t="shared" si="2"/>
        <v>INSTRUMENT_CRRNCY_DNMNTN</v>
      </c>
      <c r="C158" s="8" t="s">
        <v>414</v>
      </c>
      <c r="D158" s="9" t="s">
        <v>436</v>
      </c>
      <c r="E158" s="14" t="s">
        <v>437</v>
      </c>
      <c r="F158" s="10" t="s">
        <v>13</v>
      </c>
      <c r="G158" s="10" t="s">
        <v>11</v>
      </c>
      <c r="H158" s="10" t="s">
        <v>11</v>
      </c>
      <c r="I158" s="10" t="s">
        <v>11</v>
      </c>
    </row>
    <row r="159" spans="1:9" ht="15" hidden="1" customHeight="1" x14ac:dyDescent="0.25">
      <c r="A159" s="7" t="s">
        <v>438</v>
      </c>
      <c r="B159" s="47" t="str">
        <f t="shared" si="2"/>
        <v>INSTRUMENT_DT_INCPTN</v>
      </c>
      <c r="C159" s="8" t="s">
        <v>414</v>
      </c>
      <c r="D159" s="9" t="s">
        <v>439</v>
      </c>
      <c r="E159" s="14" t="s">
        <v>440</v>
      </c>
      <c r="F159" s="10" t="s">
        <v>13</v>
      </c>
      <c r="G159" s="10" t="s">
        <v>11</v>
      </c>
      <c r="H159" s="10" t="s">
        <v>13</v>
      </c>
      <c r="I159" s="10" t="s">
        <v>11</v>
      </c>
    </row>
    <row r="160" spans="1:9" ht="15" hidden="1" customHeight="1" x14ac:dyDescent="0.25">
      <c r="A160" s="7" t="s">
        <v>441</v>
      </c>
      <c r="B160" s="47" t="str">
        <f t="shared" si="2"/>
        <v>INSTRUMENT_OBSRVD_AGNT_ID</v>
      </c>
      <c r="C160" s="8" t="s">
        <v>414</v>
      </c>
      <c r="D160" s="9" t="s">
        <v>442</v>
      </c>
      <c r="E160" s="14" t="s">
        <v>443</v>
      </c>
      <c r="F160" s="10" t="s">
        <v>13</v>
      </c>
      <c r="G160" s="10" t="s">
        <v>11</v>
      </c>
      <c r="H160" s="10" t="s">
        <v>11</v>
      </c>
      <c r="I160" s="10" t="s">
        <v>11</v>
      </c>
    </row>
    <row r="161" spans="1:9" ht="15" hidden="1" customHeight="1" x14ac:dyDescent="0.25">
      <c r="A161" s="7" t="s">
        <v>444</v>
      </c>
      <c r="B161" s="47" t="str">
        <f t="shared" si="2"/>
        <v>INSTRUMENT_OBSRVD_AGNT_NM</v>
      </c>
      <c r="C161" s="8" t="s">
        <v>414</v>
      </c>
      <c r="D161" s="9" t="s">
        <v>445</v>
      </c>
      <c r="E161" s="14" t="s">
        <v>446</v>
      </c>
      <c r="F161" s="10" t="s">
        <v>13</v>
      </c>
      <c r="G161" s="10" t="s">
        <v>11</v>
      </c>
      <c r="H161" s="10" t="s">
        <v>11</v>
      </c>
      <c r="I161" s="10" t="s">
        <v>11</v>
      </c>
    </row>
    <row r="162" spans="1:9" ht="15" hidden="1" customHeight="1" x14ac:dyDescent="0.25">
      <c r="A162" s="7" t="s">
        <v>447</v>
      </c>
      <c r="B162" s="47" t="str">
        <f t="shared" si="2"/>
        <v>INSTRUMENT_PRDCT</v>
      </c>
      <c r="C162" s="8" t="s">
        <v>414</v>
      </c>
      <c r="D162" s="9" t="s">
        <v>448</v>
      </c>
      <c r="E162" s="14" t="s">
        <v>449</v>
      </c>
      <c r="F162" s="10" t="s">
        <v>13</v>
      </c>
      <c r="G162" s="10" t="s">
        <v>11</v>
      </c>
      <c r="H162" s="10" t="s">
        <v>11</v>
      </c>
      <c r="I162" s="10" t="s">
        <v>11</v>
      </c>
    </row>
    <row r="163" spans="1:9" ht="15" hidden="1" customHeight="1" x14ac:dyDescent="0.25">
      <c r="A163" s="7" t="s">
        <v>450</v>
      </c>
      <c r="B163" s="47" t="str">
        <f t="shared" si="2"/>
        <v>INSTRUMENT_BRCHD_CVNNTS</v>
      </c>
      <c r="C163" s="8" t="s">
        <v>414</v>
      </c>
      <c r="D163" s="9" t="s">
        <v>451</v>
      </c>
      <c r="E163" s="14" t="s">
        <v>452</v>
      </c>
      <c r="F163" s="10" t="s">
        <v>13</v>
      </c>
      <c r="G163" s="10" t="s">
        <v>11</v>
      </c>
      <c r="H163" s="10" t="s">
        <v>11</v>
      </c>
      <c r="I163" s="10" t="s">
        <v>11</v>
      </c>
    </row>
    <row r="164" spans="1:9" ht="15" hidden="1" customHeight="1" x14ac:dyDescent="0.25">
      <c r="A164" s="7" t="s">
        <v>453</v>
      </c>
      <c r="B164" s="47" t="str">
        <f t="shared" si="2"/>
        <v>INSTRUMENT_CHNNL_ORGNTN</v>
      </c>
      <c r="C164" s="8" t="s">
        <v>414</v>
      </c>
      <c r="D164" s="9" t="s">
        <v>454</v>
      </c>
      <c r="E164" s="14" t="s">
        <v>455</v>
      </c>
      <c r="F164" s="10" t="s">
        <v>13</v>
      </c>
      <c r="G164" s="10" t="s">
        <v>11</v>
      </c>
      <c r="H164" s="10" t="s">
        <v>11</v>
      </c>
      <c r="I164" s="10" t="s">
        <v>11</v>
      </c>
    </row>
    <row r="165" spans="1:9" ht="15" hidden="1" customHeight="1" x14ac:dyDescent="0.25">
      <c r="A165" s="7" t="s">
        <v>456</v>
      </c>
      <c r="B165" s="47" t="str">
        <f t="shared" si="2"/>
        <v>INSTRUMENT_CSH_SWP_TRP</v>
      </c>
      <c r="C165" s="8" t="s">
        <v>414</v>
      </c>
      <c r="D165" s="19" t="s">
        <v>457</v>
      </c>
      <c r="E165" s="14" t="s">
        <v>458</v>
      </c>
      <c r="F165" s="10" t="s">
        <v>13</v>
      </c>
      <c r="G165" s="10" t="s">
        <v>11</v>
      </c>
      <c r="H165" s="10" t="s">
        <v>11</v>
      </c>
      <c r="I165" s="10" t="s">
        <v>11</v>
      </c>
    </row>
    <row r="166" spans="1:9" ht="15" hidden="1" customHeight="1" x14ac:dyDescent="0.25">
      <c r="A166" s="7" t="s">
        <v>459</v>
      </c>
      <c r="B166" s="47" t="str">
        <f t="shared" si="2"/>
        <v>INSTRUMENT_CVNNT_STTS</v>
      </c>
      <c r="C166" s="8" t="s">
        <v>414</v>
      </c>
      <c r="D166" s="9" t="s">
        <v>460</v>
      </c>
      <c r="E166" s="14" t="s">
        <v>461</v>
      </c>
      <c r="F166" s="10" t="s">
        <v>13</v>
      </c>
      <c r="G166" s="10" t="s">
        <v>11</v>
      </c>
      <c r="H166" s="10" t="s">
        <v>11</v>
      </c>
      <c r="I166" s="10" t="s">
        <v>11</v>
      </c>
    </row>
    <row r="167" spans="1:9" s="20" customFormat="1" ht="15" hidden="1" customHeight="1" x14ac:dyDescent="0.25">
      <c r="A167" s="7" t="s">
        <v>462</v>
      </c>
      <c r="B167" s="47" t="str">
        <f t="shared" si="2"/>
        <v>INSTRUMENT_CVNNT_TYP</v>
      </c>
      <c r="C167" s="8" t="s">
        <v>414</v>
      </c>
      <c r="D167" s="9" t="s">
        <v>463</v>
      </c>
      <c r="E167" s="14" t="s">
        <v>464</v>
      </c>
      <c r="F167" s="10" t="s">
        <v>13</v>
      </c>
      <c r="G167" s="10" t="s">
        <v>11</v>
      </c>
      <c r="H167" s="10" t="s">
        <v>11</v>
      </c>
      <c r="I167" s="10" t="s">
        <v>11</v>
      </c>
    </row>
    <row r="168" spans="1:9" ht="15" hidden="1" customHeight="1" x14ac:dyDescent="0.25">
      <c r="A168" s="21" t="s">
        <v>465</v>
      </c>
      <c r="B168" s="47" t="str">
        <f t="shared" si="2"/>
        <v>INSTRUMENT_DFLT_STTS_INSTRMNT</v>
      </c>
      <c r="C168" s="8" t="s">
        <v>414</v>
      </c>
      <c r="D168" s="22" t="s">
        <v>466</v>
      </c>
      <c r="E168" s="28" t="s">
        <v>467</v>
      </c>
      <c r="F168" s="10" t="s">
        <v>13</v>
      </c>
      <c r="G168" s="10" t="s">
        <v>13</v>
      </c>
      <c r="H168" s="10" t="s">
        <v>13</v>
      </c>
      <c r="I168" s="10" t="s">
        <v>11</v>
      </c>
    </row>
    <row r="169" spans="1:9" ht="15" hidden="1" customHeight="1" x14ac:dyDescent="0.25">
      <c r="A169" s="7" t="s">
        <v>468</v>
      </c>
      <c r="B169" s="47" t="str">
        <f t="shared" si="2"/>
        <v>INSTRUMENT_DT_DFLT_STTS_INSTRMNT</v>
      </c>
      <c r="C169" s="8" t="s">
        <v>414</v>
      </c>
      <c r="D169" s="9" t="s">
        <v>469</v>
      </c>
      <c r="E169" s="14" t="s">
        <v>24</v>
      </c>
      <c r="F169" s="10" t="s">
        <v>13</v>
      </c>
      <c r="G169" s="10" t="s">
        <v>11</v>
      </c>
      <c r="H169" s="10" t="s">
        <v>11</v>
      </c>
      <c r="I169" s="10" t="s">
        <v>11</v>
      </c>
    </row>
    <row r="170" spans="1:9" ht="15" hidden="1" customHeight="1" x14ac:dyDescent="0.25">
      <c r="A170" s="7" t="s">
        <v>470</v>
      </c>
      <c r="B170" s="47" t="str">
        <f t="shared" si="2"/>
        <v>INSTRUMENT_DT_END_GP_PPAL</v>
      </c>
      <c r="C170" s="8" t="s">
        <v>414</v>
      </c>
      <c r="D170" s="9" t="s">
        <v>471</v>
      </c>
      <c r="E170" s="14" t="s">
        <v>472</v>
      </c>
      <c r="F170" s="10" t="s">
        <v>13</v>
      </c>
      <c r="G170" s="10" t="s">
        <v>11</v>
      </c>
      <c r="H170" s="10" t="s">
        <v>11</v>
      </c>
      <c r="I170" s="10" t="s">
        <v>11</v>
      </c>
    </row>
    <row r="171" spans="1:9" ht="15" hidden="1" customHeight="1" x14ac:dyDescent="0.25">
      <c r="A171" s="7" t="s">
        <v>473</v>
      </c>
      <c r="B171" s="47" t="str">
        <f t="shared" si="2"/>
        <v>INSTRUMENT_DT_END_INTRST_ONLY</v>
      </c>
      <c r="C171" s="8" t="s">
        <v>414</v>
      </c>
      <c r="D171" s="9" t="s">
        <v>474</v>
      </c>
      <c r="E171" s="14" t="s">
        <v>475</v>
      </c>
      <c r="F171" s="10" t="s">
        <v>13</v>
      </c>
      <c r="G171" s="10" t="s">
        <v>11</v>
      </c>
      <c r="H171" s="10" t="s">
        <v>11</v>
      </c>
      <c r="I171" s="10" t="s">
        <v>11</v>
      </c>
    </row>
    <row r="172" spans="1:9" ht="15" hidden="1" customHeight="1" x14ac:dyDescent="0.25">
      <c r="A172" s="7" t="s">
        <v>476</v>
      </c>
      <c r="B172" s="47" t="str">
        <f t="shared" si="2"/>
        <v>INSTRUMENT_DT_FRBRNC_STTS</v>
      </c>
      <c r="C172" s="8" t="s">
        <v>414</v>
      </c>
      <c r="D172" s="9" t="s">
        <v>477</v>
      </c>
      <c r="E172" s="14" t="s">
        <v>478</v>
      </c>
      <c r="F172" s="10" t="s">
        <v>13</v>
      </c>
      <c r="G172" s="10" t="s">
        <v>11</v>
      </c>
      <c r="H172" s="10" t="s">
        <v>11</v>
      </c>
      <c r="I172" s="10" t="s">
        <v>11</v>
      </c>
    </row>
    <row r="173" spans="1:9" ht="15" hidden="1" customHeight="1" x14ac:dyDescent="0.25">
      <c r="A173" s="7" t="s">
        <v>479</v>
      </c>
      <c r="B173" s="47" t="str">
        <f t="shared" si="2"/>
        <v>INSTRUMENT_DT_FRBRNC_STTS_PRVS</v>
      </c>
      <c r="C173" s="8" t="s">
        <v>414</v>
      </c>
      <c r="D173" s="9" t="s">
        <v>480</v>
      </c>
      <c r="E173" s="14" t="s">
        <v>481</v>
      </c>
      <c r="F173" s="10" t="s">
        <v>13</v>
      </c>
      <c r="G173" s="10" t="s">
        <v>11</v>
      </c>
      <c r="H173" s="10" t="s">
        <v>11</v>
      </c>
      <c r="I173" s="10" t="s">
        <v>11</v>
      </c>
    </row>
    <row r="174" spans="1:9" ht="15" hidden="1" customHeight="1" x14ac:dyDescent="0.25">
      <c r="A174" s="7" t="s">
        <v>482</v>
      </c>
      <c r="B174" s="47" t="str">
        <f t="shared" si="2"/>
        <v>INSTRUMENT_DT_INTRNL_RTNG</v>
      </c>
      <c r="C174" s="8" t="s">
        <v>414</v>
      </c>
      <c r="D174" s="9" t="s">
        <v>80</v>
      </c>
      <c r="E174" s="14" t="s">
        <v>81</v>
      </c>
      <c r="F174" s="10" t="s">
        <v>13</v>
      </c>
      <c r="G174" s="10" t="s">
        <v>11</v>
      </c>
      <c r="H174" s="10" t="s">
        <v>11</v>
      </c>
      <c r="I174" s="10" t="s">
        <v>11</v>
      </c>
    </row>
    <row r="175" spans="1:9" ht="15" hidden="1" customHeight="1" x14ac:dyDescent="0.25">
      <c r="A175" s="7" t="s">
        <v>483</v>
      </c>
      <c r="B175" s="47" t="str">
        <f t="shared" si="2"/>
        <v>INSTRUMENT_DT_PRFRMNG_STTS</v>
      </c>
      <c r="C175" s="8" t="s">
        <v>414</v>
      </c>
      <c r="D175" s="9" t="s">
        <v>484</v>
      </c>
      <c r="E175" s="14" t="s">
        <v>36</v>
      </c>
      <c r="F175" s="10" t="s">
        <v>13</v>
      </c>
      <c r="G175" s="10" t="s">
        <v>11</v>
      </c>
      <c r="H175" s="10" t="s">
        <v>11</v>
      </c>
      <c r="I175" s="10" t="s">
        <v>11</v>
      </c>
    </row>
    <row r="176" spans="1:9" ht="15" hidden="1" customHeight="1" x14ac:dyDescent="0.25">
      <c r="A176" s="7" t="s">
        <v>485</v>
      </c>
      <c r="B176" s="47" t="str">
        <f t="shared" si="2"/>
        <v>INSTRUMENT_DT_PRFRMNG_STTS_PRVS</v>
      </c>
      <c r="C176" s="8" t="s">
        <v>414</v>
      </c>
      <c r="D176" s="9" t="s">
        <v>486</v>
      </c>
      <c r="E176" s="14" t="s">
        <v>487</v>
      </c>
      <c r="F176" s="10" t="s">
        <v>13</v>
      </c>
      <c r="G176" s="10" t="s">
        <v>11</v>
      </c>
      <c r="H176" s="10" t="s">
        <v>11</v>
      </c>
      <c r="I176" s="10" t="s">
        <v>11</v>
      </c>
    </row>
    <row r="177" spans="1:9" ht="15" hidden="1" customHeight="1" x14ac:dyDescent="0.25">
      <c r="A177" s="7" t="s">
        <v>488</v>
      </c>
      <c r="B177" s="47" t="str">
        <f t="shared" si="2"/>
        <v>INSTRUMENT_DT_STRT_INTRST_ONLY</v>
      </c>
      <c r="C177" s="8" t="s">
        <v>414</v>
      </c>
      <c r="D177" s="9" t="s">
        <v>489</v>
      </c>
      <c r="E177" s="14" t="s">
        <v>490</v>
      </c>
      <c r="F177" s="10" t="s">
        <v>13</v>
      </c>
      <c r="G177" s="10" t="s">
        <v>11</v>
      </c>
      <c r="H177" s="10" t="s">
        <v>11</v>
      </c>
      <c r="I177" s="10" t="s">
        <v>11</v>
      </c>
    </row>
    <row r="178" spans="1:9" ht="15" hidden="1" customHeight="1" x14ac:dyDescent="0.25">
      <c r="A178" s="7" t="s">
        <v>491</v>
      </c>
      <c r="B178" s="47" t="str">
        <f t="shared" si="2"/>
        <v>INSTRUMENT_EXPSR_IN_SCP</v>
      </c>
      <c r="C178" s="8" t="s">
        <v>414</v>
      </c>
      <c r="D178" s="9" t="s">
        <v>492</v>
      </c>
      <c r="E178" s="14" t="s">
        <v>493</v>
      </c>
      <c r="F178" s="10" t="s">
        <v>13</v>
      </c>
      <c r="G178" s="10" t="s">
        <v>11</v>
      </c>
      <c r="H178" s="10" t="s">
        <v>11</v>
      </c>
      <c r="I178" s="10" t="s">
        <v>11</v>
      </c>
    </row>
    <row r="179" spans="1:9" ht="15" hidden="1" customHeight="1" x14ac:dyDescent="0.25">
      <c r="A179" s="7" t="s">
        <v>494</v>
      </c>
      <c r="B179" s="47" t="str">
        <f t="shared" si="2"/>
        <v>INSTRUMENT_FLD_SYNDCTN</v>
      </c>
      <c r="C179" s="8" t="s">
        <v>414</v>
      </c>
      <c r="D179" s="9" t="s">
        <v>495</v>
      </c>
      <c r="E179" s="14" t="s">
        <v>496</v>
      </c>
      <c r="F179" s="10" t="s">
        <v>13</v>
      </c>
      <c r="G179" s="10" t="s">
        <v>11</v>
      </c>
      <c r="H179" s="10" t="s">
        <v>11</v>
      </c>
      <c r="I179" s="10" t="s">
        <v>11</v>
      </c>
    </row>
    <row r="180" spans="1:9" ht="15" hidden="1" customHeight="1" x14ac:dyDescent="0.25">
      <c r="A180" s="7" t="s">
        <v>497</v>
      </c>
      <c r="B180" s="47" t="str">
        <f t="shared" si="2"/>
        <v>INSTRUMENT_FLG_LBO</v>
      </c>
      <c r="C180" s="8" t="s">
        <v>414</v>
      </c>
      <c r="D180" s="9" t="s">
        <v>498</v>
      </c>
      <c r="E180" s="14" t="s">
        <v>499</v>
      </c>
      <c r="F180" s="10" t="s">
        <v>13</v>
      </c>
      <c r="G180" s="10" t="s">
        <v>11</v>
      </c>
      <c r="H180" s="10" t="s">
        <v>11</v>
      </c>
      <c r="I180" s="10" t="s">
        <v>11</v>
      </c>
    </row>
    <row r="181" spans="1:9" ht="15" hidden="1" customHeight="1" x14ac:dyDescent="0.25">
      <c r="A181" s="7" t="s">
        <v>500</v>
      </c>
      <c r="B181" s="47" t="str">
        <f t="shared" si="2"/>
        <v>INSTRUMENT_FRBRNC_STTS_INSTRMNT</v>
      </c>
      <c r="C181" s="8" t="s">
        <v>414</v>
      </c>
      <c r="D181" s="9" t="s">
        <v>501</v>
      </c>
      <c r="E181" s="14" t="s">
        <v>502</v>
      </c>
      <c r="F181" s="10" t="s">
        <v>13</v>
      </c>
      <c r="G181" s="10" t="s">
        <v>11</v>
      </c>
      <c r="H181" s="10" t="s">
        <v>11</v>
      </c>
      <c r="I181" s="10" t="s">
        <v>11</v>
      </c>
    </row>
    <row r="182" spans="1:9" ht="15" hidden="1" customHeight="1" x14ac:dyDescent="0.25">
      <c r="A182" s="7" t="s">
        <v>503</v>
      </c>
      <c r="B182" s="47" t="str">
        <f t="shared" si="2"/>
        <v>INSTRUMENT_IMPRMNT_STTS</v>
      </c>
      <c r="C182" s="8" t="s">
        <v>414</v>
      </c>
      <c r="D182" s="9" t="s">
        <v>504</v>
      </c>
      <c r="E182" s="14" t="s">
        <v>505</v>
      </c>
      <c r="F182" s="10" t="s">
        <v>13</v>
      </c>
      <c r="G182" s="10" t="s">
        <v>13</v>
      </c>
      <c r="H182" s="10" t="s">
        <v>13</v>
      </c>
      <c r="I182" s="10" t="s">
        <v>11</v>
      </c>
    </row>
    <row r="183" spans="1:9" ht="15" hidden="1" customHeight="1" x14ac:dyDescent="0.25">
      <c r="A183" s="7" t="s">
        <v>506</v>
      </c>
      <c r="B183" s="47" t="str">
        <f t="shared" si="2"/>
        <v>INSTRUMENT_IMPRMNT_STTS_PRVS</v>
      </c>
      <c r="C183" s="8" t="s">
        <v>414</v>
      </c>
      <c r="D183" s="9" t="s">
        <v>507</v>
      </c>
      <c r="E183" s="14" t="s">
        <v>508</v>
      </c>
      <c r="F183" s="10" t="s">
        <v>13</v>
      </c>
      <c r="G183" s="10" t="s">
        <v>11</v>
      </c>
      <c r="H183" s="10" t="s">
        <v>11</v>
      </c>
      <c r="I183" s="10" t="s">
        <v>11</v>
      </c>
    </row>
    <row r="184" spans="1:9" ht="15" hidden="1" customHeight="1" x14ac:dyDescent="0.25">
      <c r="A184" s="7" t="s">
        <v>509</v>
      </c>
      <c r="B184" s="47" t="str">
        <f t="shared" si="2"/>
        <v>INSTRUMENT_INTRNL_RTNG</v>
      </c>
      <c r="C184" s="8" t="s">
        <v>414</v>
      </c>
      <c r="D184" s="9" t="s">
        <v>128</v>
      </c>
      <c r="E184" s="14" t="s">
        <v>129</v>
      </c>
      <c r="F184" s="10" t="s">
        <v>13</v>
      </c>
      <c r="G184" s="10" t="s">
        <v>11</v>
      </c>
      <c r="H184" s="10" t="s">
        <v>11</v>
      </c>
      <c r="I184" s="10" t="s">
        <v>11</v>
      </c>
    </row>
    <row r="185" spans="1:9" ht="15" hidden="1" customHeight="1" x14ac:dyDescent="0.25">
      <c r="A185" s="7" t="s">
        <v>510</v>
      </c>
      <c r="B185" s="47" t="str">
        <f t="shared" si="2"/>
        <v>INSTRUMENT_INTRNL_RTNG_INCPTN</v>
      </c>
      <c r="C185" s="8" t="s">
        <v>414</v>
      </c>
      <c r="D185" s="9" t="s">
        <v>511</v>
      </c>
      <c r="E185" s="14" t="s">
        <v>512</v>
      </c>
      <c r="F185" s="10" t="s">
        <v>13</v>
      </c>
      <c r="G185" s="10" t="s">
        <v>11</v>
      </c>
      <c r="H185" s="10" t="s">
        <v>11</v>
      </c>
      <c r="I185" s="10" t="s">
        <v>11</v>
      </c>
    </row>
    <row r="186" spans="1:9" ht="15" hidden="1" customHeight="1" x14ac:dyDescent="0.25">
      <c r="A186" s="7" t="s">
        <v>513</v>
      </c>
      <c r="B186" s="47" t="str">
        <f t="shared" si="2"/>
        <v>INSTRUMENT_INTRNL_SGMNT</v>
      </c>
      <c r="C186" s="8" t="s">
        <v>414</v>
      </c>
      <c r="D186" s="9" t="s">
        <v>50</v>
      </c>
      <c r="E186" s="14" t="s">
        <v>51</v>
      </c>
      <c r="F186" s="10" t="s">
        <v>13</v>
      </c>
      <c r="G186" s="10" t="s">
        <v>11</v>
      </c>
      <c r="H186" s="10" t="s">
        <v>11</v>
      </c>
      <c r="I186" s="10" t="s">
        <v>13</v>
      </c>
    </row>
    <row r="187" spans="1:9" ht="15" hidden="1" customHeight="1" x14ac:dyDescent="0.25">
      <c r="A187" s="7" t="s">
        <v>514</v>
      </c>
      <c r="B187" s="47" t="str">
        <f t="shared" si="2"/>
        <v>INSTRUMENT_INTRNL_UNT</v>
      </c>
      <c r="C187" s="8" t="s">
        <v>414</v>
      </c>
      <c r="D187" s="9" t="s">
        <v>53</v>
      </c>
      <c r="E187" s="14" t="s">
        <v>54</v>
      </c>
      <c r="F187" s="10" t="s">
        <v>13</v>
      </c>
      <c r="G187" s="10" t="s">
        <v>11</v>
      </c>
      <c r="H187" s="10" t="s">
        <v>11</v>
      </c>
      <c r="I187" s="10" t="s">
        <v>11</v>
      </c>
    </row>
    <row r="188" spans="1:9" ht="15" hidden="1" customHeight="1" x14ac:dyDescent="0.25">
      <c r="A188" s="7" t="s">
        <v>515</v>
      </c>
      <c r="B188" s="47" t="str">
        <f t="shared" si="2"/>
        <v>INSTRUMENT_LCRE</v>
      </c>
      <c r="C188" s="8" t="s">
        <v>414</v>
      </c>
      <c r="D188" s="9" t="s">
        <v>516</v>
      </c>
      <c r="E188" s="14" t="s">
        <v>517</v>
      </c>
      <c r="F188" s="10" t="s">
        <v>13</v>
      </c>
      <c r="G188" s="10" t="s">
        <v>11</v>
      </c>
      <c r="H188" s="10" t="s">
        <v>11</v>
      </c>
      <c r="I188" s="10" t="s">
        <v>11</v>
      </c>
    </row>
    <row r="189" spans="1:9" ht="15" hidden="1" customHeight="1" x14ac:dyDescent="0.25">
      <c r="A189" s="7" t="s">
        <v>518</v>
      </c>
      <c r="B189" s="47" t="str">
        <f t="shared" si="2"/>
        <v>INSTRUMENT_LGL_PRCDNG_STTS</v>
      </c>
      <c r="C189" s="8" t="s">
        <v>414</v>
      </c>
      <c r="D189" s="9" t="s">
        <v>519</v>
      </c>
      <c r="E189" s="14" t="s">
        <v>520</v>
      </c>
      <c r="F189" s="10" t="s">
        <v>13</v>
      </c>
      <c r="G189" s="10" t="s">
        <v>11</v>
      </c>
      <c r="H189" s="10" t="s">
        <v>11</v>
      </c>
      <c r="I189" s="10" t="s">
        <v>11</v>
      </c>
    </row>
    <row r="190" spans="1:9" ht="15" hidden="1" customHeight="1" x14ac:dyDescent="0.25">
      <c r="A190" s="7" t="s">
        <v>521</v>
      </c>
      <c r="B190" s="47" t="str">
        <f t="shared" si="2"/>
        <v>INSTRUMENT_LND_DRGTN</v>
      </c>
      <c r="C190" s="8" t="s">
        <v>414</v>
      </c>
      <c r="D190" s="9" t="s">
        <v>522</v>
      </c>
      <c r="E190" s="14" t="s">
        <v>523</v>
      </c>
      <c r="F190" s="10" t="s">
        <v>13</v>
      </c>
      <c r="G190" s="10" t="s">
        <v>11</v>
      </c>
      <c r="H190" s="10" t="s">
        <v>11</v>
      </c>
      <c r="I190" s="10" t="s">
        <v>11</v>
      </c>
    </row>
    <row r="191" spans="1:9" ht="15" hidden="1" customHeight="1" x14ac:dyDescent="0.25">
      <c r="A191" s="7" t="s">
        <v>524</v>
      </c>
      <c r="B191" s="47" t="str">
        <f t="shared" si="2"/>
        <v>INSTRUMENT_POCI</v>
      </c>
      <c r="C191" s="8" t="s">
        <v>414</v>
      </c>
      <c r="D191" s="9" t="s">
        <v>525</v>
      </c>
      <c r="E191" s="14" t="s">
        <v>526</v>
      </c>
      <c r="F191" s="10" t="s">
        <v>13</v>
      </c>
      <c r="G191" s="10" t="s">
        <v>11</v>
      </c>
      <c r="H191" s="10" t="s">
        <v>11</v>
      </c>
      <c r="I191" s="10" t="s">
        <v>11</v>
      </c>
    </row>
    <row r="192" spans="1:9" ht="15" hidden="1" customHeight="1" x14ac:dyDescent="0.25">
      <c r="A192" s="7" t="s">
        <v>527</v>
      </c>
      <c r="B192" s="47" t="str">
        <f t="shared" si="2"/>
        <v>INSTRUMENT_PRFRMNG_STTS</v>
      </c>
      <c r="C192" s="8" t="s">
        <v>414</v>
      </c>
      <c r="D192" s="9" t="s">
        <v>528</v>
      </c>
      <c r="E192" s="14" t="s">
        <v>141</v>
      </c>
      <c r="F192" s="10" t="s">
        <v>13</v>
      </c>
      <c r="G192" s="10" t="s">
        <v>13</v>
      </c>
      <c r="H192" s="10" t="s">
        <v>13</v>
      </c>
      <c r="I192" s="10" t="s">
        <v>11</v>
      </c>
    </row>
    <row r="193" spans="1:9" ht="15" hidden="1" customHeight="1" x14ac:dyDescent="0.25">
      <c r="A193" s="7" t="s">
        <v>529</v>
      </c>
      <c r="B193" s="47" t="str">
        <f t="shared" si="2"/>
        <v>INSTRUMENT_PRFRMNG_STTS_PRVS</v>
      </c>
      <c r="C193" s="8" t="s">
        <v>414</v>
      </c>
      <c r="D193" s="9" t="s">
        <v>530</v>
      </c>
      <c r="E193" s="14" t="s">
        <v>531</v>
      </c>
      <c r="F193" s="10" t="s">
        <v>13</v>
      </c>
      <c r="G193" s="10" t="s">
        <v>11</v>
      </c>
      <c r="H193" s="10" t="s">
        <v>11</v>
      </c>
      <c r="I193" s="10" t="s">
        <v>11</v>
      </c>
    </row>
    <row r="194" spans="1:9" ht="15" hidden="1" customHeight="1" x14ac:dyDescent="0.25">
      <c r="A194" s="7" t="s">
        <v>532</v>
      </c>
      <c r="B194" s="47" t="str">
        <f t="shared" si="2"/>
        <v>INSTRUMENT_PRJCT_FNNC_LN</v>
      </c>
      <c r="C194" s="8" t="s">
        <v>414</v>
      </c>
      <c r="D194" s="9" t="s">
        <v>533</v>
      </c>
      <c r="E194" s="14" t="s">
        <v>534</v>
      </c>
      <c r="F194" s="10" t="s">
        <v>13</v>
      </c>
      <c r="G194" s="10" t="s">
        <v>11</v>
      </c>
      <c r="H194" s="10" t="s">
        <v>13</v>
      </c>
      <c r="I194" s="10" t="s">
        <v>11</v>
      </c>
    </row>
    <row r="195" spans="1:9" ht="15" hidden="1" customHeight="1" x14ac:dyDescent="0.25">
      <c r="A195" s="7" t="s">
        <v>535</v>
      </c>
      <c r="B195" s="47" t="str">
        <f t="shared" ref="B195:B258" si="3">C195&amp;"_"&amp;D195</f>
        <v>INSTRUMENT_PRPS</v>
      </c>
      <c r="C195" s="8" t="s">
        <v>414</v>
      </c>
      <c r="D195" s="9" t="s">
        <v>536</v>
      </c>
      <c r="E195" s="14" t="s">
        <v>537</v>
      </c>
      <c r="F195" s="10" t="s">
        <v>13</v>
      </c>
      <c r="G195" s="10" t="s">
        <v>11</v>
      </c>
      <c r="H195" s="10" t="s">
        <v>11</v>
      </c>
      <c r="I195" s="10" t="s">
        <v>11</v>
      </c>
    </row>
    <row r="196" spans="1:9" ht="15" hidden="1" customHeight="1" x14ac:dyDescent="0.25">
      <c r="A196" s="7" t="s">
        <v>538</v>
      </c>
      <c r="B196" s="47" t="str">
        <f t="shared" si="3"/>
        <v>INSTRUMENT_PYMNT_INTRST_ONLY</v>
      </c>
      <c r="C196" s="8" t="s">
        <v>414</v>
      </c>
      <c r="D196" s="9" t="s">
        <v>539</v>
      </c>
      <c r="E196" s="14" t="s">
        <v>540</v>
      </c>
      <c r="F196" s="10" t="s">
        <v>13</v>
      </c>
      <c r="G196" s="10" t="s">
        <v>11</v>
      </c>
      <c r="H196" s="10" t="s">
        <v>11</v>
      </c>
      <c r="I196" s="10" t="s">
        <v>11</v>
      </c>
    </row>
    <row r="197" spans="1:9" ht="15" hidden="1" customHeight="1" x14ac:dyDescent="0.25">
      <c r="A197" s="7" t="s">
        <v>541</v>
      </c>
      <c r="B197" s="47" t="str">
        <f t="shared" si="3"/>
        <v>INSTRUMENT_RCRS</v>
      </c>
      <c r="C197" s="8" t="s">
        <v>414</v>
      </c>
      <c r="D197" s="9" t="s">
        <v>542</v>
      </c>
      <c r="E197" s="14" t="s">
        <v>543</v>
      </c>
      <c r="F197" s="10" t="s">
        <v>13</v>
      </c>
      <c r="G197" s="10" t="s">
        <v>11</v>
      </c>
      <c r="H197" s="10" t="s">
        <v>11</v>
      </c>
      <c r="I197" s="10" t="s">
        <v>11</v>
      </c>
    </row>
    <row r="198" spans="1:9" ht="15" hidden="1" customHeight="1" x14ac:dyDescent="0.25">
      <c r="A198" s="7" t="s">
        <v>544</v>
      </c>
      <c r="B198" s="47" t="str">
        <f t="shared" si="3"/>
        <v>INSTRUMENT_RFNNC_PRPS</v>
      </c>
      <c r="C198" s="8" t="s">
        <v>414</v>
      </c>
      <c r="D198" s="9" t="s">
        <v>545</v>
      </c>
      <c r="E198" s="14" t="s">
        <v>546</v>
      </c>
      <c r="F198" s="10" t="s">
        <v>13</v>
      </c>
      <c r="G198" s="10" t="s">
        <v>11</v>
      </c>
      <c r="H198" s="10" t="s">
        <v>11</v>
      </c>
      <c r="I198" s="10" t="s">
        <v>11</v>
      </c>
    </row>
    <row r="199" spans="1:9" ht="15" hidden="1" customHeight="1" x14ac:dyDescent="0.25">
      <c r="A199" s="7" t="s">
        <v>547</v>
      </c>
      <c r="B199" s="47" t="str">
        <f t="shared" si="3"/>
        <v>INSTRUMENT_SPCLTV_LNDNG</v>
      </c>
      <c r="C199" s="8" t="s">
        <v>414</v>
      </c>
      <c r="D199" s="9" t="s">
        <v>548</v>
      </c>
      <c r="E199" s="14" t="s">
        <v>549</v>
      </c>
      <c r="F199" s="10" t="s">
        <v>13</v>
      </c>
      <c r="G199" s="10" t="s">
        <v>11</v>
      </c>
      <c r="H199" s="10" t="s">
        <v>11</v>
      </c>
      <c r="I199" s="10" t="s">
        <v>11</v>
      </c>
    </row>
    <row r="200" spans="1:9" ht="15" hidden="1" customHeight="1" x14ac:dyDescent="0.25">
      <c r="A200" s="7" t="s">
        <v>550</v>
      </c>
      <c r="B200" s="47" t="str">
        <f t="shared" si="3"/>
        <v>INSTRUMENT_STTS_UNDRWRTTN_TRNSCTN</v>
      </c>
      <c r="C200" s="8" t="s">
        <v>414</v>
      </c>
      <c r="D200" s="9" t="s">
        <v>551</v>
      </c>
      <c r="E200" s="14" t="s">
        <v>552</v>
      </c>
      <c r="F200" s="10" t="s">
        <v>13</v>
      </c>
      <c r="G200" s="10" t="s">
        <v>11</v>
      </c>
      <c r="H200" s="10" t="s">
        <v>11</v>
      </c>
      <c r="I200" s="10" t="s">
        <v>11</v>
      </c>
    </row>
    <row r="201" spans="1:9" ht="15" hidden="1" customHeight="1" x14ac:dyDescent="0.25">
      <c r="A201" s="7" t="s">
        <v>553</v>
      </c>
      <c r="B201" s="47" t="str">
        <f t="shared" si="3"/>
        <v>INSTRUMENT_TRNCH</v>
      </c>
      <c r="C201" s="8" t="s">
        <v>414</v>
      </c>
      <c r="D201" s="9" t="s">
        <v>554</v>
      </c>
      <c r="E201" s="14" t="s">
        <v>555</v>
      </c>
      <c r="F201" s="10" t="s">
        <v>13</v>
      </c>
      <c r="G201" s="10" t="s">
        <v>11</v>
      </c>
      <c r="H201" s="10" t="s">
        <v>11</v>
      </c>
      <c r="I201" s="10" t="s">
        <v>11</v>
      </c>
    </row>
    <row r="202" spans="1:9" s="20" customFormat="1" ht="15" hidden="1" customHeight="1" x14ac:dyDescent="0.25">
      <c r="A202" s="7" t="s">
        <v>556</v>
      </c>
      <c r="B202" s="47" t="str">
        <f t="shared" si="3"/>
        <v>INSTRUMENT_TYP_AMRTSTN</v>
      </c>
      <c r="C202" s="8" t="s">
        <v>414</v>
      </c>
      <c r="D202" s="9" t="s">
        <v>557</v>
      </c>
      <c r="E202" s="14" t="s">
        <v>558</v>
      </c>
      <c r="F202" s="10" t="s">
        <v>13</v>
      </c>
      <c r="G202" s="10" t="s">
        <v>11</v>
      </c>
      <c r="H202" s="10" t="s">
        <v>11</v>
      </c>
      <c r="I202" s="10" t="s">
        <v>11</v>
      </c>
    </row>
    <row r="203" spans="1:9" ht="15" hidden="1" customHeight="1" x14ac:dyDescent="0.25">
      <c r="A203" s="21" t="s">
        <v>559</v>
      </c>
      <c r="B203" s="47" t="str">
        <f t="shared" si="3"/>
        <v>INSTRUMENT_TYP_INSTRMNT</v>
      </c>
      <c r="C203" s="8" t="s">
        <v>414</v>
      </c>
      <c r="D203" s="22" t="s">
        <v>560</v>
      </c>
      <c r="E203" s="28" t="s">
        <v>561</v>
      </c>
      <c r="F203" s="10" t="s">
        <v>13</v>
      </c>
      <c r="G203" s="10" t="s">
        <v>13</v>
      </c>
      <c r="H203" s="10" t="s">
        <v>13</v>
      </c>
      <c r="I203" s="10" t="s">
        <v>11</v>
      </c>
    </row>
    <row r="204" spans="1:9" ht="15" hidden="1" customHeight="1" x14ac:dyDescent="0.25">
      <c r="A204" s="7" t="s">
        <v>562</v>
      </c>
      <c r="B204" s="47" t="str">
        <f t="shared" si="3"/>
        <v>INSTRUMENT_TYP_INTRST_RT</v>
      </c>
      <c r="C204" s="8" t="s">
        <v>414</v>
      </c>
      <c r="D204" s="9" t="s">
        <v>563</v>
      </c>
      <c r="E204" s="14" t="s">
        <v>564</v>
      </c>
      <c r="F204" s="10" t="s">
        <v>13</v>
      </c>
      <c r="G204" s="10" t="s">
        <v>11</v>
      </c>
      <c r="H204" s="10" t="s">
        <v>11</v>
      </c>
      <c r="I204" s="10" t="s">
        <v>11</v>
      </c>
    </row>
    <row r="205" spans="1:9" ht="15" hidden="1" customHeight="1" x14ac:dyDescent="0.25">
      <c r="A205" s="7" t="s">
        <v>565</v>
      </c>
      <c r="B205" s="47" t="str">
        <f t="shared" si="3"/>
        <v>INSTRUMENT_TYP_MRTGG</v>
      </c>
      <c r="C205" s="8" t="s">
        <v>414</v>
      </c>
      <c r="D205" s="9" t="s">
        <v>566</v>
      </c>
      <c r="E205" s="14" t="s">
        <v>567</v>
      </c>
      <c r="F205" s="10" t="s">
        <v>13</v>
      </c>
      <c r="G205" s="10" t="s">
        <v>11</v>
      </c>
      <c r="H205" s="10" t="s">
        <v>11</v>
      </c>
      <c r="I205" s="10" t="s">
        <v>11</v>
      </c>
    </row>
    <row r="206" spans="1:9" ht="15" hidden="1" customHeight="1" x14ac:dyDescent="0.25">
      <c r="A206" s="7" t="s">
        <v>568</v>
      </c>
      <c r="B206" s="47" t="str">
        <f t="shared" si="3"/>
        <v>INSTRUMENT_TYP_CRE_OPRTN</v>
      </c>
      <c r="C206" s="8" t="s">
        <v>414</v>
      </c>
      <c r="D206" s="9" t="s">
        <v>569</v>
      </c>
      <c r="E206" s="14" t="s">
        <v>570</v>
      </c>
      <c r="F206" s="10" t="s">
        <v>13</v>
      </c>
      <c r="G206" s="10" t="s">
        <v>11</v>
      </c>
      <c r="H206" s="10" t="s">
        <v>11</v>
      </c>
      <c r="I206" s="10" t="s">
        <v>11</v>
      </c>
    </row>
    <row r="207" spans="1:9" ht="15" hidden="1" customHeight="1" x14ac:dyDescent="0.25">
      <c r="A207" s="7" t="s">
        <v>571</v>
      </c>
      <c r="B207" s="47" t="str">
        <f t="shared" si="3"/>
        <v>INSTRUMENT_DT_STRT_GP_PPAL</v>
      </c>
      <c r="C207" s="8" t="s">
        <v>414</v>
      </c>
      <c r="D207" s="9" t="s">
        <v>572</v>
      </c>
      <c r="E207" s="14" t="s">
        <v>573</v>
      </c>
      <c r="F207" s="10" t="s">
        <v>13</v>
      </c>
      <c r="G207" s="10" t="s">
        <v>11</v>
      </c>
      <c r="H207" s="10" t="s">
        <v>11</v>
      </c>
      <c r="I207" s="10" t="s">
        <v>11</v>
      </c>
    </row>
    <row r="208" spans="1:9" ht="15" hidden="1" customHeight="1" x14ac:dyDescent="0.25">
      <c r="A208" s="7" t="s">
        <v>574</v>
      </c>
      <c r="B208" s="47" t="str">
        <f t="shared" si="3"/>
        <v>INSTRUMENT_GRSS_CRRYNG_AMNT_INSTRMNT</v>
      </c>
      <c r="C208" s="8" t="s">
        <v>414</v>
      </c>
      <c r="D208" s="9" t="s">
        <v>575</v>
      </c>
      <c r="E208" s="14" t="s">
        <v>576</v>
      </c>
      <c r="F208" s="10" t="s">
        <v>13</v>
      </c>
      <c r="G208" s="10" t="s">
        <v>13</v>
      </c>
      <c r="H208" s="10" t="s">
        <v>13</v>
      </c>
      <c r="I208" s="10" t="s">
        <v>13</v>
      </c>
    </row>
    <row r="209" spans="1:9" s="20" customFormat="1" ht="15" hidden="1" customHeight="1" x14ac:dyDescent="0.25">
      <c r="A209" s="7" t="s">
        <v>577</v>
      </c>
      <c r="B209" s="47" t="str">
        <f t="shared" si="3"/>
        <v>INSTRUMENT_ACCMLTD_CHNGS_FV_CR_INSTRMNT</v>
      </c>
      <c r="C209" s="8" t="s">
        <v>414</v>
      </c>
      <c r="D209" s="9" t="s">
        <v>578</v>
      </c>
      <c r="E209" s="14" t="s">
        <v>579</v>
      </c>
      <c r="F209" s="10" t="s">
        <v>13</v>
      </c>
      <c r="G209" s="10" t="s">
        <v>13</v>
      </c>
      <c r="H209" s="10" t="s">
        <v>13</v>
      </c>
      <c r="I209" s="10" t="s">
        <v>11</v>
      </c>
    </row>
    <row r="210" spans="1:9" ht="15" hidden="1" customHeight="1" x14ac:dyDescent="0.25">
      <c r="A210" s="21" t="s">
        <v>580</v>
      </c>
      <c r="B210" s="47" t="str">
        <f t="shared" si="3"/>
        <v>INSTRUMENT_ACCNTNG_CLSSFCTN</v>
      </c>
      <c r="C210" s="8" t="s">
        <v>414</v>
      </c>
      <c r="D210" s="22" t="s">
        <v>581</v>
      </c>
      <c r="E210" s="28" t="s">
        <v>582</v>
      </c>
      <c r="F210" s="10" t="s">
        <v>13</v>
      </c>
      <c r="G210" s="10" t="s">
        <v>13</v>
      </c>
      <c r="H210" s="10" t="s">
        <v>13</v>
      </c>
      <c r="I210" s="10" t="s">
        <v>11</v>
      </c>
    </row>
    <row r="211" spans="1:9" ht="15" hidden="1" customHeight="1" x14ac:dyDescent="0.25">
      <c r="A211" s="7" t="s">
        <v>583</v>
      </c>
      <c r="B211" s="47" t="str">
        <f t="shared" si="3"/>
        <v>INSTRUMENT_ACCRD_INTRST_INSTRMNT</v>
      </c>
      <c r="C211" s="8" t="s">
        <v>414</v>
      </c>
      <c r="D211" s="9" t="s">
        <v>584</v>
      </c>
      <c r="E211" s="14" t="s">
        <v>585</v>
      </c>
      <c r="F211" s="10" t="s">
        <v>13</v>
      </c>
      <c r="G211" s="10" t="s">
        <v>11</v>
      </c>
      <c r="H211" s="10" t="s">
        <v>11</v>
      </c>
      <c r="I211" s="10" t="s">
        <v>11</v>
      </c>
    </row>
    <row r="212" spans="1:9" ht="15" hidden="1" customHeight="1" x14ac:dyDescent="0.25">
      <c r="A212" s="7" t="s">
        <v>586</v>
      </c>
      <c r="B212" s="47" t="str">
        <f t="shared" si="3"/>
        <v>INSTRUMENT_AMNT_D_AT_MTRTY</v>
      </c>
      <c r="C212" s="8" t="s">
        <v>414</v>
      </c>
      <c r="D212" s="9" t="s">
        <v>587</v>
      </c>
      <c r="E212" s="14" t="s">
        <v>588</v>
      </c>
      <c r="F212" s="10" t="s">
        <v>13</v>
      </c>
      <c r="G212" s="10" t="s">
        <v>11</v>
      </c>
      <c r="H212" s="10" t="s">
        <v>11</v>
      </c>
      <c r="I212" s="10" t="s">
        <v>11</v>
      </c>
    </row>
    <row r="213" spans="1:9" ht="15" hidden="1" customHeight="1" x14ac:dyDescent="0.25">
      <c r="A213" s="7" t="s">
        <v>589</v>
      </c>
      <c r="B213" s="47" t="str">
        <f t="shared" si="3"/>
        <v>INSTRUMENT_CCF</v>
      </c>
      <c r="C213" s="8" t="s">
        <v>414</v>
      </c>
      <c r="D213" s="9" t="s">
        <v>590</v>
      </c>
      <c r="E213" s="14" t="s">
        <v>591</v>
      </c>
      <c r="F213" s="10" t="s">
        <v>13</v>
      </c>
      <c r="G213" s="13" t="s">
        <v>13</v>
      </c>
      <c r="H213" s="10" t="s">
        <v>11</v>
      </c>
      <c r="I213" s="10" t="s">
        <v>11</v>
      </c>
    </row>
    <row r="214" spans="1:9" ht="15" hidden="1" customHeight="1" x14ac:dyDescent="0.25">
      <c r="A214" s="7" t="s">
        <v>592</v>
      </c>
      <c r="B214" s="47" t="str">
        <f t="shared" si="3"/>
        <v>INSTRUMENT_CMMTMNT_INCPTN_INSTRMNT</v>
      </c>
      <c r="C214" s="8" t="s">
        <v>414</v>
      </c>
      <c r="D214" s="9" t="s">
        <v>593</v>
      </c>
      <c r="E214" s="14" t="s">
        <v>594</v>
      </c>
      <c r="F214" s="10" t="s">
        <v>13</v>
      </c>
      <c r="G214" s="10" t="s">
        <v>11</v>
      </c>
      <c r="H214" s="10" t="s">
        <v>11</v>
      </c>
      <c r="I214" s="10" t="s">
        <v>11</v>
      </c>
    </row>
    <row r="215" spans="1:9" ht="15" hidden="1" customHeight="1" x14ac:dyDescent="0.25">
      <c r="A215" s="7" t="s">
        <v>595</v>
      </c>
      <c r="B215" s="47" t="str">
        <f t="shared" si="3"/>
        <v>INSTRUMENT_CMMTMNT_INSTRMNT</v>
      </c>
      <c r="C215" s="8" t="s">
        <v>414</v>
      </c>
      <c r="D215" s="9" t="s">
        <v>596</v>
      </c>
      <c r="E215" s="14" t="s">
        <v>597</v>
      </c>
      <c r="F215" s="10" t="s">
        <v>13</v>
      </c>
      <c r="G215" s="10" t="s">
        <v>11</v>
      </c>
      <c r="H215" s="10" t="s">
        <v>11</v>
      </c>
      <c r="I215" s="10" t="s">
        <v>11</v>
      </c>
    </row>
    <row r="216" spans="1:9" ht="15" hidden="1" customHeight="1" x14ac:dyDescent="0.25">
      <c r="A216" s="7" t="s">
        <v>598</v>
      </c>
      <c r="B216" s="47" t="str">
        <f t="shared" si="3"/>
        <v>INSTRUMENT_CRRYNG_AMNT_INSTRMNT</v>
      </c>
      <c r="C216" s="8" t="s">
        <v>414</v>
      </c>
      <c r="D216" s="9" t="s">
        <v>599</v>
      </c>
      <c r="E216" s="14" t="s">
        <v>600</v>
      </c>
      <c r="F216" s="10" t="s">
        <v>13</v>
      </c>
      <c r="G216" s="10" t="s">
        <v>11</v>
      </c>
      <c r="H216" s="10" t="s">
        <v>11</v>
      </c>
      <c r="I216" s="10" t="s">
        <v>11</v>
      </c>
    </row>
    <row r="217" spans="1:9" ht="15" hidden="1" customHeight="1" x14ac:dyDescent="0.25">
      <c r="A217" s="7" t="s">
        <v>601</v>
      </c>
      <c r="B217" s="47" t="str">
        <f t="shared" si="3"/>
        <v>INSTRUMENT_DBT_YLD</v>
      </c>
      <c r="C217" s="8" t="s">
        <v>414</v>
      </c>
      <c r="D217" s="9" t="s">
        <v>602</v>
      </c>
      <c r="E217" s="14" t="s">
        <v>603</v>
      </c>
      <c r="F217" s="10" t="s">
        <v>13</v>
      </c>
      <c r="G217" s="10" t="s">
        <v>11</v>
      </c>
      <c r="H217" s="10" t="s">
        <v>11</v>
      </c>
      <c r="I217" s="10" t="s">
        <v>11</v>
      </c>
    </row>
    <row r="218" spans="1:9" ht="15" hidden="1" customHeight="1" x14ac:dyDescent="0.25">
      <c r="A218" s="7" t="s">
        <v>604</v>
      </c>
      <c r="B218" s="47" t="str">
        <f t="shared" si="3"/>
        <v>INSTRUMENT_DT_LGL_FNL_MTRTY</v>
      </c>
      <c r="C218" s="8" t="s">
        <v>414</v>
      </c>
      <c r="D218" s="9" t="s">
        <v>605</v>
      </c>
      <c r="E218" s="14" t="s">
        <v>606</v>
      </c>
      <c r="F218" s="10" t="s">
        <v>13</v>
      </c>
      <c r="G218" s="10" t="s">
        <v>11</v>
      </c>
      <c r="H218" s="10" t="s">
        <v>13</v>
      </c>
      <c r="I218" s="10" t="s">
        <v>11</v>
      </c>
    </row>
    <row r="219" spans="1:9" ht="15" hidden="1" customHeight="1" x14ac:dyDescent="0.25">
      <c r="A219" s="7" t="s">
        <v>607</v>
      </c>
      <c r="B219" s="47" t="str">
        <f t="shared" si="3"/>
        <v>INSTRUMENT_DT_NXT_INTRST_RT_RST</v>
      </c>
      <c r="C219" s="8" t="s">
        <v>414</v>
      </c>
      <c r="D219" s="9" t="s">
        <v>608</v>
      </c>
      <c r="E219" s="14" t="s">
        <v>609</v>
      </c>
      <c r="F219" s="10" t="s">
        <v>13</v>
      </c>
      <c r="G219" s="10" t="s">
        <v>11</v>
      </c>
      <c r="H219" s="10" t="s">
        <v>11</v>
      </c>
      <c r="I219" s="10" t="s">
        <v>11</v>
      </c>
    </row>
    <row r="220" spans="1:9" ht="15" hidden="1" customHeight="1" x14ac:dyDescent="0.25">
      <c r="A220" s="7" t="s">
        <v>610</v>
      </c>
      <c r="B220" s="47" t="str">
        <f t="shared" si="3"/>
        <v>INSTRUMENT_DT_ORGNL_MTRTY</v>
      </c>
      <c r="C220" s="8" t="s">
        <v>414</v>
      </c>
      <c r="D220" s="9" t="s">
        <v>611</v>
      </c>
      <c r="E220" s="14" t="s">
        <v>612</v>
      </c>
      <c r="F220" s="10" t="s">
        <v>13</v>
      </c>
      <c r="G220" s="10" t="s">
        <v>11</v>
      </c>
      <c r="H220" s="10" t="s">
        <v>11</v>
      </c>
      <c r="I220" s="10" t="s">
        <v>11</v>
      </c>
    </row>
    <row r="221" spans="1:9" ht="15" hidden="1" customHeight="1" x14ac:dyDescent="0.25">
      <c r="A221" s="7" t="s">
        <v>613</v>
      </c>
      <c r="B221" s="47" t="str">
        <f t="shared" si="3"/>
        <v>INSTRUMENT_IFRS9_BHVRL_MTRTY</v>
      </c>
      <c r="C221" s="8" t="s">
        <v>414</v>
      </c>
      <c r="D221" s="9" t="s">
        <v>614</v>
      </c>
      <c r="E221" s="14" t="s">
        <v>615</v>
      </c>
      <c r="F221" s="10" t="s">
        <v>13</v>
      </c>
      <c r="G221" s="10" t="s">
        <v>11</v>
      </c>
      <c r="H221" s="10" t="s">
        <v>11</v>
      </c>
      <c r="I221" s="10" t="s">
        <v>11</v>
      </c>
    </row>
    <row r="222" spans="1:9" ht="15" hidden="1" customHeight="1" x14ac:dyDescent="0.25">
      <c r="A222" s="7" t="s">
        <v>616</v>
      </c>
      <c r="B222" s="47" t="str">
        <f t="shared" si="3"/>
        <v>INSTRUMENT_EAD</v>
      </c>
      <c r="C222" s="8" t="s">
        <v>414</v>
      </c>
      <c r="D222" s="9" t="s">
        <v>617</v>
      </c>
      <c r="E222" s="14" t="s">
        <v>618</v>
      </c>
      <c r="F222" s="10" t="s">
        <v>13</v>
      </c>
      <c r="G222" s="13" t="s">
        <v>13</v>
      </c>
      <c r="H222" s="10" t="s">
        <v>11</v>
      </c>
      <c r="I222" s="10" t="s">
        <v>13</v>
      </c>
    </row>
    <row r="223" spans="1:9" ht="15" hidden="1" customHeight="1" x14ac:dyDescent="0.25">
      <c r="A223" s="7" t="s">
        <v>619</v>
      </c>
      <c r="B223" s="47" t="str">
        <f t="shared" si="3"/>
        <v>INSTRUMENT_IFRS9_CCF</v>
      </c>
      <c r="C223" s="8" t="s">
        <v>414</v>
      </c>
      <c r="D223" s="9" t="s">
        <v>620</v>
      </c>
      <c r="E223" s="14" t="s">
        <v>621</v>
      </c>
      <c r="F223" s="10" t="s">
        <v>13</v>
      </c>
      <c r="G223" s="10" t="s">
        <v>11</v>
      </c>
      <c r="H223" s="10" t="s">
        <v>11</v>
      </c>
      <c r="I223" s="10" t="s">
        <v>11</v>
      </c>
    </row>
    <row r="224" spans="1:9" ht="15" hidden="1" customHeight="1" x14ac:dyDescent="0.25">
      <c r="A224" s="7" t="s">
        <v>622</v>
      </c>
      <c r="B224" s="47" t="str">
        <f t="shared" si="3"/>
        <v>INSTRUMENT_IFRS9_EAD</v>
      </c>
      <c r="C224" s="8" t="s">
        <v>414</v>
      </c>
      <c r="D224" s="9" t="s">
        <v>623</v>
      </c>
      <c r="E224" s="14" t="s">
        <v>624</v>
      </c>
      <c r="F224" s="10" t="s">
        <v>13</v>
      </c>
      <c r="G224" s="10" t="s">
        <v>11</v>
      </c>
      <c r="H224" s="10" t="s">
        <v>11</v>
      </c>
      <c r="I224" s="10" t="s">
        <v>11</v>
      </c>
    </row>
    <row r="225" spans="1:9" ht="15" hidden="1" customHeight="1" x14ac:dyDescent="0.25">
      <c r="A225" s="7" t="s">
        <v>625</v>
      </c>
      <c r="B225" s="47" t="str">
        <f t="shared" si="3"/>
        <v>INSTRUMENT_INSTLMNT_PAY</v>
      </c>
      <c r="C225" s="8" t="s">
        <v>414</v>
      </c>
      <c r="D225" s="9" t="s">
        <v>626</v>
      </c>
      <c r="E225" s="14" t="s">
        <v>627</v>
      </c>
      <c r="F225" s="10" t="s">
        <v>13</v>
      </c>
      <c r="G225" s="10" t="s">
        <v>11</v>
      </c>
      <c r="H225" s="10" t="s">
        <v>11</v>
      </c>
      <c r="I225" s="10" t="s">
        <v>11</v>
      </c>
    </row>
    <row r="226" spans="1:9" ht="15" hidden="1" customHeight="1" x14ac:dyDescent="0.25">
      <c r="A226" s="7" t="s">
        <v>628</v>
      </c>
      <c r="B226" s="47" t="str">
        <f t="shared" si="3"/>
        <v>INSTRUMENT_OFF_BLNC_SHT_AMNT_INSTRMNT</v>
      </c>
      <c r="C226" s="8" t="s">
        <v>414</v>
      </c>
      <c r="D226" s="9" t="s">
        <v>629</v>
      </c>
      <c r="E226" s="14" t="s">
        <v>630</v>
      </c>
      <c r="F226" s="10" t="s">
        <v>13</v>
      </c>
      <c r="G226" s="10" t="s">
        <v>13</v>
      </c>
      <c r="H226" s="10" t="s">
        <v>11</v>
      </c>
      <c r="I226" s="10" t="s">
        <v>13</v>
      </c>
    </row>
    <row r="227" spans="1:9" ht="15" hidden="1" customHeight="1" x14ac:dyDescent="0.25">
      <c r="A227" s="7" t="s">
        <v>631</v>
      </c>
      <c r="B227" s="47" t="str">
        <f t="shared" si="3"/>
        <v>INSTRUMENT_OFF_BLNC_SHT_AMNT_INSTRMNT_PRVS</v>
      </c>
      <c r="C227" s="8" t="s">
        <v>414</v>
      </c>
      <c r="D227" s="9" t="s">
        <v>632</v>
      </c>
      <c r="E227" s="14" t="s">
        <v>633</v>
      </c>
      <c r="F227" s="10" t="s">
        <v>13</v>
      </c>
      <c r="G227" s="10" t="s">
        <v>11</v>
      </c>
      <c r="H227" s="10" t="s">
        <v>11</v>
      </c>
      <c r="I227" s="10" t="s">
        <v>11</v>
      </c>
    </row>
    <row r="228" spans="1:9" ht="15" hidden="1" customHeight="1" x14ac:dyDescent="0.25">
      <c r="A228" s="7" t="s">
        <v>634</v>
      </c>
      <c r="B228" s="47" t="str">
        <f t="shared" si="3"/>
        <v>INSTRUMENT_OTSTNDNG_NMNL_AMNT_INSTRMNT</v>
      </c>
      <c r="C228" s="8" t="s">
        <v>414</v>
      </c>
      <c r="D228" s="9" t="s">
        <v>635</v>
      </c>
      <c r="E228" s="14" t="s">
        <v>636</v>
      </c>
      <c r="F228" s="10" t="s">
        <v>13</v>
      </c>
      <c r="G228" s="10" t="s">
        <v>11</v>
      </c>
      <c r="H228" s="10" t="s">
        <v>11</v>
      </c>
      <c r="I228" s="10" t="s">
        <v>11</v>
      </c>
    </row>
    <row r="229" spans="1:9" ht="15" hidden="1" customHeight="1" x14ac:dyDescent="0.25">
      <c r="A229" s="7" t="s">
        <v>637</v>
      </c>
      <c r="B229" s="47" t="str">
        <f t="shared" si="3"/>
        <v>INSTRUMENT_OTSTNDNG_NMNL_AMNT_INSTRMNT_PRVS</v>
      </c>
      <c r="C229" s="8" t="s">
        <v>414</v>
      </c>
      <c r="D229" s="9" t="s">
        <v>638</v>
      </c>
      <c r="E229" s="14" t="s">
        <v>639</v>
      </c>
      <c r="F229" s="10" t="s">
        <v>13</v>
      </c>
      <c r="G229" s="10" t="s">
        <v>11</v>
      </c>
      <c r="H229" s="10" t="s">
        <v>11</v>
      </c>
      <c r="I229" s="10" t="s">
        <v>11</v>
      </c>
    </row>
    <row r="230" spans="1:9" ht="15" hidden="1" customHeight="1" x14ac:dyDescent="0.25">
      <c r="A230" s="7" t="s">
        <v>640</v>
      </c>
      <c r="B230" s="47" t="str">
        <f t="shared" si="3"/>
        <v>INSTRUMENT_PRVSNS_OFF_BLNC_SHT</v>
      </c>
      <c r="C230" s="8" t="s">
        <v>414</v>
      </c>
      <c r="D230" s="9" t="s">
        <v>641</v>
      </c>
      <c r="E230" s="14" t="s">
        <v>642</v>
      </c>
      <c r="F230" s="10" t="s">
        <v>13</v>
      </c>
      <c r="G230" s="10" t="s">
        <v>13</v>
      </c>
      <c r="H230" s="10" t="s">
        <v>11</v>
      </c>
      <c r="I230" s="10" t="s">
        <v>11</v>
      </c>
    </row>
    <row r="231" spans="1:9" ht="15" hidden="1" customHeight="1" x14ac:dyDescent="0.25">
      <c r="A231" s="7" t="s">
        <v>643</v>
      </c>
      <c r="B231" s="47" t="str">
        <f t="shared" si="3"/>
        <v>INSTRUMENT_PYMNT_FRQNCY</v>
      </c>
      <c r="C231" s="8" t="s">
        <v>414</v>
      </c>
      <c r="D231" s="9" t="s">
        <v>644</v>
      </c>
      <c r="E231" s="14" t="s">
        <v>645</v>
      </c>
      <c r="F231" s="10" t="s">
        <v>13</v>
      </c>
      <c r="G231" s="10" t="s">
        <v>11</v>
      </c>
      <c r="H231" s="10" t="s">
        <v>11</v>
      </c>
      <c r="I231" s="10" t="s">
        <v>11</v>
      </c>
    </row>
    <row r="232" spans="1:9" ht="15" hidden="1" customHeight="1" x14ac:dyDescent="0.25">
      <c r="A232" s="7" t="s">
        <v>646</v>
      </c>
      <c r="B232" s="47" t="str">
        <f t="shared" si="3"/>
        <v>INSTRUMENT_RTNTN_SHR</v>
      </c>
      <c r="C232" s="8" t="s">
        <v>414</v>
      </c>
      <c r="D232" s="9" t="s">
        <v>647</v>
      </c>
      <c r="E232" s="14" t="s">
        <v>648</v>
      </c>
      <c r="F232" s="10" t="s">
        <v>13</v>
      </c>
      <c r="G232" s="10" t="s">
        <v>11</v>
      </c>
      <c r="H232" s="10" t="s">
        <v>11</v>
      </c>
      <c r="I232" s="10" t="s">
        <v>11</v>
      </c>
    </row>
    <row r="233" spans="1:9" ht="15" hidden="1" customHeight="1" x14ac:dyDescent="0.25">
      <c r="A233" s="7" t="s">
        <v>649</v>
      </c>
      <c r="B233" s="47" t="str">
        <f t="shared" si="3"/>
        <v>INSTRUMENT_RWA</v>
      </c>
      <c r="C233" s="8" t="s">
        <v>414</v>
      </c>
      <c r="D233" s="9" t="s">
        <v>650</v>
      </c>
      <c r="E233" s="14" t="s">
        <v>650</v>
      </c>
      <c r="F233" s="10" t="s">
        <v>13</v>
      </c>
      <c r="G233" s="10" t="s">
        <v>13</v>
      </c>
      <c r="H233" s="10" t="s">
        <v>11</v>
      </c>
      <c r="I233" s="10" t="s">
        <v>11</v>
      </c>
    </row>
    <row r="234" spans="1:9" ht="15" hidden="1" customHeight="1" x14ac:dyDescent="0.25">
      <c r="A234" s="7" t="s">
        <v>651</v>
      </c>
      <c r="B234" s="47" t="str">
        <f t="shared" si="3"/>
        <v>INSTRUMENT_RWA_MTHD</v>
      </c>
      <c r="C234" s="8" t="s">
        <v>414</v>
      </c>
      <c r="D234" s="9" t="s">
        <v>652</v>
      </c>
      <c r="E234" s="14" t="s">
        <v>653</v>
      </c>
      <c r="F234" s="10" t="s">
        <v>13</v>
      </c>
      <c r="G234" s="10" t="s">
        <v>11</v>
      </c>
      <c r="H234" s="10" t="s">
        <v>11</v>
      </c>
      <c r="I234" s="10" t="s">
        <v>11</v>
      </c>
    </row>
    <row r="235" spans="1:9" ht="15" hidden="1" customHeight="1" x14ac:dyDescent="0.25">
      <c r="A235" s="7" t="s">
        <v>654</v>
      </c>
      <c r="B235" s="47" t="str">
        <f t="shared" si="3"/>
        <v>INSTRUMENT_SPNSR_NM</v>
      </c>
      <c r="C235" s="8" t="s">
        <v>414</v>
      </c>
      <c r="D235" s="9" t="s">
        <v>655</v>
      </c>
      <c r="E235" s="14" t="s">
        <v>656</v>
      </c>
      <c r="F235" s="10" t="s">
        <v>13</v>
      </c>
      <c r="G235" s="10" t="s">
        <v>11</v>
      </c>
      <c r="H235" s="10" t="s">
        <v>11</v>
      </c>
      <c r="I235" s="10" t="s">
        <v>11</v>
      </c>
    </row>
    <row r="236" spans="1:9" ht="15" hidden="1" customHeight="1" x14ac:dyDescent="0.25">
      <c r="A236" s="7" t="s">
        <v>657</v>
      </c>
      <c r="B236" s="47" t="str">
        <f t="shared" si="3"/>
        <v>INSTRUMENT_ACCMLTD_IMPRMNT_INSTRMNT</v>
      </c>
      <c r="C236" s="8" t="s">
        <v>414</v>
      </c>
      <c r="D236" s="9" t="s">
        <v>658</v>
      </c>
      <c r="E236" s="14" t="s">
        <v>659</v>
      </c>
      <c r="F236" s="10" t="s">
        <v>13</v>
      </c>
      <c r="G236" s="10" t="s">
        <v>13</v>
      </c>
      <c r="H236" s="10" t="s">
        <v>13</v>
      </c>
      <c r="I236" s="10" t="s">
        <v>11</v>
      </c>
    </row>
    <row r="237" spans="1:9" ht="15" hidden="1" customHeight="1" x14ac:dyDescent="0.25">
      <c r="A237" s="7" t="s">
        <v>660</v>
      </c>
      <c r="B237" s="47" t="str">
        <f t="shared" si="3"/>
        <v>INSTRUMENT_ACCMLTD_IMPRMNT_INSTRMNT_PRVS</v>
      </c>
      <c r="C237" s="8" t="s">
        <v>414</v>
      </c>
      <c r="D237" s="9" t="s">
        <v>661</v>
      </c>
      <c r="E237" s="14" t="s">
        <v>662</v>
      </c>
      <c r="F237" s="10" t="s">
        <v>13</v>
      </c>
      <c r="G237" s="10" t="s">
        <v>11</v>
      </c>
      <c r="H237" s="10" t="s">
        <v>11</v>
      </c>
      <c r="I237" s="10" t="s">
        <v>11</v>
      </c>
    </row>
    <row r="238" spans="1:9" ht="15" hidden="1" customHeight="1" x14ac:dyDescent="0.25">
      <c r="A238" s="7" t="s">
        <v>663</v>
      </c>
      <c r="B238" s="47" t="str">
        <f t="shared" si="3"/>
        <v>INSTRUMENT_ACCMLTD_WRTFFS_INSTRMNT</v>
      </c>
      <c r="C238" s="8" t="s">
        <v>414</v>
      </c>
      <c r="D238" s="9" t="s">
        <v>664</v>
      </c>
      <c r="E238" s="14" t="s">
        <v>665</v>
      </c>
      <c r="F238" s="10" t="s">
        <v>13</v>
      </c>
      <c r="G238" s="10" t="s">
        <v>11</v>
      </c>
      <c r="H238" s="10" t="s">
        <v>11</v>
      </c>
      <c r="I238" s="10" t="s">
        <v>11</v>
      </c>
    </row>
    <row r="239" spans="1:9" ht="15" hidden="1" customHeight="1" x14ac:dyDescent="0.25">
      <c r="A239" s="7" t="s">
        <v>666</v>
      </c>
      <c r="B239" s="47" t="str">
        <f t="shared" si="3"/>
        <v>INSTRUMENT_ARRRS_INSTRMNT</v>
      </c>
      <c r="C239" s="8" t="s">
        <v>414</v>
      </c>
      <c r="D239" s="9" t="s">
        <v>667</v>
      </c>
      <c r="E239" s="14" t="s">
        <v>668</v>
      </c>
      <c r="F239" s="10" t="s">
        <v>13</v>
      </c>
      <c r="G239" s="10" t="s">
        <v>11</v>
      </c>
      <c r="H239" s="10" t="s">
        <v>11</v>
      </c>
      <c r="I239" s="10" t="s">
        <v>11</v>
      </c>
    </row>
    <row r="240" spans="1:9" ht="15" hidden="1" customHeight="1" x14ac:dyDescent="0.25">
      <c r="A240" s="7" t="s">
        <v>669</v>
      </c>
      <c r="B240" s="47" t="str">
        <f t="shared" si="3"/>
        <v>INSTRUMENT_ARRRS_INSTRMNT_12M</v>
      </c>
      <c r="C240" s="8" t="s">
        <v>414</v>
      </c>
      <c r="D240" s="9" t="s">
        <v>670</v>
      </c>
      <c r="E240" s="14" t="s">
        <v>671</v>
      </c>
      <c r="F240" s="10" t="s">
        <v>13</v>
      </c>
      <c r="G240" s="10" t="s">
        <v>11</v>
      </c>
      <c r="H240" s="10" t="s">
        <v>11</v>
      </c>
      <c r="I240" s="10" t="s">
        <v>11</v>
      </c>
    </row>
    <row r="241" spans="1:9" ht="15" hidden="1" customHeight="1" x14ac:dyDescent="0.25">
      <c r="A241" s="7" t="s">
        <v>672</v>
      </c>
      <c r="B241" s="47" t="str">
        <f t="shared" si="3"/>
        <v>INSTRUMENT_CMLTV_RCVRS_SNC_DFLT_INSTRMNT</v>
      </c>
      <c r="C241" s="8" t="s">
        <v>414</v>
      </c>
      <c r="D241" s="9" t="s">
        <v>673</v>
      </c>
      <c r="E241" s="14" t="s">
        <v>674</v>
      </c>
      <c r="F241" s="10" t="s">
        <v>13</v>
      </c>
      <c r="G241" s="10" t="s">
        <v>11</v>
      </c>
      <c r="H241" s="10" t="s">
        <v>11</v>
      </c>
      <c r="I241" s="10" t="s">
        <v>11</v>
      </c>
    </row>
    <row r="242" spans="1:9" ht="15" hidden="1" customHeight="1" x14ac:dyDescent="0.25">
      <c r="A242" s="7" t="s">
        <v>675</v>
      </c>
      <c r="B242" s="47" t="str">
        <f t="shared" si="3"/>
        <v>INSTRUMENT_DPD</v>
      </c>
      <c r="C242" s="8" t="s">
        <v>414</v>
      </c>
      <c r="D242" s="9" t="s">
        <v>676</v>
      </c>
      <c r="E242" s="14" t="s">
        <v>677</v>
      </c>
      <c r="F242" s="10" t="s">
        <v>13</v>
      </c>
      <c r="G242" s="10" t="s">
        <v>11</v>
      </c>
      <c r="H242" s="10" t="s">
        <v>11</v>
      </c>
      <c r="I242" s="10" t="s">
        <v>11</v>
      </c>
    </row>
    <row r="243" spans="1:9" ht="15" hidden="1" customHeight="1" x14ac:dyDescent="0.25">
      <c r="A243" s="7" t="s">
        <v>678</v>
      </c>
      <c r="B243" s="47" t="str">
        <f t="shared" si="3"/>
        <v>INSTRUMENT_DPD_12M</v>
      </c>
      <c r="C243" s="8" t="s">
        <v>414</v>
      </c>
      <c r="D243" s="9" t="s">
        <v>679</v>
      </c>
      <c r="E243" s="14" t="s">
        <v>680</v>
      </c>
      <c r="F243" s="10" t="s">
        <v>13</v>
      </c>
      <c r="G243" s="10" t="s">
        <v>11</v>
      </c>
      <c r="H243" s="10" t="s">
        <v>11</v>
      </c>
      <c r="I243" s="10" t="s">
        <v>11</v>
      </c>
    </row>
    <row r="244" spans="1:9" ht="15" hidden="1" customHeight="1" x14ac:dyDescent="0.25">
      <c r="A244" s="7" t="s">
        <v>681</v>
      </c>
      <c r="B244" s="47" t="str">
        <f t="shared" si="3"/>
        <v>INSTRUMENT_DPD_12M_FRBRNC_STTS</v>
      </c>
      <c r="C244" s="8" t="s">
        <v>414</v>
      </c>
      <c r="D244" s="9" t="s">
        <v>682</v>
      </c>
      <c r="E244" s="14" t="s">
        <v>683</v>
      </c>
      <c r="F244" s="10" t="s">
        <v>13</v>
      </c>
      <c r="G244" s="10" t="s">
        <v>11</v>
      </c>
      <c r="H244" s="10" t="s">
        <v>11</v>
      </c>
      <c r="I244" s="10" t="s">
        <v>11</v>
      </c>
    </row>
    <row r="245" spans="1:9" ht="15" hidden="1" customHeight="1" x14ac:dyDescent="0.25">
      <c r="A245" s="7" t="s">
        <v>684</v>
      </c>
      <c r="B245" s="47" t="str">
        <f t="shared" si="3"/>
        <v>INSTRUMENT_DPD_12M_PRFRMNG_STTS</v>
      </c>
      <c r="C245" s="8" t="s">
        <v>414</v>
      </c>
      <c r="D245" s="9" t="s">
        <v>685</v>
      </c>
      <c r="E245" s="14" t="s">
        <v>686</v>
      </c>
      <c r="F245" s="10" t="s">
        <v>13</v>
      </c>
      <c r="G245" s="10" t="s">
        <v>11</v>
      </c>
      <c r="H245" s="10" t="s">
        <v>11</v>
      </c>
      <c r="I245" s="10" t="s">
        <v>11</v>
      </c>
    </row>
    <row r="246" spans="1:9" ht="15" hidden="1" customHeight="1" x14ac:dyDescent="0.25">
      <c r="A246" s="7" t="s">
        <v>687</v>
      </c>
      <c r="B246" s="47" t="str">
        <f t="shared" si="3"/>
        <v>INSTRUMENT_DPD_24M_FRBRNC_STTS</v>
      </c>
      <c r="C246" s="8" t="s">
        <v>414</v>
      </c>
      <c r="D246" s="9" t="s">
        <v>688</v>
      </c>
      <c r="E246" s="14" t="s">
        <v>689</v>
      </c>
      <c r="F246" s="10" t="s">
        <v>13</v>
      </c>
      <c r="G246" s="10" t="s">
        <v>11</v>
      </c>
      <c r="H246" s="10" t="s">
        <v>11</v>
      </c>
      <c r="I246" s="10" t="s">
        <v>11</v>
      </c>
    </row>
    <row r="247" spans="1:9" ht="15" hidden="1" customHeight="1" x14ac:dyDescent="0.25">
      <c r="A247" s="7" t="s">
        <v>690</v>
      </c>
      <c r="B247" s="47" t="str">
        <f t="shared" si="3"/>
        <v>INSTRUMENT_DPD_24M_PRFRMNG_STTS</v>
      </c>
      <c r="C247" s="8" t="s">
        <v>414</v>
      </c>
      <c r="D247" s="9" t="s">
        <v>691</v>
      </c>
      <c r="E247" s="14" t="s">
        <v>692</v>
      </c>
      <c r="F247" s="10" t="s">
        <v>13</v>
      </c>
      <c r="G247" s="10" t="s">
        <v>11</v>
      </c>
      <c r="H247" s="10" t="s">
        <v>11</v>
      </c>
      <c r="I247" s="10" t="s">
        <v>11</v>
      </c>
    </row>
    <row r="248" spans="1:9" ht="15" hidden="1" customHeight="1" x14ac:dyDescent="0.25">
      <c r="A248" s="7" t="s">
        <v>693</v>
      </c>
      <c r="B248" s="47" t="str">
        <f t="shared" si="3"/>
        <v>INSTRUMENT_DPD_FRBRNC_STTS</v>
      </c>
      <c r="C248" s="8" t="s">
        <v>414</v>
      </c>
      <c r="D248" s="9" t="s">
        <v>694</v>
      </c>
      <c r="E248" s="14" t="s">
        <v>695</v>
      </c>
      <c r="F248" s="10" t="s">
        <v>13</v>
      </c>
      <c r="G248" s="10" t="s">
        <v>11</v>
      </c>
      <c r="H248" s="10" t="s">
        <v>11</v>
      </c>
      <c r="I248" s="10" t="s">
        <v>11</v>
      </c>
    </row>
    <row r="249" spans="1:9" ht="15" hidden="1" customHeight="1" x14ac:dyDescent="0.25">
      <c r="A249" s="7" t="s">
        <v>696</v>
      </c>
      <c r="B249" s="47" t="str">
        <f t="shared" si="3"/>
        <v>INSTRUMENT_DPD_PRFRMNG_STTS</v>
      </c>
      <c r="C249" s="8" t="s">
        <v>414</v>
      </c>
      <c r="D249" s="9" t="s">
        <v>697</v>
      </c>
      <c r="E249" s="14" t="s">
        <v>698</v>
      </c>
      <c r="F249" s="10" t="s">
        <v>13</v>
      </c>
      <c r="G249" s="10" t="s">
        <v>11</v>
      </c>
      <c r="H249" s="10" t="s">
        <v>11</v>
      </c>
      <c r="I249" s="10" t="s">
        <v>11</v>
      </c>
    </row>
    <row r="250" spans="1:9" ht="15" hidden="1" customHeight="1" x14ac:dyDescent="0.25">
      <c r="A250" s="7" t="s">
        <v>699</v>
      </c>
      <c r="B250" s="47" t="str">
        <f t="shared" si="3"/>
        <v>INSTRUMENT_DT_IMPRMNT_STTS</v>
      </c>
      <c r="C250" s="8" t="s">
        <v>414</v>
      </c>
      <c r="D250" s="9" t="s">
        <v>700</v>
      </c>
      <c r="E250" s="14" t="s">
        <v>701</v>
      </c>
      <c r="F250" s="10" t="s">
        <v>13</v>
      </c>
      <c r="G250" s="10" t="s">
        <v>11</v>
      </c>
      <c r="H250" s="10" t="s">
        <v>11</v>
      </c>
      <c r="I250" s="10" t="s">
        <v>11</v>
      </c>
    </row>
    <row r="251" spans="1:9" ht="15" hidden="1" customHeight="1" x14ac:dyDescent="0.25">
      <c r="A251" s="7" t="s">
        <v>702</v>
      </c>
      <c r="B251" s="47" t="str">
        <f t="shared" si="3"/>
        <v>INSTRUMENT_DT_IMPRMNT_STTS_PRVS</v>
      </c>
      <c r="C251" s="8" t="s">
        <v>414</v>
      </c>
      <c r="D251" s="9" t="s">
        <v>703</v>
      </c>
      <c r="E251" s="14" t="s">
        <v>704</v>
      </c>
      <c r="F251" s="10" t="s">
        <v>13</v>
      </c>
      <c r="G251" s="10" t="s">
        <v>11</v>
      </c>
      <c r="H251" s="10" t="s">
        <v>11</v>
      </c>
      <c r="I251" s="10" t="s">
        <v>11</v>
      </c>
    </row>
    <row r="252" spans="1:9" ht="15" hidden="1" customHeight="1" x14ac:dyDescent="0.25">
      <c r="A252" s="7" t="s">
        <v>705</v>
      </c>
      <c r="B252" s="47" t="str">
        <f t="shared" si="3"/>
        <v>INSTRUMENT_DT_PST_D</v>
      </c>
      <c r="C252" s="8" t="s">
        <v>414</v>
      </c>
      <c r="D252" s="9" t="s">
        <v>706</v>
      </c>
      <c r="E252" s="14" t="s">
        <v>707</v>
      </c>
      <c r="F252" s="10" t="s">
        <v>13</v>
      </c>
      <c r="G252" s="10" t="s">
        <v>11</v>
      </c>
      <c r="H252" s="10" t="s">
        <v>11</v>
      </c>
      <c r="I252" s="10" t="s">
        <v>11</v>
      </c>
    </row>
    <row r="253" spans="1:9" ht="15" hidden="1" customHeight="1" x14ac:dyDescent="0.25">
      <c r="A253" s="7" t="s">
        <v>708</v>
      </c>
      <c r="B253" s="47" t="str">
        <f t="shared" si="3"/>
        <v>INSTRUMENT_IMPRMNT_ASSSSMNT_MTHD</v>
      </c>
      <c r="C253" s="8" t="s">
        <v>414</v>
      </c>
      <c r="D253" s="9" t="s">
        <v>709</v>
      </c>
      <c r="E253" s="14" t="s">
        <v>710</v>
      </c>
      <c r="F253" s="10" t="s">
        <v>13</v>
      </c>
      <c r="G253" s="10" t="s">
        <v>11</v>
      </c>
      <c r="H253" s="10" t="s">
        <v>11</v>
      </c>
      <c r="I253" s="10" t="s">
        <v>11</v>
      </c>
    </row>
    <row r="254" spans="1:9" ht="15" hidden="1" customHeight="1" x14ac:dyDescent="0.25">
      <c r="A254" s="7" t="s">
        <v>711</v>
      </c>
      <c r="B254" s="47" t="str">
        <f t="shared" si="3"/>
        <v>INSTRUMENT_IMPRMNT_CLCLTN_MTHD</v>
      </c>
      <c r="C254" s="8" t="s">
        <v>414</v>
      </c>
      <c r="D254" s="9" t="s">
        <v>712</v>
      </c>
      <c r="E254" s="14" t="s">
        <v>713</v>
      </c>
      <c r="F254" s="10" t="s">
        <v>13</v>
      </c>
      <c r="G254" s="10" t="s">
        <v>11</v>
      </c>
      <c r="H254" s="10" t="s">
        <v>11</v>
      </c>
      <c r="I254" s="10" t="s">
        <v>11</v>
      </c>
    </row>
    <row r="255" spans="1:9" ht="15" hidden="1" customHeight="1" x14ac:dyDescent="0.25">
      <c r="A255" s="7" t="s">
        <v>714</v>
      </c>
      <c r="B255" s="47" t="str">
        <f t="shared" si="3"/>
        <v>INSTRUMENT_NMBR_FRBRNC_MSRS</v>
      </c>
      <c r="C255" s="8" t="s">
        <v>414</v>
      </c>
      <c r="D255" s="9" t="s">
        <v>715</v>
      </c>
      <c r="E255" s="14" t="s">
        <v>716</v>
      </c>
      <c r="F255" s="10" t="s">
        <v>13</v>
      </c>
      <c r="G255" s="10" t="s">
        <v>11</v>
      </c>
      <c r="H255" s="10" t="s">
        <v>11</v>
      </c>
      <c r="I255" s="10" t="s">
        <v>11</v>
      </c>
    </row>
    <row r="256" spans="1:9" ht="15" hidden="1" customHeight="1" x14ac:dyDescent="0.25">
      <c r="A256" s="7" t="s">
        <v>717</v>
      </c>
      <c r="B256" s="47" t="str">
        <f t="shared" si="3"/>
        <v>INSTRUMENT_IFRS9_LGD</v>
      </c>
      <c r="C256" s="8" t="s">
        <v>414</v>
      </c>
      <c r="D256" s="9" t="s">
        <v>718</v>
      </c>
      <c r="E256" s="14" t="s">
        <v>719</v>
      </c>
      <c r="F256" s="10" t="s">
        <v>13</v>
      </c>
      <c r="G256" s="10" t="s">
        <v>11</v>
      </c>
      <c r="H256" s="10" t="s">
        <v>11</v>
      </c>
      <c r="I256" s="10" t="s">
        <v>11</v>
      </c>
    </row>
    <row r="257" spans="1:9" ht="15" hidden="1" customHeight="1" x14ac:dyDescent="0.25">
      <c r="A257" s="7" t="s">
        <v>720</v>
      </c>
      <c r="B257" s="47" t="str">
        <f t="shared" si="3"/>
        <v>INSTRUMENT_LGD</v>
      </c>
      <c r="C257" s="8" t="s">
        <v>414</v>
      </c>
      <c r="D257" s="9" t="s">
        <v>721</v>
      </c>
      <c r="E257" s="14" t="s">
        <v>722</v>
      </c>
      <c r="F257" s="10" t="s">
        <v>13</v>
      </c>
      <c r="G257" s="10" t="s">
        <v>11</v>
      </c>
      <c r="H257" s="10" t="s">
        <v>11</v>
      </c>
      <c r="I257" s="10" t="s">
        <v>11</v>
      </c>
    </row>
    <row r="258" spans="1:9" ht="15" hidden="1" customHeight="1" x14ac:dyDescent="0.25">
      <c r="A258" s="7" t="s">
        <v>723</v>
      </c>
      <c r="B258" s="47" t="str">
        <f t="shared" si="3"/>
        <v>INSTRUMENT_LTV</v>
      </c>
      <c r="C258" s="8" t="s">
        <v>414</v>
      </c>
      <c r="D258" s="9" t="s">
        <v>724</v>
      </c>
      <c r="E258" s="14" t="s">
        <v>725</v>
      </c>
      <c r="F258" s="10" t="s">
        <v>13</v>
      </c>
      <c r="G258" s="10" t="s">
        <v>11</v>
      </c>
      <c r="H258" s="10" t="s">
        <v>11</v>
      </c>
      <c r="I258" s="10" t="s">
        <v>11</v>
      </c>
    </row>
    <row r="259" spans="1:9" ht="15" hidden="1" customHeight="1" x14ac:dyDescent="0.25">
      <c r="A259" s="7" t="s">
        <v>726</v>
      </c>
      <c r="B259" s="47" t="str">
        <f t="shared" ref="B259:B322" si="4">C259&amp;"_"&amp;D259</f>
        <v>INSTRUMENT_LTV_INCPTN</v>
      </c>
      <c r="C259" s="8" t="s">
        <v>414</v>
      </c>
      <c r="D259" s="9" t="s">
        <v>727</v>
      </c>
      <c r="E259" s="14" t="s">
        <v>728</v>
      </c>
      <c r="F259" s="10" t="s">
        <v>13</v>
      </c>
      <c r="G259" s="10" t="s">
        <v>11</v>
      </c>
      <c r="H259" s="10" t="s">
        <v>11</v>
      </c>
      <c r="I259" s="10" t="s">
        <v>11</v>
      </c>
    </row>
    <row r="260" spans="1:9" ht="15" hidden="1" customHeight="1" x14ac:dyDescent="0.25">
      <c r="A260" s="7" t="s">
        <v>729</v>
      </c>
      <c r="B260" s="47" t="str">
        <f t="shared" si="4"/>
        <v>INSTRUMENT_LTV_NPE</v>
      </c>
      <c r="C260" s="8" t="s">
        <v>414</v>
      </c>
      <c r="D260" s="9" t="s">
        <v>730</v>
      </c>
      <c r="E260" s="14" t="s">
        <v>731</v>
      </c>
      <c r="F260" s="10" t="s">
        <v>13</v>
      </c>
      <c r="G260" s="10" t="s">
        <v>11</v>
      </c>
      <c r="H260" s="10" t="s">
        <v>11</v>
      </c>
      <c r="I260" s="10" t="s">
        <v>11</v>
      </c>
    </row>
    <row r="261" spans="1:9" ht="15" hidden="1" customHeight="1" x14ac:dyDescent="0.25">
      <c r="A261" s="7" t="s">
        <v>732</v>
      </c>
      <c r="B261" s="47" t="str">
        <f t="shared" si="4"/>
        <v>INSTRUMENT_PD_CRR_INCPTN</v>
      </c>
      <c r="C261" s="8" t="s">
        <v>414</v>
      </c>
      <c r="D261" s="9" t="s">
        <v>733</v>
      </c>
      <c r="E261" s="14" t="s">
        <v>734</v>
      </c>
      <c r="F261" s="10" t="s">
        <v>13</v>
      </c>
      <c r="G261" s="10" t="s">
        <v>11</v>
      </c>
      <c r="H261" s="10" t="s">
        <v>11</v>
      </c>
      <c r="I261" s="10" t="s">
        <v>11</v>
      </c>
    </row>
    <row r="262" spans="1:9" ht="15" hidden="1" customHeight="1" x14ac:dyDescent="0.25">
      <c r="A262" s="7" t="s">
        <v>735</v>
      </c>
      <c r="B262" s="47" t="str">
        <f t="shared" si="4"/>
        <v>INSTRUMENT_PD_CRR_RD</v>
      </c>
      <c r="C262" s="8" t="s">
        <v>414</v>
      </c>
      <c r="D262" s="9" t="s">
        <v>257</v>
      </c>
      <c r="E262" s="14" t="s">
        <v>258</v>
      </c>
      <c r="F262" s="10" t="s">
        <v>13</v>
      </c>
      <c r="G262" s="10" t="s">
        <v>11</v>
      </c>
      <c r="H262" s="10" t="s">
        <v>11</v>
      </c>
      <c r="I262" s="10" t="s">
        <v>11</v>
      </c>
    </row>
    <row r="263" spans="1:9" ht="15" hidden="1" customHeight="1" x14ac:dyDescent="0.25">
      <c r="A263" s="7" t="s">
        <v>736</v>
      </c>
      <c r="B263" s="47" t="str">
        <f t="shared" si="4"/>
        <v>INSTRUMENT_PD_CRR_RD_T1</v>
      </c>
      <c r="C263" s="8" t="s">
        <v>414</v>
      </c>
      <c r="D263" s="9" t="s">
        <v>278</v>
      </c>
      <c r="E263" s="14" t="s">
        <v>279</v>
      </c>
      <c r="F263" s="10" t="s">
        <v>13</v>
      </c>
      <c r="G263" s="10" t="s">
        <v>11</v>
      </c>
      <c r="H263" s="10" t="s">
        <v>11</v>
      </c>
      <c r="I263" s="10" t="s">
        <v>11</v>
      </c>
    </row>
    <row r="264" spans="1:9" ht="15" hidden="1" customHeight="1" x14ac:dyDescent="0.25">
      <c r="A264" s="7" t="s">
        <v>737</v>
      </c>
      <c r="B264" s="47" t="str">
        <f t="shared" si="4"/>
        <v>INSTRUMENT_PD_IFRS9_12M_INCPTN</v>
      </c>
      <c r="C264" s="8" t="s">
        <v>414</v>
      </c>
      <c r="D264" s="9" t="s">
        <v>738</v>
      </c>
      <c r="E264" s="14" t="s">
        <v>739</v>
      </c>
      <c r="F264" s="10" t="s">
        <v>13</v>
      </c>
      <c r="G264" s="10" t="s">
        <v>11</v>
      </c>
      <c r="H264" s="10" t="s">
        <v>11</v>
      </c>
      <c r="I264" s="10" t="s">
        <v>11</v>
      </c>
    </row>
    <row r="265" spans="1:9" ht="15" hidden="1" customHeight="1" x14ac:dyDescent="0.25">
      <c r="A265" s="7" t="s">
        <v>740</v>
      </c>
      <c r="B265" s="47" t="str">
        <f t="shared" si="4"/>
        <v>INSTRUMENT_PD_IFRS9_12M_RD</v>
      </c>
      <c r="C265" s="8" t="s">
        <v>414</v>
      </c>
      <c r="D265" s="9" t="s">
        <v>260</v>
      </c>
      <c r="E265" s="14" t="s">
        <v>261</v>
      </c>
      <c r="F265" s="10" t="s">
        <v>13</v>
      </c>
      <c r="G265" s="10" t="s">
        <v>11</v>
      </c>
      <c r="H265" s="10" t="s">
        <v>11</v>
      </c>
      <c r="I265" s="10" t="s">
        <v>11</v>
      </c>
    </row>
    <row r="266" spans="1:9" ht="15" hidden="1" customHeight="1" x14ac:dyDescent="0.25">
      <c r="A266" s="7" t="s">
        <v>741</v>
      </c>
      <c r="B266" s="47" t="str">
        <f t="shared" si="4"/>
        <v>INSTRUMENT_PD_IFRS9_12M_RD_T1</v>
      </c>
      <c r="C266" s="8" t="s">
        <v>414</v>
      </c>
      <c r="D266" s="9" t="s">
        <v>263</v>
      </c>
      <c r="E266" s="14" t="s">
        <v>264</v>
      </c>
      <c r="F266" s="10" t="s">
        <v>13</v>
      </c>
      <c r="G266" s="10" t="s">
        <v>11</v>
      </c>
      <c r="H266" s="10" t="s">
        <v>11</v>
      </c>
      <c r="I266" s="10" t="s">
        <v>11</v>
      </c>
    </row>
    <row r="267" spans="1:9" ht="15" hidden="1" customHeight="1" x14ac:dyDescent="0.25">
      <c r="A267" s="7" t="s">
        <v>742</v>
      </c>
      <c r="B267" s="47" t="str">
        <f t="shared" si="4"/>
        <v>INSTRUMENT_PD_IFRS9_LFTM_INCPTN</v>
      </c>
      <c r="C267" s="8" t="s">
        <v>414</v>
      </c>
      <c r="D267" s="9" t="s">
        <v>743</v>
      </c>
      <c r="E267" s="14" t="s">
        <v>744</v>
      </c>
      <c r="F267" s="10" t="s">
        <v>13</v>
      </c>
      <c r="G267" s="10" t="s">
        <v>11</v>
      </c>
      <c r="H267" s="10" t="s">
        <v>11</v>
      </c>
      <c r="I267" s="10" t="s">
        <v>11</v>
      </c>
    </row>
    <row r="268" spans="1:9" ht="15" hidden="1" customHeight="1" x14ac:dyDescent="0.25">
      <c r="A268" s="7" t="s">
        <v>745</v>
      </c>
      <c r="B268" s="47" t="str">
        <f t="shared" si="4"/>
        <v>INSTRUMENT_PD_IFRS9_RMNNG_LFTM_INCPTN</v>
      </c>
      <c r="C268" s="8" t="s">
        <v>414</v>
      </c>
      <c r="D268" s="9" t="s">
        <v>746</v>
      </c>
      <c r="E268" s="14" t="s">
        <v>747</v>
      </c>
      <c r="F268" s="10" t="s">
        <v>13</v>
      </c>
      <c r="G268" s="10" t="s">
        <v>11</v>
      </c>
      <c r="H268" s="10" t="s">
        <v>11</v>
      </c>
      <c r="I268" s="10" t="s">
        <v>11</v>
      </c>
    </row>
    <row r="269" spans="1:9" ht="15" hidden="1" customHeight="1" x14ac:dyDescent="0.25">
      <c r="A269" s="7" t="s">
        <v>748</v>
      </c>
      <c r="B269" s="47" t="str">
        <f t="shared" si="4"/>
        <v>INSTRUMENT_PD_IFRS9_RMNNG_LFTM_RD</v>
      </c>
      <c r="C269" s="8" t="s">
        <v>414</v>
      </c>
      <c r="D269" s="9" t="s">
        <v>749</v>
      </c>
      <c r="E269" s="14" t="s">
        <v>750</v>
      </c>
      <c r="F269" s="10" t="s">
        <v>13</v>
      </c>
      <c r="G269" s="10" t="s">
        <v>11</v>
      </c>
      <c r="H269" s="10" t="s">
        <v>11</v>
      </c>
      <c r="I269" s="10" t="s">
        <v>11</v>
      </c>
    </row>
    <row r="270" spans="1:9" ht="15" hidden="1" customHeight="1" x14ac:dyDescent="0.25">
      <c r="A270" s="7" t="s">
        <v>751</v>
      </c>
      <c r="B270" s="47" t="str">
        <f t="shared" si="4"/>
        <v>INSTRUMENT_RTNG_MTHD</v>
      </c>
      <c r="C270" s="8" t="s">
        <v>414</v>
      </c>
      <c r="D270" s="9" t="s">
        <v>143</v>
      </c>
      <c r="E270" s="14" t="s">
        <v>144</v>
      </c>
      <c r="F270" s="10" t="s">
        <v>13</v>
      </c>
      <c r="G270" s="10" t="s">
        <v>11</v>
      </c>
      <c r="H270" s="10" t="s">
        <v>11</v>
      </c>
      <c r="I270" s="10" t="s">
        <v>11</v>
      </c>
    </row>
    <row r="271" spans="1:9" ht="15" hidden="1" customHeight="1" x14ac:dyDescent="0.25">
      <c r="A271" s="7" t="s">
        <v>752</v>
      </c>
      <c r="B271" s="47" t="str">
        <f t="shared" si="4"/>
        <v>INSTRUMENT_RTNG_SCL</v>
      </c>
      <c r="C271" s="8" t="s">
        <v>414</v>
      </c>
      <c r="D271" s="9" t="s">
        <v>146</v>
      </c>
      <c r="E271" s="14" t="s">
        <v>147</v>
      </c>
      <c r="F271" s="10" t="s">
        <v>13</v>
      </c>
      <c r="G271" s="10" t="s">
        <v>11</v>
      </c>
      <c r="H271" s="10" t="s">
        <v>11</v>
      </c>
      <c r="I271" s="10" t="s">
        <v>11</v>
      </c>
    </row>
    <row r="272" spans="1:9" ht="15" hidden="1" customHeight="1" x14ac:dyDescent="0.25">
      <c r="A272" s="7" t="s">
        <v>753</v>
      </c>
      <c r="B272" s="47" t="str">
        <f t="shared" si="4"/>
        <v>INSTRUMENT_SICR_ASSSSMNT_MTHD</v>
      </c>
      <c r="C272" s="8" t="s">
        <v>414</v>
      </c>
      <c r="D272" s="9" t="s">
        <v>754</v>
      </c>
      <c r="E272" s="14" t="s">
        <v>755</v>
      </c>
      <c r="F272" s="10" t="s">
        <v>13</v>
      </c>
      <c r="G272" s="10" t="s">
        <v>11</v>
      </c>
      <c r="H272" s="10" t="s">
        <v>11</v>
      </c>
      <c r="I272" s="10" t="s">
        <v>11</v>
      </c>
    </row>
    <row r="273" spans="1:9" ht="15" hidden="1" customHeight="1" x14ac:dyDescent="0.25">
      <c r="A273" s="7" t="s">
        <v>756</v>
      </c>
      <c r="B273" s="47" t="str">
        <f t="shared" si="4"/>
        <v>INSTRUMENT_ANNLSD_AGRD_RT</v>
      </c>
      <c r="C273" s="8" t="s">
        <v>414</v>
      </c>
      <c r="D273" s="9" t="s">
        <v>757</v>
      </c>
      <c r="E273" s="14" t="s">
        <v>758</v>
      </c>
      <c r="F273" s="10" t="s">
        <v>13</v>
      </c>
      <c r="G273" s="10" t="s">
        <v>11</v>
      </c>
      <c r="H273" s="10" t="s">
        <v>11</v>
      </c>
      <c r="I273" s="10" t="s">
        <v>11</v>
      </c>
    </row>
    <row r="274" spans="1:9" ht="15" hidden="1" customHeight="1" x14ac:dyDescent="0.25">
      <c r="A274" s="7" t="s">
        <v>759</v>
      </c>
      <c r="B274" s="47" t="str">
        <f t="shared" si="4"/>
        <v>INSTRUMENT_EIR</v>
      </c>
      <c r="C274" s="8" t="s">
        <v>414</v>
      </c>
      <c r="D274" s="9" t="s">
        <v>760</v>
      </c>
      <c r="E274" s="14" t="s">
        <v>761</v>
      </c>
      <c r="F274" s="10" t="s">
        <v>13</v>
      </c>
      <c r="G274" s="10" t="s">
        <v>11</v>
      </c>
      <c r="H274" s="10" t="s">
        <v>11</v>
      </c>
      <c r="I274" s="10" t="s">
        <v>11</v>
      </c>
    </row>
    <row r="275" spans="1:9" ht="15" hidden="1" customHeight="1" x14ac:dyDescent="0.25">
      <c r="A275" s="7" t="s">
        <v>762</v>
      </c>
      <c r="B275" s="47" t="str">
        <f t="shared" si="4"/>
        <v>INSTRUMENT_EIR_INCPTN</v>
      </c>
      <c r="C275" s="8" t="s">
        <v>414</v>
      </c>
      <c r="D275" s="9" t="s">
        <v>763</v>
      </c>
      <c r="E275" s="14" t="s">
        <v>764</v>
      </c>
      <c r="F275" s="10" t="s">
        <v>13</v>
      </c>
      <c r="G275" s="10" t="s">
        <v>11</v>
      </c>
      <c r="H275" s="10" t="s">
        <v>11</v>
      </c>
      <c r="I275" s="10" t="s">
        <v>11</v>
      </c>
    </row>
    <row r="276" spans="1:9" ht="15" hidden="1" customHeight="1" x14ac:dyDescent="0.25">
      <c r="A276" s="7" t="s">
        <v>765</v>
      </c>
      <c r="B276" s="47" t="str">
        <f t="shared" si="4"/>
        <v>INSTRUMENT_INTRST_RT_RST_FRQNCY</v>
      </c>
      <c r="C276" s="8" t="s">
        <v>414</v>
      </c>
      <c r="D276" s="9" t="s">
        <v>766</v>
      </c>
      <c r="E276" s="14" t="s">
        <v>767</v>
      </c>
      <c r="F276" s="10" t="s">
        <v>13</v>
      </c>
      <c r="G276" s="10" t="s">
        <v>11</v>
      </c>
      <c r="H276" s="10" t="s">
        <v>11</v>
      </c>
      <c r="I276" s="10" t="s">
        <v>11</v>
      </c>
    </row>
    <row r="277" spans="1:9" ht="15" hidden="1" customHeight="1" x14ac:dyDescent="0.25">
      <c r="A277" s="7" t="s">
        <v>768</v>
      </c>
      <c r="B277" s="47" t="str">
        <f t="shared" si="4"/>
        <v>INSTRUMENT_RCVD_AMRTSTN_12M</v>
      </c>
      <c r="C277" s="8" t="s">
        <v>414</v>
      </c>
      <c r="D277" s="9" t="s">
        <v>769</v>
      </c>
      <c r="E277" s="14" t="s">
        <v>770</v>
      </c>
      <c r="F277" s="10" t="s">
        <v>13</v>
      </c>
      <c r="G277" s="10" t="s">
        <v>11</v>
      </c>
      <c r="H277" s="10" t="s">
        <v>11</v>
      </c>
      <c r="I277" s="10" t="s">
        <v>11</v>
      </c>
    </row>
    <row r="278" spans="1:9" ht="15" hidden="1" customHeight="1" x14ac:dyDescent="0.25">
      <c r="A278" s="7" t="s">
        <v>771</v>
      </c>
      <c r="B278" s="47" t="str">
        <f t="shared" si="4"/>
        <v>INSTRUMENT_RCVD_AMRTSTN_24M</v>
      </c>
      <c r="C278" s="8" t="s">
        <v>414</v>
      </c>
      <c r="D278" s="9" t="s">
        <v>772</v>
      </c>
      <c r="E278" s="14" t="s">
        <v>773</v>
      </c>
      <c r="F278" s="10" t="s">
        <v>13</v>
      </c>
      <c r="G278" s="10" t="s">
        <v>11</v>
      </c>
      <c r="H278" s="10" t="s">
        <v>11</v>
      </c>
      <c r="I278" s="10" t="s">
        <v>11</v>
      </c>
    </row>
    <row r="279" spans="1:9" ht="15" hidden="1" customHeight="1" x14ac:dyDescent="0.25">
      <c r="A279" s="7" t="s">
        <v>774</v>
      </c>
      <c r="B279" s="47" t="str">
        <f t="shared" si="4"/>
        <v>INSTRUMENT_RCVD_INTRST_12M</v>
      </c>
      <c r="C279" s="8" t="s">
        <v>414</v>
      </c>
      <c r="D279" s="9" t="s">
        <v>775</v>
      </c>
      <c r="E279" s="14" t="s">
        <v>776</v>
      </c>
      <c r="F279" s="10" t="s">
        <v>13</v>
      </c>
      <c r="G279" s="10" t="s">
        <v>11</v>
      </c>
      <c r="H279" s="10" t="s">
        <v>11</v>
      </c>
      <c r="I279" s="10" t="s">
        <v>11</v>
      </c>
    </row>
    <row r="280" spans="1:9" ht="15" hidden="1" customHeight="1" x14ac:dyDescent="0.25">
      <c r="A280" s="7" t="s">
        <v>777</v>
      </c>
      <c r="B280" s="47" t="str">
        <f t="shared" si="4"/>
        <v>INSTRUMENT_RCVD_INTRST_24M</v>
      </c>
      <c r="C280" s="8" t="s">
        <v>414</v>
      </c>
      <c r="D280" s="9" t="s">
        <v>778</v>
      </c>
      <c r="E280" s="14" t="s">
        <v>779</v>
      </c>
      <c r="F280" s="10" t="s">
        <v>13</v>
      </c>
      <c r="G280" s="10" t="s">
        <v>11</v>
      </c>
      <c r="H280" s="10" t="s">
        <v>11</v>
      </c>
      <c r="I280" s="10" t="s">
        <v>11</v>
      </c>
    </row>
    <row r="281" spans="1:9" ht="15" hidden="1" customHeight="1" x14ac:dyDescent="0.25">
      <c r="A281" s="7" t="s">
        <v>780</v>
      </c>
      <c r="B281" s="47" t="str">
        <f t="shared" si="4"/>
        <v>INSTRUMENT_SYNDCT_RL</v>
      </c>
      <c r="C281" s="8" t="s">
        <v>414</v>
      </c>
      <c r="D281" s="9" t="s">
        <v>781</v>
      </c>
      <c r="E281" s="14" t="s">
        <v>782</v>
      </c>
      <c r="F281" s="10" t="s">
        <v>13</v>
      </c>
      <c r="G281" s="10" t="s">
        <v>11</v>
      </c>
      <c r="H281" s="10" t="s">
        <v>11</v>
      </c>
      <c r="I281" s="10" t="s">
        <v>11</v>
      </c>
    </row>
    <row r="282" spans="1:9" ht="15" hidden="1" customHeight="1" x14ac:dyDescent="0.25">
      <c r="A282" s="7" t="s">
        <v>783</v>
      </c>
      <c r="B282" s="47" t="str">
        <f t="shared" si="4"/>
        <v>INSTRUMENT_SYNDCTD_AGNT</v>
      </c>
      <c r="C282" s="8" t="s">
        <v>414</v>
      </c>
      <c r="D282" s="9" t="s">
        <v>784</v>
      </c>
      <c r="E282" s="14" t="s">
        <v>785</v>
      </c>
      <c r="F282" s="10" t="s">
        <v>13</v>
      </c>
      <c r="G282" s="10" t="s">
        <v>11</v>
      </c>
      <c r="H282" s="10" t="s">
        <v>11</v>
      </c>
      <c r="I282" s="10" t="s">
        <v>11</v>
      </c>
    </row>
    <row r="283" spans="1:9" ht="15" hidden="1" customHeight="1" x14ac:dyDescent="0.25">
      <c r="A283" s="7" t="s">
        <v>786</v>
      </c>
      <c r="B283" s="47" t="str">
        <f t="shared" si="4"/>
        <v>INSTRUMENT_SYNDCTD_CNTRCT_ID</v>
      </c>
      <c r="C283" s="8" t="s">
        <v>414</v>
      </c>
      <c r="D283" s="9" t="s">
        <v>787</v>
      </c>
      <c r="E283" s="14" t="s">
        <v>788</v>
      </c>
      <c r="F283" s="10" t="s">
        <v>13</v>
      </c>
      <c r="G283" s="10" t="s">
        <v>11</v>
      </c>
      <c r="H283" s="10" t="s">
        <v>11</v>
      </c>
      <c r="I283" s="10" t="s">
        <v>11</v>
      </c>
    </row>
    <row r="284" spans="1:9" ht="15" hidden="1" customHeight="1" x14ac:dyDescent="0.25">
      <c r="A284" s="7" t="s">
        <v>789</v>
      </c>
      <c r="B284" s="47" t="str">
        <f t="shared" si="4"/>
        <v>INSTRUMENT_SYNDCTD_LNDRS</v>
      </c>
      <c r="C284" s="8" t="s">
        <v>414</v>
      </c>
      <c r="D284" s="9" t="s">
        <v>790</v>
      </c>
      <c r="E284" s="14" t="s">
        <v>791</v>
      </c>
      <c r="F284" s="10" t="s">
        <v>13</v>
      </c>
      <c r="G284" s="10" t="s">
        <v>11</v>
      </c>
      <c r="H284" s="10" t="s">
        <v>11</v>
      </c>
      <c r="I284" s="10" t="s">
        <v>11</v>
      </c>
    </row>
    <row r="285" spans="1:9" ht="15" hidden="1" customHeight="1" x14ac:dyDescent="0.25">
      <c r="A285" s="7" t="s">
        <v>792</v>
      </c>
      <c r="B285" s="47" t="str">
        <f t="shared" si="4"/>
        <v>INSTRUMENT_SYNDCTD_SHR</v>
      </c>
      <c r="C285" s="8" t="s">
        <v>414</v>
      </c>
      <c r="D285" s="9" t="s">
        <v>793</v>
      </c>
      <c r="E285" s="14" t="s">
        <v>794</v>
      </c>
      <c r="F285" s="10" t="s">
        <v>13</v>
      </c>
      <c r="G285" s="10" t="s">
        <v>11</v>
      </c>
      <c r="H285" s="10" t="s">
        <v>11</v>
      </c>
      <c r="I285" s="10" t="s">
        <v>11</v>
      </c>
    </row>
    <row r="286" spans="1:9" ht="15" hidden="1" customHeight="1" x14ac:dyDescent="0.25">
      <c r="A286" s="7" t="s">
        <v>795</v>
      </c>
      <c r="B286" s="47" t="str">
        <f t="shared" si="4"/>
        <v>INSTRUMENT_SYNDCTN_TYP</v>
      </c>
      <c r="C286" s="8" t="s">
        <v>414</v>
      </c>
      <c r="D286" s="9" t="s">
        <v>796</v>
      </c>
      <c r="E286" s="14" t="s">
        <v>797</v>
      </c>
      <c r="F286" s="10" t="s">
        <v>13</v>
      </c>
      <c r="G286" s="10" t="s">
        <v>11</v>
      </c>
      <c r="H286" s="10" t="s">
        <v>11</v>
      </c>
      <c r="I286" s="10" t="s">
        <v>11</v>
      </c>
    </row>
    <row r="287" spans="1:9" ht="15" hidden="1" customHeight="1" x14ac:dyDescent="0.25">
      <c r="A287" s="7" t="s">
        <v>798</v>
      </c>
      <c r="B287" s="47" t="str">
        <f t="shared" si="4"/>
        <v>INSTRUMENT_EBA_CMPLNT_MRTR_ST_C19</v>
      </c>
      <c r="C287" s="8" t="s">
        <v>414</v>
      </c>
      <c r="D287" s="42" t="s">
        <v>799</v>
      </c>
      <c r="E287" s="44" t="s">
        <v>800</v>
      </c>
      <c r="F287" s="43" t="s">
        <v>13</v>
      </c>
      <c r="G287" s="43" t="s">
        <v>11</v>
      </c>
      <c r="H287" s="43" t="s">
        <v>11</v>
      </c>
      <c r="I287" s="43" t="s">
        <v>11</v>
      </c>
    </row>
    <row r="288" spans="1:9" ht="15" hidden="1" customHeight="1" x14ac:dyDescent="0.25">
      <c r="A288" s="7" t="s">
        <v>801</v>
      </c>
      <c r="B288" s="47" t="str">
        <f t="shared" si="4"/>
        <v>INSTRUMENT_DT_CMPLNT_MRTR_STTS_C19</v>
      </c>
      <c r="C288" s="8" t="s">
        <v>414</v>
      </c>
      <c r="D288" s="42" t="s">
        <v>802</v>
      </c>
      <c r="E288" s="44" t="s">
        <v>803</v>
      </c>
      <c r="F288" s="43" t="s">
        <v>13</v>
      </c>
      <c r="G288" s="43" t="s">
        <v>11</v>
      </c>
      <c r="H288" s="43" t="s">
        <v>11</v>
      </c>
      <c r="I288" s="43" t="s">
        <v>11</v>
      </c>
    </row>
    <row r="289" spans="1:9" ht="15" hidden="1" customHeight="1" x14ac:dyDescent="0.25">
      <c r="A289" s="7" t="s">
        <v>804</v>
      </c>
      <c r="B289" s="47" t="str">
        <f t="shared" si="4"/>
        <v>INSTRUMENT_DT_CMPLNT_MRTR_STTS_PRVS_C19</v>
      </c>
      <c r="C289" s="8" t="s">
        <v>414</v>
      </c>
      <c r="D289" s="42" t="s">
        <v>805</v>
      </c>
      <c r="E289" s="44" t="s">
        <v>806</v>
      </c>
      <c r="F289" s="43" t="s">
        <v>13</v>
      </c>
      <c r="G289" s="43" t="s">
        <v>11</v>
      </c>
      <c r="H289" s="43" t="s">
        <v>11</v>
      </c>
      <c r="I289" s="43" t="s">
        <v>11</v>
      </c>
    </row>
    <row r="290" spans="1:9" ht="15" hidden="1" customHeight="1" x14ac:dyDescent="0.25">
      <c r="A290" s="7" t="s">
        <v>807</v>
      </c>
      <c r="B290" s="47" t="str">
        <f t="shared" si="4"/>
        <v>INSTRUMENT_MTRTY_LTST_MRTR_C19</v>
      </c>
      <c r="C290" s="8" t="s">
        <v>414</v>
      </c>
      <c r="D290" s="42" t="s">
        <v>808</v>
      </c>
      <c r="E290" s="44" t="s">
        <v>809</v>
      </c>
      <c r="F290" s="43" t="s">
        <v>13</v>
      </c>
      <c r="G290" s="43" t="s">
        <v>11</v>
      </c>
      <c r="H290" s="43" t="s">
        <v>11</v>
      </c>
      <c r="I290" s="43" t="s">
        <v>11</v>
      </c>
    </row>
    <row r="291" spans="1:9" ht="15" hidden="1" customHeight="1" x14ac:dyDescent="0.25">
      <c r="A291" s="7" t="s">
        <v>810</v>
      </c>
      <c r="B291" s="47" t="str">
        <f t="shared" si="4"/>
        <v>INSTRUMENT_TYP_CMPLNT_MRTR_C19</v>
      </c>
      <c r="C291" s="8" t="s">
        <v>414</v>
      </c>
      <c r="D291" s="42" t="s">
        <v>811</v>
      </c>
      <c r="E291" s="44" t="s">
        <v>812</v>
      </c>
      <c r="F291" s="43" t="s">
        <v>13</v>
      </c>
      <c r="G291" s="43" t="s">
        <v>11</v>
      </c>
      <c r="H291" s="43" t="s">
        <v>11</v>
      </c>
      <c r="I291" s="43" t="s">
        <v>11</v>
      </c>
    </row>
    <row r="292" spans="1:9" ht="15" hidden="1" customHeight="1" x14ac:dyDescent="0.25">
      <c r="A292" s="7" t="s">
        <v>813</v>
      </c>
      <c r="B292" s="47" t="str">
        <f t="shared" si="4"/>
        <v>INSTRUMENT_GRC_PRD_CPTL_INTRST_C19</v>
      </c>
      <c r="C292" s="8" t="s">
        <v>414</v>
      </c>
      <c r="D292" s="42" t="s">
        <v>814</v>
      </c>
      <c r="E292" s="44" t="s">
        <v>815</v>
      </c>
      <c r="F292" s="43" t="s">
        <v>13</v>
      </c>
      <c r="G292" s="43" t="s">
        <v>11</v>
      </c>
      <c r="H292" s="43" t="s">
        <v>11</v>
      </c>
      <c r="I292" s="43" t="s">
        <v>11</v>
      </c>
    </row>
    <row r="293" spans="1:9" ht="15" hidden="1" customHeight="1" x14ac:dyDescent="0.25">
      <c r="A293" s="7" t="s">
        <v>816</v>
      </c>
      <c r="B293" s="47" t="str">
        <f t="shared" si="4"/>
        <v>INSTRUMENT_CMPLNT_MRTR_C19_NM</v>
      </c>
      <c r="C293" s="8" t="s">
        <v>414</v>
      </c>
      <c r="D293" s="42" t="s">
        <v>817</v>
      </c>
      <c r="E293" s="44" t="s">
        <v>818</v>
      </c>
      <c r="F293" s="43" t="s">
        <v>13</v>
      </c>
      <c r="G293" s="43" t="s">
        <v>11</v>
      </c>
      <c r="H293" s="43" t="s">
        <v>11</v>
      </c>
      <c r="I293" s="43" t="s">
        <v>11</v>
      </c>
    </row>
    <row r="294" spans="1:9" ht="15" hidden="1" customHeight="1" x14ac:dyDescent="0.25">
      <c r="A294" s="7" t="s">
        <v>819</v>
      </c>
      <c r="B294" s="47" t="str">
        <f t="shared" si="4"/>
        <v>INSTRUMENT_FRBRNC_STTS_C19</v>
      </c>
      <c r="C294" s="8" t="s">
        <v>414</v>
      </c>
      <c r="D294" s="42" t="s">
        <v>820</v>
      </c>
      <c r="E294" s="44" t="s">
        <v>821</v>
      </c>
      <c r="F294" s="43" t="s">
        <v>13</v>
      </c>
      <c r="G294" s="43" t="s">
        <v>11</v>
      </c>
      <c r="H294" s="43" t="s">
        <v>11</v>
      </c>
      <c r="I294" s="43" t="s">
        <v>11</v>
      </c>
    </row>
    <row r="295" spans="1:9" ht="15" hidden="1" customHeight="1" x14ac:dyDescent="0.25">
      <c r="A295" s="7" t="s">
        <v>822</v>
      </c>
      <c r="B295" s="47" t="str">
        <f t="shared" si="4"/>
        <v>INSTRUMENT_DT_FRBRNC_STTS_C19</v>
      </c>
      <c r="C295" s="8" t="s">
        <v>414</v>
      </c>
      <c r="D295" s="42" t="s">
        <v>823</v>
      </c>
      <c r="E295" s="44" t="s">
        <v>824</v>
      </c>
      <c r="F295" s="43" t="s">
        <v>13</v>
      </c>
      <c r="G295" s="43" t="s">
        <v>11</v>
      </c>
      <c r="H295" s="43" t="s">
        <v>11</v>
      </c>
      <c r="I295" s="43" t="s">
        <v>11</v>
      </c>
    </row>
    <row r="296" spans="1:9" ht="15" hidden="1" customHeight="1" x14ac:dyDescent="0.25">
      <c r="A296" s="7" t="s">
        <v>825</v>
      </c>
      <c r="B296" s="47" t="str">
        <f t="shared" si="4"/>
        <v>INSTRUMENT_DT_FRBRNC_STTS_PRVS_C19</v>
      </c>
      <c r="C296" s="8" t="s">
        <v>414</v>
      </c>
      <c r="D296" s="42" t="s">
        <v>826</v>
      </c>
      <c r="E296" s="44" t="s">
        <v>827</v>
      </c>
      <c r="F296" s="43" t="s">
        <v>13</v>
      </c>
      <c r="G296" s="43" t="s">
        <v>11</v>
      </c>
      <c r="H296" s="43" t="s">
        <v>11</v>
      </c>
      <c r="I296" s="43" t="s">
        <v>11</v>
      </c>
    </row>
    <row r="297" spans="1:9" ht="15" hidden="1" customHeight="1" x14ac:dyDescent="0.25">
      <c r="A297" s="7" t="s">
        <v>828</v>
      </c>
      <c r="B297" s="47" t="str">
        <f t="shared" si="4"/>
        <v>INSTRUMENT_MTRTY_LTST_FRBRNC_MSR_C19</v>
      </c>
      <c r="C297" s="8" t="s">
        <v>414</v>
      </c>
      <c r="D297" s="42" t="s">
        <v>829</v>
      </c>
      <c r="E297" s="44" t="s">
        <v>830</v>
      </c>
      <c r="F297" s="43" t="s">
        <v>13</v>
      </c>
      <c r="G297" s="43" t="s">
        <v>11</v>
      </c>
      <c r="H297" s="43" t="s">
        <v>11</v>
      </c>
      <c r="I297" s="43" t="s">
        <v>11</v>
      </c>
    </row>
    <row r="298" spans="1:9" ht="15" hidden="1" customHeight="1" x14ac:dyDescent="0.25">
      <c r="A298" s="7" t="s">
        <v>831</v>
      </c>
      <c r="B298" s="47" t="str">
        <f t="shared" si="4"/>
        <v>INSTRUMENT_DT_END_GP_PPAL_C19</v>
      </c>
      <c r="C298" s="8" t="s">
        <v>414</v>
      </c>
      <c r="D298" s="42" t="s">
        <v>832</v>
      </c>
      <c r="E298" s="44" t="s">
        <v>833</v>
      </c>
      <c r="F298" s="43" t="s">
        <v>13</v>
      </c>
      <c r="G298" s="43" t="s">
        <v>11</v>
      </c>
      <c r="H298" s="43" t="s">
        <v>11</v>
      </c>
      <c r="I298" s="43" t="s">
        <v>11</v>
      </c>
    </row>
    <row r="299" spans="1:9" ht="15" hidden="1" customHeight="1" x14ac:dyDescent="0.25">
      <c r="A299" s="7" t="s">
        <v>834</v>
      </c>
      <c r="B299" s="47" t="str">
        <f t="shared" si="4"/>
        <v>INSTRUMENT_DT_END_INTRST_ONLY_C19</v>
      </c>
      <c r="C299" s="8" t="s">
        <v>414</v>
      </c>
      <c r="D299" s="42" t="s">
        <v>835</v>
      </c>
      <c r="E299" s="44" t="s">
        <v>836</v>
      </c>
      <c r="F299" s="43" t="s">
        <v>13</v>
      </c>
      <c r="G299" s="43" t="s">
        <v>11</v>
      </c>
      <c r="H299" s="43" t="s">
        <v>11</v>
      </c>
      <c r="I299" s="43" t="s">
        <v>11</v>
      </c>
    </row>
    <row r="300" spans="1:9" ht="15" hidden="1" customHeight="1" x14ac:dyDescent="0.25">
      <c r="A300" s="7" t="s">
        <v>837</v>
      </c>
      <c r="B300" s="47" t="str">
        <f t="shared" si="4"/>
        <v>INSTRUMENT_SBJCT_PBLC_GRNT_SCHM_C19</v>
      </c>
      <c r="C300" s="8" t="s">
        <v>414</v>
      </c>
      <c r="D300" s="42" t="s">
        <v>838</v>
      </c>
      <c r="E300" s="44" t="s">
        <v>839</v>
      </c>
      <c r="F300" s="43" t="s">
        <v>13</v>
      </c>
      <c r="G300" s="43" t="s">
        <v>11</v>
      </c>
      <c r="H300" s="43" t="s">
        <v>11</v>
      </c>
      <c r="I300" s="43" t="s">
        <v>11</v>
      </c>
    </row>
    <row r="301" spans="1:9" ht="15" hidden="1" customHeight="1" x14ac:dyDescent="0.25">
      <c r="A301" s="7" t="s">
        <v>840</v>
      </c>
      <c r="B301" s="47" t="str">
        <f t="shared" si="4"/>
        <v>INSTRUMENT_PBLC_GRNT_SCHM_C19_NM</v>
      </c>
      <c r="C301" s="8" t="s">
        <v>414</v>
      </c>
      <c r="D301" s="42" t="s">
        <v>841</v>
      </c>
      <c r="E301" s="44" t="s">
        <v>842</v>
      </c>
      <c r="F301" s="43" t="s">
        <v>13</v>
      </c>
      <c r="G301" s="43" t="s">
        <v>11</v>
      </c>
      <c r="H301" s="43" t="s">
        <v>11</v>
      </c>
      <c r="I301" s="43" t="s">
        <v>11</v>
      </c>
    </row>
    <row r="302" spans="1:9" ht="15" hidden="1" customHeight="1" x14ac:dyDescent="0.25">
      <c r="A302" s="7" t="s">
        <v>843</v>
      </c>
      <c r="B302" s="47" t="str">
        <f t="shared" si="4"/>
        <v>INSTRUMENT_PMNT_PBLC_GRNT_SCHM_C19</v>
      </c>
      <c r="C302" s="8" t="s">
        <v>414</v>
      </c>
      <c r="D302" s="42" t="s">
        <v>844</v>
      </c>
      <c r="E302" s="44" t="s">
        <v>845</v>
      </c>
      <c r="F302" s="43" t="s">
        <v>13</v>
      </c>
      <c r="G302" s="43" t="s">
        <v>11</v>
      </c>
      <c r="H302" s="43" t="s">
        <v>11</v>
      </c>
      <c r="I302" s="43" t="s">
        <v>11</v>
      </c>
    </row>
    <row r="303" spans="1:9" ht="15" hidden="1" customHeight="1" x14ac:dyDescent="0.25">
      <c r="A303" s="7" t="s">
        <v>846</v>
      </c>
      <c r="B303" s="47" t="str">
        <f t="shared" si="4"/>
        <v>INSTRUMENT_ASST_SCRT_CLSS</v>
      </c>
      <c r="C303" s="8" t="s">
        <v>414</v>
      </c>
      <c r="D303" s="9" t="s">
        <v>847</v>
      </c>
      <c r="E303" s="14" t="s">
        <v>848</v>
      </c>
      <c r="F303" s="10" t="s">
        <v>13</v>
      </c>
      <c r="G303" s="10" t="s">
        <v>11</v>
      </c>
      <c r="H303" s="10" t="s">
        <v>11</v>
      </c>
      <c r="I303" s="10" t="s">
        <v>11</v>
      </c>
    </row>
    <row r="304" spans="1:9" ht="15" hidden="1" customHeight="1" x14ac:dyDescent="0.25">
      <c r="A304" s="7" t="s">
        <v>849</v>
      </c>
      <c r="B304" s="47" t="str">
        <f t="shared" si="4"/>
        <v>INSTRUMENT_CPN_CRRNCY</v>
      </c>
      <c r="C304" s="8" t="s">
        <v>414</v>
      </c>
      <c r="D304" s="9" t="s">
        <v>850</v>
      </c>
      <c r="E304" s="14" t="s">
        <v>851</v>
      </c>
      <c r="F304" s="10" t="s">
        <v>13</v>
      </c>
      <c r="G304" s="10" t="s">
        <v>11</v>
      </c>
      <c r="H304" s="10" t="s">
        <v>11</v>
      </c>
      <c r="I304" s="10" t="s">
        <v>11</v>
      </c>
    </row>
    <row r="305" spans="1:9" ht="15" hidden="1" customHeight="1" x14ac:dyDescent="0.25">
      <c r="A305" s="7" t="s">
        <v>852</v>
      </c>
      <c r="B305" s="47" t="str">
        <f t="shared" si="4"/>
        <v>INSTRUMENT_CPN_RT_FXD</v>
      </c>
      <c r="C305" s="8" t="s">
        <v>414</v>
      </c>
      <c r="D305" s="17" t="s">
        <v>1328</v>
      </c>
      <c r="E305" s="12" t="s">
        <v>855</v>
      </c>
      <c r="F305" s="10" t="s">
        <v>13</v>
      </c>
      <c r="G305" s="10" t="s">
        <v>11</v>
      </c>
      <c r="H305" s="10" t="s">
        <v>11</v>
      </c>
      <c r="I305" s="10" t="s">
        <v>11</v>
      </c>
    </row>
    <row r="306" spans="1:9" ht="15" hidden="1" customHeight="1" x14ac:dyDescent="0.25">
      <c r="A306" s="7" t="s">
        <v>856</v>
      </c>
      <c r="B306" s="47" t="str">
        <f t="shared" si="4"/>
        <v>INSTRUMENT_DT_VLTN</v>
      </c>
      <c r="C306" s="8" t="s">
        <v>414</v>
      </c>
      <c r="D306" s="9" t="s">
        <v>857</v>
      </c>
      <c r="E306" s="14" t="s">
        <v>858</v>
      </c>
      <c r="F306" s="10" t="s">
        <v>13</v>
      </c>
      <c r="G306" s="10" t="s">
        <v>11</v>
      </c>
      <c r="H306" s="10" t="s">
        <v>11</v>
      </c>
      <c r="I306" s="10" t="s">
        <v>11</v>
      </c>
    </row>
    <row r="307" spans="1:9" ht="15" hidden="1" customHeight="1" x14ac:dyDescent="0.25">
      <c r="A307" s="7" t="s">
        <v>859</v>
      </c>
      <c r="B307" s="47" t="str">
        <f t="shared" si="4"/>
        <v>INSTRUMENT_ELGBLTY_ECB</v>
      </c>
      <c r="C307" s="8" t="s">
        <v>414</v>
      </c>
      <c r="D307" s="9" t="s">
        <v>860</v>
      </c>
      <c r="E307" s="14" t="s">
        <v>861</v>
      </c>
      <c r="F307" s="10" t="s">
        <v>13</v>
      </c>
      <c r="G307" s="10" t="s">
        <v>11</v>
      </c>
      <c r="H307" s="10" t="s">
        <v>11</v>
      </c>
      <c r="I307" s="10" t="s">
        <v>11</v>
      </c>
    </row>
    <row r="308" spans="1:9" ht="15" hidden="1" customHeight="1" x14ac:dyDescent="0.25">
      <c r="A308" s="7" t="s">
        <v>862</v>
      </c>
      <c r="B308" s="47" t="str">
        <f t="shared" si="4"/>
        <v>INSTRUMENT_GRNTR_ID</v>
      </c>
      <c r="C308" s="8" t="s">
        <v>414</v>
      </c>
      <c r="D308" s="9" t="s">
        <v>863</v>
      </c>
      <c r="E308" s="14" t="s">
        <v>864</v>
      </c>
      <c r="F308" s="10" t="s">
        <v>13</v>
      </c>
      <c r="G308" s="10" t="s">
        <v>11</v>
      </c>
      <c r="H308" s="10" t="s">
        <v>11</v>
      </c>
      <c r="I308" s="10" t="s">
        <v>11</v>
      </c>
    </row>
    <row r="309" spans="1:9" ht="15" hidden="1" customHeight="1" x14ac:dyDescent="0.25">
      <c r="A309" s="7" t="s">
        <v>865</v>
      </c>
      <c r="B309" s="47" t="str">
        <f t="shared" si="4"/>
        <v>INSTRUMENT_GRNTR_ID_TYP</v>
      </c>
      <c r="C309" s="8" t="s">
        <v>414</v>
      </c>
      <c r="D309" s="9" t="s">
        <v>866</v>
      </c>
      <c r="E309" s="14" t="s">
        <v>867</v>
      </c>
      <c r="F309" s="10" t="s">
        <v>13</v>
      </c>
      <c r="G309" s="10" t="s">
        <v>11</v>
      </c>
      <c r="H309" s="10" t="s">
        <v>11</v>
      </c>
      <c r="I309" s="10" t="s">
        <v>11</v>
      </c>
    </row>
    <row r="310" spans="1:9" ht="15" hidden="1" customHeight="1" x14ac:dyDescent="0.25">
      <c r="A310" s="7" t="s">
        <v>868</v>
      </c>
      <c r="B310" s="47" t="str">
        <f t="shared" si="4"/>
        <v>INSTRUMENT_HEDGE_ID</v>
      </c>
      <c r="C310" s="8" t="s">
        <v>414</v>
      </c>
      <c r="D310" s="9" t="s">
        <v>869</v>
      </c>
      <c r="E310" s="14" t="s">
        <v>870</v>
      </c>
      <c r="F310" s="10" t="s">
        <v>13</v>
      </c>
      <c r="G310" s="10" t="s">
        <v>11</v>
      </c>
      <c r="H310" s="10" t="s">
        <v>11</v>
      </c>
      <c r="I310" s="10" t="s">
        <v>11</v>
      </c>
    </row>
    <row r="311" spans="1:9" ht="15" hidden="1" customHeight="1" x14ac:dyDescent="0.25">
      <c r="A311" s="7" t="s">
        <v>871</v>
      </c>
      <c r="B311" s="47" t="str">
        <f t="shared" si="4"/>
        <v>INSTRUMENT_INSTR_SNRTY_CLSS</v>
      </c>
      <c r="C311" s="8" t="s">
        <v>414</v>
      </c>
      <c r="D311" s="9" t="s">
        <v>872</v>
      </c>
      <c r="E311" s="14" t="s">
        <v>873</v>
      </c>
      <c r="F311" s="10" t="s">
        <v>13</v>
      </c>
      <c r="G311" s="10" t="s">
        <v>11</v>
      </c>
      <c r="H311" s="10" t="s">
        <v>11</v>
      </c>
      <c r="I311" s="10" t="s">
        <v>11</v>
      </c>
    </row>
    <row r="312" spans="1:9" ht="15" hidden="1" customHeight="1" x14ac:dyDescent="0.25">
      <c r="A312" s="7" t="s">
        <v>874</v>
      </c>
      <c r="B312" s="47" t="str">
        <f t="shared" si="4"/>
        <v>INSTRUMENT_INSTRMNT_CLSS</v>
      </c>
      <c r="C312" s="8" t="s">
        <v>414</v>
      </c>
      <c r="D312" s="9" t="s">
        <v>875</v>
      </c>
      <c r="E312" s="14" t="s">
        <v>876</v>
      </c>
      <c r="F312" s="10" t="s">
        <v>13</v>
      </c>
      <c r="G312" s="10" t="s">
        <v>11</v>
      </c>
      <c r="H312" s="10" t="s">
        <v>11</v>
      </c>
      <c r="I312" s="10" t="s">
        <v>11</v>
      </c>
    </row>
    <row r="313" spans="1:9" ht="15" hidden="1" customHeight="1" x14ac:dyDescent="0.25">
      <c r="A313" s="7" t="s">
        <v>877</v>
      </c>
      <c r="B313" s="47" t="str">
        <f t="shared" si="4"/>
        <v>INSTRUMENT_ISIN</v>
      </c>
      <c r="C313" s="8" t="s">
        <v>414</v>
      </c>
      <c r="D313" s="9" t="s">
        <v>347</v>
      </c>
      <c r="E313" s="14" t="s">
        <v>347</v>
      </c>
      <c r="F313" s="10" t="s">
        <v>13</v>
      </c>
      <c r="G313" s="10" t="s">
        <v>11</v>
      </c>
      <c r="H313" s="10" t="s">
        <v>11</v>
      </c>
      <c r="I313" s="10" t="s">
        <v>11</v>
      </c>
    </row>
    <row r="314" spans="1:9" ht="15" hidden="1" customHeight="1" x14ac:dyDescent="0.25">
      <c r="A314" s="7" t="s">
        <v>878</v>
      </c>
      <c r="B314" s="47" t="str">
        <f t="shared" si="4"/>
        <v>INSTRUMENT_ISSR_CNTRY</v>
      </c>
      <c r="C314" s="8" t="s">
        <v>414</v>
      </c>
      <c r="D314" s="9" t="s">
        <v>879</v>
      </c>
      <c r="E314" s="14" t="s">
        <v>880</v>
      </c>
      <c r="F314" s="10" t="s">
        <v>13</v>
      </c>
      <c r="G314" s="10" t="s">
        <v>11</v>
      </c>
      <c r="H314" s="10" t="s">
        <v>13</v>
      </c>
      <c r="I314" s="10" t="s">
        <v>11</v>
      </c>
    </row>
    <row r="315" spans="1:9" ht="15" hidden="1" customHeight="1" x14ac:dyDescent="0.25">
      <c r="A315" s="7" t="s">
        <v>881</v>
      </c>
      <c r="B315" s="47" t="str">
        <f t="shared" si="4"/>
        <v>INSTRUMENT_ISSR_ESA_2010</v>
      </c>
      <c r="C315" s="8" t="s">
        <v>414</v>
      </c>
      <c r="D315" s="9" t="s">
        <v>882</v>
      </c>
      <c r="E315" s="14" t="s">
        <v>883</v>
      </c>
      <c r="F315" s="10" t="s">
        <v>13</v>
      </c>
      <c r="G315" s="10" t="s">
        <v>11</v>
      </c>
      <c r="H315" s="10" t="s">
        <v>11</v>
      </c>
      <c r="I315" s="10" t="s">
        <v>11</v>
      </c>
    </row>
    <row r="316" spans="1:9" ht="15" hidden="1" customHeight="1" x14ac:dyDescent="0.25">
      <c r="A316" s="7" t="s">
        <v>884</v>
      </c>
      <c r="B316" s="47" t="str">
        <f t="shared" si="4"/>
        <v>INSTRUMENT_ISSR_ID</v>
      </c>
      <c r="C316" s="8" t="s">
        <v>414</v>
      </c>
      <c r="D316" s="9" t="s">
        <v>885</v>
      </c>
      <c r="E316" s="14" t="s">
        <v>886</v>
      </c>
      <c r="F316" s="10" t="s">
        <v>13</v>
      </c>
      <c r="G316" s="10" t="s">
        <v>11</v>
      </c>
      <c r="H316" s="10" t="s">
        <v>11</v>
      </c>
      <c r="I316" s="10" t="s">
        <v>11</v>
      </c>
    </row>
    <row r="317" spans="1:9" ht="15" hidden="1" customHeight="1" x14ac:dyDescent="0.25">
      <c r="A317" s="7" t="s">
        <v>887</v>
      </c>
      <c r="B317" s="47" t="str">
        <f t="shared" si="4"/>
        <v>INSTRUMENT_ISSR_ID_TYP</v>
      </c>
      <c r="C317" s="8" t="s">
        <v>414</v>
      </c>
      <c r="D317" s="9" t="s">
        <v>888</v>
      </c>
      <c r="E317" s="14" t="s">
        <v>889</v>
      </c>
      <c r="F317" s="10" t="s">
        <v>13</v>
      </c>
      <c r="G317" s="10" t="s">
        <v>11</v>
      </c>
      <c r="H317" s="10" t="s">
        <v>11</v>
      </c>
      <c r="I317" s="10" t="s">
        <v>11</v>
      </c>
    </row>
    <row r="318" spans="1:9" ht="15" hidden="1" customHeight="1" x14ac:dyDescent="0.25">
      <c r="A318" s="7" t="s">
        <v>890</v>
      </c>
      <c r="B318" s="47" t="str">
        <f t="shared" si="4"/>
        <v>INSTRUMENT_ISSR_NACE_SCTR</v>
      </c>
      <c r="C318" s="8" t="s">
        <v>414</v>
      </c>
      <c r="D318" s="9" t="s">
        <v>891</v>
      </c>
      <c r="E318" s="14" t="s">
        <v>892</v>
      </c>
      <c r="F318" s="10" t="s">
        <v>13</v>
      </c>
      <c r="G318" s="10" t="s">
        <v>11</v>
      </c>
      <c r="H318" s="10" t="s">
        <v>13</v>
      </c>
      <c r="I318" s="10" t="s">
        <v>11</v>
      </c>
    </row>
    <row r="319" spans="1:9" ht="15" hidden="1" customHeight="1" x14ac:dyDescent="0.25">
      <c r="A319" s="7" t="s">
        <v>893</v>
      </c>
      <c r="B319" s="47" t="str">
        <f t="shared" si="4"/>
        <v>INSTRUMENT_ISSR_RTNG</v>
      </c>
      <c r="C319" s="8" t="s">
        <v>414</v>
      </c>
      <c r="D319" s="9" t="s">
        <v>894</v>
      </c>
      <c r="E319" s="14" t="s">
        <v>895</v>
      </c>
      <c r="F319" s="10" t="s">
        <v>13</v>
      </c>
      <c r="G319" s="10" t="s">
        <v>11</v>
      </c>
      <c r="H319" s="10" t="s">
        <v>11</v>
      </c>
      <c r="I319" s="10" t="s">
        <v>11</v>
      </c>
    </row>
    <row r="320" spans="1:9" ht="15" hidden="1" customHeight="1" x14ac:dyDescent="0.25">
      <c r="A320" s="7" t="s">
        <v>896</v>
      </c>
      <c r="B320" s="47" t="str">
        <f t="shared" si="4"/>
        <v>INSTRUMENT_ISSR_RTNG_SRC</v>
      </c>
      <c r="C320" s="8" t="s">
        <v>414</v>
      </c>
      <c r="D320" s="9" t="s">
        <v>897</v>
      </c>
      <c r="E320" s="14" t="s">
        <v>898</v>
      </c>
      <c r="F320" s="10" t="s">
        <v>13</v>
      </c>
      <c r="G320" s="10" t="s">
        <v>11</v>
      </c>
      <c r="H320" s="10" t="s">
        <v>11</v>
      </c>
      <c r="I320" s="10" t="s">
        <v>11</v>
      </c>
    </row>
    <row r="321" spans="1:9" ht="15" hidden="1" customHeight="1" x14ac:dyDescent="0.25">
      <c r="A321" s="7" t="s">
        <v>899</v>
      </c>
      <c r="B321" s="47" t="str">
        <f t="shared" si="4"/>
        <v>INSTRUMENT_ISSR_TYP</v>
      </c>
      <c r="C321" s="8" t="s">
        <v>414</v>
      </c>
      <c r="D321" s="9" t="s">
        <v>900</v>
      </c>
      <c r="E321" s="14" t="s">
        <v>901</v>
      </c>
      <c r="F321" s="10" t="s">
        <v>13</v>
      </c>
      <c r="G321" s="10" t="s">
        <v>11</v>
      </c>
      <c r="H321" s="10" t="s">
        <v>11</v>
      </c>
      <c r="I321" s="10" t="s">
        <v>11</v>
      </c>
    </row>
    <row r="322" spans="1:9" ht="15" hidden="1" customHeight="1" x14ac:dyDescent="0.25">
      <c r="A322" s="7" t="s">
        <v>902</v>
      </c>
      <c r="B322" s="47" t="str">
        <f t="shared" si="4"/>
        <v>INSTRUMENT_LCR_BFFR_CTGRY</v>
      </c>
      <c r="C322" s="8" t="s">
        <v>414</v>
      </c>
      <c r="D322" s="9" t="s">
        <v>903</v>
      </c>
      <c r="E322" s="14" t="s">
        <v>904</v>
      </c>
      <c r="F322" s="10" t="s">
        <v>13</v>
      </c>
      <c r="G322" s="10" t="s">
        <v>11</v>
      </c>
      <c r="H322" s="10" t="s">
        <v>11</v>
      </c>
      <c r="I322" s="10" t="s">
        <v>11</v>
      </c>
    </row>
    <row r="323" spans="1:9" ht="15" hidden="1" customHeight="1" x14ac:dyDescent="0.25">
      <c r="A323" s="7" t="s">
        <v>905</v>
      </c>
      <c r="B323" s="47" t="str">
        <f t="shared" ref="B323:B386" si="5">C323&amp;"_"&amp;D323</f>
        <v>INSTRUMENT_PRCH_UNDR_RSL_AGR</v>
      </c>
      <c r="C323" s="8" t="s">
        <v>414</v>
      </c>
      <c r="D323" s="9" t="s">
        <v>906</v>
      </c>
      <c r="E323" s="14" t="s">
        <v>907</v>
      </c>
      <c r="F323" s="10" t="s">
        <v>13</v>
      </c>
      <c r="G323" s="10" t="s">
        <v>11</v>
      </c>
      <c r="H323" s="10" t="s">
        <v>11</v>
      </c>
      <c r="I323" s="10" t="s">
        <v>11</v>
      </c>
    </row>
    <row r="324" spans="1:9" ht="15" hidden="1" customHeight="1" x14ac:dyDescent="0.25">
      <c r="A324" s="7" t="s">
        <v>908</v>
      </c>
      <c r="B324" s="47" t="str">
        <f t="shared" si="5"/>
        <v>INSTRUMENT_PRDNTL_PRTFL</v>
      </c>
      <c r="C324" s="8" t="s">
        <v>414</v>
      </c>
      <c r="D324" s="9" t="s">
        <v>909</v>
      </c>
      <c r="E324" s="14" t="s">
        <v>910</v>
      </c>
      <c r="F324" s="10" t="s">
        <v>13</v>
      </c>
      <c r="G324" s="10" t="s">
        <v>11</v>
      </c>
      <c r="H324" s="10" t="s">
        <v>11</v>
      </c>
      <c r="I324" s="10" t="s">
        <v>11</v>
      </c>
    </row>
    <row r="325" spans="1:9" ht="15" hidden="1" customHeight="1" x14ac:dyDescent="0.25">
      <c r="A325" s="7" t="s">
        <v>911</v>
      </c>
      <c r="B325" s="47" t="str">
        <f t="shared" si="5"/>
        <v>INSTRUMENT_PRMRY_ASST_CLSSF</v>
      </c>
      <c r="C325" s="8" t="s">
        <v>414</v>
      </c>
      <c r="D325" s="9" t="s">
        <v>912</v>
      </c>
      <c r="E325" s="14" t="s">
        <v>913</v>
      </c>
      <c r="F325" s="10" t="s">
        <v>13</v>
      </c>
      <c r="G325" s="10" t="s">
        <v>11</v>
      </c>
      <c r="H325" s="10" t="s">
        <v>13</v>
      </c>
      <c r="I325" s="10" t="s">
        <v>11</v>
      </c>
    </row>
    <row r="326" spans="1:9" ht="15" hidden="1" customHeight="1" x14ac:dyDescent="0.25">
      <c r="A326" s="7" t="s">
        <v>914</v>
      </c>
      <c r="B326" s="47" t="str">
        <f t="shared" si="5"/>
        <v>INSTRUMENT_PRT_LCR_BFFR</v>
      </c>
      <c r="C326" s="8" t="s">
        <v>414</v>
      </c>
      <c r="D326" s="9" t="s">
        <v>915</v>
      </c>
      <c r="E326" s="14" t="s">
        <v>916</v>
      </c>
      <c r="F326" s="10" t="s">
        <v>13</v>
      </c>
      <c r="G326" s="10" t="s">
        <v>11</v>
      </c>
      <c r="H326" s="10" t="s">
        <v>11</v>
      </c>
      <c r="I326" s="10" t="s">
        <v>11</v>
      </c>
    </row>
    <row r="327" spans="1:9" ht="15" hidden="1" customHeight="1" x14ac:dyDescent="0.25">
      <c r="A327" s="7" t="s">
        <v>917</v>
      </c>
      <c r="B327" s="47" t="str">
        <f t="shared" si="5"/>
        <v>INSTRUMENT_CPN_RT_FLTNG</v>
      </c>
      <c r="C327" s="8" t="s">
        <v>414</v>
      </c>
      <c r="D327" s="17" t="s">
        <v>1329</v>
      </c>
      <c r="E327" s="12" t="s">
        <v>920</v>
      </c>
      <c r="F327" s="10" t="s">
        <v>13</v>
      </c>
      <c r="G327" s="10" t="s">
        <v>11</v>
      </c>
      <c r="H327" s="10" t="s">
        <v>11</v>
      </c>
      <c r="I327" s="10" t="s">
        <v>11</v>
      </c>
    </row>
    <row r="328" spans="1:9" ht="15" hidden="1" customHeight="1" x14ac:dyDescent="0.25">
      <c r="A328" s="7" t="s">
        <v>921</v>
      </c>
      <c r="B328" s="47" t="str">
        <f t="shared" si="5"/>
        <v>INSTRUMENT_SPRD</v>
      </c>
      <c r="C328" s="8" t="s">
        <v>414</v>
      </c>
      <c r="D328" s="9" t="s">
        <v>922</v>
      </c>
      <c r="E328" s="14" t="s">
        <v>923</v>
      </c>
      <c r="F328" s="10" t="s">
        <v>13</v>
      </c>
      <c r="G328" s="10" t="s">
        <v>11</v>
      </c>
      <c r="H328" s="10" t="s">
        <v>11</v>
      </c>
      <c r="I328" s="10" t="s">
        <v>11</v>
      </c>
    </row>
    <row r="329" spans="1:9" ht="15" hidden="1" customHeight="1" x14ac:dyDescent="0.25">
      <c r="A329" s="7" t="s">
        <v>924</v>
      </c>
      <c r="B329" s="47" t="str">
        <f t="shared" si="5"/>
        <v>INSTRUMENT_SRCS_ENCMBRNC</v>
      </c>
      <c r="C329" s="8" t="s">
        <v>414</v>
      </c>
      <c r="D329" s="9" t="s">
        <v>925</v>
      </c>
      <c r="E329" s="14" t="s">
        <v>926</v>
      </c>
      <c r="F329" s="10" t="s">
        <v>13</v>
      </c>
      <c r="G329" s="10" t="s">
        <v>11</v>
      </c>
      <c r="H329" s="10" t="s">
        <v>11</v>
      </c>
      <c r="I329" s="10" t="s">
        <v>11</v>
      </c>
    </row>
    <row r="330" spans="1:9" ht="15" hidden="1" customHeight="1" x14ac:dyDescent="0.25">
      <c r="A330" s="7" t="s">
        <v>927</v>
      </c>
      <c r="B330" s="47" t="str">
        <f t="shared" si="5"/>
        <v>INSTRUMENT_TYPE_OF_PLCMNT</v>
      </c>
      <c r="C330" s="8" t="s">
        <v>414</v>
      </c>
      <c r="D330" s="9" t="s">
        <v>928</v>
      </c>
      <c r="E330" s="14" t="s">
        <v>929</v>
      </c>
      <c r="F330" s="10" t="s">
        <v>13</v>
      </c>
      <c r="G330" s="10" t="s">
        <v>11</v>
      </c>
      <c r="H330" s="10" t="s">
        <v>11</v>
      </c>
      <c r="I330" s="10" t="s">
        <v>11</v>
      </c>
    </row>
    <row r="331" spans="1:9" ht="15" hidden="1" customHeight="1" x14ac:dyDescent="0.25">
      <c r="A331" s="7" t="s">
        <v>930</v>
      </c>
      <c r="B331" s="47" t="str">
        <f t="shared" si="5"/>
        <v>INSTRUMENT_VLTN_CRRNCY</v>
      </c>
      <c r="C331" s="8" t="s">
        <v>414</v>
      </c>
      <c r="D331" s="9" t="s">
        <v>931</v>
      </c>
      <c r="E331" s="14" t="s">
        <v>932</v>
      </c>
      <c r="F331" s="10" t="s">
        <v>13</v>
      </c>
      <c r="G331" s="10" t="s">
        <v>11</v>
      </c>
      <c r="H331" s="10" t="s">
        <v>11</v>
      </c>
      <c r="I331" s="10" t="s">
        <v>11</v>
      </c>
    </row>
    <row r="332" spans="1:9" ht="15" hidden="1" customHeight="1" x14ac:dyDescent="0.25">
      <c r="A332" s="7" t="s">
        <v>933</v>
      </c>
      <c r="B332" s="47" t="str">
        <f t="shared" si="5"/>
        <v>INSTRUMENT_VLTN_TYP</v>
      </c>
      <c r="C332" s="8" t="s">
        <v>414</v>
      </c>
      <c r="D332" s="9" t="s">
        <v>934</v>
      </c>
      <c r="E332" s="14" t="s">
        <v>935</v>
      </c>
      <c r="F332" s="10" t="s">
        <v>13</v>
      </c>
      <c r="G332" s="10" t="s">
        <v>11</v>
      </c>
      <c r="H332" s="10" t="s">
        <v>11</v>
      </c>
      <c r="I332" s="10" t="s">
        <v>11</v>
      </c>
    </row>
    <row r="333" spans="1:9" ht="15" hidden="1" customHeight="1" x14ac:dyDescent="0.25">
      <c r="A333" s="7" t="s">
        <v>936</v>
      </c>
      <c r="B333" s="47" t="str">
        <f t="shared" si="5"/>
        <v>INSTRUMENT_LVRG_FNNC_FLG</v>
      </c>
      <c r="C333" s="8" t="s">
        <v>414</v>
      </c>
      <c r="D333" s="9" t="s">
        <v>937</v>
      </c>
      <c r="E333" s="14" t="s">
        <v>938</v>
      </c>
      <c r="F333" s="10" t="s">
        <v>13</v>
      </c>
      <c r="G333" s="10" t="s">
        <v>11</v>
      </c>
      <c r="H333" s="10" t="s">
        <v>11</v>
      </c>
      <c r="I333" s="10" t="s">
        <v>11</v>
      </c>
    </row>
    <row r="334" spans="1:9" ht="15" hidden="1" customHeight="1" x14ac:dyDescent="0.25">
      <c r="A334" s="7" t="s">
        <v>939</v>
      </c>
      <c r="B334" s="47" t="str">
        <f t="shared" si="5"/>
        <v>INSTRUMENT_INTRNL_SGMNT_IFRS9</v>
      </c>
      <c r="C334" s="8" t="s">
        <v>414</v>
      </c>
      <c r="D334" s="9" t="s">
        <v>940</v>
      </c>
      <c r="E334" s="14" t="s">
        <v>941</v>
      </c>
      <c r="F334" s="10" t="s">
        <v>13</v>
      </c>
      <c r="G334" s="10" t="s">
        <v>11</v>
      </c>
      <c r="H334" s="10" t="s">
        <v>11</v>
      </c>
      <c r="I334" s="10" t="s">
        <v>11</v>
      </c>
    </row>
    <row r="335" spans="1:9" ht="15" hidden="1" customHeight="1" x14ac:dyDescent="0.25">
      <c r="A335" s="7" t="s">
        <v>942</v>
      </c>
      <c r="B335" s="47" t="str">
        <f t="shared" si="5"/>
        <v>INSTRUMENT_INTRNL_SGMNT_CAT_MSTA</v>
      </c>
      <c r="C335" s="8" t="s">
        <v>414</v>
      </c>
      <c r="D335" s="9" t="s">
        <v>943</v>
      </c>
      <c r="E335" s="14" t="s">
        <v>944</v>
      </c>
      <c r="F335" s="10" t="s">
        <v>13</v>
      </c>
      <c r="G335" s="10" t="s">
        <v>11</v>
      </c>
      <c r="H335" s="10" t="s">
        <v>11</v>
      </c>
      <c r="I335" s="10" t="s">
        <v>13</v>
      </c>
    </row>
    <row r="336" spans="1:9" ht="15" hidden="1" customHeight="1" x14ac:dyDescent="0.25">
      <c r="A336" s="7" t="s">
        <v>945</v>
      </c>
      <c r="B336" s="47" t="str">
        <f t="shared" si="5"/>
        <v>INSTRUMENT_INTRNL_SGMNT_CATGSUB</v>
      </c>
      <c r="C336" s="8" t="s">
        <v>414</v>
      </c>
      <c r="D336" s="9" t="s">
        <v>946</v>
      </c>
      <c r="E336" s="14" t="s">
        <v>947</v>
      </c>
      <c r="F336" s="10" t="s">
        <v>13</v>
      </c>
      <c r="G336" s="10" t="s">
        <v>11</v>
      </c>
      <c r="H336" s="10" t="s">
        <v>11</v>
      </c>
      <c r="I336" s="10" t="s">
        <v>13</v>
      </c>
    </row>
    <row r="337" spans="1:9" ht="15" hidden="1" customHeight="1" x14ac:dyDescent="0.25">
      <c r="A337" s="7" t="s">
        <v>948</v>
      </c>
      <c r="B337" s="47" t="str">
        <f t="shared" si="5"/>
        <v>INSTRUMENT_CRRLTN_CFFCNT</v>
      </c>
      <c r="C337" s="8" t="s">
        <v>414</v>
      </c>
      <c r="D337" s="9" t="s">
        <v>949</v>
      </c>
      <c r="E337" s="14" t="s">
        <v>950</v>
      </c>
      <c r="F337" s="10" t="s">
        <v>13</v>
      </c>
      <c r="G337" s="10" t="s">
        <v>11</v>
      </c>
      <c r="H337" s="10" t="s">
        <v>11</v>
      </c>
      <c r="I337" s="10" t="s">
        <v>11</v>
      </c>
    </row>
    <row r="338" spans="1:9" ht="15" hidden="1" customHeight="1" x14ac:dyDescent="0.25">
      <c r="A338" s="7" t="s">
        <v>951</v>
      </c>
      <c r="B338" s="47" t="str">
        <f t="shared" si="5"/>
        <v>INSTRUMENT_ISIN_SCRTSTN</v>
      </c>
      <c r="C338" s="8" t="s">
        <v>414</v>
      </c>
      <c r="D338" s="9" t="s">
        <v>952</v>
      </c>
      <c r="E338" s="14" t="s">
        <v>953</v>
      </c>
      <c r="F338" s="10" t="s">
        <v>13</v>
      </c>
      <c r="G338" s="10" t="s">
        <v>11</v>
      </c>
      <c r="H338" s="10" t="s">
        <v>11</v>
      </c>
      <c r="I338" s="10" t="s">
        <v>11</v>
      </c>
    </row>
    <row r="339" spans="1:9" ht="14.85" hidden="1" customHeight="1" x14ac:dyDescent="0.25">
      <c r="A339" s="7" t="s">
        <v>954</v>
      </c>
      <c r="B339" s="47" t="str">
        <f t="shared" si="5"/>
        <v>INSTRUMENT_CNTRCT_ID_BDR</v>
      </c>
      <c r="C339" s="8" t="s">
        <v>414</v>
      </c>
      <c r="D339" s="9" t="s">
        <v>955</v>
      </c>
      <c r="E339" s="30" t="s">
        <v>956</v>
      </c>
      <c r="F339" s="10" t="s">
        <v>13</v>
      </c>
      <c r="G339" s="10" t="s">
        <v>11</v>
      </c>
      <c r="H339" s="10" t="s">
        <v>11</v>
      </c>
      <c r="I339" s="10" t="s">
        <v>11</v>
      </c>
    </row>
    <row r="340" spans="1:9" ht="15" hidden="1" customHeight="1" x14ac:dyDescent="0.25">
      <c r="A340" s="7" t="s">
        <v>957</v>
      </c>
      <c r="B340" s="47" t="str">
        <f t="shared" si="5"/>
        <v>INSTRUMENT_COD_SOC_INTRGRP</v>
      </c>
      <c r="C340" s="8" t="s">
        <v>414</v>
      </c>
      <c r="D340" s="9" t="s">
        <v>958</v>
      </c>
      <c r="E340" s="28" t="s">
        <v>959</v>
      </c>
      <c r="F340" s="10" t="s">
        <v>13</v>
      </c>
      <c r="G340" s="10" t="s">
        <v>13</v>
      </c>
      <c r="H340" s="10" t="s">
        <v>11</v>
      </c>
      <c r="I340" s="10" t="s">
        <v>11</v>
      </c>
    </row>
    <row r="341" spans="1:9" ht="15" hidden="1" customHeight="1" x14ac:dyDescent="0.25">
      <c r="A341" s="7" t="s">
        <v>960</v>
      </c>
      <c r="B341" s="47" t="str">
        <f t="shared" si="5"/>
        <v>INSTRUMENT_LCL_INSTMRNT_ID</v>
      </c>
      <c r="C341" s="8" t="s">
        <v>414</v>
      </c>
      <c r="D341" s="9" t="s">
        <v>961</v>
      </c>
      <c r="E341" s="28" t="s">
        <v>962</v>
      </c>
      <c r="F341" s="10" t="s">
        <v>13</v>
      </c>
      <c r="G341" s="10" t="s">
        <v>13</v>
      </c>
      <c r="H341" s="10" t="s">
        <v>13</v>
      </c>
      <c r="I341" s="10" t="s">
        <v>11</v>
      </c>
    </row>
    <row r="342" spans="1:9" ht="14.85" hidden="1" customHeight="1" x14ac:dyDescent="0.25">
      <c r="A342" s="7" t="s">
        <v>963</v>
      </c>
      <c r="B342" s="47" t="str">
        <f t="shared" si="5"/>
        <v>INSTRUMENT_SSTNBL_INDCTR</v>
      </c>
      <c r="C342" s="8" t="s">
        <v>414</v>
      </c>
      <c r="D342" s="9" t="s">
        <v>964</v>
      </c>
      <c r="E342" s="30" t="s">
        <v>965</v>
      </c>
      <c r="F342" s="10" t="s">
        <v>11</v>
      </c>
      <c r="G342" s="10" t="s">
        <v>13</v>
      </c>
      <c r="H342" s="10" t="s">
        <v>13</v>
      </c>
      <c r="I342" s="10" t="s">
        <v>11</v>
      </c>
    </row>
    <row r="343" spans="1:9" ht="15" hidden="1" customHeight="1" x14ac:dyDescent="0.25">
      <c r="A343" s="7" t="s">
        <v>966</v>
      </c>
      <c r="B343" s="47" t="str">
        <f t="shared" si="5"/>
        <v>INSTRUMENT_SSTNBL_CTGRY</v>
      </c>
      <c r="C343" s="8" t="s">
        <v>414</v>
      </c>
      <c r="D343" s="9" t="s">
        <v>967</v>
      </c>
      <c r="E343" s="14" t="s">
        <v>968</v>
      </c>
      <c r="F343" s="10" t="s">
        <v>11</v>
      </c>
      <c r="G343" s="10" t="s">
        <v>13</v>
      </c>
      <c r="H343" s="10" t="s">
        <v>13</v>
      </c>
      <c r="I343" s="10" t="s">
        <v>11</v>
      </c>
    </row>
    <row r="344" spans="1:9" ht="15" hidden="1" customHeight="1" x14ac:dyDescent="0.25">
      <c r="A344" s="7" t="s">
        <v>969</v>
      </c>
      <c r="B344" s="47" t="str">
        <f t="shared" si="5"/>
        <v>INSTRUMENT_AVRG_BLNC</v>
      </c>
      <c r="C344" s="8" t="s">
        <v>414</v>
      </c>
      <c r="D344" s="9" t="s">
        <v>970</v>
      </c>
      <c r="E344" s="14" t="s">
        <v>971</v>
      </c>
      <c r="F344" s="10" t="s">
        <v>11</v>
      </c>
      <c r="G344" s="10" t="s">
        <v>13</v>
      </c>
      <c r="H344" s="10" t="s">
        <v>11</v>
      </c>
      <c r="I344" s="10" t="s">
        <v>11</v>
      </c>
    </row>
    <row r="345" spans="1:9" ht="15" hidden="1" customHeight="1" x14ac:dyDescent="0.25">
      <c r="A345" s="7" t="s">
        <v>972</v>
      </c>
      <c r="B345" s="47" t="str">
        <f t="shared" si="5"/>
        <v>INSTRUMENT_NW_BSNSS</v>
      </c>
      <c r="C345" s="8" t="s">
        <v>414</v>
      </c>
      <c r="D345" s="9" t="s">
        <v>973</v>
      </c>
      <c r="E345" s="14" t="s">
        <v>974</v>
      </c>
      <c r="F345" s="10" t="s">
        <v>11</v>
      </c>
      <c r="G345" s="10" t="s">
        <v>13</v>
      </c>
      <c r="H345" s="10" t="s">
        <v>11</v>
      </c>
      <c r="I345" s="10" t="s">
        <v>11</v>
      </c>
    </row>
    <row r="346" spans="1:9" ht="15" hidden="1" customHeight="1" x14ac:dyDescent="0.25">
      <c r="A346" s="7" t="s">
        <v>975</v>
      </c>
      <c r="B346" s="47" t="str">
        <f t="shared" si="5"/>
        <v>INSTRUMENT_GRSS_INTRST_INCM</v>
      </c>
      <c r="C346" s="8" t="s">
        <v>414</v>
      </c>
      <c r="D346" s="9" t="s">
        <v>976</v>
      </c>
      <c r="E346" s="14" t="s">
        <v>977</v>
      </c>
      <c r="F346" s="10" t="s">
        <v>11</v>
      </c>
      <c r="G346" s="10" t="s">
        <v>13</v>
      </c>
      <c r="H346" s="10" t="s">
        <v>13</v>
      </c>
      <c r="I346" s="10" t="s">
        <v>11</v>
      </c>
    </row>
    <row r="347" spans="1:9" ht="15" hidden="1" customHeight="1" x14ac:dyDescent="0.25">
      <c r="A347" s="7" t="s">
        <v>978</v>
      </c>
      <c r="B347" s="47" t="str">
        <f t="shared" si="5"/>
        <v>INSTRUMENT_GRSS_CMMSSN_INCM</v>
      </c>
      <c r="C347" s="8" t="s">
        <v>414</v>
      </c>
      <c r="D347" s="9" t="s">
        <v>979</v>
      </c>
      <c r="E347" s="14" t="s">
        <v>980</v>
      </c>
      <c r="F347" s="10" t="s">
        <v>11</v>
      </c>
      <c r="G347" s="10" t="s">
        <v>13</v>
      </c>
      <c r="H347" s="10" t="s">
        <v>13</v>
      </c>
      <c r="I347" s="10" t="s">
        <v>11</v>
      </c>
    </row>
    <row r="348" spans="1:9" ht="15" hidden="1" customHeight="1" x14ac:dyDescent="0.25">
      <c r="A348" s="7" t="s">
        <v>981</v>
      </c>
      <c r="B348" s="47" t="str">
        <f t="shared" si="5"/>
        <v>INSTRUMENT_INTRNL_TRNSFR_RT</v>
      </c>
      <c r="C348" s="8" t="s">
        <v>414</v>
      </c>
      <c r="D348" s="9" t="s">
        <v>982</v>
      </c>
      <c r="E348" s="14" t="s">
        <v>983</v>
      </c>
      <c r="F348" s="10" t="s">
        <v>11</v>
      </c>
      <c r="G348" s="10" t="s">
        <v>13</v>
      </c>
      <c r="H348" s="10" t="s">
        <v>11</v>
      </c>
      <c r="I348" s="10" t="s">
        <v>11</v>
      </c>
    </row>
    <row r="349" spans="1:9" ht="15" hidden="1" customHeight="1" x14ac:dyDescent="0.25">
      <c r="A349" s="7" t="s">
        <v>984</v>
      </c>
      <c r="B349" s="47" t="str">
        <f t="shared" si="5"/>
        <v>INSTRUMENT_NT_LN_LSS_PRVSN</v>
      </c>
      <c r="C349" s="8" t="s">
        <v>414</v>
      </c>
      <c r="D349" s="9" t="s">
        <v>985</v>
      </c>
      <c r="E349" s="14" t="s">
        <v>986</v>
      </c>
      <c r="F349" s="10" t="s">
        <v>11</v>
      </c>
      <c r="G349" s="10" t="s">
        <v>13</v>
      </c>
      <c r="H349" s="10" t="s">
        <v>11</v>
      </c>
      <c r="I349" s="10" t="s">
        <v>11</v>
      </c>
    </row>
    <row r="350" spans="1:9" s="20" customFormat="1" ht="15" hidden="1" customHeight="1" x14ac:dyDescent="0.25">
      <c r="A350" s="7" t="s">
        <v>987</v>
      </c>
      <c r="B350" s="47" t="str">
        <f t="shared" si="5"/>
        <v>INSTRUMENT_BSNSS_AREA</v>
      </c>
      <c r="C350" s="8" t="s">
        <v>414</v>
      </c>
      <c r="D350" s="9" t="s">
        <v>988</v>
      </c>
      <c r="E350" s="14" t="s">
        <v>989</v>
      </c>
      <c r="F350" s="10" t="s">
        <v>11</v>
      </c>
      <c r="G350" s="10" t="s">
        <v>13</v>
      </c>
      <c r="H350" s="10" t="s">
        <v>11</v>
      </c>
      <c r="I350" s="10" t="s">
        <v>11</v>
      </c>
    </row>
    <row r="351" spans="1:9" s="31" customFormat="1" ht="15" hidden="1" customHeight="1" x14ac:dyDescent="0.25">
      <c r="A351" s="7" t="s">
        <v>990</v>
      </c>
      <c r="B351" s="47" t="str">
        <f t="shared" si="5"/>
        <v>INSTRUMENT_MNGMNT_PRDCT</v>
      </c>
      <c r="C351" s="8" t="s">
        <v>414</v>
      </c>
      <c r="D351" s="22" t="s">
        <v>991</v>
      </c>
      <c r="E351" s="28" t="s">
        <v>992</v>
      </c>
      <c r="F351" s="10" t="s">
        <v>11</v>
      </c>
      <c r="G351" s="10" t="s">
        <v>13</v>
      </c>
      <c r="H351" s="10" t="s">
        <v>11</v>
      </c>
      <c r="I351" s="10" t="s">
        <v>11</v>
      </c>
    </row>
    <row r="352" spans="1:9" ht="14.85" hidden="1" customHeight="1" x14ac:dyDescent="0.25">
      <c r="A352" s="7" t="s">
        <v>993</v>
      </c>
      <c r="B352" s="47" t="str">
        <f t="shared" si="5"/>
        <v>INSTRUMENT_GRSS_CMMSSN_EXPNS</v>
      </c>
      <c r="C352" s="8" t="s">
        <v>414</v>
      </c>
      <c r="D352" s="9" t="s">
        <v>994</v>
      </c>
      <c r="E352" s="14" t="s">
        <v>995</v>
      </c>
      <c r="F352" s="10" t="s">
        <v>11</v>
      </c>
      <c r="G352" s="10" t="s">
        <v>13</v>
      </c>
      <c r="H352" s="10" t="s">
        <v>11</v>
      </c>
      <c r="I352" s="10" t="s">
        <v>11</v>
      </c>
    </row>
    <row r="353" spans="1:9" ht="14.85" hidden="1" customHeight="1" x14ac:dyDescent="0.25">
      <c r="A353" s="7" t="s">
        <v>996</v>
      </c>
      <c r="B353" s="47" t="str">
        <f t="shared" si="5"/>
        <v>INSTRUMENT_GNS_FNNCL_TRNSCTN_EXCHNG_DFFRNCS</v>
      </c>
      <c r="C353" s="8" t="s">
        <v>414</v>
      </c>
      <c r="D353" s="9" t="s">
        <v>997</v>
      </c>
      <c r="E353" s="14" t="s">
        <v>998</v>
      </c>
      <c r="F353" s="10" t="s">
        <v>11</v>
      </c>
      <c r="G353" s="10" t="s">
        <v>13</v>
      </c>
      <c r="H353" s="10" t="s">
        <v>11</v>
      </c>
      <c r="I353" s="10" t="s">
        <v>11</v>
      </c>
    </row>
    <row r="354" spans="1:9" ht="14.85" hidden="1" customHeight="1" x14ac:dyDescent="0.25">
      <c r="A354" s="7" t="s">
        <v>999</v>
      </c>
      <c r="B354" s="47" t="str">
        <f t="shared" si="5"/>
        <v>INSTRUMENT_FLG_INTRBSNSS</v>
      </c>
      <c r="C354" s="8" t="s">
        <v>414</v>
      </c>
      <c r="D354" s="9" t="s">
        <v>1000</v>
      </c>
      <c r="E354" s="14" t="s">
        <v>1001</v>
      </c>
      <c r="F354" s="10" t="s">
        <v>11</v>
      </c>
      <c r="G354" s="10" t="s">
        <v>13</v>
      </c>
      <c r="H354" s="10" t="s">
        <v>11</v>
      </c>
      <c r="I354" s="10" t="s">
        <v>11</v>
      </c>
    </row>
    <row r="355" spans="1:9" ht="14.85" hidden="1" customHeight="1" x14ac:dyDescent="0.25">
      <c r="A355" s="7" t="s">
        <v>1002</v>
      </c>
      <c r="B355" s="47" t="str">
        <f t="shared" si="5"/>
        <v>INSTRUMENT_INTRBSNSS_ADJ_COD</v>
      </c>
      <c r="C355" s="8" t="s">
        <v>414</v>
      </c>
      <c r="D355" s="9" t="s">
        <v>1003</v>
      </c>
      <c r="E355" s="14" t="s">
        <v>1004</v>
      </c>
      <c r="F355" s="10" t="s">
        <v>11</v>
      </c>
      <c r="G355" s="10" t="s">
        <v>13</v>
      </c>
      <c r="H355" s="10" t="s">
        <v>11</v>
      </c>
      <c r="I355" s="10" t="s">
        <v>11</v>
      </c>
    </row>
    <row r="356" spans="1:9" ht="14.85" hidden="1" customHeight="1" x14ac:dyDescent="0.25">
      <c r="A356" s="7" t="s">
        <v>1005</v>
      </c>
      <c r="B356" s="47" t="str">
        <f t="shared" si="5"/>
        <v>INSTRUMENT_COD_SOC_DSTNTN</v>
      </c>
      <c r="C356" s="8" t="s">
        <v>414</v>
      </c>
      <c r="D356" s="9" t="s">
        <v>1006</v>
      </c>
      <c r="E356" s="14" t="s">
        <v>1007</v>
      </c>
      <c r="F356" s="10" t="s">
        <v>11</v>
      </c>
      <c r="G356" s="10" t="s">
        <v>13</v>
      </c>
      <c r="H356" s="10" t="s">
        <v>11</v>
      </c>
      <c r="I356" s="10" t="s">
        <v>11</v>
      </c>
    </row>
    <row r="357" spans="1:9" ht="14.85" hidden="1" customHeight="1" x14ac:dyDescent="0.25">
      <c r="A357" s="7" t="s">
        <v>1008</v>
      </c>
      <c r="B357" s="47" t="str">
        <f t="shared" si="5"/>
        <v>INSTRUMENT_BSNSS_AREA_DSTNTN</v>
      </c>
      <c r="C357" s="8" t="s">
        <v>414</v>
      </c>
      <c r="D357" s="9" t="s">
        <v>1009</v>
      </c>
      <c r="E357" s="14" t="s">
        <v>1010</v>
      </c>
      <c r="F357" s="10" t="s">
        <v>11</v>
      </c>
      <c r="G357" s="10" t="s">
        <v>13</v>
      </c>
      <c r="H357" s="10" t="s">
        <v>11</v>
      </c>
      <c r="I357" s="10" t="s">
        <v>11</v>
      </c>
    </row>
    <row r="358" spans="1:9" ht="15" hidden="1" customHeight="1" x14ac:dyDescent="0.25">
      <c r="A358" s="7" t="s">
        <v>1011</v>
      </c>
      <c r="B358" s="47" t="str">
        <f t="shared" si="5"/>
        <v>INSTRUMENT_AVRG_BLNC_OFF_BLNC</v>
      </c>
      <c r="C358" s="8" t="s">
        <v>414</v>
      </c>
      <c r="D358" s="9" t="s">
        <v>1012</v>
      </c>
      <c r="E358" s="14" t="s">
        <v>1013</v>
      </c>
      <c r="F358" s="10" t="s">
        <v>11</v>
      </c>
      <c r="G358" s="10" t="s">
        <v>13</v>
      </c>
      <c r="H358" s="10" t="s">
        <v>11</v>
      </c>
      <c r="I358" s="10" t="s">
        <v>11</v>
      </c>
    </row>
    <row r="359" spans="1:9" ht="15" hidden="1" customHeight="1" x14ac:dyDescent="0.25">
      <c r="A359" s="7" t="s">
        <v>1014</v>
      </c>
      <c r="B359" s="47" t="str">
        <f t="shared" si="5"/>
        <v>INSTRUMENT_INTRNL_TRNSFR_RT_OFF_BLNC</v>
      </c>
      <c r="C359" s="8" t="s">
        <v>414</v>
      </c>
      <c r="D359" s="9" t="s">
        <v>1015</v>
      </c>
      <c r="E359" s="14" t="s">
        <v>1016</v>
      </c>
      <c r="F359" s="10" t="s">
        <v>11</v>
      </c>
      <c r="G359" s="10" t="s">
        <v>13</v>
      </c>
      <c r="H359" s="10" t="s">
        <v>11</v>
      </c>
      <c r="I359" s="10" t="s">
        <v>11</v>
      </c>
    </row>
    <row r="360" spans="1:9" ht="15" hidden="1" customHeight="1" x14ac:dyDescent="0.25">
      <c r="A360" s="7" t="s">
        <v>1017</v>
      </c>
      <c r="B360" s="47" t="str">
        <f t="shared" si="5"/>
        <v>INSTRUMENT_GRSS_CMMSSN_INCM_OFF_BLNC</v>
      </c>
      <c r="C360" s="8" t="s">
        <v>414</v>
      </c>
      <c r="D360" s="9" t="s">
        <v>1018</v>
      </c>
      <c r="E360" s="14" t="s">
        <v>1019</v>
      </c>
      <c r="F360" s="10" t="s">
        <v>11</v>
      </c>
      <c r="G360" s="10" t="s">
        <v>13</v>
      </c>
      <c r="H360" s="10" t="s">
        <v>13</v>
      </c>
      <c r="I360" s="10" t="s">
        <v>11</v>
      </c>
    </row>
    <row r="361" spans="1:9" ht="15" hidden="1" customHeight="1" x14ac:dyDescent="0.25">
      <c r="A361" s="7" t="s">
        <v>1020</v>
      </c>
      <c r="B361" s="47" t="str">
        <f t="shared" si="5"/>
        <v>INSTRUMENT_GRSS_CMMSSN_EXPNS_OFF_BLNC</v>
      </c>
      <c r="C361" s="8" t="s">
        <v>414</v>
      </c>
      <c r="D361" s="9" t="s">
        <v>1021</v>
      </c>
      <c r="E361" s="14" t="s">
        <v>1022</v>
      </c>
      <c r="F361" s="10" t="s">
        <v>11</v>
      </c>
      <c r="G361" s="10" t="s">
        <v>13</v>
      </c>
      <c r="H361" s="10" t="s">
        <v>11</v>
      </c>
      <c r="I361" s="10" t="s">
        <v>11</v>
      </c>
    </row>
    <row r="362" spans="1:9" ht="15" hidden="1" customHeight="1" x14ac:dyDescent="0.25">
      <c r="A362" s="7" t="s">
        <v>1023</v>
      </c>
      <c r="B362" s="47" t="str">
        <f t="shared" si="5"/>
        <v>INSTRUMENT_RWA_OFF_BLNC</v>
      </c>
      <c r="C362" s="8" t="s">
        <v>414</v>
      </c>
      <c r="D362" s="9" t="s">
        <v>1024</v>
      </c>
      <c r="E362" s="14" t="s">
        <v>1025</v>
      </c>
      <c r="F362" s="10" t="s">
        <v>11</v>
      </c>
      <c r="G362" s="10" t="s">
        <v>13</v>
      </c>
      <c r="H362" s="10" t="s">
        <v>11</v>
      </c>
      <c r="I362" s="10" t="s">
        <v>11</v>
      </c>
    </row>
    <row r="363" spans="1:9" ht="15" hidden="1" customHeight="1" x14ac:dyDescent="0.25">
      <c r="A363" s="7" t="s">
        <v>1026</v>
      </c>
      <c r="B363" s="47" t="str">
        <f t="shared" si="5"/>
        <v>INSTRUMENT_GRSS_INTRST_EXPNS</v>
      </c>
      <c r="C363" s="8" t="s">
        <v>414</v>
      </c>
      <c r="D363" s="9" t="s">
        <v>1027</v>
      </c>
      <c r="E363" s="14" t="s">
        <v>1028</v>
      </c>
      <c r="F363" s="10" t="s">
        <v>11</v>
      </c>
      <c r="G363" s="10" t="s">
        <v>13</v>
      </c>
      <c r="H363" s="10" t="s">
        <v>11</v>
      </c>
      <c r="I363" s="10" t="s">
        <v>11</v>
      </c>
    </row>
    <row r="364" spans="1:9" ht="15" hidden="1" customHeight="1" x14ac:dyDescent="0.25">
      <c r="A364" s="7" t="s">
        <v>1029</v>
      </c>
      <c r="B364" s="47" t="str">
        <f t="shared" si="5"/>
        <v>INSTRUMENT_NT_LN_LSS_PRVSN_OFF_BLNC</v>
      </c>
      <c r="C364" s="8" t="s">
        <v>414</v>
      </c>
      <c r="D364" s="9" t="s">
        <v>1030</v>
      </c>
      <c r="E364" s="14" t="s">
        <v>1031</v>
      </c>
      <c r="F364" s="10" t="s">
        <v>11</v>
      </c>
      <c r="G364" s="10" t="s">
        <v>13</v>
      </c>
      <c r="H364" s="10" t="s">
        <v>11</v>
      </c>
      <c r="I364" s="10" t="s">
        <v>11</v>
      </c>
    </row>
    <row r="365" spans="1:9" ht="15" hidden="1" customHeight="1" x14ac:dyDescent="0.25">
      <c r="A365" s="7" t="s">
        <v>1032</v>
      </c>
      <c r="B365" s="47" t="str">
        <f t="shared" si="5"/>
        <v>INSTRUMENT_GRSS_INTRST_INCM_CCRR</v>
      </c>
      <c r="C365" s="8" t="s">
        <v>414</v>
      </c>
      <c r="D365" s="9" t="s">
        <v>1033</v>
      </c>
      <c r="E365" s="14" t="s">
        <v>1034</v>
      </c>
      <c r="F365" s="10" t="s">
        <v>11</v>
      </c>
      <c r="G365" s="10" t="s">
        <v>13</v>
      </c>
      <c r="H365" s="10" t="s">
        <v>11</v>
      </c>
      <c r="I365" s="10" t="s">
        <v>11</v>
      </c>
    </row>
    <row r="366" spans="1:9" ht="15" hidden="1" customHeight="1" x14ac:dyDescent="0.25">
      <c r="A366" s="7" t="s">
        <v>1035</v>
      </c>
      <c r="B366" s="47" t="str">
        <f t="shared" si="5"/>
        <v>INSTRUMENT_GRSS_INTRST_EXPNS_CCRR</v>
      </c>
      <c r="C366" s="8" t="s">
        <v>414</v>
      </c>
      <c r="D366" s="9" t="s">
        <v>1036</v>
      </c>
      <c r="E366" s="14" t="s">
        <v>1037</v>
      </c>
      <c r="F366" s="10" t="s">
        <v>11</v>
      </c>
      <c r="G366" s="10" t="s">
        <v>13</v>
      </c>
      <c r="H366" s="10" t="s">
        <v>11</v>
      </c>
      <c r="I366" s="10" t="s">
        <v>11</v>
      </c>
    </row>
    <row r="367" spans="1:9" ht="15" hidden="1" customHeight="1" x14ac:dyDescent="0.25">
      <c r="A367" s="7" t="s">
        <v>1038</v>
      </c>
      <c r="B367" s="47" t="str">
        <f t="shared" si="5"/>
        <v>INSTRUMENT_GRSS_CMMSSN_INCM_CCRR</v>
      </c>
      <c r="C367" s="8" t="s">
        <v>414</v>
      </c>
      <c r="D367" s="9" t="s">
        <v>1039</v>
      </c>
      <c r="E367" s="14" t="s">
        <v>1040</v>
      </c>
      <c r="F367" s="10" t="s">
        <v>11</v>
      </c>
      <c r="G367" s="10" t="s">
        <v>13</v>
      </c>
      <c r="H367" s="10" t="s">
        <v>11</v>
      </c>
      <c r="I367" s="10" t="s">
        <v>11</v>
      </c>
    </row>
    <row r="368" spans="1:9" ht="15" hidden="1" customHeight="1" x14ac:dyDescent="0.25">
      <c r="A368" s="7" t="s">
        <v>1041</v>
      </c>
      <c r="B368" s="47" t="str">
        <f t="shared" si="5"/>
        <v>INSTRUMENT_GRSS_CMMSSN_EXPNS_CCRR</v>
      </c>
      <c r="C368" s="8" t="s">
        <v>414</v>
      </c>
      <c r="D368" s="9" t="s">
        <v>1042</v>
      </c>
      <c r="E368" s="14" t="s">
        <v>1043</v>
      </c>
      <c r="F368" s="10" t="s">
        <v>11</v>
      </c>
      <c r="G368" s="10" t="s">
        <v>13</v>
      </c>
      <c r="H368" s="10" t="s">
        <v>11</v>
      </c>
      <c r="I368" s="10" t="s">
        <v>11</v>
      </c>
    </row>
    <row r="369" spans="1:9" ht="15" hidden="1" customHeight="1" x14ac:dyDescent="0.25">
      <c r="A369" s="7" t="s">
        <v>1044</v>
      </c>
      <c r="B369" s="47" t="str">
        <f t="shared" si="5"/>
        <v>INSTRUMENT_GNS_FNNCL_TRNSCTN_EXCHNG_CCRR</v>
      </c>
      <c r="C369" s="8" t="s">
        <v>414</v>
      </c>
      <c r="D369" s="9" t="s">
        <v>1045</v>
      </c>
      <c r="E369" s="14" t="s">
        <v>1046</v>
      </c>
      <c r="F369" s="10" t="s">
        <v>11</v>
      </c>
      <c r="G369" s="10" t="s">
        <v>13</v>
      </c>
      <c r="H369" s="10" t="s">
        <v>11</v>
      </c>
      <c r="I369" s="10" t="s">
        <v>11</v>
      </c>
    </row>
    <row r="370" spans="1:9" s="20" customFormat="1" ht="15" hidden="1" customHeight="1" x14ac:dyDescent="0.25">
      <c r="A370" s="7" t="s">
        <v>1047</v>
      </c>
      <c r="B370" s="47" t="str">
        <f t="shared" si="5"/>
        <v>INSTRUMENT_BSNSS_AREA_CCRR</v>
      </c>
      <c r="C370" s="8" t="s">
        <v>414</v>
      </c>
      <c r="D370" s="9" t="s">
        <v>1048</v>
      </c>
      <c r="E370" s="14" t="s">
        <v>1049</v>
      </c>
      <c r="F370" s="10" t="s">
        <v>11</v>
      </c>
      <c r="G370" s="10" t="s">
        <v>13</v>
      </c>
      <c r="H370" s="10" t="s">
        <v>11</v>
      </c>
      <c r="I370" s="10" t="s">
        <v>11</v>
      </c>
    </row>
    <row r="371" spans="1:9" ht="15" hidden="1" customHeight="1" x14ac:dyDescent="0.25">
      <c r="A371" s="7" t="s">
        <v>1050</v>
      </c>
      <c r="B371" s="47" t="str">
        <f t="shared" si="5"/>
        <v>INSTRUMENT_GRSS_CMMSSN_INCM_OFF_BLNC_CCRR</v>
      </c>
      <c r="C371" s="8" t="s">
        <v>414</v>
      </c>
      <c r="D371" s="9" t="s">
        <v>1051</v>
      </c>
      <c r="E371" s="32" t="s">
        <v>1052</v>
      </c>
      <c r="F371" s="10" t="s">
        <v>11</v>
      </c>
      <c r="G371" s="10" t="s">
        <v>13</v>
      </c>
      <c r="H371" s="10" t="s">
        <v>11</v>
      </c>
      <c r="I371" s="10" t="s">
        <v>11</v>
      </c>
    </row>
    <row r="372" spans="1:9" ht="15" hidden="1" customHeight="1" x14ac:dyDescent="0.25">
      <c r="A372" s="7" t="s">
        <v>1053</v>
      </c>
      <c r="B372" s="47" t="str">
        <f t="shared" si="5"/>
        <v>INSTRUMENT_GRSS_CMMSSN_EXPNS_OFF_BLNC_CCRR</v>
      </c>
      <c r="C372" s="8" t="s">
        <v>414</v>
      </c>
      <c r="D372" s="9" t="s">
        <v>1054</v>
      </c>
      <c r="E372" s="32" t="s">
        <v>1055</v>
      </c>
      <c r="F372" s="10" t="s">
        <v>11</v>
      </c>
      <c r="G372" s="10" t="s">
        <v>13</v>
      </c>
      <c r="H372" s="10" t="s">
        <v>11</v>
      </c>
      <c r="I372" s="10" t="s">
        <v>11</v>
      </c>
    </row>
    <row r="373" spans="1:9" ht="15" hidden="1" customHeight="1" x14ac:dyDescent="0.25">
      <c r="A373" s="7" t="s">
        <v>1056</v>
      </c>
      <c r="B373" s="47" t="str">
        <f t="shared" si="5"/>
        <v>INSTRUMENT_ENVRNMNTL_OBJCTV</v>
      </c>
      <c r="C373" s="8" t="s">
        <v>414</v>
      </c>
      <c r="D373" s="9" t="s">
        <v>1057</v>
      </c>
      <c r="E373" s="14" t="s">
        <v>1058</v>
      </c>
      <c r="F373" s="10" t="s">
        <v>11</v>
      </c>
      <c r="G373" s="10" t="s">
        <v>11</v>
      </c>
      <c r="H373" s="10" t="s">
        <v>13</v>
      </c>
      <c r="I373" s="10" t="s">
        <v>11</v>
      </c>
    </row>
    <row r="374" spans="1:9" ht="15" hidden="1" customHeight="1" x14ac:dyDescent="0.25">
      <c r="A374" s="7" t="s">
        <v>1059</v>
      </c>
      <c r="B374" s="47" t="str">
        <f t="shared" si="5"/>
        <v>INSTRUMENT_RSK_MTGTD_CCT</v>
      </c>
      <c r="C374" s="8" t="s">
        <v>414</v>
      </c>
      <c r="D374" s="9" t="s">
        <v>1060</v>
      </c>
      <c r="E374" s="14" t="s">
        <v>1061</v>
      </c>
      <c r="F374" s="10" t="s">
        <v>11</v>
      </c>
      <c r="G374" s="10" t="s">
        <v>11</v>
      </c>
      <c r="H374" s="10" t="s">
        <v>13</v>
      </c>
      <c r="I374" s="10" t="s">
        <v>11</v>
      </c>
    </row>
    <row r="375" spans="1:9" ht="14.85" hidden="1" customHeight="1" x14ac:dyDescent="0.25">
      <c r="A375" s="7" t="s">
        <v>1062</v>
      </c>
      <c r="B375" s="47" t="str">
        <f t="shared" si="5"/>
        <v>INSTRUMENT_RSK_MTGTD_CCP</v>
      </c>
      <c r="C375" s="8" t="s">
        <v>414</v>
      </c>
      <c r="D375" s="9" t="s">
        <v>1063</v>
      </c>
      <c r="E375" s="30" t="s">
        <v>1064</v>
      </c>
      <c r="F375" s="10" t="s">
        <v>11</v>
      </c>
      <c r="G375" s="10" t="s">
        <v>11</v>
      </c>
      <c r="H375" s="10" t="s">
        <v>13</v>
      </c>
      <c r="I375" s="10" t="s">
        <v>11</v>
      </c>
    </row>
    <row r="376" spans="1:9" ht="14.85" hidden="1" customHeight="1" x14ac:dyDescent="0.25">
      <c r="A376" s="7" t="s">
        <v>1065</v>
      </c>
      <c r="B376" s="47" t="str">
        <f t="shared" si="5"/>
        <v>INSTRUMENT_TYP_ACTVTY</v>
      </c>
      <c r="C376" s="8" t="s">
        <v>414</v>
      </c>
      <c r="D376" s="9" t="s">
        <v>1066</v>
      </c>
      <c r="E376" s="30" t="s">
        <v>1067</v>
      </c>
      <c r="F376" s="10" t="s">
        <v>11</v>
      </c>
      <c r="G376" s="10" t="s">
        <v>11</v>
      </c>
      <c r="H376" s="10" t="s">
        <v>13</v>
      </c>
      <c r="I376" s="10" t="s">
        <v>11</v>
      </c>
    </row>
    <row r="377" spans="1:9" ht="15" hidden="1" customHeight="1" x14ac:dyDescent="0.25">
      <c r="A377" s="7" t="s">
        <v>1068</v>
      </c>
      <c r="B377" s="47" t="str">
        <f t="shared" si="5"/>
        <v>INSTRUMENT_LNS_CLLTRLZD_CLSSFCTN</v>
      </c>
      <c r="C377" s="8" t="s">
        <v>414</v>
      </c>
      <c r="D377" s="9" t="s">
        <v>1069</v>
      </c>
      <c r="E377" s="34" t="s">
        <v>1070</v>
      </c>
      <c r="F377" s="10" t="s">
        <v>11</v>
      </c>
      <c r="G377" s="10" t="s">
        <v>11</v>
      </c>
      <c r="H377" s="10" t="s">
        <v>13</v>
      </c>
      <c r="I377" s="10" t="s">
        <v>11</v>
      </c>
    </row>
    <row r="378" spans="1:9" ht="15" hidden="1" customHeight="1" x14ac:dyDescent="0.25">
      <c r="A378" s="7" t="s">
        <v>1071</v>
      </c>
      <c r="B378" s="47" t="str">
        <f t="shared" si="5"/>
        <v>INSTRUMENT_MTHD_USD_INSTRMNT_SCP_1</v>
      </c>
      <c r="C378" s="8" t="s">
        <v>414</v>
      </c>
      <c r="D378" s="9" t="s">
        <v>1072</v>
      </c>
      <c r="E378" s="32" t="s">
        <v>1073</v>
      </c>
      <c r="F378" s="10" t="s">
        <v>11</v>
      </c>
      <c r="G378" s="10" t="s">
        <v>11</v>
      </c>
      <c r="H378" s="10" t="s">
        <v>13</v>
      </c>
      <c r="I378" s="10" t="s">
        <v>11</v>
      </c>
    </row>
    <row r="379" spans="1:9" ht="15" hidden="1" customHeight="1" x14ac:dyDescent="0.25">
      <c r="A379" s="7" t="s">
        <v>1074</v>
      </c>
      <c r="B379" s="47" t="str">
        <f t="shared" si="5"/>
        <v>INSTRUMENT_MTHD_USD_INSTRMNT_SCP_2</v>
      </c>
      <c r="C379" s="8" t="s">
        <v>414</v>
      </c>
      <c r="D379" s="9" t="s">
        <v>1075</v>
      </c>
      <c r="E379" s="32" t="s">
        <v>1076</v>
      </c>
      <c r="F379" s="10" t="s">
        <v>11</v>
      </c>
      <c r="G379" s="10" t="s">
        <v>11</v>
      </c>
      <c r="H379" s="10" t="s">
        <v>13</v>
      </c>
      <c r="I379" s="10" t="s">
        <v>11</v>
      </c>
    </row>
    <row r="380" spans="1:9" ht="15" hidden="1" customHeight="1" x14ac:dyDescent="0.25">
      <c r="A380" s="7" t="s">
        <v>1077</v>
      </c>
      <c r="B380" s="47" t="str">
        <f t="shared" si="5"/>
        <v>INSTRUMENT_MTHD_USD_INSTRMNT_SCP_3</v>
      </c>
      <c r="C380" s="8" t="s">
        <v>414</v>
      </c>
      <c r="D380" s="9" t="s">
        <v>1078</v>
      </c>
      <c r="E380" s="32" t="s">
        <v>1079</v>
      </c>
      <c r="F380" s="10" t="s">
        <v>11</v>
      </c>
      <c r="G380" s="10" t="s">
        <v>11</v>
      </c>
      <c r="H380" s="10" t="s">
        <v>13</v>
      </c>
      <c r="I380" s="10" t="s">
        <v>11</v>
      </c>
    </row>
    <row r="381" spans="1:9" ht="15" hidden="1" customHeight="1" x14ac:dyDescent="0.25">
      <c r="A381" s="7" t="s">
        <v>1080</v>
      </c>
      <c r="B381" s="47" t="str">
        <f t="shared" si="5"/>
        <v>INSTRUMENT_CNCLLD_INSTRMNT_STTS</v>
      </c>
      <c r="C381" s="8" t="s">
        <v>414</v>
      </c>
      <c r="D381" s="9" t="s">
        <v>1081</v>
      </c>
      <c r="E381" s="32" t="s">
        <v>1082</v>
      </c>
      <c r="F381" s="10" t="s">
        <v>11</v>
      </c>
      <c r="G381" s="10" t="s">
        <v>13</v>
      </c>
      <c r="H381" s="10" t="s">
        <v>11</v>
      </c>
      <c r="I381" s="10" t="s">
        <v>11</v>
      </c>
    </row>
    <row r="382" spans="1:9" ht="15" hidden="1" customHeight="1" x14ac:dyDescent="0.25">
      <c r="A382" s="7" t="s">
        <v>1083</v>
      </c>
      <c r="B382" s="47" t="str">
        <f t="shared" si="5"/>
        <v>INSTRUMENT_IDCMB</v>
      </c>
      <c r="C382" s="8" t="s">
        <v>414</v>
      </c>
      <c r="D382" s="9" t="s">
        <v>1084</v>
      </c>
      <c r="E382" s="32" t="s">
        <v>1085</v>
      </c>
      <c r="F382" s="10" t="s">
        <v>13</v>
      </c>
      <c r="G382" s="10" t="s">
        <v>13</v>
      </c>
      <c r="H382" s="10" t="s">
        <v>13</v>
      </c>
      <c r="I382" s="10" t="s">
        <v>13</v>
      </c>
    </row>
    <row r="383" spans="1:9" ht="15" hidden="1" customHeight="1" x14ac:dyDescent="0.25">
      <c r="A383" s="7" t="s">
        <v>1086</v>
      </c>
      <c r="B383" s="47" t="str">
        <f t="shared" si="5"/>
        <v>INSTRUMENT_EXPCTD_LSS_CRR</v>
      </c>
      <c r="C383" s="8" t="s">
        <v>414</v>
      </c>
      <c r="D383" s="9" t="s">
        <v>1087</v>
      </c>
      <c r="E383" s="33" t="s">
        <v>1088</v>
      </c>
      <c r="F383" s="10" t="s">
        <v>13</v>
      </c>
      <c r="G383" s="10" t="s">
        <v>11</v>
      </c>
      <c r="H383" s="10" t="s">
        <v>11</v>
      </c>
      <c r="I383" s="10" t="s">
        <v>11</v>
      </c>
    </row>
    <row r="384" spans="1:9" ht="15" hidden="1" customHeight="1" x14ac:dyDescent="0.25">
      <c r="A384" s="7" t="s">
        <v>1089</v>
      </c>
      <c r="B384" s="47" t="str">
        <f t="shared" si="5"/>
        <v>INSTRUMENT_LSTI</v>
      </c>
      <c r="C384" s="8" t="s">
        <v>414</v>
      </c>
      <c r="D384" s="9" t="s">
        <v>1090</v>
      </c>
      <c r="E384" s="32" t="s">
        <v>1091</v>
      </c>
      <c r="F384" s="10" t="s">
        <v>13</v>
      </c>
      <c r="G384" s="10" t="s">
        <v>11</v>
      </c>
      <c r="H384" s="10" t="s">
        <v>11</v>
      </c>
      <c r="I384" s="10" t="s">
        <v>11</v>
      </c>
    </row>
    <row r="385" spans="1:9" ht="15" hidden="1" customHeight="1" x14ac:dyDescent="0.25">
      <c r="A385" s="7" t="s">
        <v>1092</v>
      </c>
      <c r="B385" s="47" t="str">
        <f t="shared" si="5"/>
        <v>INSTRUMENT_DSTI</v>
      </c>
      <c r="C385" s="8" t="s">
        <v>414</v>
      </c>
      <c r="D385" s="9" t="s">
        <v>1093</v>
      </c>
      <c r="E385" s="33" t="s">
        <v>1094</v>
      </c>
      <c r="F385" s="10" t="s">
        <v>13</v>
      </c>
      <c r="G385" s="10" t="s">
        <v>11</v>
      </c>
      <c r="H385" s="10" t="s">
        <v>11</v>
      </c>
      <c r="I385" s="10" t="s">
        <v>11</v>
      </c>
    </row>
    <row r="386" spans="1:9" ht="15" hidden="1" customHeight="1" x14ac:dyDescent="0.25">
      <c r="A386" s="7" t="s">
        <v>1095</v>
      </c>
      <c r="B386" s="47" t="str">
        <f t="shared" si="5"/>
        <v>INSTRUMENT_LTI_INSTRMNT</v>
      </c>
      <c r="C386" s="8" t="s">
        <v>414</v>
      </c>
      <c r="D386" s="9" t="s">
        <v>1096</v>
      </c>
      <c r="E386" s="14" t="s">
        <v>207</v>
      </c>
      <c r="F386" s="10" t="s">
        <v>13</v>
      </c>
      <c r="G386" s="10" t="s">
        <v>11</v>
      </c>
      <c r="H386" s="10" t="s">
        <v>11</v>
      </c>
      <c r="I386" s="10" t="s">
        <v>11</v>
      </c>
    </row>
    <row r="387" spans="1:9" ht="15" hidden="1" customHeight="1" x14ac:dyDescent="0.25">
      <c r="A387" s="7" t="s">
        <v>1097</v>
      </c>
      <c r="B387" s="47" t="str">
        <f t="shared" ref="B387:B450" si="6">C387&amp;"_"&amp;D387</f>
        <v>INSTRUMENT_SSTNBL_CTGRY_TXNMY</v>
      </c>
      <c r="C387" s="8" t="s">
        <v>414</v>
      </c>
      <c r="D387" s="9" t="s">
        <v>1098</v>
      </c>
      <c r="E387" s="32" t="s">
        <v>1099</v>
      </c>
      <c r="F387" s="10" t="s">
        <v>11</v>
      </c>
      <c r="G387" s="10" t="s">
        <v>11</v>
      </c>
      <c r="H387" s="10" t="s">
        <v>13</v>
      </c>
      <c r="I387" s="10" t="s">
        <v>11</v>
      </c>
    </row>
    <row r="388" spans="1:9" ht="15" hidden="1" customHeight="1" x14ac:dyDescent="0.25">
      <c r="A388" s="40" t="s">
        <v>1330</v>
      </c>
      <c r="B388" s="47" t="str">
        <f t="shared" si="6"/>
        <v>INSTRUMENT_INTRST_RT_CP</v>
      </c>
      <c r="C388" s="8" t="s">
        <v>414</v>
      </c>
      <c r="D388" s="41" t="s">
        <v>1331</v>
      </c>
      <c r="E388" s="32" t="s">
        <v>1332</v>
      </c>
      <c r="F388" s="10" t="s">
        <v>13</v>
      </c>
      <c r="G388" s="10" t="s">
        <v>11</v>
      </c>
      <c r="H388" s="10" t="s">
        <v>11</v>
      </c>
      <c r="I388" s="10" t="s">
        <v>11</v>
      </c>
    </row>
    <row r="389" spans="1:9" ht="15" hidden="1" customHeight="1" x14ac:dyDescent="0.25">
      <c r="A389" s="40" t="s">
        <v>1333</v>
      </c>
      <c r="B389" s="47" t="str">
        <f t="shared" si="6"/>
        <v>INSTRUMENT_INTRST_RT_FLR</v>
      </c>
      <c r="C389" s="8" t="s">
        <v>414</v>
      </c>
      <c r="D389" s="41" t="s">
        <v>1334</v>
      </c>
      <c r="E389" s="33" t="s">
        <v>1335</v>
      </c>
      <c r="F389" s="10" t="s">
        <v>13</v>
      </c>
      <c r="G389" s="10" t="s">
        <v>11</v>
      </c>
      <c r="H389" s="10" t="s">
        <v>11</v>
      </c>
      <c r="I389" s="10" t="s">
        <v>11</v>
      </c>
    </row>
    <row r="390" spans="1:9" ht="15" hidden="1" customHeight="1" x14ac:dyDescent="0.25">
      <c r="A390" s="40" t="s">
        <v>1336</v>
      </c>
      <c r="B390" s="47" t="str">
        <f t="shared" si="6"/>
        <v>INSTRUMENT_NMNL_INTRST_RT_FEE</v>
      </c>
      <c r="C390" s="8" t="s">
        <v>414</v>
      </c>
      <c r="D390" s="41" t="s">
        <v>1337</v>
      </c>
      <c r="E390" s="32" t="s">
        <v>1338</v>
      </c>
      <c r="F390" s="10" t="s">
        <v>13</v>
      </c>
      <c r="G390" s="10" t="s">
        <v>11</v>
      </c>
      <c r="H390" s="10" t="s">
        <v>11</v>
      </c>
      <c r="I390" s="10" t="s">
        <v>11</v>
      </c>
    </row>
    <row r="391" spans="1:9" ht="15" hidden="1" customHeight="1" x14ac:dyDescent="0.25">
      <c r="A391" s="40" t="s">
        <v>1339</v>
      </c>
      <c r="B391" s="47" t="str">
        <f t="shared" si="6"/>
        <v>INSTRUMENT_RFRNC_RT</v>
      </c>
      <c r="C391" s="8" t="s">
        <v>414</v>
      </c>
      <c r="D391" s="41" t="s">
        <v>918</v>
      </c>
      <c r="E391" s="33" t="s">
        <v>1340</v>
      </c>
      <c r="F391" s="10" t="s">
        <v>13</v>
      </c>
      <c r="G391" s="10" t="s">
        <v>11</v>
      </c>
      <c r="H391" s="10" t="s">
        <v>11</v>
      </c>
      <c r="I391" s="10" t="s">
        <v>11</v>
      </c>
    </row>
    <row r="392" spans="1:9" ht="15" hidden="1" customHeight="1" x14ac:dyDescent="0.25">
      <c r="A392" s="40" t="s">
        <v>1341</v>
      </c>
      <c r="B392" s="47" t="str">
        <f t="shared" si="6"/>
        <v>INSTRUMENT_DT_STTLMNT</v>
      </c>
      <c r="C392" s="8" t="s">
        <v>414</v>
      </c>
      <c r="D392" s="41" t="s">
        <v>1342</v>
      </c>
      <c r="E392" s="32" t="s">
        <v>1343</v>
      </c>
      <c r="F392" s="10" t="s">
        <v>13</v>
      </c>
      <c r="G392" s="10" t="s">
        <v>11</v>
      </c>
      <c r="H392" s="10" t="s">
        <v>11</v>
      </c>
      <c r="I392" s="10" t="s">
        <v>11</v>
      </c>
    </row>
    <row r="393" spans="1:9" ht="15" hidden="1" customHeight="1" x14ac:dyDescent="0.25">
      <c r="A393" s="40" t="s">
        <v>1344</v>
      </c>
      <c r="B393" s="47" t="str">
        <f t="shared" si="6"/>
        <v>INSTRUMENT_TRNSFRRD_AMNT</v>
      </c>
      <c r="C393" s="8" t="s">
        <v>414</v>
      </c>
      <c r="D393" s="41" t="s">
        <v>1345</v>
      </c>
      <c r="E393" s="32" t="s">
        <v>1346</v>
      </c>
      <c r="F393" s="10" t="s">
        <v>13</v>
      </c>
      <c r="G393" s="10" t="s">
        <v>11</v>
      </c>
      <c r="H393" s="10" t="s">
        <v>11</v>
      </c>
      <c r="I393" s="10" t="s">
        <v>11</v>
      </c>
    </row>
    <row r="394" spans="1:9" ht="15" hidden="1" customHeight="1" x14ac:dyDescent="0.25">
      <c r="A394" s="40" t="s">
        <v>1347</v>
      </c>
      <c r="B394" s="47" t="str">
        <f t="shared" si="6"/>
        <v>INSTRUMENT_TYP_SCRTZTN</v>
      </c>
      <c r="C394" s="8" t="s">
        <v>414</v>
      </c>
      <c r="D394" s="41" t="s">
        <v>1348</v>
      </c>
      <c r="E394" s="33" t="s">
        <v>1349</v>
      </c>
      <c r="F394" s="10" t="s">
        <v>13</v>
      </c>
      <c r="G394" s="10" t="s">
        <v>11</v>
      </c>
      <c r="H394" s="10" t="s">
        <v>11</v>
      </c>
      <c r="I394" s="10" t="s">
        <v>11</v>
      </c>
    </row>
    <row r="395" spans="1:9" ht="15" hidden="1" customHeight="1" x14ac:dyDescent="0.25">
      <c r="A395" s="40" t="s">
        <v>1350</v>
      </c>
      <c r="B395" s="47" t="str">
        <f t="shared" si="6"/>
        <v>INSTRUMENT_TYP_OFF_BLNC_PRDCT</v>
      </c>
      <c r="C395" s="8" t="s">
        <v>414</v>
      </c>
      <c r="D395" s="41" t="s">
        <v>1351</v>
      </c>
      <c r="E395" s="32" t="s">
        <v>1352</v>
      </c>
      <c r="F395" s="10" t="s">
        <v>13</v>
      </c>
      <c r="G395" s="10" t="s">
        <v>11</v>
      </c>
      <c r="H395" s="10" t="s">
        <v>11</v>
      </c>
      <c r="I395" s="10" t="s">
        <v>11</v>
      </c>
    </row>
    <row r="396" spans="1:9" ht="15" hidden="1" customHeight="1" x14ac:dyDescent="0.25">
      <c r="A396" s="40" t="s">
        <v>1353</v>
      </c>
      <c r="B396" s="47" t="str">
        <f t="shared" si="6"/>
        <v>INSTRUMENT_BLNC_SHT_RCGNTN</v>
      </c>
      <c r="C396" s="8" t="s">
        <v>414</v>
      </c>
      <c r="D396" s="41" t="s">
        <v>1354</v>
      </c>
      <c r="E396" s="33" t="s">
        <v>1355</v>
      </c>
      <c r="F396" s="10" t="s">
        <v>13</v>
      </c>
      <c r="G396" s="10" t="s">
        <v>11</v>
      </c>
      <c r="H396" s="10" t="s">
        <v>11</v>
      </c>
      <c r="I396" s="10" t="s">
        <v>11</v>
      </c>
    </row>
    <row r="397" spans="1:9" ht="15" hidden="1" customHeight="1" x14ac:dyDescent="0.25">
      <c r="A397" s="40" t="s">
        <v>1356</v>
      </c>
      <c r="B397" s="47" t="str">
        <f t="shared" si="6"/>
        <v>INSTRUMENT_FLG_DFLT</v>
      </c>
      <c r="C397" s="8" t="s">
        <v>414</v>
      </c>
      <c r="D397" s="41" t="s">
        <v>1357</v>
      </c>
      <c r="E397" s="32" t="s">
        <v>1358</v>
      </c>
      <c r="F397" s="10" t="s">
        <v>13</v>
      </c>
      <c r="G397" s="10" t="s">
        <v>11</v>
      </c>
      <c r="H397" s="10" t="s">
        <v>11</v>
      </c>
      <c r="I397" s="10" t="s">
        <v>11</v>
      </c>
    </row>
    <row r="398" spans="1:9" ht="15" hidden="1" customHeight="1" x14ac:dyDescent="0.25">
      <c r="A398" s="40" t="s">
        <v>1359</v>
      </c>
      <c r="B398" s="47" t="str">
        <f t="shared" si="6"/>
        <v>INSTRUMENT_FLG_HGH_RSK</v>
      </c>
      <c r="C398" s="8" t="s">
        <v>414</v>
      </c>
      <c r="D398" s="41" t="s">
        <v>1360</v>
      </c>
      <c r="E398" s="32" t="s">
        <v>1361</v>
      </c>
      <c r="F398" s="10" t="s">
        <v>13</v>
      </c>
      <c r="G398" s="10" t="s">
        <v>11</v>
      </c>
      <c r="H398" s="10" t="s">
        <v>11</v>
      </c>
      <c r="I398" s="10" t="s">
        <v>11</v>
      </c>
    </row>
    <row r="399" spans="1:9" ht="15" hidden="1" customHeight="1" x14ac:dyDescent="0.25">
      <c r="A399" s="40" t="s">
        <v>1362</v>
      </c>
      <c r="B399" s="47" t="str">
        <f t="shared" si="6"/>
        <v>INSTRUMENT_EXCLDD_LF</v>
      </c>
      <c r="C399" s="8" t="s">
        <v>414</v>
      </c>
      <c r="D399" s="41" t="s">
        <v>1363</v>
      </c>
      <c r="E399" s="32" t="s">
        <v>1364</v>
      </c>
      <c r="F399" s="10" t="s">
        <v>13</v>
      </c>
      <c r="G399" s="10" t="s">
        <v>11</v>
      </c>
      <c r="H399" s="10" t="s">
        <v>11</v>
      </c>
      <c r="I399" s="10" t="s">
        <v>11</v>
      </c>
    </row>
    <row r="400" spans="1:9" ht="15" hidden="1" customHeight="1" x14ac:dyDescent="0.25">
      <c r="A400" s="40" t="s">
        <v>1365</v>
      </c>
      <c r="B400" s="47" t="str">
        <f t="shared" si="6"/>
        <v>INSTRUMENT_RWA_MTGTN</v>
      </c>
      <c r="C400" s="8" t="s">
        <v>414</v>
      </c>
      <c r="D400" s="41" t="s">
        <v>1366</v>
      </c>
      <c r="E400" s="32" t="s">
        <v>1367</v>
      </c>
      <c r="F400" s="10" t="s">
        <v>13</v>
      </c>
      <c r="G400" s="10" t="s">
        <v>11</v>
      </c>
      <c r="H400" s="10" t="s">
        <v>11</v>
      </c>
      <c r="I400" s="10" t="s">
        <v>11</v>
      </c>
    </row>
    <row r="401" spans="1:9" ht="15" hidden="1" customHeight="1" x14ac:dyDescent="0.25">
      <c r="A401" s="40" t="s">
        <v>1368</v>
      </c>
      <c r="B401" s="47" t="str">
        <f t="shared" si="6"/>
        <v>INSTRUMENT_RWA_PRMTGTN</v>
      </c>
      <c r="C401" s="8" t="s">
        <v>414</v>
      </c>
      <c r="D401" s="41" t="s">
        <v>1369</v>
      </c>
      <c r="E401" s="32" t="s">
        <v>1370</v>
      </c>
      <c r="F401" s="10" t="s">
        <v>13</v>
      </c>
      <c r="G401" s="10" t="s">
        <v>11</v>
      </c>
      <c r="H401" s="10" t="s">
        <v>11</v>
      </c>
      <c r="I401" s="10" t="s">
        <v>11</v>
      </c>
    </row>
    <row r="402" spans="1:9" ht="15" hidden="1" customHeight="1" x14ac:dyDescent="0.25">
      <c r="A402" s="40" t="s">
        <v>1371</v>
      </c>
      <c r="B402" s="47" t="str">
        <f t="shared" si="6"/>
        <v>INSTRUMENT_US_PRCDS</v>
      </c>
      <c r="C402" s="8" t="s">
        <v>414</v>
      </c>
      <c r="D402" s="41" t="s">
        <v>1372</v>
      </c>
      <c r="E402" s="32" t="s">
        <v>1373</v>
      </c>
      <c r="F402" s="10" t="s">
        <v>13</v>
      </c>
      <c r="G402" s="10" t="s">
        <v>11</v>
      </c>
      <c r="H402" s="10" t="s">
        <v>11</v>
      </c>
      <c r="I402" s="10" t="s">
        <v>11</v>
      </c>
    </row>
    <row r="403" spans="1:9" ht="15" hidden="1" customHeight="1" x14ac:dyDescent="0.25">
      <c r="A403" s="40" t="s">
        <v>1374</v>
      </c>
      <c r="B403" s="47" t="str">
        <f t="shared" si="6"/>
        <v>INSTRUMENT_TTL_LVRG_RT_INCPTN</v>
      </c>
      <c r="C403" s="8" t="s">
        <v>414</v>
      </c>
      <c r="D403" s="41" t="s">
        <v>1375</v>
      </c>
      <c r="E403" s="32" t="s">
        <v>1376</v>
      </c>
      <c r="F403" s="10" t="s">
        <v>13</v>
      </c>
      <c r="G403" s="10" t="s">
        <v>11</v>
      </c>
      <c r="H403" s="10" t="s">
        <v>11</v>
      </c>
      <c r="I403" s="10" t="s">
        <v>11</v>
      </c>
    </row>
    <row r="404" spans="1:9" ht="15" hidden="1" customHeight="1" x14ac:dyDescent="0.25">
      <c r="A404" s="40" t="s">
        <v>1377</v>
      </c>
      <c r="B404" s="47" t="str">
        <f t="shared" si="6"/>
        <v>INSTRUMENT_TYP_FCLTY</v>
      </c>
      <c r="C404" s="8" t="s">
        <v>414</v>
      </c>
      <c r="D404" s="41" t="s">
        <v>1378</v>
      </c>
      <c r="E404" s="32" t="s">
        <v>1379</v>
      </c>
      <c r="F404" s="10" t="s">
        <v>13</v>
      </c>
      <c r="G404" s="10" t="s">
        <v>11</v>
      </c>
      <c r="H404" s="10" t="s">
        <v>11</v>
      </c>
      <c r="I404" s="10" t="s">
        <v>11</v>
      </c>
    </row>
    <row r="405" spans="1:9" ht="15" hidden="1" customHeight="1" x14ac:dyDescent="0.25">
      <c r="A405" s="40" t="s">
        <v>1380</v>
      </c>
      <c r="B405" s="47" t="str">
        <f t="shared" si="6"/>
        <v>INSTRUMENT_TYP_CL</v>
      </c>
      <c r="C405" s="8" t="s">
        <v>414</v>
      </c>
      <c r="D405" s="41" t="s">
        <v>1381</v>
      </c>
      <c r="E405" s="32" t="s">
        <v>1382</v>
      </c>
      <c r="F405" s="10" t="s">
        <v>13</v>
      </c>
      <c r="G405" s="10" t="s">
        <v>11</v>
      </c>
      <c r="H405" s="10" t="s">
        <v>11</v>
      </c>
      <c r="I405" s="10" t="s">
        <v>11</v>
      </c>
    </row>
    <row r="406" spans="1:9" ht="15" hidden="1" customHeight="1" x14ac:dyDescent="0.25">
      <c r="A406" s="7" t="s">
        <v>1100</v>
      </c>
      <c r="B406" s="47" t="str">
        <f t="shared" si="6"/>
        <v>INSTR_PROTECTION_COD_SOC</v>
      </c>
      <c r="C406" s="8" t="s">
        <v>1101</v>
      </c>
      <c r="D406" s="9" t="s">
        <v>12</v>
      </c>
      <c r="E406" s="14" t="s">
        <v>14</v>
      </c>
      <c r="F406" s="10" t="s">
        <v>13</v>
      </c>
      <c r="G406" s="10" t="s">
        <v>11</v>
      </c>
      <c r="H406" s="10" t="s">
        <v>13</v>
      </c>
      <c r="I406" s="10" t="s">
        <v>11</v>
      </c>
    </row>
    <row r="407" spans="1:9" ht="15" hidden="1" customHeight="1" x14ac:dyDescent="0.25">
      <c r="A407" s="7" t="s">
        <v>1102</v>
      </c>
      <c r="B407" s="47" t="str">
        <f t="shared" si="6"/>
        <v>INSTR_PROTECTION_DT_RFRNC</v>
      </c>
      <c r="C407" s="8" t="s">
        <v>1101</v>
      </c>
      <c r="D407" s="9" t="s">
        <v>38</v>
      </c>
      <c r="E407" s="14" t="s">
        <v>402</v>
      </c>
      <c r="F407" s="10" t="s">
        <v>13</v>
      </c>
      <c r="G407" s="10" t="s">
        <v>11</v>
      </c>
      <c r="H407" s="10" t="s">
        <v>13</v>
      </c>
      <c r="I407" s="10" t="s">
        <v>11</v>
      </c>
    </row>
    <row r="408" spans="1:9" ht="15" hidden="1" customHeight="1" x14ac:dyDescent="0.25">
      <c r="A408" s="7" t="s">
        <v>1103</v>
      </c>
      <c r="B408" s="47" t="str">
        <f t="shared" si="6"/>
        <v>INSTR_PROTECTION_INSTRMNT_ID</v>
      </c>
      <c r="C408" s="8" t="s">
        <v>1101</v>
      </c>
      <c r="D408" s="9" t="s">
        <v>405</v>
      </c>
      <c r="E408" s="14" t="s">
        <v>406</v>
      </c>
      <c r="F408" s="10" t="s">
        <v>13</v>
      </c>
      <c r="G408" s="10" t="s">
        <v>11</v>
      </c>
      <c r="H408" s="10" t="s">
        <v>13</v>
      </c>
      <c r="I408" s="10" t="s">
        <v>11</v>
      </c>
    </row>
    <row r="409" spans="1:9" ht="15" hidden="1" customHeight="1" x14ac:dyDescent="0.25">
      <c r="A409" s="7" t="s">
        <v>1104</v>
      </c>
      <c r="B409" s="47" t="str">
        <f t="shared" si="6"/>
        <v>INSTR_PROTECTION_PRTCTN_ID</v>
      </c>
      <c r="C409" s="8" t="s">
        <v>1101</v>
      </c>
      <c r="D409" s="9" t="s">
        <v>1105</v>
      </c>
      <c r="E409" s="14" t="s">
        <v>1106</v>
      </c>
      <c r="F409" s="10" t="s">
        <v>13</v>
      </c>
      <c r="G409" s="10" t="s">
        <v>11</v>
      </c>
      <c r="H409" s="10" t="s">
        <v>13</v>
      </c>
      <c r="I409" s="10" t="s">
        <v>11</v>
      </c>
    </row>
    <row r="410" spans="1:9" ht="15" hidden="1" customHeight="1" x14ac:dyDescent="0.25">
      <c r="A410" s="7" t="s">
        <v>1107</v>
      </c>
      <c r="B410" s="47" t="str">
        <f t="shared" si="6"/>
        <v>INSTR_PROTECTION_PRTCTN_ALLCTD_VL</v>
      </c>
      <c r="C410" s="8" t="s">
        <v>1101</v>
      </c>
      <c r="D410" s="9" t="s">
        <v>1108</v>
      </c>
      <c r="E410" s="14" t="s">
        <v>1109</v>
      </c>
      <c r="F410" s="10" t="s">
        <v>13</v>
      </c>
      <c r="G410" s="10" t="s">
        <v>11</v>
      </c>
      <c r="H410" s="10" t="s">
        <v>13</v>
      </c>
      <c r="I410" s="10" t="s">
        <v>11</v>
      </c>
    </row>
    <row r="411" spans="1:9" ht="15" hidden="1" customHeight="1" x14ac:dyDescent="0.25">
      <c r="A411" s="7" t="s">
        <v>1110</v>
      </c>
      <c r="B411" s="47" t="str">
        <f t="shared" si="6"/>
        <v>INSTR_PROTECTION_THRD_PRTY_PRRTY_CLMS</v>
      </c>
      <c r="C411" s="8" t="s">
        <v>1101</v>
      </c>
      <c r="D411" s="9" t="s">
        <v>1111</v>
      </c>
      <c r="E411" s="14" t="s">
        <v>1112</v>
      </c>
      <c r="F411" s="10" t="s">
        <v>13</v>
      </c>
      <c r="G411" s="10" t="s">
        <v>11</v>
      </c>
      <c r="H411" s="10" t="s">
        <v>11</v>
      </c>
      <c r="I411" s="10" t="s">
        <v>11</v>
      </c>
    </row>
    <row r="412" spans="1:9" ht="15" hidden="1" customHeight="1" x14ac:dyDescent="0.25">
      <c r="A412" s="40" t="s">
        <v>1383</v>
      </c>
      <c r="B412" s="47" t="str">
        <f t="shared" si="6"/>
        <v>INSTR_PROTECTION_TYP_RLTN</v>
      </c>
      <c r="C412" s="8" t="s">
        <v>1101</v>
      </c>
      <c r="D412" s="45" t="s">
        <v>1384</v>
      </c>
      <c r="E412" s="14" t="s">
        <v>1385</v>
      </c>
      <c r="F412" s="10" t="s">
        <v>11</v>
      </c>
      <c r="G412" s="10" t="s">
        <v>11</v>
      </c>
      <c r="H412" s="10" t="s">
        <v>13</v>
      </c>
      <c r="I412" s="10" t="s">
        <v>11</v>
      </c>
    </row>
    <row r="413" spans="1:9" ht="15" hidden="1" customHeight="1" x14ac:dyDescent="0.25">
      <c r="A413" s="7" t="s">
        <v>1113</v>
      </c>
      <c r="B413" s="47" t="str">
        <f t="shared" si="6"/>
        <v>PROTECTION_COD_SOC</v>
      </c>
      <c r="C413" s="8" t="s">
        <v>1114</v>
      </c>
      <c r="D413" s="19" t="s">
        <v>12</v>
      </c>
      <c r="E413" s="14" t="s">
        <v>14</v>
      </c>
      <c r="F413" s="10" t="s">
        <v>13</v>
      </c>
      <c r="G413" s="10" t="s">
        <v>11</v>
      </c>
      <c r="H413" s="10" t="s">
        <v>13</v>
      </c>
      <c r="I413" s="10" t="s">
        <v>13</v>
      </c>
    </row>
    <row r="414" spans="1:9" ht="15" hidden="1" customHeight="1" x14ac:dyDescent="0.25">
      <c r="A414" s="7" t="s">
        <v>1115</v>
      </c>
      <c r="B414" s="47" t="str">
        <f t="shared" si="6"/>
        <v>PROTECTION_DT_MTRTY_PRTCTN</v>
      </c>
      <c r="C414" s="8" t="s">
        <v>1114</v>
      </c>
      <c r="D414" s="9" t="s">
        <v>1116</v>
      </c>
      <c r="E414" s="14" t="s">
        <v>1117</v>
      </c>
      <c r="F414" s="10" t="s">
        <v>13</v>
      </c>
      <c r="G414" s="10" t="s">
        <v>11</v>
      </c>
      <c r="H414" s="10" t="s">
        <v>11</v>
      </c>
      <c r="I414" s="10" t="s">
        <v>11</v>
      </c>
    </row>
    <row r="415" spans="1:9" ht="15" hidden="1" customHeight="1" x14ac:dyDescent="0.25">
      <c r="A415" s="7" t="s">
        <v>1118</v>
      </c>
      <c r="B415" s="47" t="str">
        <f t="shared" si="6"/>
        <v>PROTECTION_DT_RFRNC</v>
      </c>
      <c r="C415" s="8" t="s">
        <v>1114</v>
      </c>
      <c r="D415" s="9" t="s">
        <v>38</v>
      </c>
      <c r="E415" s="14" t="s">
        <v>402</v>
      </c>
      <c r="F415" s="10" t="s">
        <v>13</v>
      </c>
      <c r="G415" s="10" t="s">
        <v>11</v>
      </c>
      <c r="H415" s="10" t="s">
        <v>13</v>
      </c>
      <c r="I415" s="10" t="s">
        <v>13</v>
      </c>
    </row>
    <row r="416" spans="1:9" ht="15" hidden="1" customHeight="1" x14ac:dyDescent="0.25">
      <c r="A416" s="7" t="s">
        <v>1119</v>
      </c>
      <c r="B416" s="47" t="str">
        <f t="shared" si="6"/>
        <v>PROTECTION_NTNL_ID</v>
      </c>
      <c r="C416" s="8" t="s">
        <v>1114</v>
      </c>
      <c r="D416" s="9" t="s">
        <v>1120</v>
      </c>
      <c r="E416" s="14" t="s">
        <v>1121</v>
      </c>
      <c r="F416" s="10" t="s">
        <v>13</v>
      </c>
      <c r="G416" s="10" t="s">
        <v>11</v>
      </c>
      <c r="H416" s="10" t="s">
        <v>11</v>
      </c>
      <c r="I416" s="10" t="s">
        <v>11</v>
      </c>
    </row>
    <row r="417" spans="1:9" ht="15" hidden="1" customHeight="1" x14ac:dyDescent="0.25">
      <c r="A417" s="7" t="s">
        <v>1122</v>
      </c>
      <c r="B417" s="47" t="str">
        <f t="shared" si="6"/>
        <v>PROTECTION_PRTCTN_ID</v>
      </c>
      <c r="C417" s="8" t="s">
        <v>1114</v>
      </c>
      <c r="D417" s="9" t="s">
        <v>1105</v>
      </c>
      <c r="E417" s="14" t="s">
        <v>1106</v>
      </c>
      <c r="F417" s="10" t="s">
        <v>13</v>
      </c>
      <c r="G417" s="10" t="s">
        <v>11</v>
      </c>
      <c r="H417" s="10" t="s">
        <v>13</v>
      </c>
      <c r="I417" s="10" t="s">
        <v>13</v>
      </c>
    </row>
    <row r="418" spans="1:9" ht="15" hidden="1" customHeight="1" x14ac:dyDescent="0.25">
      <c r="A418" s="7" t="s">
        <v>1123</v>
      </c>
      <c r="B418" s="47" t="str">
        <f t="shared" si="6"/>
        <v>PROTECTION_PRTCTN_PRVDR_ID</v>
      </c>
      <c r="C418" s="8" t="s">
        <v>1114</v>
      </c>
      <c r="D418" s="9" t="s">
        <v>1124</v>
      </c>
      <c r="E418" s="14" t="s">
        <v>1125</v>
      </c>
      <c r="F418" s="10" t="s">
        <v>13</v>
      </c>
      <c r="G418" s="10" t="s">
        <v>11</v>
      </c>
      <c r="H418" s="10" t="s">
        <v>11</v>
      </c>
      <c r="I418" s="10" t="s">
        <v>11</v>
      </c>
    </row>
    <row r="419" spans="1:9" ht="13.8" hidden="1" x14ac:dyDescent="0.25">
      <c r="A419" s="7" t="s">
        <v>1126</v>
      </c>
      <c r="B419" s="47" t="str">
        <f t="shared" si="6"/>
        <v>PROTECTION_RL_ESTT_ADDRSS</v>
      </c>
      <c r="C419" s="8" t="s">
        <v>1114</v>
      </c>
      <c r="D419" s="9" t="s">
        <v>1127</v>
      </c>
      <c r="E419" s="14" t="s">
        <v>1128</v>
      </c>
      <c r="F419" s="10" t="s">
        <v>13</v>
      </c>
      <c r="G419" s="10" t="s">
        <v>11</v>
      </c>
      <c r="H419" s="10" t="s">
        <v>11</v>
      </c>
      <c r="I419" s="10" t="s">
        <v>13</v>
      </c>
    </row>
    <row r="420" spans="1:9" ht="15" hidden="1" customHeight="1" x14ac:dyDescent="0.25">
      <c r="A420" s="7" t="s">
        <v>1129</v>
      </c>
      <c r="B420" s="47" t="str">
        <f t="shared" si="6"/>
        <v>PROTECTION_RL_ESTT_CLLTRL_LCTN</v>
      </c>
      <c r="C420" s="8" t="s">
        <v>1114</v>
      </c>
      <c r="D420" s="9" t="s">
        <v>1130</v>
      </c>
      <c r="E420" s="14" t="s">
        <v>1131</v>
      </c>
      <c r="F420" s="10" t="s">
        <v>13</v>
      </c>
      <c r="G420" s="10" t="s">
        <v>11</v>
      </c>
      <c r="H420" s="10" t="s">
        <v>13</v>
      </c>
      <c r="I420" s="10" t="s">
        <v>13</v>
      </c>
    </row>
    <row r="421" spans="1:9" ht="15" hidden="1" customHeight="1" x14ac:dyDescent="0.25">
      <c r="A421" s="7" t="s">
        <v>1132</v>
      </c>
      <c r="B421" s="47" t="str">
        <f t="shared" si="6"/>
        <v>PROTECTION_RL_ESTT_CLLTRL_LCTN_INT</v>
      </c>
      <c r="C421" s="8" t="s">
        <v>1114</v>
      </c>
      <c r="D421" s="9" t="s">
        <v>1133</v>
      </c>
      <c r="E421" s="14" t="s">
        <v>1134</v>
      </c>
      <c r="F421" s="10" t="s">
        <v>13</v>
      </c>
      <c r="G421" s="10" t="s">
        <v>11</v>
      </c>
      <c r="H421" s="10" t="s">
        <v>11</v>
      </c>
      <c r="I421" s="10" t="s">
        <v>13</v>
      </c>
    </row>
    <row r="422" spans="1:9" ht="15" hidden="1" customHeight="1" x14ac:dyDescent="0.25">
      <c r="A422" s="7" t="s">
        <v>1135</v>
      </c>
      <c r="B422" s="47" t="str">
        <f t="shared" si="6"/>
        <v>PROTECTION_RL_ESTT_CTY</v>
      </c>
      <c r="C422" s="8" t="s">
        <v>1114</v>
      </c>
      <c r="D422" s="9" t="s">
        <v>1136</v>
      </c>
      <c r="E422" s="14" t="s">
        <v>1137</v>
      </c>
      <c r="F422" s="10" t="s">
        <v>13</v>
      </c>
      <c r="G422" s="10" t="s">
        <v>11</v>
      </c>
      <c r="H422" s="10" t="s">
        <v>11</v>
      </c>
      <c r="I422" s="10" t="s">
        <v>13</v>
      </c>
    </row>
    <row r="423" spans="1:9" ht="15" hidden="1" customHeight="1" x14ac:dyDescent="0.25">
      <c r="A423" s="7" t="s">
        <v>1138</v>
      </c>
      <c r="B423" s="47" t="str">
        <f t="shared" si="6"/>
        <v>PROTECTION_RL_ESTT_PST_CD</v>
      </c>
      <c r="C423" s="8" t="s">
        <v>1114</v>
      </c>
      <c r="D423" s="9" t="s">
        <v>1139</v>
      </c>
      <c r="E423" s="14" t="s">
        <v>288</v>
      </c>
      <c r="F423" s="10" t="s">
        <v>13</v>
      </c>
      <c r="G423" s="10" t="s">
        <v>11</v>
      </c>
      <c r="H423" s="10" t="s">
        <v>13</v>
      </c>
      <c r="I423" s="10" t="s">
        <v>13</v>
      </c>
    </row>
    <row r="424" spans="1:9" ht="15" hidden="1" customHeight="1" x14ac:dyDescent="0.25">
      <c r="A424" s="7" t="s">
        <v>1140</v>
      </c>
      <c r="B424" s="47" t="str">
        <f t="shared" si="6"/>
        <v>PROTECTION_HRCT_MV</v>
      </c>
      <c r="C424" s="8" t="s">
        <v>1114</v>
      </c>
      <c r="D424" s="9" t="s">
        <v>1141</v>
      </c>
      <c r="E424" s="14" t="s">
        <v>1142</v>
      </c>
      <c r="F424" s="10" t="s">
        <v>13</v>
      </c>
      <c r="G424" s="10" t="s">
        <v>11</v>
      </c>
      <c r="H424" s="10" t="s">
        <v>11</v>
      </c>
      <c r="I424" s="10" t="s">
        <v>11</v>
      </c>
    </row>
    <row r="425" spans="1:9" s="20" customFormat="1" ht="15" hidden="1" customHeight="1" x14ac:dyDescent="0.25">
      <c r="A425" s="7" t="s">
        <v>1143</v>
      </c>
      <c r="B425" s="47" t="str">
        <f t="shared" si="6"/>
        <v>PROTECTION_PRTCTN_CLLD</v>
      </c>
      <c r="C425" s="8" t="s">
        <v>1114</v>
      </c>
      <c r="D425" s="9" t="s">
        <v>1144</v>
      </c>
      <c r="E425" s="14" t="s">
        <v>1145</v>
      </c>
      <c r="F425" s="10" t="s">
        <v>13</v>
      </c>
      <c r="G425" s="10" t="s">
        <v>11</v>
      </c>
      <c r="H425" s="10" t="s">
        <v>11</v>
      </c>
      <c r="I425" s="10" t="s">
        <v>11</v>
      </c>
    </row>
    <row r="426" spans="1:9" ht="15" hidden="1" customHeight="1" x14ac:dyDescent="0.25">
      <c r="A426" s="21" t="s">
        <v>1146</v>
      </c>
      <c r="B426" s="47" t="str">
        <f t="shared" si="6"/>
        <v>PROTECTION_TYP_PRTCTN</v>
      </c>
      <c r="C426" s="8" t="s">
        <v>1114</v>
      </c>
      <c r="D426" s="22" t="s">
        <v>1147</v>
      </c>
      <c r="E426" s="28" t="s">
        <v>1148</v>
      </c>
      <c r="F426" s="10" t="s">
        <v>13</v>
      </c>
      <c r="G426" s="10" t="s">
        <v>11</v>
      </c>
      <c r="H426" s="10" t="s">
        <v>13</v>
      </c>
      <c r="I426" s="10" t="s">
        <v>13</v>
      </c>
    </row>
    <row r="427" spans="1:9" ht="15" hidden="1" customHeight="1" x14ac:dyDescent="0.25">
      <c r="A427" s="7" t="s">
        <v>1149</v>
      </c>
      <c r="B427" s="47" t="str">
        <f t="shared" si="6"/>
        <v>PROTECTION_TYP_PRTCTN_INTRNL</v>
      </c>
      <c r="C427" s="8" t="s">
        <v>1114</v>
      </c>
      <c r="D427" s="9" t="s">
        <v>1150</v>
      </c>
      <c r="E427" s="14" t="s">
        <v>1151</v>
      </c>
      <c r="F427" s="10" t="s">
        <v>13</v>
      </c>
      <c r="G427" s="10" t="s">
        <v>11</v>
      </c>
      <c r="H427" s="10" t="s">
        <v>11</v>
      </c>
      <c r="I427" s="10" t="s">
        <v>11</v>
      </c>
    </row>
    <row r="428" spans="1:9" ht="15" hidden="1" customHeight="1" x14ac:dyDescent="0.25">
      <c r="A428" s="7" t="s">
        <v>1152</v>
      </c>
      <c r="B428" s="47" t="str">
        <f t="shared" si="6"/>
        <v>PROTECTION_TYP_PRTCTN_VL</v>
      </c>
      <c r="C428" s="8" t="s">
        <v>1114</v>
      </c>
      <c r="D428" s="9" t="s">
        <v>1153</v>
      </c>
      <c r="E428" s="14" t="s">
        <v>1154</v>
      </c>
      <c r="F428" s="10" t="s">
        <v>13</v>
      </c>
      <c r="G428" s="10" t="s">
        <v>11</v>
      </c>
      <c r="H428" s="10" t="s">
        <v>11</v>
      </c>
      <c r="I428" s="10" t="s">
        <v>11</v>
      </c>
    </row>
    <row r="429" spans="1:9" ht="15" hidden="1" customHeight="1" x14ac:dyDescent="0.25">
      <c r="A429" s="7" t="s">
        <v>1155</v>
      </c>
      <c r="B429" s="47" t="str">
        <f t="shared" si="6"/>
        <v>PROTECTION_APPRSL_CRRNCY</v>
      </c>
      <c r="C429" s="8" t="s">
        <v>1114</v>
      </c>
      <c r="D429" s="9" t="s">
        <v>1156</v>
      </c>
      <c r="E429" s="14" t="s">
        <v>1157</v>
      </c>
      <c r="F429" s="10" t="s">
        <v>13</v>
      </c>
      <c r="G429" s="10" t="s">
        <v>11</v>
      </c>
      <c r="H429" s="10" t="s">
        <v>11</v>
      </c>
      <c r="I429" s="10" t="s">
        <v>11</v>
      </c>
    </row>
    <row r="430" spans="1:9" ht="15" hidden="1" customHeight="1" x14ac:dyDescent="0.25">
      <c r="A430" s="7" t="s">
        <v>1158</v>
      </c>
      <c r="B430" s="47" t="str">
        <f t="shared" si="6"/>
        <v>PROTECTION_APPRSR</v>
      </c>
      <c r="C430" s="8" t="s">
        <v>1114</v>
      </c>
      <c r="D430" s="9" t="s">
        <v>1159</v>
      </c>
      <c r="E430" s="14" t="s">
        <v>1160</v>
      </c>
      <c r="F430" s="10" t="s">
        <v>13</v>
      </c>
      <c r="G430" s="10" t="s">
        <v>11</v>
      </c>
      <c r="H430" s="10" t="s">
        <v>11</v>
      </c>
      <c r="I430" s="10" t="s">
        <v>11</v>
      </c>
    </row>
    <row r="431" spans="1:9" ht="15" hidden="1" customHeight="1" x14ac:dyDescent="0.25">
      <c r="A431" s="7" t="s">
        <v>1161</v>
      </c>
      <c r="B431" s="47" t="str">
        <f t="shared" si="6"/>
        <v>PROTECTION_DT_LST_FLL_APPRSL</v>
      </c>
      <c r="C431" s="8" t="s">
        <v>1114</v>
      </c>
      <c r="D431" s="9" t="s">
        <v>1162</v>
      </c>
      <c r="E431" s="14" t="s">
        <v>1163</v>
      </c>
      <c r="F431" s="10" t="s">
        <v>13</v>
      </c>
      <c r="G431" s="10" t="s">
        <v>11</v>
      </c>
      <c r="H431" s="10" t="s">
        <v>11</v>
      </c>
      <c r="I431" s="10" t="s">
        <v>11</v>
      </c>
    </row>
    <row r="432" spans="1:9" ht="15" hidden="1" customHeight="1" x14ac:dyDescent="0.25">
      <c r="A432" s="7" t="s">
        <v>1164</v>
      </c>
      <c r="B432" s="47" t="str">
        <f t="shared" si="6"/>
        <v>PROTECTION_DT_ORGNL_PRTCTN_VL</v>
      </c>
      <c r="C432" s="8" t="s">
        <v>1114</v>
      </c>
      <c r="D432" s="9" t="s">
        <v>1165</v>
      </c>
      <c r="E432" s="14" t="s">
        <v>1166</v>
      </c>
      <c r="F432" s="10" t="s">
        <v>13</v>
      </c>
      <c r="G432" s="10" t="s">
        <v>11</v>
      </c>
      <c r="H432" s="10" t="s">
        <v>11</v>
      </c>
      <c r="I432" s="10" t="s">
        <v>11</v>
      </c>
    </row>
    <row r="433" spans="1:9" ht="15" hidden="1" customHeight="1" x14ac:dyDescent="0.25">
      <c r="A433" s="7" t="s">
        <v>1167</v>
      </c>
      <c r="B433" s="47" t="str">
        <f t="shared" si="6"/>
        <v>PROTECTION_DT_PRTCTN_VL</v>
      </c>
      <c r="C433" s="8" t="s">
        <v>1114</v>
      </c>
      <c r="D433" s="9" t="s">
        <v>1168</v>
      </c>
      <c r="E433" s="14" t="s">
        <v>1169</v>
      </c>
      <c r="F433" s="10" t="s">
        <v>13</v>
      </c>
      <c r="G433" s="10" t="s">
        <v>11</v>
      </c>
      <c r="H433" s="10" t="s">
        <v>11</v>
      </c>
      <c r="I433" s="10" t="s">
        <v>11</v>
      </c>
    </row>
    <row r="434" spans="1:9" ht="15" hidden="1" customHeight="1" x14ac:dyDescent="0.25">
      <c r="A434" s="7" t="s">
        <v>1170</v>
      </c>
      <c r="B434" s="47" t="str">
        <f t="shared" si="6"/>
        <v>PROTECTION_ORGNL_PRTCTN_VL</v>
      </c>
      <c r="C434" s="8" t="s">
        <v>1114</v>
      </c>
      <c r="D434" s="9" t="s">
        <v>1171</v>
      </c>
      <c r="E434" s="14" t="s">
        <v>1172</v>
      </c>
      <c r="F434" s="10" t="s">
        <v>13</v>
      </c>
      <c r="G434" s="10" t="s">
        <v>11</v>
      </c>
      <c r="H434" s="10" t="s">
        <v>13</v>
      </c>
      <c r="I434" s="10" t="s">
        <v>11</v>
      </c>
    </row>
    <row r="435" spans="1:9" ht="15" hidden="1" customHeight="1" x14ac:dyDescent="0.25">
      <c r="A435" s="7" t="s">
        <v>1173</v>
      </c>
      <c r="B435" s="47" t="str">
        <f t="shared" si="6"/>
        <v>PROTECTION_PRTCTN_FRCD_SL_VL</v>
      </c>
      <c r="C435" s="8" t="s">
        <v>1114</v>
      </c>
      <c r="D435" s="9" t="s">
        <v>1174</v>
      </c>
      <c r="E435" s="14" t="s">
        <v>1175</v>
      </c>
      <c r="F435" s="10" t="s">
        <v>13</v>
      </c>
      <c r="G435" s="10" t="s">
        <v>11</v>
      </c>
      <c r="H435" s="10" t="s">
        <v>11</v>
      </c>
      <c r="I435" s="10" t="s">
        <v>11</v>
      </c>
    </row>
    <row r="436" spans="1:9" ht="15" hidden="1" customHeight="1" x14ac:dyDescent="0.25">
      <c r="A436" s="7" t="s">
        <v>1176</v>
      </c>
      <c r="B436" s="47" t="str">
        <f t="shared" si="6"/>
        <v>PROTECTION_PRTCTN_VL</v>
      </c>
      <c r="C436" s="8" t="s">
        <v>1114</v>
      </c>
      <c r="D436" s="9" t="s">
        <v>1177</v>
      </c>
      <c r="E436" s="14" t="s">
        <v>1178</v>
      </c>
      <c r="F436" s="10" t="s">
        <v>13</v>
      </c>
      <c r="G436" s="10" t="s">
        <v>11</v>
      </c>
      <c r="H436" s="10" t="s">
        <v>13</v>
      </c>
      <c r="I436" s="10" t="s">
        <v>11</v>
      </c>
    </row>
    <row r="437" spans="1:9" ht="15" hidden="1" customHeight="1" x14ac:dyDescent="0.25">
      <c r="A437" s="7" t="s">
        <v>1179</v>
      </c>
      <c r="B437" s="47" t="str">
        <f t="shared" si="6"/>
        <v>PROTECTION_PRTCTN_VL_NPE</v>
      </c>
      <c r="C437" s="8" t="s">
        <v>1114</v>
      </c>
      <c r="D437" s="9" t="s">
        <v>1180</v>
      </c>
      <c r="E437" s="14" t="s">
        <v>1181</v>
      </c>
      <c r="F437" s="10" t="s">
        <v>13</v>
      </c>
      <c r="G437" s="10" t="s">
        <v>11</v>
      </c>
      <c r="H437" s="10" t="s">
        <v>11</v>
      </c>
      <c r="I437" s="10" t="s">
        <v>11</v>
      </c>
    </row>
    <row r="438" spans="1:9" ht="15" hidden="1" customHeight="1" x14ac:dyDescent="0.25">
      <c r="A438" s="7" t="s">
        <v>1182</v>
      </c>
      <c r="B438" s="47" t="str">
        <f t="shared" si="6"/>
        <v>PROTECTION_PRTCTN_VLTN_APPRCH</v>
      </c>
      <c r="C438" s="8" t="s">
        <v>1114</v>
      </c>
      <c r="D438" s="9" t="s">
        <v>1183</v>
      </c>
      <c r="E438" s="14" t="s">
        <v>1184</v>
      </c>
      <c r="F438" s="10" t="s">
        <v>13</v>
      </c>
      <c r="G438" s="10" t="s">
        <v>11</v>
      </c>
      <c r="H438" s="10" t="s">
        <v>11</v>
      </c>
      <c r="I438" s="10" t="s">
        <v>11</v>
      </c>
    </row>
    <row r="439" spans="1:9" ht="15" hidden="1" customHeight="1" x14ac:dyDescent="0.25">
      <c r="A439" s="7" t="s">
        <v>1185</v>
      </c>
      <c r="B439" s="47" t="str">
        <f t="shared" si="6"/>
        <v>PROTECTION_DT_APPRSL_PRVS</v>
      </c>
      <c r="C439" s="8" t="s">
        <v>1114</v>
      </c>
      <c r="D439" s="9" t="s">
        <v>1186</v>
      </c>
      <c r="E439" s="14" t="s">
        <v>1187</v>
      </c>
      <c r="F439" s="10" t="s">
        <v>13</v>
      </c>
      <c r="G439" s="10" t="s">
        <v>11</v>
      </c>
      <c r="H439" s="10" t="s">
        <v>11</v>
      </c>
      <c r="I439" s="10" t="s">
        <v>11</v>
      </c>
    </row>
    <row r="440" spans="1:9" ht="15" hidden="1" customHeight="1" x14ac:dyDescent="0.25">
      <c r="A440" s="7" t="s">
        <v>1188</v>
      </c>
      <c r="B440" s="47" t="str">
        <f t="shared" si="6"/>
        <v>PROTECTION_PRTCTN_VL_PRVS</v>
      </c>
      <c r="C440" s="8" t="s">
        <v>1114</v>
      </c>
      <c r="D440" s="9" t="s">
        <v>1189</v>
      </c>
      <c r="E440" s="14" t="s">
        <v>1190</v>
      </c>
      <c r="F440" s="10" t="s">
        <v>13</v>
      </c>
      <c r="G440" s="10" t="s">
        <v>11</v>
      </c>
      <c r="H440" s="10" t="s">
        <v>11</v>
      </c>
      <c r="I440" s="10" t="s">
        <v>11</v>
      </c>
    </row>
    <row r="441" spans="1:9" ht="15" hidden="1" customHeight="1" x14ac:dyDescent="0.25">
      <c r="A441" s="7" t="s">
        <v>1191</v>
      </c>
      <c r="B441" s="47" t="str">
        <f t="shared" si="6"/>
        <v>PROTECTION_CNSTRCTN_STTS</v>
      </c>
      <c r="C441" s="8" t="s">
        <v>1114</v>
      </c>
      <c r="D441" s="9" t="s">
        <v>1192</v>
      </c>
      <c r="E441" s="14" t="s">
        <v>1193</v>
      </c>
      <c r="F441" s="10" t="s">
        <v>13</v>
      </c>
      <c r="G441" s="10" t="s">
        <v>11</v>
      </c>
      <c r="H441" s="10" t="s">
        <v>11</v>
      </c>
      <c r="I441" s="10" t="s">
        <v>11</v>
      </c>
    </row>
    <row r="442" spans="1:9" ht="14.85" hidden="1" customHeight="1" x14ac:dyDescent="0.25">
      <c r="A442" s="7" t="s">
        <v>1194</v>
      </c>
      <c r="B442" s="47" t="str">
        <f t="shared" si="6"/>
        <v>PROTECTION_DT_CNSTRCTN_STTS</v>
      </c>
      <c r="C442" s="8" t="s">
        <v>1114</v>
      </c>
      <c r="D442" s="9" t="s">
        <v>1195</v>
      </c>
      <c r="E442" s="30" t="s">
        <v>1196</v>
      </c>
      <c r="F442" s="10" t="s">
        <v>13</v>
      </c>
      <c r="G442" s="10" t="s">
        <v>11</v>
      </c>
      <c r="H442" s="10" t="s">
        <v>11</v>
      </c>
      <c r="I442" s="10" t="s">
        <v>11</v>
      </c>
    </row>
    <row r="443" spans="1:9" ht="14.85" hidden="1" customHeight="1" x14ac:dyDescent="0.25">
      <c r="A443" s="7" t="s">
        <v>1197</v>
      </c>
      <c r="B443" s="47" t="str">
        <f t="shared" si="6"/>
        <v>PROTECTION_DT_FRST_USG</v>
      </c>
      <c r="C443" s="8" t="s">
        <v>1114</v>
      </c>
      <c r="D443" s="9" t="s">
        <v>1198</v>
      </c>
      <c r="E443" s="30" t="s">
        <v>1199</v>
      </c>
      <c r="F443" s="10" t="s">
        <v>13</v>
      </c>
      <c r="G443" s="10" t="s">
        <v>11</v>
      </c>
      <c r="H443" s="10" t="s">
        <v>11</v>
      </c>
      <c r="I443" s="10" t="s">
        <v>11</v>
      </c>
    </row>
    <row r="444" spans="1:9" ht="14.85" hidden="1" customHeight="1" x14ac:dyDescent="0.25">
      <c r="A444" s="7" t="s">
        <v>1200</v>
      </c>
      <c r="B444" s="47" t="str">
        <f t="shared" si="6"/>
        <v>PROTECTION_DVLPMNT_STTS</v>
      </c>
      <c r="C444" s="8" t="s">
        <v>1114</v>
      </c>
      <c r="D444" s="9" t="s">
        <v>1201</v>
      </c>
      <c r="E444" s="30" t="s">
        <v>1202</v>
      </c>
      <c r="F444" s="10" t="s">
        <v>13</v>
      </c>
      <c r="G444" s="10" t="s">
        <v>11</v>
      </c>
      <c r="H444" s="10" t="s">
        <v>11</v>
      </c>
      <c r="I444" s="10" t="s">
        <v>11</v>
      </c>
    </row>
    <row r="445" spans="1:9" ht="14.85" hidden="1" customHeight="1" x14ac:dyDescent="0.25">
      <c r="A445" s="7" t="s">
        <v>1203</v>
      </c>
      <c r="B445" s="47" t="str">
        <f t="shared" si="6"/>
        <v>PROTECTION_MN_PRPS</v>
      </c>
      <c r="C445" s="8" t="s">
        <v>1114</v>
      </c>
      <c r="D445" s="9" t="s">
        <v>1204</v>
      </c>
      <c r="E445" s="30" t="s">
        <v>1205</v>
      </c>
      <c r="F445" s="10" t="s">
        <v>13</v>
      </c>
      <c r="G445" s="10" t="s">
        <v>11</v>
      </c>
      <c r="H445" s="10" t="s">
        <v>11</v>
      </c>
      <c r="I445" s="10" t="s">
        <v>11</v>
      </c>
    </row>
    <row r="446" spans="1:9" ht="14.85" hidden="1" customHeight="1" x14ac:dyDescent="0.25">
      <c r="A446" s="7" t="s">
        <v>1206</v>
      </c>
      <c r="B446" s="47" t="str">
        <f t="shared" si="6"/>
        <v>PROTECTION_PRM_LCTN</v>
      </c>
      <c r="C446" s="8" t="s">
        <v>1114</v>
      </c>
      <c r="D446" s="9" t="s">
        <v>1207</v>
      </c>
      <c r="E446" s="30" t="s">
        <v>1208</v>
      </c>
      <c r="F446" s="10" t="s">
        <v>13</v>
      </c>
      <c r="G446" s="10" t="s">
        <v>11</v>
      </c>
      <c r="H446" s="10" t="s">
        <v>11</v>
      </c>
      <c r="I446" s="10" t="s">
        <v>11</v>
      </c>
    </row>
    <row r="447" spans="1:9" ht="14.85" hidden="1" customHeight="1" x14ac:dyDescent="0.25">
      <c r="A447" s="7" t="s">
        <v>1209</v>
      </c>
      <c r="B447" s="47" t="str">
        <f t="shared" si="6"/>
        <v>PROTECTION_CRE_INCM_CRRNCY</v>
      </c>
      <c r="C447" s="8" t="s">
        <v>1114</v>
      </c>
      <c r="D447" s="9" t="s">
        <v>1210</v>
      </c>
      <c r="E447" s="30" t="s">
        <v>1211</v>
      </c>
      <c r="F447" s="10" t="s">
        <v>13</v>
      </c>
      <c r="G447" s="10" t="s">
        <v>11</v>
      </c>
      <c r="H447" s="10" t="s">
        <v>11</v>
      </c>
      <c r="I447" s="10" t="s">
        <v>11</v>
      </c>
    </row>
    <row r="448" spans="1:9" ht="14.85" hidden="1" customHeight="1" x14ac:dyDescent="0.25">
      <c r="A448" s="7" t="s">
        <v>1212</v>
      </c>
      <c r="B448" s="47" t="str">
        <f t="shared" si="6"/>
        <v>PROTECTION_CRE_YRLY_EXPNSS</v>
      </c>
      <c r="C448" s="8" t="s">
        <v>1114</v>
      </c>
      <c r="D448" s="9" t="s">
        <v>1213</v>
      </c>
      <c r="E448" s="30" t="s">
        <v>1214</v>
      </c>
      <c r="F448" s="10" t="s">
        <v>13</v>
      </c>
      <c r="G448" s="10" t="s">
        <v>11</v>
      </c>
      <c r="H448" s="10" t="s">
        <v>11</v>
      </c>
      <c r="I448" s="10" t="s">
        <v>11</v>
      </c>
    </row>
    <row r="449" spans="1:9" ht="14.85" hidden="1" customHeight="1" x14ac:dyDescent="0.25">
      <c r="A449" s="7" t="s">
        <v>1215</v>
      </c>
      <c r="B449" s="47" t="str">
        <f t="shared" si="6"/>
        <v>PROTECTION_CRE_YRLY_INCM</v>
      </c>
      <c r="C449" s="8" t="s">
        <v>1114</v>
      </c>
      <c r="D449" s="9" t="s">
        <v>1216</v>
      </c>
      <c r="E449" s="30" t="s">
        <v>1217</v>
      </c>
      <c r="F449" s="10" t="s">
        <v>13</v>
      </c>
      <c r="G449" s="10" t="s">
        <v>11</v>
      </c>
      <c r="H449" s="10" t="s">
        <v>11</v>
      </c>
      <c r="I449" s="10" t="s">
        <v>11</v>
      </c>
    </row>
    <row r="450" spans="1:9" ht="14.85" hidden="1" customHeight="1" x14ac:dyDescent="0.25">
      <c r="A450" s="7" t="s">
        <v>1218</v>
      </c>
      <c r="B450" s="47" t="str">
        <f t="shared" si="6"/>
        <v>PROTECTION_PRTCTN_TYP_PBLC_GRNT_SCHM_C19</v>
      </c>
      <c r="C450" s="8" t="s">
        <v>1114</v>
      </c>
      <c r="D450" s="42" t="s">
        <v>1219</v>
      </c>
      <c r="E450" s="46" t="s">
        <v>1220</v>
      </c>
      <c r="F450" s="43" t="s">
        <v>13</v>
      </c>
      <c r="G450" s="43" t="s">
        <v>11</v>
      </c>
      <c r="H450" s="43" t="s">
        <v>11</v>
      </c>
      <c r="I450" s="43" t="s">
        <v>11</v>
      </c>
    </row>
    <row r="451" spans="1:9" ht="15" hidden="1" customHeight="1" x14ac:dyDescent="0.25">
      <c r="A451" s="7" t="s">
        <v>1221</v>
      </c>
      <c r="B451" s="47" t="str">
        <f t="shared" ref="B451:B478" si="7">C451&amp;"_"&amp;D451</f>
        <v>PROTECTION_TAX_ID</v>
      </c>
      <c r="C451" s="8" t="s">
        <v>1114</v>
      </c>
      <c r="D451" s="9" t="s">
        <v>266</v>
      </c>
      <c r="E451" s="14" t="s">
        <v>267</v>
      </c>
      <c r="F451" s="10" t="s">
        <v>13</v>
      </c>
      <c r="G451" s="10" t="s">
        <v>11</v>
      </c>
      <c r="H451" s="10" t="s">
        <v>11</v>
      </c>
      <c r="I451" s="10" t="s">
        <v>11</v>
      </c>
    </row>
    <row r="452" spans="1:9" ht="15" hidden="1" customHeight="1" x14ac:dyDescent="0.25">
      <c r="A452" s="7" t="s">
        <v>1222</v>
      </c>
      <c r="B452" s="47" t="str">
        <f t="shared" si="7"/>
        <v>PROTECTION_TYP_EP_SCR</v>
      </c>
      <c r="C452" s="8" t="s">
        <v>1114</v>
      </c>
      <c r="D452" s="9" t="s">
        <v>1223</v>
      </c>
      <c r="E452" s="14" t="s">
        <v>1224</v>
      </c>
      <c r="F452" s="10" t="s">
        <v>11</v>
      </c>
      <c r="G452" s="10" t="s">
        <v>11</v>
      </c>
      <c r="H452" s="10" t="s">
        <v>13</v>
      </c>
      <c r="I452" s="10" t="s">
        <v>13</v>
      </c>
    </row>
    <row r="453" spans="1:9" ht="15" hidden="1" customHeight="1" x14ac:dyDescent="0.25">
      <c r="A453" s="7" t="s">
        <v>1225</v>
      </c>
      <c r="B453" s="47" t="str">
        <f t="shared" si="7"/>
        <v>PROTECTION_EP_SCR</v>
      </c>
      <c r="C453" s="8" t="s">
        <v>1114</v>
      </c>
      <c r="D453" s="9" t="s">
        <v>1226</v>
      </c>
      <c r="E453" s="14" t="s">
        <v>1227</v>
      </c>
      <c r="F453" s="10" t="s">
        <v>11</v>
      </c>
      <c r="G453" s="10" t="s">
        <v>11</v>
      </c>
      <c r="H453" s="10" t="s">
        <v>13</v>
      </c>
      <c r="I453" s="10" t="s">
        <v>13</v>
      </c>
    </row>
    <row r="454" spans="1:9" ht="15" hidden="1" customHeight="1" x14ac:dyDescent="0.25">
      <c r="A454" s="7" t="s">
        <v>1228</v>
      </c>
      <c r="B454" s="47" t="str">
        <f t="shared" si="7"/>
        <v>PROTECTION_TYP_EPC_LBL</v>
      </c>
      <c r="C454" s="8" t="s">
        <v>1114</v>
      </c>
      <c r="D454" s="9" t="s">
        <v>1229</v>
      </c>
      <c r="E454" s="14" t="s">
        <v>1230</v>
      </c>
      <c r="F454" s="10" t="s">
        <v>11</v>
      </c>
      <c r="G454" s="10" t="s">
        <v>11</v>
      </c>
      <c r="H454" s="10" t="s">
        <v>13</v>
      </c>
      <c r="I454" s="10" t="s">
        <v>13</v>
      </c>
    </row>
    <row r="455" spans="1:9" ht="15" hidden="1" customHeight="1" x14ac:dyDescent="0.25">
      <c r="A455" s="7" t="s">
        <v>1231</v>
      </c>
      <c r="B455" s="47" t="str">
        <f t="shared" si="7"/>
        <v>PROTECTION_EPC_LBL</v>
      </c>
      <c r="C455" s="8" t="s">
        <v>1114</v>
      </c>
      <c r="D455" s="9" t="s">
        <v>1232</v>
      </c>
      <c r="E455" s="30" t="s">
        <v>1233</v>
      </c>
      <c r="F455" s="10" t="s">
        <v>11</v>
      </c>
      <c r="G455" s="10" t="s">
        <v>11</v>
      </c>
      <c r="H455" s="10" t="s">
        <v>13</v>
      </c>
      <c r="I455" s="10" t="s">
        <v>13</v>
      </c>
    </row>
    <row r="456" spans="1:9" ht="15" hidden="1" customHeight="1" x14ac:dyDescent="0.25">
      <c r="A456" s="7" t="s">
        <v>1234</v>
      </c>
      <c r="B456" s="47" t="str">
        <f t="shared" si="7"/>
        <v>PROTECTION_TYP_EMSSNS_LBL</v>
      </c>
      <c r="C456" s="8" t="s">
        <v>1114</v>
      </c>
      <c r="D456" s="9" t="s">
        <v>1235</v>
      </c>
      <c r="E456" s="14" t="s">
        <v>1236</v>
      </c>
      <c r="F456" s="10" t="s">
        <v>11</v>
      </c>
      <c r="G456" s="10" t="s">
        <v>11</v>
      </c>
      <c r="H456" s="10" t="s">
        <v>11</v>
      </c>
      <c r="I456" s="10" t="s">
        <v>13</v>
      </c>
    </row>
    <row r="457" spans="1:9" ht="15" hidden="1" customHeight="1" x14ac:dyDescent="0.25">
      <c r="A457" s="7" t="s">
        <v>1237</v>
      </c>
      <c r="B457" s="47" t="str">
        <f t="shared" si="7"/>
        <v>PROTECTION_EPC_EMSSNS_LBL</v>
      </c>
      <c r="C457" s="8" t="s">
        <v>1114</v>
      </c>
      <c r="D457" s="9" t="s">
        <v>1238</v>
      </c>
      <c r="E457" s="32" t="s">
        <v>1239</v>
      </c>
      <c r="F457" s="10" t="s">
        <v>11</v>
      </c>
      <c r="G457" s="10" t="s">
        <v>11</v>
      </c>
      <c r="H457" s="10" t="s">
        <v>11</v>
      </c>
      <c r="I457" s="10" t="s">
        <v>13</v>
      </c>
    </row>
    <row r="458" spans="1:9" ht="15" hidden="1" customHeight="1" x14ac:dyDescent="0.25">
      <c r="A458" s="7" t="s">
        <v>1240</v>
      </c>
      <c r="B458" s="47" t="str">
        <f t="shared" si="7"/>
        <v>PROTECTION_VHCL_EMSSNS_LBL</v>
      </c>
      <c r="C458" s="8" t="s">
        <v>1114</v>
      </c>
      <c r="D458" s="9" t="s">
        <v>1241</v>
      </c>
      <c r="E458" s="30" t="s">
        <v>1242</v>
      </c>
      <c r="F458" s="10" t="s">
        <v>11</v>
      </c>
      <c r="G458" s="10" t="s">
        <v>11</v>
      </c>
      <c r="H458" s="10" t="s">
        <v>11</v>
      </c>
      <c r="I458" s="10" t="s">
        <v>13</v>
      </c>
    </row>
    <row r="459" spans="1:9" ht="15" hidden="1" customHeight="1" x14ac:dyDescent="0.25">
      <c r="A459" s="7" t="s">
        <v>1243</v>
      </c>
      <c r="B459" s="47" t="str">
        <f t="shared" si="7"/>
        <v>PROTECTION_TYP_EMSSNS_SCR</v>
      </c>
      <c r="C459" s="8" t="s">
        <v>1114</v>
      </c>
      <c r="D459" s="9" t="s">
        <v>1244</v>
      </c>
      <c r="E459" s="14" t="s">
        <v>1245</v>
      </c>
      <c r="F459" s="10" t="s">
        <v>11</v>
      </c>
      <c r="G459" s="10" t="s">
        <v>11</v>
      </c>
      <c r="H459" s="10" t="s">
        <v>11</v>
      </c>
      <c r="I459" s="10" t="s">
        <v>13</v>
      </c>
    </row>
    <row r="460" spans="1:9" ht="15" hidden="1" customHeight="1" x14ac:dyDescent="0.25">
      <c r="A460" s="7" t="s">
        <v>1246</v>
      </c>
      <c r="B460" s="47" t="str">
        <f t="shared" si="7"/>
        <v>PROTECTION_EPC_EMSSNS_SCR</v>
      </c>
      <c r="C460" s="8" t="s">
        <v>1114</v>
      </c>
      <c r="D460" s="9" t="s">
        <v>1247</v>
      </c>
      <c r="E460" s="32" t="s">
        <v>1248</v>
      </c>
      <c r="F460" s="10" t="s">
        <v>11</v>
      </c>
      <c r="G460" s="10" t="s">
        <v>11</v>
      </c>
      <c r="H460" s="10" t="s">
        <v>11</v>
      </c>
      <c r="I460" s="10" t="s">
        <v>13</v>
      </c>
    </row>
    <row r="461" spans="1:9" ht="15" hidden="1" customHeight="1" x14ac:dyDescent="0.25">
      <c r="A461" s="7" t="s">
        <v>1249</v>
      </c>
      <c r="B461" s="47" t="str">
        <f t="shared" si="7"/>
        <v>PROTECTION_VHCL_EMSSNS_SCR</v>
      </c>
      <c r="C461" s="8" t="s">
        <v>1114</v>
      </c>
      <c r="D461" s="9" t="s">
        <v>1250</v>
      </c>
      <c r="E461" s="32" t="s">
        <v>1251</v>
      </c>
      <c r="F461" s="10" t="s">
        <v>11</v>
      </c>
      <c r="G461" s="10" t="s">
        <v>11</v>
      </c>
      <c r="H461" s="10" t="s">
        <v>11</v>
      </c>
      <c r="I461" s="10" t="s">
        <v>13</v>
      </c>
    </row>
    <row r="462" spans="1:9" ht="15" hidden="1" customHeight="1" x14ac:dyDescent="0.25">
      <c r="A462" s="7" t="s">
        <v>1252</v>
      </c>
      <c r="B462" s="47" t="str">
        <f t="shared" si="7"/>
        <v>PROTECTION_EMSSNS_SCP1_PRTCTN</v>
      </c>
      <c r="C462" s="8" t="s">
        <v>1114</v>
      </c>
      <c r="D462" s="9" t="s">
        <v>1253</v>
      </c>
      <c r="E462" s="14" t="s">
        <v>1254</v>
      </c>
      <c r="F462" s="10" t="s">
        <v>11</v>
      </c>
      <c r="G462" s="10" t="s">
        <v>11</v>
      </c>
      <c r="H462" s="10" t="s">
        <v>13</v>
      </c>
      <c r="I462" s="10" t="s">
        <v>13</v>
      </c>
    </row>
    <row r="463" spans="1:9" ht="15" hidden="1" customHeight="1" x14ac:dyDescent="0.25">
      <c r="A463" s="7" t="s">
        <v>1255</v>
      </c>
      <c r="B463" s="47" t="str">
        <f t="shared" si="7"/>
        <v>PROTECTION_EMSSNS_SCP2_PRTCTN</v>
      </c>
      <c r="C463" s="8" t="s">
        <v>1114</v>
      </c>
      <c r="D463" s="9" t="s">
        <v>1256</v>
      </c>
      <c r="E463" s="14" t="s">
        <v>1257</v>
      </c>
      <c r="F463" s="10" t="s">
        <v>11</v>
      </c>
      <c r="G463" s="10" t="s">
        <v>11</v>
      </c>
      <c r="H463" s="10" t="s">
        <v>13</v>
      </c>
      <c r="I463" s="10" t="s">
        <v>13</v>
      </c>
    </row>
    <row r="464" spans="1:9" ht="15" hidden="1" customHeight="1" x14ac:dyDescent="0.25">
      <c r="A464" s="7" t="s">
        <v>1258</v>
      </c>
      <c r="B464" s="47" t="str">
        <f t="shared" si="7"/>
        <v>PROTECTION_EMSSNS_SCP3_PRTCTN</v>
      </c>
      <c r="C464" s="8" t="s">
        <v>1114</v>
      </c>
      <c r="D464" s="9" t="s">
        <v>1259</v>
      </c>
      <c r="E464" s="14" t="s">
        <v>1260</v>
      </c>
      <c r="F464" s="10" t="s">
        <v>11</v>
      </c>
      <c r="G464" s="10" t="s">
        <v>11</v>
      </c>
      <c r="H464" s="10" t="s">
        <v>13</v>
      </c>
      <c r="I464" s="10" t="s">
        <v>13</v>
      </c>
    </row>
    <row r="465" spans="1:9" ht="15" hidden="1" customHeight="1" x14ac:dyDescent="0.25">
      <c r="A465" s="7" t="s">
        <v>1261</v>
      </c>
      <c r="B465" s="47" t="str">
        <f t="shared" si="7"/>
        <v>PROTECTION_MTHD_USD_PRTCTN_SCP_1</v>
      </c>
      <c r="C465" s="8" t="s">
        <v>1114</v>
      </c>
      <c r="D465" s="9" t="s">
        <v>1262</v>
      </c>
      <c r="E465" s="32" t="s">
        <v>1263</v>
      </c>
      <c r="F465" s="10" t="s">
        <v>11</v>
      </c>
      <c r="G465" s="10" t="s">
        <v>11</v>
      </c>
      <c r="H465" s="10" t="s">
        <v>13</v>
      </c>
      <c r="I465" s="10" t="s">
        <v>13</v>
      </c>
    </row>
    <row r="466" spans="1:9" ht="15" hidden="1" customHeight="1" x14ac:dyDescent="0.25">
      <c r="A466" s="7" t="s">
        <v>1264</v>
      </c>
      <c r="B466" s="47" t="str">
        <f t="shared" si="7"/>
        <v>PROTECTION_MTHD_USD_PRTCTN_SCP_2</v>
      </c>
      <c r="C466" s="8" t="s">
        <v>1114</v>
      </c>
      <c r="D466" s="9" t="s">
        <v>1265</v>
      </c>
      <c r="E466" s="32" t="s">
        <v>1266</v>
      </c>
      <c r="F466" s="10" t="s">
        <v>11</v>
      </c>
      <c r="G466" s="10" t="s">
        <v>11</v>
      </c>
      <c r="H466" s="10" t="s">
        <v>13</v>
      </c>
      <c r="I466" s="10" t="s">
        <v>13</v>
      </c>
    </row>
    <row r="467" spans="1:9" ht="15" hidden="1" customHeight="1" x14ac:dyDescent="0.25">
      <c r="A467" s="7" t="s">
        <v>1267</v>
      </c>
      <c r="B467" s="47" t="str">
        <f t="shared" si="7"/>
        <v>PROTECTION_MTHD_USD_PRTCTN_SCP_3</v>
      </c>
      <c r="C467" s="8" t="s">
        <v>1114</v>
      </c>
      <c r="D467" s="9" t="s">
        <v>1268</v>
      </c>
      <c r="E467" s="32" t="s">
        <v>1269</v>
      </c>
      <c r="F467" s="10" t="s">
        <v>11</v>
      </c>
      <c r="G467" s="10" t="s">
        <v>11</v>
      </c>
      <c r="H467" s="10" t="s">
        <v>13</v>
      </c>
      <c r="I467" s="10" t="s">
        <v>13</v>
      </c>
    </row>
    <row r="468" spans="1:9" ht="15" hidden="1" customHeight="1" x14ac:dyDescent="0.25">
      <c r="A468" s="7" t="s">
        <v>1270</v>
      </c>
      <c r="B468" s="47" t="str">
        <f t="shared" si="7"/>
        <v>PROTECTION_FLG_ACT_PHYSCL_RSK</v>
      </c>
      <c r="C468" s="8" t="s">
        <v>1114</v>
      </c>
      <c r="D468" s="9" t="s">
        <v>376</v>
      </c>
      <c r="E468" s="32" t="s">
        <v>1271</v>
      </c>
      <c r="F468" s="10" t="s">
        <v>11</v>
      </c>
      <c r="G468" s="10" t="s">
        <v>11</v>
      </c>
      <c r="H468" s="10" t="s">
        <v>13</v>
      </c>
      <c r="I468" s="10" t="s">
        <v>11</v>
      </c>
    </row>
    <row r="469" spans="1:9" ht="15" hidden="1" customHeight="1" x14ac:dyDescent="0.25">
      <c r="A469" s="7" t="s">
        <v>1272</v>
      </c>
      <c r="B469" s="47" t="str">
        <f t="shared" si="7"/>
        <v>PROTECTION_FLG_CHRNC_PHYSCL_RSK</v>
      </c>
      <c r="C469" s="8" t="s">
        <v>1114</v>
      </c>
      <c r="D469" s="9" t="s">
        <v>379</v>
      </c>
      <c r="E469" s="32" t="s">
        <v>1273</v>
      </c>
      <c r="F469" s="10" t="s">
        <v>11</v>
      </c>
      <c r="G469" s="10" t="s">
        <v>11</v>
      </c>
      <c r="H469" s="10" t="s">
        <v>13</v>
      </c>
      <c r="I469" s="10" t="s">
        <v>11</v>
      </c>
    </row>
    <row r="470" spans="1:9" ht="15" hidden="1" customHeight="1" x14ac:dyDescent="0.25">
      <c r="A470" s="7" t="s">
        <v>1274</v>
      </c>
      <c r="B470" s="47" t="str">
        <f t="shared" si="7"/>
        <v>PROTECTION_INSRNC_ID</v>
      </c>
      <c r="C470" s="8" t="s">
        <v>1114</v>
      </c>
      <c r="D470" s="9" t="s">
        <v>1275</v>
      </c>
      <c r="E470" s="32" t="s">
        <v>1276</v>
      </c>
      <c r="F470" s="10" t="s">
        <v>11</v>
      </c>
      <c r="G470" s="10" t="s">
        <v>11</v>
      </c>
      <c r="H470" s="10" t="s">
        <v>11</v>
      </c>
      <c r="I470" s="10" t="s">
        <v>13</v>
      </c>
    </row>
    <row r="471" spans="1:9" ht="15" hidden="1" customHeight="1" x14ac:dyDescent="0.25">
      <c r="A471" s="7" t="s">
        <v>1277</v>
      </c>
      <c r="B471" s="47" t="str">
        <f t="shared" si="7"/>
        <v>PROTECTION_TYP_HZRDS_INSRD</v>
      </c>
      <c r="C471" s="8" t="s">
        <v>1114</v>
      </c>
      <c r="D471" s="9" t="s">
        <v>1278</v>
      </c>
      <c r="E471" s="32" t="s">
        <v>1279</v>
      </c>
      <c r="F471" s="10" t="s">
        <v>11</v>
      </c>
      <c r="G471" s="10" t="s">
        <v>11</v>
      </c>
      <c r="H471" s="10" t="s">
        <v>11</v>
      </c>
      <c r="I471" s="10" t="s">
        <v>13</v>
      </c>
    </row>
    <row r="472" spans="1:9" ht="15" hidden="1" customHeight="1" x14ac:dyDescent="0.25">
      <c r="A472" s="7" t="s">
        <v>1280</v>
      </c>
      <c r="B472" s="47" t="str">
        <f t="shared" si="7"/>
        <v>PROTECTION_AMNT_CVRD_INSRNC</v>
      </c>
      <c r="C472" s="8" t="s">
        <v>1114</v>
      </c>
      <c r="D472" s="9" t="s">
        <v>1281</v>
      </c>
      <c r="E472" s="32" t="s">
        <v>1282</v>
      </c>
      <c r="F472" s="10" t="s">
        <v>11</v>
      </c>
      <c r="G472" s="10" t="s">
        <v>11</v>
      </c>
      <c r="H472" s="10" t="s">
        <v>11</v>
      </c>
      <c r="I472" s="10" t="s">
        <v>13</v>
      </c>
    </row>
    <row r="473" spans="1:9" ht="15" hidden="1" customHeight="1" x14ac:dyDescent="0.25">
      <c r="A473" s="7" t="s">
        <v>1283</v>
      </c>
      <c r="B473" s="47" t="str">
        <f t="shared" si="7"/>
        <v>PROTECTION_DT_MTRTY_INSRNC</v>
      </c>
      <c r="C473" s="8" t="s">
        <v>1114</v>
      </c>
      <c r="D473" s="9" t="s">
        <v>1284</v>
      </c>
      <c r="E473" s="32" t="s">
        <v>1285</v>
      </c>
      <c r="F473" s="10" t="s">
        <v>11</v>
      </c>
      <c r="G473" s="10" t="s">
        <v>11</v>
      </c>
      <c r="H473" s="10" t="s">
        <v>11</v>
      </c>
      <c r="I473" s="10" t="s">
        <v>13</v>
      </c>
    </row>
    <row r="474" spans="1:9" ht="15" hidden="1" customHeight="1" x14ac:dyDescent="0.25">
      <c r="A474" s="7" t="s">
        <v>1286</v>
      </c>
      <c r="B474" s="47" t="str">
        <f t="shared" si="7"/>
        <v>PROTECTION_FLG_FRST_HM</v>
      </c>
      <c r="C474" s="8" t="s">
        <v>1114</v>
      </c>
      <c r="D474" s="9" t="s">
        <v>1287</v>
      </c>
      <c r="E474" s="32" t="s">
        <v>1288</v>
      </c>
      <c r="F474" s="10" t="s">
        <v>11</v>
      </c>
      <c r="G474" s="10" t="s">
        <v>11</v>
      </c>
      <c r="H474" s="10" t="s">
        <v>11</v>
      </c>
      <c r="I474" s="10" t="s">
        <v>13</v>
      </c>
    </row>
    <row r="475" spans="1:9" ht="14.85" hidden="1" customHeight="1" x14ac:dyDescent="0.25">
      <c r="A475" s="7" t="s">
        <v>1289</v>
      </c>
      <c r="B475" s="47" t="str">
        <f t="shared" si="7"/>
        <v>PROTECTION_YR_CNSTRCTN</v>
      </c>
      <c r="C475" s="8" t="s">
        <v>1114</v>
      </c>
      <c r="D475" s="9" t="s">
        <v>1290</v>
      </c>
      <c r="E475" s="32" t="s">
        <v>1291</v>
      </c>
      <c r="F475" s="10" t="s">
        <v>13</v>
      </c>
      <c r="G475" s="10" t="s">
        <v>11</v>
      </c>
      <c r="H475" s="10" t="s">
        <v>11</v>
      </c>
      <c r="I475" s="10" t="s">
        <v>11</v>
      </c>
    </row>
    <row r="476" spans="1:9" ht="14.85" hidden="1" customHeight="1" x14ac:dyDescent="0.25">
      <c r="A476" s="40" t="s">
        <v>1386</v>
      </c>
      <c r="B476" s="47" t="str">
        <f t="shared" si="7"/>
        <v>PROTECTION_BLDNG_AR</v>
      </c>
      <c r="C476" s="8" t="s">
        <v>1114</v>
      </c>
      <c r="D476" s="41" t="s">
        <v>1387</v>
      </c>
      <c r="E476" s="32" t="s">
        <v>1388</v>
      </c>
      <c r="F476" s="10" t="s">
        <v>13</v>
      </c>
      <c r="G476" s="10" t="s">
        <v>11</v>
      </c>
      <c r="H476" s="10" t="s">
        <v>11</v>
      </c>
      <c r="I476" s="10" t="s">
        <v>11</v>
      </c>
    </row>
    <row r="477" spans="1:9" ht="14.85" hidden="1" customHeight="1" x14ac:dyDescent="0.25">
      <c r="A477" s="40" t="s">
        <v>1389</v>
      </c>
      <c r="B477" s="47" t="str">
        <f t="shared" si="7"/>
        <v>PROTECTION_LND_AR</v>
      </c>
      <c r="C477" s="8" t="s">
        <v>1114</v>
      </c>
      <c r="D477" s="41" t="s">
        <v>1390</v>
      </c>
      <c r="E477" s="32" t="s">
        <v>1391</v>
      </c>
      <c r="F477" s="10" t="s">
        <v>13</v>
      </c>
      <c r="G477" s="10" t="s">
        <v>11</v>
      </c>
      <c r="H477" s="10" t="s">
        <v>11</v>
      </c>
      <c r="I477" s="10" t="s">
        <v>11</v>
      </c>
    </row>
    <row r="478" spans="1:9" ht="14.85" hidden="1" customHeight="1" x14ac:dyDescent="0.25">
      <c r="A478" s="40" t="s">
        <v>1392</v>
      </c>
      <c r="B478" s="47" t="str">
        <f t="shared" si="7"/>
        <v>PROTECTION_LN_PSTN</v>
      </c>
      <c r="C478" s="8" t="s">
        <v>1114</v>
      </c>
      <c r="D478" s="41" t="s">
        <v>1393</v>
      </c>
      <c r="E478" s="32" t="s">
        <v>1394</v>
      </c>
      <c r="F478" s="10" t="s">
        <v>13</v>
      </c>
      <c r="G478" s="10" t="s">
        <v>11</v>
      </c>
      <c r="H478" s="10" t="s">
        <v>11</v>
      </c>
      <c r="I478" s="10" t="s">
        <v>11</v>
      </c>
    </row>
    <row r="479" spans="1:9" ht="14.85" customHeight="1" x14ac:dyDescent="0.25">
      <c r="B479" s="47"/>
    </row>
    <row r="480" spans="1:9" ht="14.85" customHeight="1" x14ac:dyDescent="0.25">
      <c r="B480" s="47"/>
    </row>
    <row r="481" spans="2:2" ht="14.85" customHeight="1" x14ac:dyDescent="0.25">
      <c r="B481" s="47"/>
    </row>
    <row r="482" spans="2:2" ht="14.85" customHeight="1" x14ac:dyDescent="0.25">
      <c r="B482" s="47"/>
    </row>
    <row r="483" spans="2:2" ht="14.85" customHeight="1" x14ac:dyDescent="0.25">
      <c r="B483" s="47"/>
    </row>
    <row r="484" spans="2:2" ht="14.85" customHeight="1" x14ac:dyDescent="0.25">
      <c r="B484" s="47"/>
    </row>
    <row r="485" spans="2:2" ht="14.85" customHeight="1" x14ac:dyDescent="0.25">
      <c r="B485" s="47"/>
    </row>
    <row r="486" spans="2:2" ht="14.85" customHeight="1" x14ac:dyDescent="0.25">
      <c r="B486" s="47"/>
    </row>
    <row r="487" spans="2:2" ht="7.5" customHeight="1" x14ac:dyDescent="0.25">
      <c r="B487" s="47"/>
    </row>
    <row r="488" spans="2:2" ht="14.4" hidden="1" customHeight="1" x14ac:dyDescent="0.25">
      <c r="B488" s="47"/>
    </row>
    <row r="489" spans="2:2" ht="14.85" customHeight="1" x14ac:dyDescent="0.25">
      <c r="B489" s="47"/>
    </row>
    <row r="490" spans="2:2" ht="14.85" customHeight="1" x14ac:dyDescent="0.25">
      <c r="B490" s="47"/>
    </row>
    <row r="491" spans="2:2" ht="14.85" customHeight="1" x14ac:dyDescent="0.25">
      <c r="B491" s="47"/>
    </row>
    <row r="492" spans="2:2" ht="14.85" customHeight="1" x14ac:dyDescent="0.25">
      <c r="B492" s="47"/>
    </row>
    <row r="493" spans="2:2" ht="13.8" x14ac:dyDescent="0.25">
      <c r="B493" s="47"/>
    </row>
    <row r="494" spans="2:2" ht="14.85" customHeight="1" x14ac:dyDescent="0.25">
      <c r="B494" s="47"/>
    </row>
    <row r="495" spans="2:2" ht="14.85" customHeight="1" x14ac:dyDescent="0.25">
      <c r="B495" s="47"/>
    </row>
    <row r="496" spans="2:2" ht="14.85" customHeight="1" x14ac:dyDescent="0.25">
      <c r="B496" s="47"/>
    </row>
    <row r="497" spans="2:2" ht="14.85" customHeight="1" x14ac:dyDescent="0.25">
      <c r="B497" s="47"/>
    </row>
    <row r="498" spans="2:2" ht="14.85" customHeight="1" x14ac:dyDescent="0.25">
      <c r="B498" s="47"/>
    </row>
    <row r="499" spans="2:2" ht="14.85" customHeight="1" x14ac:dyDescent="0.25">
      <c r="B499" s="47"/>
    </row>
    <row r="500" spans="2:2" ht="14.85" customHeight="1" x14ac:dyDescent="0.25">
      <c r="B500" s="47"/>
    </row>
    <row r="501" spans="2:2" ht="14.85" customHeight="1" x14ac:dyDescent="0.25">
      <c r="B501" s="47"/>
    </row>
    <row r="502" spans="2:2" ht="14.85" customHeight="1" x14ac:dyDescent="0.25">
      <c r="B502" s="47"/>
    </row>
    <row r="503" spans="2:2" ht="14.85" customHeight="1" x14ac:dyDescent="0.25">
      <c r="B503" s="47"/>
    </row>
    <row r="504" spans="2:2" ht="14.85" customHeight="1" x14ac:dyDescent="0.25">
      <c r="B504" s="47"/>
    </row>
    <row r="505" spans="2:2" ht="14.85" customHeight="1" x14ac:dyDescent="0.25">
      <c r="B505" s="47"/>
    </row>
    <row r="506" spans="2:2" ht="14.85" customHeight="1" x14ac:dyDescent="0.25">
      <c r="B506" s="47"/>
    </row>
    <row r="507" spans="2:2" ht="14.85" customHeight="1" x14ac:dyDescent="0.25">
      <c r="B507" s="47"/>
    </row>
    <row r="508" spans="2:2" ht="14.85" customHeight="1" x14ac:dyDescent="0.25">
      <c r="B508" s="47"/>
    </row>
    <row r="509" spans="2:2" ht="14.85" customHeight="1" x14ac:dyDescent="0.25">
      <c r="B509" s="47"/>
    </row>
    <row r="510" spans="2:2" ht="14.85" customHeight="1" x14ac:dyDescent="0.25">
      <c r="B510" s="47"/>
    </row>
    <row r="511" spans="2:2" ht="14.85" customHeight="1" x14ac:dyDescent="0.25">
      <c r="B511" s="47"/>
    </row>
    <row r="512" spans="2:2" ht="14.85" customHeight="1" x14ac:dyDescent="0.25">
      <c r="B512" s="47"/>
    </row>
    <row r="513" spans="2:2" ht="14.85" customHeight="1" x14ac:dyDescent="0.25">
      <c r="B513" s="47"/>
    </row>
    <row r="514" spans="2:2" ht="14.85" customHeight="1" x14ac:dyDescent="0.25">
      <c r="B514" s="47"/>
    </row>
    <row r="515" spans="2:2" ht="14.85" customHeight="1" x14ac:dyDescent="0.25">
      <c r="B515" s="47"/>
    </row>
    <row r="516" spans="2:2" ht="14.85" customHeight="1" x14ac:dyDescent="0.25">
      <c r="B516" s="47"/>
    </row>
    <row r="517" spans="2:2" ht="14.85" customHeight="1" x14ac:dyDescent="0.25">
      <c r="B517" s="47"/>
    </row>
    <row r="518" spans="2:2" ht="14.85" customHeight="1" x14ac:dyDescent="0.25">
      <c r="B518" s="47"/>
    </row>
    <row r="519" spans="2:2" ht="14.85" customHeight="1" x14ac:dyDescent="0.25">
      <c r="B519" s="47"/>
    </row>
    <row r="520" spans="2:2" ht="14.85" customHeight="1" x14ac:dyDescent="0.25">
      <c r="B520" s="47"/>
    </row>
    <row r="521" spans="2:2" ht="14.85" customHeight="1" x14ac:dyDescent="0.25">
      <c r="B521" s="47"/>
    </row>
    <row r="522" spans="2:2" ht="14.85" customHeight="1" x14ac:dyDescent="0.25">
      <c r="B522" s="47"/>
    </row>
    <row r="523" spans="2:2" ht="14.85" customHeight="1" x14ac:dyDescent="0.25">
      <c r="B523" s="47"/>
    </row>
    <row r="524" spans="2:2" ht="14.85" customHeight="1" x14ac:dyDescent="0.25">
      <c r="B524" s="47"/>
    </row>
    <row r="525" spans="2:2" ht="14.85" customHeight="1" x14ac:dyDescent="0.25">
      <c r="B525" s="47"/>
    </row>
    <row r="526" spans="2:2" ht="14.85" customHeight="1" x14ac:dyDescent="0.25">
      <c r="B526" s="47"/>
    </row>
    <row r="527" spans="2:2" ht="14.85" customHeight="1" x14ac:dyDescent="0.25">
      <c r="B527" s="47"/>
    </row>
    <row r="528" spans="2:2" ht="14.85" customHeight="1" x14ac:dyDescent="0.25">
      <c r="B528" s="47"/>
    </row>
    <row r="529" spans="2:2" ht="14.85" customHeight="1" x14ac:dyDescent="0.25">
      <c r="B529" s="47"/>
    </row>
    <row r="530" spans="2:2" ht="14.85" customHeight="1" x14ac:dyDescent="0.25">
      <c r="B530" s="47"/>
    </row>
    <row r="531" spans="2:2" ht="14.85" customHeight="1" x14ac:dyDescent="0.25">
      <c r="B531" s="47"/>
    </row>
    <row r="532" spans="2:2" ht="14.85" customHeight="1" x14ac:dyDescent="0.25">
      <c r="B532" s="47"/>
    </row>
    <row r="533" spans="2:2" ht="14.85" customHeight="1" x14ac:dyDescent="0.25">
      <c r="B533" s="47"/>
    </row>
    <row r="534" spans="2:2" ht="14.85" customHeight="1" x14ac:dyDescent="0.25">
      <c r="B534" s="47"/>
    </row>
    <row r="535" spans="2:2" ht="14.85" customHeight="1" x14ac:dyDescent="0.25">
      <c r="B535" s="47"/>
    </row>
    <row r="536" spans="2:2" ht="14.85" customHeight="1" x14ac:dyDescent="0.25">
      <c r="B536" s="47"/>
    </row>
    <row r="537" spans="2:2" ht="14.85" customHeight="1" x14ac:dyDescent="0.25">
      <c r="B537" s="47"/>
    </row>
    <row r="539" spans="2:2" ht="14.85" customHeight="1" x14ac:dyDescent="0.25">
      <c r="B539" s="37"/>
    </row>
    <row r="540" spans="2:2" ht="14.85" customHeight="1" x14ac:dyDescent="0.25">
      <c r="B540" s="37"/>
    </row>
    <row r="541" spans="2:2" ht="14.85" customHeight="1" x14ac:dyDescent="0.25">
      <c r="B541" s="37"/>
    </row>
    <row r="542" spans="2:2" ht="14.85" customHeight="1" x14ac:dyDescent="0.25">
      <c r="B542" s="37"/>
    </row>
    <row r="543" spans="2:2" ht="14.85" customHeight="1" x14ac:dyDescent="0.25">
      <c r="B543" s="37"/>
    </row>
    <row r="544" spans="2:2" ht="14.85" customHeight="1" x14ac:dyDescent="0.25">
      <c r="B544" s="37"/>
    </row>
    <row r="545" spans="2:2" ht="14.85" customHeight="1" x14ac:dyDescent="0.25">
      <c r="B545" s="37"/>
    </row>
    <row r="546" spans="2:2" ht="14.85" customHeight="1" x14ac:dyDescent="0.25">
      <c r="B546" s="37"/>
    </row>
    <row r="547" spans="2:2" ht="14.85" customHeight="1" x14ac:dyDescent="0.25">
      <c r="B547" s="37"/>
    </row>
  </sheetData>
  <autoFilter ref="A1:J478">
    <filterColumn colId="3">
      <filters>
        <filter val="ENTTY_NM"/>
      </filters>
    </filterColumn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autoPageBreaks="0"/>
  </sheetPr>
  <dimension ref="A1:U547"/>
  <sheetViews>
    <sheetView showGridLines="0" zoomScale="85" zoomScaleNormal="85" workbookViewId="0">
      <pane xSplit="4" ySplit="1" topLeftCell="E2" activePane="bottomRight" state="frozen"/>
      <selection pane="topRight" activeCell="EP15" sqref="EP15"/>
      <selection pane="bottomLeft" activeCell="EP15" sqref="EP15"/>
      <selection pane="bottomRight" activeCell="D111" sqref="D111"/>
    </sheetView>
  </sheetViews>
  <sheetFormatPr defaultColWidth="9.09765625" defaultRowHeight="14.85" customHeight="1" outlineLevelCol="1" x14ac:dyDescent="0.25"/>
  <cols>
    <col min="1" max="1" width="14.69921875" style="36" customWidth="1"/>
    <col min="2" max="2" width="14.69921875" style="36" hidden="1" customWidth="1"/>
    <col min="3" max="3" width="17.5" style="37" customWidth="1"/>
    <col min="4" max="4" width="47.09765625" style="38" customWidth="1"/>
    <col min="5" max="5" width="85.8984375" style="6" customWidth="1"/>
    <col min="6" max="6" width="21.3984375" style="39" customWidth="1" outlineLevel="1"/>
    <col min="7" max="9" width="18.69921875" style="38" customWidth="1" outlineLevel="1"/>
    <col min="10" max="10" width="23.09765625" style="38" customWidth="1"/>
    <col min="11" max="20" width="9.09765625" style="6"/>
    <col min="21" max="21" width="49.19921875" style="6" customWidth="1"/>
    <col min="22" max="16384" width="9.09765625" style="6"/>
  </cols>
  <sheetData>
    <row r="1" spans="1:21" ht="28.95" customHeight="1" x14ac:dyDescent="0.25">
      <c r="A1" s="1" t="s">
        <v>0</v>
      </c>
      <c r="B1" s="1"/>
      <c r="C1" s="2" t="s">
        <v>1</v>
      </c>
      <c r="D1" s="3" t="s">
        <v>2</v>
      </c>
      <c r="E1" s="4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1" t="s">
        <v>8</v>
      </c>
      <c r="L1" s="5" t="s">
        <v>4</v>
      </c>
      <c r="M1" s="5" t="s">
        <v>1564</v>
      </c>
      <c r="N1" s="5" t="s">
        <v>5</v>
      </c>
      <c r="O1" s="5" t="s">
        <v>1564</v>
      </c>
      <c r="P1" s="5" t="s">
        <v>6</v>
      </c>
      <c r="Q1" s="5" t="s">
        <v>1564</v>
      </c>
      <c r="R1" s="5" t="s">
        <v>7</v>
      </c>
      <c r="S1" s="5" t="s">
        <v>1564</v>
      </c>
      <c r="U1" s="6" t="s">
        <v>1569</v>
      </c>
    </row>
    <row r="2" spans="1:21" ht="15" hidden="1" customHeight="1" x14ac:dyDescent="0.25">
      <c r="A2" s="7" t="s">
        <v>9</v>
      </c>
      <c r="B2" s="47" t="str">
        <f>C2&amp;"_"&amp;D2</f>
        <v>ENTITY_COD_SOC</v>
      </c>
      <c r="C2" s="8" t="s">
        <v>10</v>
      </c>
      <c r="D2" s="9" t="s">
        <v>12</v>
      </c>
      <c r="E2" s="11" t="s">
        <v>14</v>
      </c>
      <c r="F2" s="10" t="s">
        <v>13</v>
      </c>
      <c r="G2" s="10" t="s">
        <v>11</v>
      </c>
      <c r="H2" s="10" t="s">
        <v>13</v>
      </c>
      <c r="I2" s="10" t="s">
        <v>13</v>
      </c>
      <c r="J2" s="10" t="s">
        <v>11</v>
      </c>
      <c r="L2" s="6" t="str">
        <f>IFERROR(VLOOKUP($B2,'LISTA - Setembro2024'!$B$3:$F$539,5,0),"Campo eliminado")</f>
        <v>Y</v>
      </c>
      <c r="M2" s="6" t="str">
        <f>IF(L2="Campo eliminado","Campo eliminado",IF(L2=F2,"Igual","Diferente"))</f>
        <v>Igual</v>
      </c>
      <c r="N2" s="6" t="str">
        <f>IFERROR(VLOOKUP($B2,'LISTA - Setembro2024'!$B$3:$K$539,6,0),"Campo eliminado")</f>
        <v>N</v>
      </c>
      <c r="O2" s="6" t="str">
        <f>IF(N2="Campo eliminado","Campo eliminado",IF(N2=G2,"Igual","Diferente"))</f>
        <v>Igual</v>
      </c>
      <c r="P2" s="6" t="str">
        <f>IFERROR(VLOOKUP($B2,'LISTA - Setembro2024'!$B$3:$K$539,7,0),"Campo eliminado")</f>
        <v>Y</v>
      </c>
      <c r="Q2" s="6" t="str">
        <f>IF(P2="Campo eliminado","Campo eliminado",IF(P2=H2,"Igual","Diferente"))</f>
        <v>Igual</v>
      </c>
      <c r="R2" s="6" t="str">
        <f>IFERROR(VLOOKUP($B2,'LISTA - Setembro2024'!$B$3:$K$539,9,0),"Campo eliminado")</f>
        <v>Y</v>
      </c>
      <c r="S2" s="6" t="str">
        <f>IF(R2="Campo eliminado","Campo eliminado",IF(R2=I2,"Igual","Diferente"))</f>
        <v>Igual</v>
      </c>
      <c r="U2" s="6" t="str">
        <f>VLOOKUP(B2,DataLake!$A$4:$A$429,1,0)</f>
        <v>ENTITY_COD_SOC</v>
      </c>
    </row>
    <row r="3" spans="1:21" ht="15" hidden="1" customHeight="1" x14ac:dyDescent="0.25">
      <c r="A3" s="7" t="s">
        <v>16</v>
      </c>
      <c r="B3" s="47" t="str">
        <f t="shared" ref="B3:B66" si="0">C3&amp;"_"&amp;D3</f>
        <v>ENTITY_CNTRY</v>
      </c>
      <c r="C3" s="8" t="s">
        <v>10</v>
      </c>
      <c r="D3" s="9" t="s">
        <v>17</v>
      </c>
      <c r="E3" s="11" t="s">
        <v>18</v>
      </c>
      <c r="F3" s="10" t="s">
        <v>13</v>
      </c>
      <c r="G3" s="10" t="s">
        <v>11</v>
      </c>
      <c r="H3" s="10" t="s">
        <v>13</v>
      </c>
      <c r="I3" s="10" t="s">
        <v>13</v>
      </c>
      <c r="J3" s="10" t="s">
        <v>11</v>
      </c>
      <c r="L3" s="6" t="str">
        <f>IFERROR(VLOOKUP($B3,'LISTA - Setembro2024'!$B$3:$F$539,5,0),"Campo eliminado")</f>
        <v>Y</v>
      </c>
      <c r="M3" s="6" t="str">
        <f t="shared" ref="M3:M66" si="1">IF(L3="Campo eliminado","Campo eliminado",IF(L3=F3,"Igual","Diferente"))</f>
        <v>Igual</v>
      </c>
      <c r="N3" s="6" t="str">
        <f>IFERROR(VLOOKUP($B3,'LISTA - Setembro2024'!$B$3:$K$539,6,0),"Campo eliminado")</f>
        <v>N</v>
      </c>
      <c r="O3" s="6" t="str">
        <f t="shared" ref="O3:O66" si="2">IF(N3="Campo eliminado","Campo eliminado",IF(N3=G3,"Igual","Diferente"))</f>
        <v>Igual</v>
      </c>
      <c r="P3" s="6" t="str">
        <f>IFERROR(VLOOKUP($B3,'LISTA - Setembro2024'!$B$3:$K$539,7,0),"Campo eliminado")</f>
        <v>Y</v>
      </c>
      <c r="Q3" s="6" t="str">
        <f t="shared" ref="Q3:Q66" si="3">IF(P3="Campo eliminado","Campo eliminado",IF(P3=H3,"Igual","Diferente"))</f>
        <v>Igual</v>
      </c>
      <c r="R3" s="6" t="str">
        <f>IFERROR(VLOOKUP($B3,'LISTA - Setembro2024'!$B$3:$K$539,9,0),"Campo eliminado")</f>
        <v>Y</v>
      </c>
      <c r="S3" s="6" t="str">
        <f t="shared" ref="S3:S66" si="4">IF(R3="Campo eliminado","Campo eliminado",IF(R3=I3,"Igual","Diferente"))</f>
        <v>Igual</v>
      </c>
      <c r="U3" s="6" t="str">
        <f>VLOOKUP(B3,DataLake!$A$4:$A$429,1,0)</f>
        <v>ENTITY_CNTRY</v>
      </c>
    </row>
    <row r="4" spans="1:21" ht="15" hidden="1" customHeight="1" x14ac:dyDescent="0.25">
      <c r="A4" s="7" t="s">
        <v>19</v>
      </c>
      <c r="B4" s="47" t="str">
        <f t="shared" si="0"/>
        <v>ENTITY_DT_BRTH</v>
      </c>
      <c r="C4" s="8" t="s">
        <v>10</v>
      </c>
      <c r="D4" s="9" t="s">
        <v>20</v>
      </c>
      <c r="E4" s="11" t="s">
        <v>21</v>
      </c>
      <c r="F4" s="10" t="s">
        <v>13</v>
      </c>
      <c r="G4" s="10" t="s">
        <v>11</v>
      </c>
      <c r="H4" s="10" t="s">
        <v>11</v>
      </c>
      <c r="I4" s="10" t="s">
        <v>11</v>
      </c>
      <c r="J4" s="10" t="s">
        <v>11</v>
      </c>
      <c r="L4" s="6" t="str">
        <f>IFERROR(VLOOKUP($B4,'LISTA - Setembro2024'!$B$3:$F$539,5,0),"Campo eliminado")</f>
        <v>Y</v>
      </c>
      <c r="M4" s="6" t="str">
        <f t="shared" si="1"/>
        <v>Igual</v>
      </c>
      <c r="N4" s="6" t="str">
        <f>IFERROR(VLOOKUP($B4,'LISTA - Setembro2024'!$B$3:$K$539,6,0),"Campo eliminado")</f>
        <v>N</v>
      </c>
      <c r="O4" s="6" t="str">
        <f t="shared" si="2"/>
        <v>Igual</v>
      </c>
      <c r="P4" s="6" t="str">
        <f>IFERROR(VLOOKUP($B4,'LISTA - Setembro2024'!$B$3:$K$539,7,0),"Campo eliminado")</f>
        <v>N</v>
      </c>
      <c r="Q4" s="6" t="str">
        <f t="shared" si="3"/>
        <v>Igual</v>
      </c>
      <c r="R4" s="6" t="str">
        <f>IFERROR(VLOOKUP($B4,'LISTA - Setembro2024'!$B$3:$K$539,9,0),"Campo eliminado")</f>
        <v>N</v>
      </c>
      <c r="S4" s="6" t="str">
        <f t="shared" si="4"/>
        <v>Igual</v>
      </c>
      <c r="U4" s="6" t="str">
        <f>VLOOKUP(B4,DataLake!$A$4:$A$429,1,0)</f>
        <v>ENTITY_DT_BRTH</v>
      </c>
    </row>
    <row r="5" spans="1:21" ht="15" hidden="1" customHeight="1" x14ac:dyDescent="0.25">
      <c r="A5" s="7" t="s">
        <v>22</v>
      </c>
      <c r="B5" s="47" t="str">
        <f t="shared" si="0"/>
        <v>ENTITY_DT_DFLT_STTS</v>
      </c>
      <c r="C5" s="8" t="s">
        <v>10</v>
      </c>
      <c r="D5" s="9" t="s">
        <v>23</v>
      </c>
      <c r="E5" s="11" t="s">
        <v>24</v>
      </c>
      <c r="F5" s="10" t="s">
        <v>13</v>
      </c>
      <c r="G5" s="10" t="s">
        <v>11</v>
      </c>
      <c r="H5" s="10" t="s">
        <v>11</v>
      </c>
      <c r="I5" s="10" t="s">
        <v>11</v>
      </c>
      <c r="J5" s="10" t="s">
        <v>23</v>
      </c>
      <c r="L5" s="6" t="str">
        <f>IFERROR(VLOOKUP($B5,'LISTA - Setembro2024'!$B$3:$F$539,5,0),"Campo eliminado")</f>
        <v>Y</v>
      </c>
      <c r="M5" s="6" t="str">
        <f t="shared" si="1"/>
        <v>Igual</v>
      </c>
      <c r="N5" s="6" t="str">
        <f>IFERROR(VLOOKUP($B5,'LISTA - Setembro2024'!$B$3:$K$539,6,0),"Campo eliminado")</f>
        <v>N</v>
      </c>
      <c r="O5" s="6" t="str">
        <f t="shared" si="2"/>
        <v>Igual</v>
      </c>
      <c r="P5" s="6" t="str">
        <f>IFERROR(VLOOKUP($B5,'LISTA - Setembro2024'!$B$3:$K$539,7,0),"Campo eliminado")</f>
        <v>N</v>
      </c>
      <c r="Q5" s="6" t="str">
        <f t="shared" si="3"/>
        <v>Igual</v>
      </c>
      <c r="R5" s="6" t="str">
        <f>IFERROR(VLOOKUP($B5,'LISTA - Setembro2024'!$B$3:$K$539,9,0),"Campo eliminado")</f>
        <v>N</v>
      </c>
      <c r="S5" s="6" t="str">
        <f t="shared" si="4"/>
        <v>Igual</v>
      </c>
      <c r="U5" s="6" t="str">
        <f>VLOOKUP(B5,DataLake!$A$4:$A$429,1,0)</f>
        <v>ENTITY_DT_DFLT_STTS</v>
      </c>
    </row>
    <row r="6" spans="1:21" ht="15" hidden="1" customHeight="1" x14ac:dyDescent="0.25">
      <c r="A6" s="7" t="s">
        <v>25</v>
      </c>
      <c r="B6" s="47" t="str">
        <f t="shared" si="0"/>
        <v>ENTITY_DT_FNNCL_STTMTS</v>
      </c>
      <c r="C6" s="8" t="s">
        <v>10</v>
      </c>
      <c r="D6" s="9" t="s">
        <v>26</v>
      </c>
      <c r="E6" s="12" t="s">
        <v>27</v>
      </c>
      <c r="F6" s="10" t="s">
        <v>13</v>
      </c>
      <c r="G6" s="10" t="s">
        <v>11</v>
      </c>
      <c r="H6" s="10" t="s">
        <v>11</v>
      </c>
      <c r="I6" s="10" t="s">
        <v>11</v>
      </c>
      <c r="J6" s="10" t="s">
        <v>26</v>
      </c>
      <c r="L6" s="6" t="str">
        <f>IFERROR(VLOOKUP($B6,'LISTA - Setembro2024'!$B$3:$F$539,5,0),"Campo eliminado")</f>
        <v>Y</v>
      </c>
      <c r="M6" s="6" t="str">
        <f t="shared" si="1"/>
        <v>Igual</v>
      </c>
      <c r="N6" s="6" t="str">
        <f>IFERROR(VLOOKUP($B6,'LISTA - Setembro2024'!$B$3:$K$539,6,0),"Campo eliminado")</f>
        <v>N</v>
      </c>
      <c r="O6" s="6" t="str">
        <f t="shared" si="2"/>
        <v>Igual</v>
      </c>
      <c r="P6" s="6" t="str">
        <f>IFERROR(VLOOKUP($B6,'LISTA - Setembro2024'!$B$3:$K$539,7,0),"Campo eliminado")</f>
        <v>N</v>
      </c>
      <c r="Q6" s="6" t="str">
        <f t="shared" si="3"/>
        <v>Igual</v>
      </c>
      <c r="R6" s="6" t="str">
        <f>IFERROR(VLOOKUP($B6,'LISTA - Setembro2024'!$B$3:$K$539,9,0),"Campo eliminado")</f>
        <v>N</v>
      </c>
      <c r="S6" s="6" t="str">
        <f t="shared" si="4"/>
        <v>Igual</v>
      </c>
      <c r="U6" s="6" t="str">
        <f>VLOOKUP(B6,DataLake!$A$4:$A$429,1,0)</f>
        <v>ENTITY_DT_FNNCL_STTMTS</v>
      </c>
    </row>
    <row r="7" spans="1:21" ht="15" hidden="1" customHeight="1" x14ac:dyDescent="0.25">
      <c r="A7" s="7" t="s">
        <v>28</v>
      </c>
      <c r="B7" s="47" t="str">
        <f t="shared" si="0"/>
        <v>ENTITY_DT_FNNCL_STTMTS_PRVS</v>
      </c>
      <c r="C7" s="8" t="s">
        <v>10</v>
      </c>
      <c r="D7" s="9" t="s">
        <v>29</v>
      </c>
      <c r="E7" s="12" t="s">
        <v>30</v>
      </c>
      <c r="F7" s="10" t="s">
        <v>13</v>
      </c>
      <c r="G7" s="10" t="s">
        <v>11</v>
      </c>
      <c r="H7" s="10" t="s">
        <v>11</v>
      </c>
      <c r="I7" s="10" t="s">
        <v>11</v>
      </c>
      <c r="J7" s="10" t="s">
        <v>29</v>
      </c>
      <c r="L7" s="6" t="str">
        <f>IFERROR(VLOOKUP($B7,'LISTA - Setembro2024'!$B$3:$F$539,5,0),"Campo eliminado")</f>
        <v>Y</v>
      </c>
      <c r="M7" s="6" t="str">
        <f t="shared" si="1"/>
        <v>Igual</v>
      </c>
      <c r="N7" s="6" t="str">
        <f>IFERROR(VLOOKUP($B7,'LISTA - Setembro2024'!$B$3:$K$539,6,0),"Campo eliminado")</f>
        <v>N</v>
      </c>
      <c r="O7" s="6" t="str">
        <f t="shared" si="2"/>
        <v>Igual</v>
      </c>
      <c r="P7" s="6" t="str">
        <f>IFERROR(VLOOKUP($B7,'LISTA - Setembro2024'!$B$3:$K$539,7,0),"Campo eliminado")</f>
        <v>N</v>
      </c>
      <c r="Q7" s="6" t="str">
        <f t="shared" si="3"/>
        <v>Igual</v>
      </c>
      <c r="R7" s="6" t="str">
        <f>IFERROR(VLOOKUP($B7,'LISTA - Setembro2024'!$B$3:$K$539,9,0),"Campo eliminado")</f>
        <v>N</v>
      </c>
      <c r="S7" s="6" t="str">
        <f t="shared" si="4"/>
        <v>Igual</v>
      </c>
      <c r="U7" s="6" t="str">
        <f>VLOOKUP(B7,DataLake!$A$4:$A$429,1,0)</f>
        <v>ENTITY_DT_FNNCL_STTMTS_PRVS</v>
      </c>
    </row>
    <row r="8" spans="1:21" ht="15" hidden="1" customHeight="1" x14ac:dyDescent="0.25">
      <c r="A8" s="7" t="s">
        <v>31</v>
      </c>
      <c r="B8" s="47" t="str">
        <f t="shared" si="0"/>
        <v>ENTITY_DT_INTTN_LGL_PRCDNGS_LE</v>
      </c>
      <c r="C8" s="8" t="s">
        <v>10</v>
      </c>
      <c r="D8" s="9" t="s">
        <v>32</v>
      </c>
      <c r="E8" s="11" t="s">
        <v>33</v>
      </c>
      <c r="F8" s="10" t="s">
        <v>13</v>
      </c>
      <c r="G8" s="10" t="s">
        <v>11</v>
      </c>
      <c r="H8" s="10" t="s">
        <v>11</v>
      </c>
      <c r="I8" s="10" t="s">
        <v>11</v>
      </c>
      <c r="J8" s="10" t="s">
        <v>11</v>
      </c>
      <c r="L8" s="6" t="str">
        <f>IFERROR(VLOOKUP($B8,'LISTA - Setembro2024'!$B$3:$F$539,5,0),"Campo eliminado")</f>
        <v>Y</v>
      </c>
      <c r="M8" s="6" t="str">
        <f t="shared" si="1"/>
        <v>Igual</v>
      </c>
      <c r="N8" s="6" t="str">
        <f>IFERROR(VLOOKUP($B8,'LISTA - Setembro2024'!$B$3:$K$539,6,0),"Campo eliminado")</f>
        <v>N</v>
      </c>
      <c r="O8" s="6" t="str">
        <f t="shared" si="2"/>
        <v>Igual</v>
      </c>
      <c r="P8" s="6" t="str">
        <f>IFERROR(VLOOKUP($B8,'LISTA - Setembro2024'!$B$3:$K$539,7,0),"Campo eliminado")</f>
        <v>N</v>
      </c>
      <c r="Q8" s="6" t="str">
        <f t="shared" si="3"/>
        <v>Igual</v>
      </c>
      <c r="R8" s="6" t="str">
        <f>IFERROR(VLOOKUP($B8,'LISTA - Setembro2024'!$B$3:$K$539,9,0),"Campo eliminado")</f>
        <v>N</v>
      </c>
      <c r="S8" s="6" t="str">
        <f t="shared" si="4"/>
        <v>Igual</v>
      </c>
      <c r="U8" s="6" t="str">
        <f>VLOOKUP(B8,DataLake!$A$4:$A$429,1,0)</f>
        <v>ENTITY_DT_INTTN_LGL_PRCDNGS_LE</v>
      </c>
    </row>
    <row r="9" spans="1:21" ht="15" hidden="1" customHeight="1" x14ac:dyDescent="0.25">
      <c r="A9" s="7" t="s">
        <v>34</v>
      </c>
      <c r="B9" s="47" t="str">
        <f t="shared" si="0"/>
        <v>ENTITY_DT_PRFRMNG_STTS_LE</v>
      </c>
      <c r="C9" s="8" t="s">
        <v>10</v>
      </c>
      <c r="D9" s="9" t="s">
        <v>35</v>
      </c>
      <c r="E9" s="11" t="s">
        <v>36</v>
      </c>
      <c r="F9" s="10" t="s">
        <v>13</v>
      </c>
      <c r="G9" s="10" t="s">
        <v>11</v>
      </c>
      <c r="H9" s="10" t="s">
        <v>11</v>
      </c>
      <c r="I9" s="10" t="s">
        <v>11</v>
      </c>
      <c r="J9" s="10" t="s">
        <v>11</v>
      </c>
      <c r="L9" s="6" t="str">
        <f>IFERROR(VLOOKUP($B9,'LISTA - Setembro2024'!$B$3:$F$539,5,0),"Campo eliminado")</f>
        <v>Y</v>
      </c>
      <c r="M9" s="6" t="str">
        <f t="shared" si="1"/>
        <v>Igual</v>
      </c>
      <c r="N9" s="6" t="str">
        <f>IFERROR(VLOOKUP($B9,'LISTA - Setembro2024'!$B$3:$K$539,6,0),"Campo eliminado")</f>
        <v>N</v>
      </c>
      <c r="O9" s="6" t="str">
        <f t="shared" si="2"/>
        <v>Igual</v>
      </c>
      <c r="P9" s="6" t="str">
        <f>IFERROR(VLOOKUP($B9,'LISTA - Setembro2024'!$B$3:$K$539,7,0),"Campo eliminado")</f>
        <v>N</v>
      </c>
      <c r="Q9" s="6" t="str">
        <f t="shared" si="3"/>
        <v>Igual</v>
      </c>
      <c r="R9" s="6" t="str">
        <f>IFERROR(VLOOKUP($B9,'LISTA - Setembro2024'!$B$3:$K$539,9,0),"Campo eliminado")</f>
        <v>N</v>
      </c>
      <c r="S9" s="6" t="str">
        <f t="shared" si="4"/>
        <v>Igual</v>
      </c>
      <c r="U9" s="6" t="str">
        <f>VLOOKUP(B9,DataLake!$A$4:$A$429,1,0)</f>
        <v>ENTITY_DT_PRFRMNG_STTS_LE</v>
      </c>
    </row>
    <row r="10" spans="1:21" ht="15" hidden="1" customHeight="1" x14ac:dyDescent="0.25">
      <c r="A10" s="7" t="s">
        <v>37</v>
      </c>
      <c r="B10" s="47" t="str">
        <f t="shared" si="0"/>
        <v>ENTITY_DT_RFRNC</v>
      </c>
      <c r="C10" s="8" t="s">
        <v>10</v>
      </c>
      <c r="D10" s="9" t="s">
        <v>38</v>
      </c>
      <c r="E10" s="11" t="s">
        <v>39</v>
      </c>
      <c r="F10" s="10" t="s">
        <v>13</v>
      </c>
      <c r="G10" s="10" t="s">
        <v>11</v>
      </c>
      <c r="H10" s="10" t="s">
        <v>13</v>
      </c>
      <c r="I10" s="10" t="s">
        <v>11</v>
      </c>
      <c r="J10" s="10" t="s">
        <v>11</v>
      </c>
      <c r="L10" s="6" t="str">
        <f>IFERROR(VLOOKUP($B10,'LISTA - Setembro2024'!$B$3:$F$539,5,0),"Campo eliminado")</f>
        <v>Y</v>
      </c>
      <c r="M10" s="6" t="str">
        <f t="shared" si="1"/>
        <v>Igual</v>
      </c>
      <c r="N10" s="6" t="str">
        <f>IFERROR(VLOOKUP($B10,'LISTA - Setembro2024'!$B$3:$K$539,6,0),"Campo eliminado")</f>
        <v>N</v>
      </c>
      <c r="O10" s="6" t="str">
        <f t="shared" si="2"/>
        <v>Igual</v>
      </c>
      <c r="P10" s="6" t="str">
        <f>IFERROR(VLOOKUP($B10,'LISTA - Setembro2024'!$B$3:$K$539,7,0),"Campo eliminado")</f>
        <v>Y</v>
      </c>
      <c r="Q10" s="6" t="str">
        <f t="shared" si="3"/>
        <v>Igual</v>
      </c>
      <c r="R10" s="6" t="str">
        <f>IFERROR(VLOOKUP($B10,'LISTA - Setembro2024'!$B$3:$K$539,9,0),"Campo eliminado")</f>
        <v>N</v>
      </c>
      <c r="S10" s="6" t="str">
        <f t="shared" si="4"/>
        <v>Igual</v>
      </c>
      <c r="U10" s="6" t="e">
        <f>VLOOKUP(B10,DataLake!$A$4:$A$429,1,0)</f>
        <v>#N/A</v>
      </c>
    </row>
    <row r="11" spans="1:21" ht="15" hidden="1" customHeight="1" x14ac:dyDescent="0.25">
      <c r="A11" s="7" t="s">
        <v>40</v>
      </c>
      <c r="B11" s="47" t="str">
        <f t="shared" si="0"/>
        <v>ENTITY_ENTTY_ID</v>
      </c>
      <c r="C11" s="8" t="s">
        <v>10</v>
      </c>
      <c r="D11" s="9" t="s">
        <v>41</v>
      </c>
      <c r="E11" s="11" t="s">
        <v>42</v>
      </c>
      <c r="F11" s="10" t="s">
        <v>13</v>
      </c>
      <c r="G11" s="10" t="s">
        <v>11</v>
      </c>
      <c r="H11" s="10" t="s">
        <v>13</v>
      </c>
      <c r="I11" s="10" t="s">
        <v>13</v>
      </c>
      <c r="J11" s="10" t="s">
        <v>11</v>
      </c>
      <c r="L11" s="6" t="str">
        <f>IFERROR(VLOOKUP($B11,'LISTA - Setembro2024'!$B$3:$F$539,5,0),"Campo eliminado")</f>
        <v>Y</v>
      </c>
      <c r="M11" s="6" t="str">
        <f t="shared" si="1"/>
        <v>Igual</v>
      </c>
      <c r="N11" s="6" t="str">
        <f>IFERROR(VLOOKUP($B11,'LISTA - Setembro2024'!$B$3:$K$539,6,0),"Campo eliminado")</f>
        <v>N</v>
      </c>
      <c r="O11" s="6" t="str">
        <f t="shared" si="2"/>
        <v>Igual</v>
      </c>
      <c r="P11" s="6" t="str">
        <f>IFERROR(VLOOKUP($B11,'LISTA - Setembro2024'!$B$3:$K$539,7,0),"Campo eliminado")</f>
        <v>Y</v>
      </c>
      <c r="Q11" s="6" t="str">
        <f t="shared" si="3"/>
        <v>Igual</v>
      </c>
      <c r="R11" s="6" t="str">
        <f>IFERROR(VLOOKUP($B11,'LISTA - Setembro2024'!$B$3:$K$539,9,0),"Campo eliminado")</f>
        <v>Y</v>
      </c>
      <c r="S11" s="6" t="str">
        <f t="shared" si="4"/>
        <v>Igual</v>
      </c>
      <c r="U11" s="6" t="str">
        <f>VLOOKUP(B11,DataLake!$A$4:$A$429,1,0)</f>
        <v>ENTITY_ENTTY_ID</v>
      </c>
    </row>
    <row r="12" spans="1:21" ht="15" hidden="1" customHeight="1" x14ac:dyDescent="0.25">
      <c r="A12" s="7" t="s">
        <v>43</v>
      </c>
      <c r="B12" s="47" t="str">
        <f t="shared" si="0"/>
        <v>ENTITY_GCC_PRNT_ID</v>
      </c>
      <c r="C12" s="8" t="s">
        <v>10</v>
      </c>
      <c r="D12" s="9" t="s">
        <v>44</v>
      </c>
      <c r="E12" s="11" t="s">
        <v>45</v>
      </c>
      <c r="F12" s="10" t="s">
        <v>13</v>
      </c>
      <c r="G12" s="10" t="s">
        <v>11</v>
      </c>
      <c r="H12" s="10" t="s">
        <v>11</v>
      </c>
      <c r="I12" s="10" t="s">
        <v>11</v>
      </c>
      <c r="J12" s="10" t="s">
        <v>44</v>
      </c>
      <c r="L12" s="6" t="str">
        <f>IFERROR(VLOOKUP($B12,'LISTA - Setembro2024'!$B$3:$F$539,5,0),"Campo eliminado")</f>
        <v>Y</v>
      </c>
      <c r="M12" s="6" t="str">
        <f t="shared" si="1"/>
        <v>Igual</v>
      </c>
      <c r="N12" s="6" t="str">
        <f>IFERROR(VLOOKUP($B12,'LISTA - Setembro2024'!$B$3:$K$539,6,0),"Campo eliminado")</f>
        <v>N</v>
      </c>
      <c r="O12" s="6" t="str">
        <f t="shared" si="2"/>
        <v>Igual</v>
      </c>
      <c r="P12" s="6" t="str">
        <f>IFERROR(VLOOKUP($B12,'LISTA - Setembro2024'!$B$3:$K$539,7,0),"Campo eliminado")</f>
        <v>N</v>
      </c>
      <c r="Q12" s="6" t="str">
        <f t="shared" si="3"/>
        <v>Igual</v>
      </c>
      <c r="R12" s="6" t="str">
        <f>IFERROR(VLOOKUP($B12,'LISTA - Setembro2024'!$B$3:$K$539,9,0),"Campo eliminado")</f>
        <v>N</v>
      </c>
      <c r="S12" s="6" t="str">
        <f t="shared" si="4"/>
        <v>Igual</v>
      </c>
      <c r="U12" s="6" t="str">
        <f>VLOOKUP(B12,DataLake!$A$4:$A$429,1,0)</f>
        <v>ENTITY_GCC_PRNT_ID</v>
      </c>
    </row>
    <row r="13" spans="1:21" ht="15" hidden="1" customHeight="1" x14ac:dyDescent="0.25">
      <c r="A13" s="7" t="s">
        <v>46</v>
      </c>
      <c r="B13" s="47" t="str">
        <f t="shared" si="0"/>
        <v>ENTITY_GCC_PRNT_NM</v>
      </c>
      <c r="C13" s="8" t="s">
        <v>10</v>
      </c>
      <c r="D13" s="9" t="s">
        <v>47</v>
      </c>
      <c r="E13" s="11" t="s">
        <v>48</v>
      </c>
      <c r="F13" s="10" t="s">
        <v>13</v>
      </c>
      <c r="G13" s="10" t="s">
        <v>11</v>
      </c>
      <c r="H13" s="10" t="s">
        <v>11</v>
      </c>
      <c r="I13" s="10" t="s">
        <v>11</v>
      </c>
      <c r="J13" s="10" t="s">
        <v>47</v>
      </c>
      <c r="L13" s="6" t="str">
        <f>IFERROR(VLOOKUP($B13,'LISTA - Setembro2024'!$B$3:$F$539,5,0),"Campo eliminado")</f>
        <v>Y</v>
      </c>
      <c r="M13" s="6" t="str">
        <f t="shared" si="1"/>
        <v>Igual</v>
      </c>
      <c r="N13" s="6" t="str">
        <f>IFERROR(VLOOKUP($B13,'LISTA - Setembro2024'!$B$3:$K$539,6,0),"Campo eliminado")</f>
        <v>N</v>
      </c>
      <c r="O13" s="6" t="str">
        <f t="shared" si="2"/>
        <v>Igual</v>
      </c>
      <c r="P13" s="6" t="str">
        <f>IFERROR(VLOOKUP($B13,'LISTA - Setembro2024'!$B$3:$K$539,7,0),"Campo eliminado")</f>
        <v>N</v>
      </c>
      <c r="Q13" s="6" t="str">
        <f t="shared" si="3"/>
        <v>Igual</v>
      </c>
      <c r="R13" s="6" t="str">
        <f>IFERROR(VLOOKUP($B13,'LISTA - Setembro2024'!$B$3:$K$539,9,0),"Campo eliminado")</f>
        <v>N</v>
      </c>
      <c r="S13" s="6" t="str">
        <f t="shared" si="4"/>
        <v>Igual</v>
      </c>
      <c r="U13" s="6" t="str">
        <f>VLOOKUP(B13,DataLake!$A$4:$A$429,1,0)</f>
        <v>ENTITY_GCC_PRNT_NM</v>
      </c>
    </row>
    <row r="14" spans="1:21" ht="15" hidden="1" customHeight="1" x14ac:dyDescent="0.25">
      <c r="A14" s="7" t="s">
        <v>49</v>
      </c>
      <c r="B14" s="47" t="str">
        <f t="shared" si="0"/>
        <v>ENTITY_INTRNL_SGMNT</v>
      </c>
      <c r="C14" s="8" t="s">
        <v>10</v>
      </c>
      <c r="D14" s="9" t="s">
        <v>50</v>
      </c>
      <c r="E14" s="11" t="s">
        <v>51</v>
      </c>
      <c r="F14" s="10" t="s">
        <v>13</v>
      </c>
      <c r="G14" s="10" t="s">
        <v>11</v>
      </c>
      <c r="H14" s="10" t="s">
        <v>11</v>
      </c>
      <c r="I14" s="10" t="s">
        <v>11</v>
      </c>
      <c r="J14" s="10" t="s">
        <v>50</v>
      </c>
      <c r="L14" s="6" t="str">
        <f>IFERROR(VLOOKUP($B14,'LISTA - Setembro2024'!$B$3:$F$539,5,0),"Campo eliminado")</f>
        <v>Y</v>
      </c>
      <c r="M14" s="6" t="str">
        <f t="shared" si="1"/>
        <v>Igual</v>
      </c>
      <c r="N14" s="6" t="str">
        <f>IFERROR(VLOOKUP($B14,'LISTA - Setembro2024'!$B$3:$K$539,6,0),"Campo eliminado")</f>
        <v>N</v>
      </c>
      <c r="O14" s="6" t="str">
        <f t="shared" si="2"/>
        <v>Igual</v>
      </c>
      <c r="P14" s="6" t="str">
        <f>IFERROR(VLOOKUP($B14,'LISTA - Setembro2024'!$B$3:$K$539,7,0),"Campo eliminado")</f>
        <v>N</v>
      </c>
      <c r="Q14" s="6" t="str">
        <f t="shared" si="3"/>
        <v>Igual</v>
      </c>
      <c r="R14" s="6" t="str">
        <f>IFERROR(VLOOKUP($B14,'LISTA - Setembro2024'!$B$3:$K$539,9,0),"Campo eliminado")</f>
        <v>N</v>
      </c>
      <c r="S14" s="6" t="str">
        <f t="shared" si="4"/>
        <v>Igual</v>
      </c>
      <c r="U14" s="6" t="str">
        <f>VLOOKUP(B14,DataLake!$A$4:$A$429,1,0)</f>
        <v>ENTITY_INTRNL_SGMNT</v>
      </c>
    </row>
    <row r="15" spans="1:21" ht="15" hidden="1" customHeight="1" x14ac:dyDescent="0.25">
      <c r="A15" s="7" t="s">
        <v>52</v>
      </c>
      <c r="B15" s="47" t="str">
        <f t="shared" si="0"/>
        <v>ENTITY_INTRNL_UNT</v>
      </c>
      <c r="C15" s="8" t="s">
        <v>10</v>
      </c>
      <c r="D15" s="9" t="s">
        <v>53</v>
      </c>
      <c r="E15" s="11" t="s">
        <v>54</v>
      </c>
      <c r="F15" s="10" t="s">
        <v>13</v>
      </c>
      <c r="G15" s="10" t="s">
        <v>11</v>
      </c>
      <c r="H15" s="10" t="s">
        <v>11</v>
      </c>
      <c r="I15" s="10" t="s">
        <v>11</v>
      </c>
      <c r="J15" s="10" t="s">
        <v>53</v>
      </c>
      <c r="L15" s="6" t="str">
        <f>IFERROR(VLOOKUP($B15,'LISTA - Setembro2024'!$B$3:$F$539,5,0),"Campo eliminado")</f>
        <v>Y</v>
      </c>
      <c r="M15" s="6" t="str">
        <f t="shared" si="1"/>
        <v>Igual</v>
      </c>
      <c r="N15" s="6" t="str">
        <f>IFERROR(VLOOKUP($B15,'LISTA - Setembro2024'!$B$3:$K$539,6,0),"Campo eliminado")</f>
        <v>N</v>
      </c>
      <c r="O15" s="6" t="str">
        <f t="shared" si="2"/>
        <v>Igual</v>
      </c>
      <c r="P15" s="6" t="str">
        <f>IFERROR(VLOOKUP($B15,'LISTA - Setembro2024'!$B$3:$K$539,7,0),"Campo eliminado")</f>
        <v>N</v>
      </c>
      <c r="Q15" s="6" t="str">
        <f t="shared" si="3"/>
        <v>Igual</v>
      </c>
      <c r="R15" s="6" t="str">
        <f>IFERROR(VLOOKUP($B15,'LISTA - Setembro2024'!$B$3:$K$539,9,0),"Campo eliminado")</f>
        <v>N</v>
      </c>
      <c r="S15" s="6" t="str">
        <f t="shared" si="4"/>
        <v>Igual</v>
      </c>
      <c r="U15" s="6" t="str">
        <f>VLOOKUP(B15,DataLake!$A$4:$A$429,1,0)</f>
        <v>ENTITY_INTRNL_UNT</v>
      </c>
    </row>
    <row r="16" spans="1:21" ht="15" hidden="1" customHeight="1" x14ac:dyDescent="0.25">
      <c r="A16" s="7" t="s">
        <v>55</v>
      </c>
      <c r="B16" s="47" t="str">
        <f t="shared" si="0"/>
        <v>ENTITY_LEI</v>
      </c>
      <c r="C16" s="8" t="s">
        <v>10</v>
      </c>
      <c r="D16" s="9" t="s">
        <v>56</v>
      </c>
      <c r="E16" s="11" t="s">
        <v>57</v>
      </c>
      <c r="F16" s="10" t="s">
        <v>13</v>
      </c>
      <c r="G16" s="10" t="s">
        <v>11</v>
      </c>
      <c r="H16" s="10" t="s">
        <v>13</v>
      </c>
      <c r="I16" s="10" t="s">
        <v>11</v>
      </c>
      <c r="J16" s="10" t="s">
        <v>11</v>
      </c>
      <c r="L16" s="6" t="str">
        <f>IFERROR(VLOOKUP($B16,'LISTA - Setembro2024'!$B$3:$F$539,5,0),"Campo eliminado")</f>
        <v>Y</v>
      </c>
      <c r="M16" s="6" t="str">
        <f t="shared" si="1"/>
        <v>Igual</v>
      </c>
      <c r="N16" s="6" t="str">
        <f>IFERROR(VLOOKUP($B16,'LISTA - Setembro2024'!$B$3:$K$539,6,0),"Campo eliminado")</f>
        <v>N</v>
      </c>
      <c r="O16" s="6" t="str">
        <f t="shared" si="2"/>
        <v>Igual</v>
      </c>
      <c r="P16" s="6" t="str">
        <f>IFERROR(VLOOKUP($B16,'LISTA - Setembro2024'!$B$3:$K$539,7,0),"Campo eliminado")</f>
        <v>Y</v>
      </c>
      <c r="Q16" s="6" t="str">
        <f t="shared" si="3"/>
        <v>Igual</v>
      </c>
      <c r="R16" s="6" t="str">
        <f>IFERROR(VLOOKUP($B16,'LISTA - Setembro2024'!$B$3:$K$539,9,0),"Campo eliminado")</f>
        <v>N</v>
      </c>
      <c r="S16" s="6" t="str">
        <f t="shared" si="4"/>
        <v>Igual</v>
      </c>
      <c r="U16" s="6" t="str">
        <f>VLOOKUP(B16,DataLake!$A$4:$A$429,1,0)</f>
        <v>ENTITY_LEI</v>
      </c>
    </row>
    <row r="17" spans="1:21" ht="15" hidden="1" customHeight="1" x14ac:dyDescent="0.25">
      <c r="A17" s="7" t="s">
        <v>58</v>
      </c>
      <c r="B17" s="47" t="str">
        <f t="shared" si="0"/>
        <v>ENTITY_ENTTY_NM</v>
      </c>
      <c r="C17" s="8" t="s">
        <v>10</v>
      </c>
      <c r="D17" s="9" t="s">
        <v>59</v>
      </c>
      <c r="E17" s="11" t="s">
        <v>60</v>
      </c>
      <c r="F17" s="10" t="s">
        <v>13</v>
      </c>
      <c r="G17" s="10" t="s">
        <v>11</v>
      </c>
      <c r="H17" s="10" t="s">
        <v>11</v>
      </c>
      <c r="I17" s="10" t="s">
        <v>11</v>
      </c>
      <c r="J17" s="10" t="s">
        <v>11</v>
      </c>
      <c r="L17" s="6" t="str">
        <f>IFERROR(VLOOKUP($B17,'LISTA - Setembro2024'!$B$3:$F$539,5,0),"Campo eliminado")</f>
        <v>Y</v>
      </c>
      <c r="M17" s="6" t="str">
        <f t="shared" si="1"/>
        <v>Igual</v>
      </c>
      <c r="N17" s="6" t="str">
        <f>IFERROR(VLOOKUP($B17,'LISTA - Setembro2024'!$B$3:$K$539,6,0),"Campo eliminado")</f>
        <v>N</v>
      </c>
      <c r="O17" s="6" t="str">
        <f t="shared" si="2"/>
        <v>Igual</v>
      </c>
      <c r="P17" s="6" t="str">
        <f>IFERROR(VLOOKUP($B17,'LISTA - Setembro2024'!$B$3:$K$539,7,0),"Campo eliminado")</f>
        <v>Y</v>
      </c>
      <c r="Q17" s="6" t="str">
        <f t="shared" si="3"/>
        <v>Diferente</v>
      </c>
      <c r="R17" s="6" t="str">
        <f>IFERROR(VLOOKUP($B17,'LISTA - Setembro2024'!$B$3:$K$539,9,0),"Campo eliminado")</f>
        <v>N</v>
      </c>
      <c r="S17" s="6" t="str">
        <f t="shared" si="4"/>
        <v>Igual</v>
      </c>
      <c r="U17" s="6" t="str">
        <f>VLOOKUP(B17,DataLake!$A$4:$A$429,1,0)</f>
        <v>ENTITY_ENTTY_NM</v>
      </c>
    </row>
    <row r="18" spans="1:21" ht="15" hidden="1" customHeight="1" x14ac:dyDescent="0.25">
      <c r="A18" s="7" t="s">
        <v>61</v>
      </c>
      <c r="B18" s="47" t="str">
        <f t="shared" si="0"/>
        <v>ENTITY_EXTRNL_RTNG_NM</v>
      </c>
      <c r="C18" s="8" t="s">
        <v>10</v>
      </c>
      <c r="D18" s="9" t="s">
        <v>62</v>
      </c>
      <c r="E18" s="11" t="s">
        <v>63</v>
      </c>
      <c r="F18" s="10" t="s">
        <v>13</v>
      </c>
      <c r="G18" s="10" t="s">
        <v>11</v>
      </c>
      <c r="H18" s="10" t="s">
        <v>11</v>
      </c>
      <c r="I18" s="10" t="s">
        <v>11</v>
      </c>
      <c r="J18" s="10" t="s">
        <v>62</v>
      </c>
      <c r="L18" s="6" t="str">
        <f>IFERROR(VLOOKUP($B18,'LISTA - Setembro2024'!$B$3:$F$539,5,0),"Campo eliminado")</f>
        <v>Y</v>
      </c>
      <c r="M18" s="6" t="str">
        <f t="shared" si="1"/>
        <v>Igual</v>
      </c>
      <c r="N18" s="6" t="str">
        <f>IFERROR(VLOOKUP($B18,'LISTA - Setembro2024'!$B$3:$K$539,6,0),"Campo eliminado")</f>
        <v>N</v>
      </c>
      <c r="O18" s="6" t="str">
        <f t="shared" si="2"/>
        <v>Igual</v>
      </c>
      <c r="P18" s="6" t="str">
        <f>IFERROR(VLOOKUP($B18,'LISTA - Setembro2024'!$B$3:$K$539,7,0),"Campo eliminado")</f>
        <v>N</v>
      </c>
      <c r="Q18" s="6" t="str">
        <f t="shared" si="3"/>
        <v>Igual</v>
      </c>
      <c r="R18" s="6" t="str">
        <f>IFERROR(VLOOKUP($B18,'LISTA - Setembro2024'!$B$3:$K$539,9,0),"Campo eliminado")</f>
        <v>N</v>
      </c>
      <c r="S18" s="6" t="str">
        <f t="shared" si="4"/>
        <v>Igual</v>
      </c>
      <c r="U18" s="6" t="str">
        <f>VLOOKUP(B18,DataLake!$A$4:$A$429,1,0)</f>
        <v>ENTITY_EXTRNL_RTNG_NM</v>
      </c>
    </row>
    <row r="19" spans="1:21" ht="15" hidden="1" customHeight="1" x14ac:dyDescent="0.25">
      <c r="A19" s="7" t="s">
        <v>64</v>
      </c>
      <c r="B19" s="47" t="str">
        <f t="shared" si="0"/>
        <v>ENTITY_ACCNTNG_FRMWRK_SL</v>
      </c>
      <c r="C19" s="8" t="s">
        <v>10</v>
      </c>
      <c r="D19" s="9" t="s">
        <v>65</v>
      </c>
      <c r="E19" s="11" t="s">
        <v>66</v>
      </c>
      <c r="F19" s="10" t="s">
        <v>13</v>
      </c>
      <c r="G19" s="10" t="s">
        <v>11</v>
      </c>
      <c r="H19" s="10" t="s">
        <v>11</v>
      </c>
      <c r="I19" s="10" t="s">
        <v>11</v>
      </c>
      <c r="J19" s="10" t="s">
        <v>65</v>
      </c>
      <c r="L19" s="6" t="str">
        <f>IFERROR(VLOOKUP($B19,'LISTA - Setembro2024'!$B$3:$F$539,5,0),"Campo eliminado")</f>
        <v>Y</v>
      </c>
      <c r="M19" s="6" t="str">
        <f t="shared" si="1"/>
        <v>Igual</v>
      </c>
      <c r="N19" s="6" t="str">
        <f>IFERROR(VLOOKUP($B19,'LISTA - Setembro2024'!$B$3:$K$539,6,0),"Campo eliminado")</f>
        <v>N</v>
      </c>
      <c r="O19" s="6" t="str">
        <f t="shared" si="2"/>
        <v>Igual</v>
      </c>
      <c r="P19" s="6" t="str">
        <f>IFERROR(VLOOKUP($B19,'LISTA - Setembro2024'!$B$3:$K$539,7,0),"Campo eliminado")</f>
        <v>N</v>
      </c>
      <c r="Q19" s="6" t="str">
        <f t="shared" si="3"/>
        <v>Igual</v>
      </c>
      <c r="R19" s="6" t="str">
        <f>IFERROR(VLOOKUP($B19,'LISTA - Setembro2024'!$B$3:$K$539,9,0),"Campo eliminado")</f>
        <v>N</v>
      </c>
      <c r="S19" s="6" t="str">
        <f t="shared" si="4"/>
        <v>Igual</v>
      </c>
      <c r="U19" s="6" t="str">
        <f>VLOOKUP(B19,DataLake!$A$4:$A$429,1,0)</f>
        <v>ENTITY_ACCNTNG_FRMWRK_SL</v>
      </c>
    </row>
    <row r="20" spans="1:21" ht="15" hidden="1" customHeight="1" x14ac:dyDescent="0.25">
      <c r="A20" s="7" t="s">
        <v>67</v>
      </c>
      <c r="B20" s="47" t="str">
        <f t="shared" si="0"/>
        <v>ENTITY_CR_FLG</v>
      </c>
      <c r="C20" s="8" t="s">
        <v>10</v>
      </c>
      <c r="D20" s="9" t="s">
        <v>68</v>
      </c>
      <c r="E20" s="11" t="s">
        <v>69</v>
      </c>
      <c r="F20" s="10" t="s">
        <v>13</v>
      </c>
      <c r="G20" s="10" t="s">
        <v>11</v>
      </c>
      <c r="H20" s="10" t="s">
        <v>11</v>
      </c>
      <c r="I20" s="10" t="s">
        <v>11</v>
      </c>
      <c r="J20" s="10" t="s">
        <v>11</v>
      </c>
      <c r="L20" s="6" t="str">
        <f>IFERROR(VLOOKUP($B20,'LISTA - Setembro2024'!$B$3:$F$539,5,0),"Campo eliminado")</f>
        <v>Y</v>
      </c>
      <c r="M20" s="6" t="str">
        <f t="shared" si="1"/>
        <v>Igual</v>
      </c>
      <c r="N20" s="6" t="str">
        <f>IFERROR(VLOOKUP($B20,'LISTA - Setembro2024'!$B$3:$K$539,6,0),"Campo eliminado")</f>
        <v>N</v>
      </c>
      <c r="O20" s="6" t="str">
        <f t="shared" si="2"/>
        <v>Igual</v>
      </c>
      <c r="P20" s="6" t="str">
        <f>IFERROR(VLOOKUP($B20,'LISTA - Setembro2024'!$B$3:$K$539,7,0),"Campo eliminado")</f>
        <v>N</v>
      </c>
      <c r="Q20" s="6" t="str">
        <f t="shared" si="3"/>
        <v>Igual</v>
      </c>
      <c r="R20" s="6" t="str">
        <f>IFERROR(VLOOKUP($B20,'LISTA - Setembro2024'!$B$3:$K$539,9,0),"Campo eliminado")</f>
        <v>N</v>
      </c>
      <c r="S20" s="6" t="str">
        <f t="shared" si="4"/>
        <v>Igual</v>
      </c>
      <c r="U20" s="6" t="str">
        <f>VLOOKUP(B20,DataLake!$A$4:$A$429,1,0)</f>
        <v>ENTITY_CR_FLG</v>
      </c>
    </row>
    <row r="21" spans="1:21" ht="15" hidden="1" customHeight="1" x14ac:dyDescent="0.25">
      <c r="A21" s="7" t="s">
        <v>70</v>
      </c>
      <c r="B21" s="47" t="str">
        <f t="shared" si="0"/>
        <v>ENTITY_DCSD</v>
      </c>
      <c r="C21" s="8" t="s">
        <v>10</v>
      </c>
      <c r="D21" s="9" t="s">
        <v>71</v>
      </c>
      <c r="E21" s="11" t="s">
        <v>72</v>
      </c>
      <c r="F21" s="10" t="s">
        <v>13</v>
      </c>
      <c r="G21" s="10" t="s">
        <v>11</v>
      </c>
      <c r="H21" s="10" t="s">
        <v>11</v>
      </c>
      <c r="I21" s="10" t="s">
        <v>11</v>
      </c>
      <c r="J21" s="10" t="s">
        <v>11</v>
      </c>
      <c r="L21" s="6" t="str">
        <f>IFERROR(VLOOKUP($B21,'LISTA - Setembro2024'!$B$3:$F$539,5,0),"Campo eliminado")</f>
        <v>Y</v>
      </c>
      <c r="M21" s="6" t="str">
        <f t="shared" si="1"/>
        <v>Igual</v>
      </c>
      <c r="N21" s="6" t="str">
        <f>IFERROR(VLOOKUP($B21,'LISTA - Setembro2024'!$B$3:$K$539,6,0),"Campo eliminado")</f>
        <v>N</v>
      </c>
      <c r="O21" s="6" t="str">
        <f t="shared" si="2"/>
        <v>Igual</v>
      </c>
      <c r="P21" s="6" t="str">
        <f>IFERROR(VLOOKUP($B21,'LISTA - Setembro2024'!$B$3:$K$539,7,0),"Campo eliminado")</f>
        <v>N</v>
      </c>
      <c r="Q21" s="6" t="str">
        <f t="shared" si="3"/>
        <v>Igual</v>
      </c>
      <c r="R21" s="6" t="str">
        <f>IFERROR(VLOOKUP($B21,'LISTA - Setembro2024'!$B$3:$K$539,9,0),"Campo eliminado")</f>
        <v>N</v>
      </c>
      <c r="S21" s="6" t="str">
        <f t="shared" si="4"/>
        <v>Igual</v>
      </c>
      <c r="U21" s="6" t="str">
        <f>VLOOKUP(B21,DataLake!$A$4:$A$429,1,0)</f>
        <v>ENTITY_DCSD</v>
      </c>
    </row>
    <row r="22" spans="1:21" ht="15" hidden="1" customHeight="1" x14ac:dyDescent="0.25">
      <c r="A22" s="7" t="s">
        <v>73</v>
      </c>
      <c r="B22" s="47" t="str">
        <f t="shared" si="0"/>
        <v>ENTITY_DFLT_STTS</v>
      </c>
      <c r="C22" s="8" t="s">
        <v>10</v>
      </c>
      <c r="D22" s="9" t="s">
        <v>74</v>
      </c>
      <c r="E22" s="11" t="s">
        <v>75</v>
      </c>
      <c r="F22" s="10" t="s">
        <v>13</v>
      </c>
      <c r="G22" s="10" t="s">
        <v>11</v>
      </c>
      <c r="H22" s="10" t="s">
        <v>11</v>
      </c>
      <c r="I22" s="10" t="s">
        <v>11</v>
      </c>
      <c r="J22" s="10" t="s">
        <v>74</v>
      </c>
      <c r="L22" s="6" t="str">
        <f>IFERROR(VLOOKUP($B22,'LISTA - Setembro2024'!$B$3:$F$539,5,0),"Campo eliminado")</f>
        <v>Y</v>
      </c>
      <c r="M22" s="6" t="str">
        <f t="shared" si="1"/>
        <v>Igual</v>
      </c>
      <c r="N22" s="6" t="str">
        <f>IFERROR(VLOOKUP($B22,'LISTA - Setembro2024'!$B$3:$K$539,6,0),"Campo eliminado")</f>
        <v>N</v>
      </c>
      <c r="O22" s="6" t="str">
        <f t="shared" si="2"/>
        <v>Igual</v>
      </c>
      <c r="P22" s="6" t="str">
        <f>IFERROR(VLOOKUP($B22,'LISTA - Setembro2024'!$B$3:$K$539,7,0),"Campo eliminado")</f>
        <v>N</v>
      </c>
      <c r="Q22" s="6" t="str">
        <f t="shared" si="3"/>
        <v>Igual</v>
      </c>
      <c r="R22" s="6" t="str">
        <f>IFERROR(VLOOKUP($B22,'LISTA - Setembro2024'!$B$3:$K$539,9,0),"Campo eliminado")</f>
        <v>N</v>
      </c>
      <c r="S22" s="6" t="str">
        <f t="shared" si="4"/>
        <v>Igual</v>
      </c>
      <c r="U22" s="6" t="str">
        <f>VLOOKUP(B22,DataLake!$A$4:$A$429,1,0)</f>
        <v>ENTITY_DFLT_STTS</v>
      </c>
    </row>
    <row r="23" spans="1:21" ht="15" hidden="1" customHeight="1" x14ac:dyDescent="0.25">
      <c r="A23" s="7" t="s">
        <v>76</v>
      </c>
      <c r="B23" s="47" t="str">
        <f t="shared" si="0"/>
        <v>ENTITY_DT_EXTRNL_RTNG</v>
      </c>
      <c r="C23" s="8" t="s">
        <v>10</v>
      </c>
      <c r="D23" s="9" t="s">
        <v>77</v>
      </c>
      <c r="E23" s="11" t="s">
        <v>78</v>
      </c>
      <c r="F23" s="10" t="s">
        <v>13</v>
      </c>
      <c r="G23" s="10" t="s">
        <v>11</v>
      </c>
      <c r="H23" s="10" t="s">
        <v>11</v>
      </c>
      <c r="I23" s="10" t="s">
        <v>11</v>
      </c>
      <c r="J23" s="10" t="s">
        <v>77</v>
      </c>
      <c r="L23" s="6" t="str">
        <f>IFERROR(VLOOKUP($B23,'LISTA - Setembro2024'!$B$3:$F$539,5,0),"Campo eliminado")</f>
        <v>Y</v>
      </c>
      <c r="M23" s="6" t="str">
        <f t="shared" si="1"/>
        <v>Igual</v>
      </c>
      <c r="N23" s="6" t="str">
        <f>IFERROR(VLOOKUP($B23,'LISTA - Setembro2024'!$B$3:$K$539,6,0),"Campo eliminado")</f>
        <v>N</v>
      </c>
      <c r="O23" s="6" t="str">
        <f t="shared" si="2"/>
        <v>Igual</v>
      </c>
      <c r="P23" s="6" t="str">
        <f>IFERROR(VLOOKUP($B23,'LISTA - Setembro2024'!$B$3:$K$539,7,0),"Campo eliminado")</f>
        <v>N</v>
      </c>
      <c r="Q23" s="6" t="str">
        <f t="shared" si="3"/>
        <v>Igual</v>
      </c>
      <c r="R23" s="6" t="str">
        <f>IFERROR(VLOOKUP($B23,'LISTA - Setembro2024'!$B$3:$K$539,9,0),"Campo eliminado")</f>
        <v>N</v>
      </c>
      <c r="S23" s="6" t="str">
        <f t="shared" si="4"/>
        <v>Igual</v>
      </c>
      <c r="U23" s="6" t="str">
        <f>VLOOKUP(B23,DataLake!$A$4:$A$429,1,0)</f>
        <v>ENTITY_DT_EXTRNL_RTNG</v>
      </c>
    </row>
    <row r="24" spans="1:21" ht="15" hidden="1" customHeight="1" x14ac:dyDescent="0.25">
      <c r="A24" s="7" t="s">
        <v>79</v>
      </c>
      <c r="B24" s="47" t="str">
        <f t="shared" si="0"/>
        <v>ENTITY_DT_INTRNL_RTNG</v>
      </c>
      <c r="C24" s="8" t="s">
        <v>10</v>
      </c>
      <c r="D24" s="9" t="s">
        <v>80</v>
      </c>
      <c r="E24" s="11" t="s">
        <v>81</v>
      </c>
      <c r="F24" s="10" t="s">
        <v>13</v>
      </c>
      <c r="G24" s="10" t="s">
        <v>11</v>
      </c>
      <c r="H24" s="10" t="s">
        <v>11</v>
      </c>
      <c r="I24" s="10" t="s">
        <v>11</v>
      </c>
      <c r="J24" s="10" t="s">
        <v>80</v>
      </c>
      <c r="L24" s="6" t="str">
        <f>IFERROR(VLOOKUP($B24,'LISTA - Setembro2024'!$B$3:$F$539,5,0),"Campo eliminado")</f>
        <v>Y</v>
      </c>
      <c r="M24" s="6" t="str">
        <f t="shared" si="1"/>
        <v>Igual</v>
      </c>
      <c r="N24" s="6" t="str">
        <f>IFERROR(VLOOKUP($B24,'LISTA - Setembro2024'!$B$3:$K$539,6,0),"Campo eliminado")</f>
        <v>N</v>
      </c>
      <c r="O24" s="6" t="str">
        <f t="shared" si="2"/>
        <v>Igual</v>
      </c>
      <c r="P24" s="6" t="str">
        <f>IFERROR(VLOOKUP($B24,'LISTA - Setembro2024'!$B$3:$K$539,7,0),"Campo eliminado")</f>
        <v>N</v>
      </c>
      <c r="Q24" s="6" t="str">
        <f t="shared" si="3"/>
        <v>Igual</v>
      </c>
      <c r="R24" s="6" t="str">
        <f>IFERROR(VLOOKUP($B24,'LISTA - Setembro2024'!$B$3:$K$539,9,0),"Campo eliminado")</f>
        <v>N</v>
      </c>
      <c r="S24" s="6" t="str">
        <f t="shared" si="4"/>
        <v>Igual</v>
      </c>
      <c r="U24" s="6" t="str">
        <f>VLOOKUP(B24,DataLake!$A$4:$A$429,1,0)</f>
        <v>ENTITY_DT_INTRNL_RTNG</v>
      </c>
    </row>
    <row r="25" spans="1:21" ht="15" hidden="1" customHeight="1" x14ac:dyDescent="0.25">
      <c r="A25" s="7" t="s">
        <v>82</v>
      </c>
      <c r="B25" s="47" t="str">
        <f t="shared" si="0"/>
        <v>ENTITY_ECNMC_ACTVTY</v>
      </c>
      <c r="C25" s="8" t="s">
        <v>10</v>
      </c>
      <c r="D25" s="9" t="s">
        <v>83</v>
      </c>
      <c r="E25" s="11" t="s">
        <v>84</v>
      </c>
      <c r="F25" s="10" t="s">
        <v>13</v>
      </c>
      <c r="G25" s="10" t="s">
        <v>11</v>
      </c>
      <c r="H25" s="10" t="s">
        <v>13</v>
      </c>
      <c r="I25" s="10" t="s">
        <v>13</v>
      </c>
      <c r="J25" s="10" t="s">
        <v>11</v>
      </c>
      <c r="L25" s="6" t="str">
        <f>IFERROR(VLOOKUP($B25,'LISTA - Setembro2024'!$B$3:$F$539,5,0),"Campo eliminado")</f>
        <v>Y</v>
      </c>
      <c r="M25" s="6" t="str">
        <f t="shared" si="1"/>
        <v>Igual</v>
      </c>
      <c r="N25" s="6" t="str">
        <f>IFERROR(VLOOKUP($B25,'LISTA - Setembro2024'!$B$3:$K$539,6,0),"Campo eliminado")</f>
        <v>N</v>
      </c>
      <c r="O25" s="6" t="str">
        <f t="shared" si="2"/>
        <v>Igual</v>
      </c>
      <c r="P25" s="6" t="str">
        <f>IFERROR(VLOOKUP($B25,'LISTA - Setembro2024'!$B$3:$K$539,7,0),"Campo eliminado")</f>
        <v>Y</v>
      </c>
      <c r="Q25" s="6" t="str">
        <f t="shared" si="3"/>
        <v>Igual</v>
      </c>
      <c r="R25" s="6" t="str">
        <f>IFERROR(VLOOKUP($B25,'LISTA - Setembro2024'!$B$3:$K$539,9,0),"Campo eliminado")</f>
        <v>Y</v>
      </c>
      <c r="S25" s="6" t="str">
        <f t="shared" si="4"/>
        <v>Igual</v>
      </c>
      <c r="U25" s="6" t="str">
        <f>VLOOKUP(B25,DataLake!$A$4:$A$429,1,0)</f>
        <v>ENTITY_ECNMC_ACTVTY</v>
      </c>
    </row>
    <row r="26" spans="1:21" ht="15" hidden="1" customHeight="1" x14ac:dyDescent="0.25">
      <c r="A26" s="7" t="s">
        <v>85</v>
      </c>
      <c r="B26" s="47" t="str">
        <f t="shared" si="0"/>
        <v>ENTITY_EMPLYMNT_STTS_INTRNL</v>
      </c>
      <c r="C26" s="8" t="s">
        <v>10</v>
      </c>
      <c r="D26" s="9" t="s">
        <v>86</v>
      </c>
      <c r="E26" s="11" t="s">
        <v>87</v>
      </c>
      <c r="F26" s="10" t="s">
        <v>13</v>
      </c>
      <c r="G26" s="10" t="s">
        <v>11</v>
      </c>
      <c r="H26" s="10" t="s">
        <v>11</v>
      </c>
      <c r="I26" s="10" t="s">
        <v>11</v>
      </c>
      <c r="J26" s="10" t="s">
        <v>11</v>
      </c>
      <c r="L26" s="6" t="str">
        <f>IFERROR(VLOOKUP($B26,'LISTA - Setembro2024'!$B$3:$F$539,5,0),"Campo eliminado")</f>
        <v>Y</v>
      </c>
      <c r="M26" s="6" t="str">
        <f t="shared" si="1"/>
        <v>Igual</v>
      </c>
      <c r="N26" s="6" t="str">
        <f>IFERROR(VLOOKUP($B26,'LISTA - Setembro2024'!$B$3:$K$539,6,0),"Campo eliminado")</f>
        <v>N</v>
      </c>
      <c r="O26" s="6" t="str">
        <f t="shared" si="2"/>
        <v>Igual</v>
      </c>
      <c r="P26" s="6" t="str">
        <f>IFERROR(VLOOKUP($B26,'LISTA - Setembro2024'!$B$3:$K$539,7,0),"Campo eliminado")</f>
        <v>N</v>
      </c>
      <c r="Q26" s="6" t="str">
        <f t="shared" si="3"/>
        <v>Igual</v>
      </c>
      <c r="R26" s="6" t="str">
        <f>IFERROR(VLOOKUP($B26,'LISTA - Setembro2024'!$B$3:$K$539,9,0),"Campo eliminado")</f>
        <v>N</v>
      </c>
      <c r="S26" s="6" t="str">
        <f t="shared" si="4"/>
        <v>Igual</v>
      </c>
      <c r="U26" s="6" t="str">
        <f>VLOOKUP(B26,DataLake!$A$4:$A$429,1,0)</f>
        <v>ENTITY_EMPLYMNT_STTS_INTRNL</v>
      </c>
    </row>
    <row r="27" spans="1:21" ht="15" hidden="1" customHeight="1" x14ac:dyDescent="0.25">
      <c r="A27" s="7" t="s">
        <v>88</v>
      </c>
      <c r="B27" s="47" t="str">
        <f t="shared" si="0"/>
        <v>ENTITY_EMPLYMNT_STTS</v>
      </c>
      <c r="C27" s="8" t="s">
        <v>10</v>
      </c>
      <c r="D27" s="9" t="s">
        <v>89</v>
      </c>
      <c r="E27" s="11" t="s">
        <v>90</v>
      </c>
      <c r="F27" s="10" t="s">
        <v>13</v>
      </c>
      <c r="G27" s="10" t="s">
        <v>11</v>
      </c>
      <c r="H27" s="10" t="s">
        <v>11</v>
      </c>
      <c r="I27" s="10" t="s">
        <v>11</v>
      </c>
      <c r="J27" s="10" t="s">
        <v>11</v>
      </c>
      <c r="L27" s="6" t="str">
        <f>IFERROR(VLOOKUP($B27,'LISTA - Setembro2024'!$B$3:$F$539,5,0),"Campo eliminado")</f>
        <v>Y</v>
      </c>
      <c r="M27" s="6" t="str">
        <f t="shared" si="1"/>
        <v>Igual</v>
      </c>
      <c r="N27" s="6" t="str">
        <f>IFERROR(VLOOKUP($B27,'LISTA - Setembro2024'!$B$3:$K$539,6,0),"Campo eliminado")</f>
        <v>N</v>
      </c>
      <c r="O27" s="6" t="str">
        <f t="shared" si="2"/>
        <v>Igual</v>
      </c>
      <c r="P27" s="6" t="str">
        <f>IFERROR(VLOOKUP($B27,'LISTA - Setembro2024'!$B$3:$K$539,7,0),"Campo eliminado")</f>
        <v>N</v>
      </c>
      <c r="Q27" s="6" t="str">
        <f t="shared" si="3"/>
        <v>Igual</v>
      </c>
      <c r="R27" s="6" t="str">
        <f>IFERROR(VLOOKUP($B27,'LISTA - Setembro2024'!$B$3:$K$539,9,0),"Campo eliminado")</f>
        <v>N</v>
      </c>
      <c r="S27" s="6" t="str">
        <f t="shared" si="4"/>
        <v>Igual</v>
      </c>
      <c r="U27" s="6" t="str">
        <f>VLOOKUP(B27,DataLake!$A$4:$A$429,1,0)</f>
        <v>ENTITY_EMPLYMNT_STTS</v>
      </c>
    </row>
    <row r="28" spans="1:21" ht="15" hidden="1" customHeight="1" x14ac:dyDescent="0.25">
      <c r="A28" s="7" t="s">
        <v>91</v>
      </c>
      <c r="B28" s="47" t="str">
        <f t="shared" si="0"/>
        <v>ENTITY_ENTRPRS_SZ_LE</v>
      </c>
      <c r="C28" s="8" t="s">
        <v>10</v>
      </c>
      <c r="D28" s="9" t="s">
        <v>92</v>
      </c>
      <c r="E28" s="11" t="s">
        <v>93</v>
      </c>
      <c r="F28" s="10" t="s">
        <v>13</v>
      </c>
      <c r="G28" s="10" t="s">
        <v>11</v>
      </c>
      <c r="H28" s="10" t="s">
        <v>11</v>
      </c>
      <c r="I28" s="10" t="s">
        <v>11</v>
      </c>
      <c r="J28" s="10" t="s">
        <v>11</v>
      </c>
      <c r="L28" s="6" t="str">
        <f>IFERROR(VLOOKUP($B28,'LISTA - Setembro2024'!$B$3:$F$539,5,0),"Campo eliminado")</f>
        <v>Y</v>
      </c>
      <c r="M28" s="6" t="str">
        <f t="shared" si="1"/>
        <v>Igual</v>
      </c>
      <c r="N28" s="6" t="str">
        <f>IFERROR(VLOOKUP($B28,'LISTA - Setembro2024'!$B$3:$K$539,6,0),"Campo eliminado")</f>
        <v>N</v>
      </c>
      <c r="O28" s="6" t="str">
        <f t="shared" si="2"/>
        <v>Igual</v>
      </c>
      <c r="P28" s="6" t="str">
        <f>IFERROR(VLOOKUP($B28,'LISTA - Setembro2024'!$B$3:$K$539,7,0),"Campo eliminado")</f>
        <v>N</v>
      </c>
      <c r="Q28" s="6" t="str">
        <f t="shared" si="3"/>
        <v>Igual</v>
      </c>
      <c r="R28" s="6" t="str">
        <f>IFERROR(VLOOKUP($B28,'LISTA - Setembro2024'!$B$3:$K$539,9,0),"Campo eliminado")</f>
        <v>N</v>
      </c>
      <c r="S28" s="6" t="str">
        <f t="shared" si="4"/>
        <v>Igual</v>
      </c>
      <c r="U28" s="6" t="str">
        <f>VLOOKUP(B28,DataLake!$A$4:$A$429,1,0)</f>
        <v>ENTITY_ENTRPRS_SZ_LE</v>
      </c>
    </row>
    <row r="29" spans="1:21" ht="15" hidden="1" customHeight="1" x14ac:dyDescent="0.25">
      <c r="A29" s="7" t="s">
        <v>94</v>
      </c>
      <c r="B29" s="47" t="str">
        <f t="shared" si="0"/>
        <v>ENTITY_EXTRNL_RTNG</v>
      </c>
      <c r="C29" s="8" t="s">
        <v>10</v>
      </c>
      <c r="D29" s="9" t="s">
        <v>95</v>
      </c>
      <c r="E29" s="11" t="s">
        <v>96</v>
      </c>
      <c r="F29" s="10" t="s">
        <v>13</v>
      </c>
      <c r="G29" s="10" t="s">
        <v>11</v>
      </c>
      <c r="H29" s="10" t="s">
        <v>11</v>
      </c>
      <c r="I29" s="10" t="s">
        <v>11</v>
      </c>
      <c r="J29" s="10" t="s">
        <v>95</v>
      </c>
      <c r="L29" s="6" t="str">
        <f>IFERROR(VLOOKUP($B29,'LISTA - Setembro2024'!$B$3:$F$539,5,0),"Campo eliminado")</f>
        <v>Y</v>
      </c>
      <c r="M29" s="6" t="str">
        <f t="shared" si="1"/>
        <v>Igual</v>
      </c>
      <c r="N29" s="6" t="str">
        <f>IFERROR(VLOOKUP($B29,'LISTA - Setembro2024'!$B$3:$K$539,6,0),"Campo eliminado")</f>
        <v>N</v>
      </c>
      <c r="O29" s="6" t="str">
        <f t="shared" si="2"/>
        <v>Igual</v>
      </c>
      <c r="P29" s="6" t="str">
        <f>IFERROR(VLOOKUP($B29,'LISTA - Setembro2024'!$B$3:$K$539,7,0),"Campo eliminado")</f>
        <v>N</v>
      </c>
      <c r="Q29" s="6" t="str">
        <f t="shared" si="3"/>
        <v>Igual</v>
      </c>
      <c r="R29" s="6" t="str">
        <f>IFERROR(VLOOKUP($B29,'LISTA - Setembro2024'!$B$3:$K$539,9,0),"Campo eliminado")</f>
        <v>N</v>
      </c>
      <c r="S29" s="6" t="str">
        <f t="shared" si="4"/>
        <v>Igual</v>
      </c>
      <c r="U29" s="6" t="str">
        <f>VLOOKUP(B29,DataLake!$A$4:$A$429,1,0)</f>
        <v>ENTITY_EXTRNL_RTNG</v>
      </c>
    </row>
    <row r="30" spans="1:21" ht="15" hidden="1" customHeight="1" x14ac:dyDescent="0.25">
      <c r="A30" s="7" t="s">
        <v>97</v>
      </c>
      <c r="B30" s="47" t="str">
        <f t="shared" si="0"/>
        <v>ENTITY_EXTRNL_RTNG_PRVS</v>
      </c>
      <c r="C30" s="8" t="s">
        <v>10</v>
      </c>
      <c r="D30" s="9" t="s">
        <v>98</v>
      </c>
      <c r="E30" s="11" t="s">
        <v>99</v>
      </c>
      <c r="F30" s="10" t="s">
        <v>13</v>
      </c>
      <c r="G30" s="10" t="s">
        <v>11</v>
      </c>
      <c r="H30" s="10" t="s">
        <v>11</v>
      </c>
      <c r="I30" s="10" t="s">
        <v>11</v>
      </c>
      <c r="J30" s="10" t="s">
        <v>98</v>
      </c>
      <c r="L30" s="6" t="str">
        <f>IFERROR(VLOOKUP($B30,'LISTA - Setembro2024'!$B$3:$F$539,5,0),"Campo eliminado")</f>
        <v>Y</v>
      </c>
      <c r="M30" s="6" t="str">
        <f t="shared" si="1"/>
        <v>Igual</v>
      </c>
      <c r="N30" s="6" t="str">
        <f>IFERROR(VLOOKUP($B30,'LISTA - Setembro2024'!$B$3:$K$539,6,0),"Campo eliminado")</f>
        <v>N</v>
      </c>
      <c r="O30" s="6" t="str">
        <f t="shared" si="2"/>
        <v>Igual</v>
      </c>
      <c r="P30" s="6" t="str">
        <f>IFERROR(VLOOKUP($B30,'LISTA - Setembro2024'!$B$3:$K$539,7,0),"Campo eliminado")</f>
        <v>N</v>
      </c>
      <c r="Q30" s="6" t="str">
        <f t="shared" si="3"/>
        <v>Igual</v>
      </c>
      <c r="R30" s="6" t="str">
        <f>IFERROR(VLOOKUP($B30,'LISTA - Setembro2024'!$B$3:$K$539,9,0),"Campo eliminado")</f>
        <v>N</v>
      </c>
      <c r="S30" s="6" t="str">
        <f t="shared" si="4"/>
        <v>Igual</v>
      </c>
      <c r="U30" s="6" t="str">
        <f>VLOOKUP(B30,DataLake!$A$4:$A$429,1,0)</f>
        <v>ENTITY_EXTRNL_RTNG_PRVS</v>
      </c>
    </row>
    <row r="31" spans="1:21" ht="15" hidden="1" customHeight="1" x14ac:dyDescent="0.25">
      <c r="A31" s="7" t="s">
        <v>100</v>
      </c>
      <c r="B31" s="47" t="str">
        <f t="shared" si="0"/>
        <v>ENTITY_FLG_BNKRPTCY_IN_GRP</v>
      </c>
      <c r="C31" s="8" t="s">
        <v>10</v>
      </c>
      <c r="D31" s="9" t="s">
        <v>101</v>
      </c>
      <c r="E31" s="11" t="s">
        <v>102</v>
      </c>
      <c r="F31" s="10" t="s">
        <v>13</v>
      </c>
      <c r="G31" s="10" t="s">
        <v>11</v>
      </c>
      <c r="H31" s="10" t="s">
        <v>11</v>
      </c>
      <c r="I31" s="10" t="s">
        <v>11</v>
      </c>
      <c r="J31" s="10" t="s">
        <v>101</v>
      </c>
      <c r="L31" s="6" t="str">
        <f>IFERROR(VLOOKUP($B31,'LISTA - Setembro2024'!$B$3:$F$539,5,0),"Campo eliminado")</f>
        <v>Y</v>
      </c>
      <c r="M31" s="6" t="str">
        <f t="shared" si="1"/>
        <v>Igual</v>
      </c>
      <c r="N31" s="6" t="str">
        <f>IFERROR(VLOOKUP($B31,'LISTA - Setembro2024'!$B$3:$K$539,6,0),"Campo eliminado")</f>
        <v>N</v>
      </c>
      <c r="O31" s="6" t="str">
        <f t="shared" si="2"/>
        <v>Igual</v>
      </c>
      <c r="P31" s="6" t="str">
        <f>IFERROR(VLOOKUP($B31,'LISTA - Setembro2024'!$B$3:$K$539,7,0),"Campo eliminado")</f>
        <v>N</v>
      </c>
      <c r="Q31" s="6" t="str">
        <f t="shared" si="3"/>
        <v>Igual</v>
      </c>
      <c r="R31" s="6" t="str">
        <f>IFERROR(VLOOKUP($B31,'LISTA - Setembro2024'!$B$3:$K$539,9,0),"Campo eliminado")</f>
        <v>N</v>
      </c>
      <c r="S31" s="6" t="str">
        <f t="shared" si="4"/>
        <v>Igual</v>
      </c>
      <c r="U31" s="6" t="str">
        <f>VLOOKUP(B31,DataLake!$A$4:$A$429,1,0)</f>
        <v>ENTITY_FLG_BNKRPTCY_IN_GRP</v>
      </c>
    </row>
    <row r="32" spans="1:21" ht="15" hidden="1" customHeight="1" x14ac:dyDescent="0.25">
      <c r="A32" s="7" t="s">
        <v>103</v>
      </c>
      <c r="B32" s="47" t="str">
        <f t="shared" si="0"/>
        <v>ENTITY_FLG_HGH_CDS</v>
      </c>
      <c r="C32" s="8" t="s">
        <v>10</v>
      </c>
      <c r="D32" s="9" t="s">
        <v>104</v>
      </c>
      <c r="E32" s="11" t="s">
        <v>105</v>
      </c>
      <c r="F32" s="10" t="s">
        <v>13</v>
      </c>
      <c r="G32" s="10" t="s">
        <v>11</v>
      </c>
      <c r="H32" s="10" t="s">
        <v>11</v>
      </c>
      <c r="I32" s="10" t="s">
        <v>11</v>
      </c>
      <c r="J32" s="10" t="s">
        <v>104</v>
      </c>
      <c r="L32" s="6" t="str">
        <f>IFERROR(VLOOKUP($B32,'LISTA - Setembro2024'!$B$3:$F$539,5,0),"Campo eliminado")</f>
        <v>Y</v>
      </c>
      <c r="M32" s="6" t="str">
        <f t="shared" si="1"/>
        <v>Igual</v>
      </c>
      <c r="N32" s="6" t="str">
        <f>IFERROR(VLOOKUP($B32,'LISTA - Setembro2024'!$B$3:$K$539,6,0),"Campo eliminado")</f>
        <v>N</v>
      </c>
      <c r="O32" s="6" t="str">
        <f t="shared" si="2"/>
        <v>Igual</v>
      </c>
      <c r="P32" s="6" t="str">
        <f>IFERROR(VLOOKUP($B32,'LISTA - Setembro2024'!$B$3:$K$539,7,0),"Campo eliminado")</f>
        <v>N</v>
      </c>
      <c r="Q32" s="6" t="str">
        <f t="shared" si="3"/>
        <v>Igual</v>
      </c>
      <c r="R32" s="6" t="str">
        <f>IFERROR(VLOOKUP($B32,'LISTA - Setembro2024'!$B$3:$K$539,9,0),"Campo eliminado")</f>
        <v>N</v>
      </c>
      <c r="S32" s="6" t="str">
        <f t="shared" si="4"/>
        <v>Igual</v>
      </c>
      <c r="U32" s="6" t="str">
        <f>VLOOKUP(B32,DataLake!$A$4:$A$429,1,0)</f>
        <v>ENTITY_FLG_HGH_CDS</v>
      </c>
    </row>
    <row r="33" spans="1:21" ht="15" hidden="1" customHeight="1" x14ac:dyDescent="0.25">
      <c r="A33" s="7" t="s">
        <v>106</v>
      </c>
      <c r="B33" s="47" t="str">
        <f t="shared" si="0"/>
        <v>ENTITY_FLG_ISDA_CRDT_EVNT</v>
      </c>
      <c r="C33" s="8" t="s">
        <v>10</v>
      </c>
      <c r="D33" s="9" t="s">
        <v>107</v>
      </c>
      <c r="E33" s="11" t="s">
        <v>108</v>
      </c>
      <c r="F33" s="10" t="s">
        <v>13</v>
      </c>
      <c r="G33" s="10" t="s">
        <v>11</v>
      </c>
      <c r="H33" s="10" t="s">
        <v>11</v>
      </c>
      <c r="I33" s="10" t="s">
        <v>11</v>
      </c>
      <c r="J33" s="10" t="s">
        <v>107</v>
      </c>
      <c r="L33" s="6" t="str">
        <f>IFERROR(VLOOKUP($B33,'LISTA - Setembro2024'!$B$3:$F$539,5,0),"Campo eliminado")</f>
        <v>Y</v>
      </c>
      <c r="M33" s="6" t="str">
        <f t="shared" si="1"/>
        <v>Igual</v>
      </c>
      <c r="N33" s="6" t="str">
        <f>IFERROR(VLOOKUP($B33,'LISTA - Setembro2024'!$B$3:$K$539,6,0),"Campo eliminado")</f>
        <v>N</v>
      </c>
      <c r="O33" s="6" t="str">
        <f t="shared" si="2"/>
        <v>Igual</v>
      </c>
      <c r="P33" s="6" t="str">
        <f>IFERROR(VLOOKUP($B33,'LISTA - Setembro2024'!$B$3:$K$539,7,0),"Campo eliminado")</f>
        <v>N</v>
      </c>
      <c r="Q33" s="6" t="str">
        <f t="shared" si="3"/>
        <v>Igual</v>
      </c>
      <c r="R33" s="6" t="str">
        <f>IFERROR(VLOOKUP($B33,'LISTA - Setembro2024'!$B$3:$K$539,9,0),"Campo eliminado")</f>
        <v>N</v>
      </c>
      <c r="S33" s="6" t="str">
        <f t="shared" si="4"/>
        <v>Igual</v>
      </c>
      <c r="U33" s="6" t="str">
        <f>VLOOKUP(B33,DataLake!$A$4:$A$429,1,0)</f>
        <v>ENTITY_FLG_ISDA_CRDT_EVNT</v>
      </c>
    </row>
    <row r="34" spans="1:21" ht="15" hidden="1" customHeight="1" x14ac:dyDescent="0.25">
      <c r="A34" s="7" t="s">
        <v>109</v>
      </c>
      <c r="B34" s="47" t="str">
        <f t="shared" si="0"/>
        <v>ENTITY_FLG_NN_ACCRL</v>
      </c>
      <c r="C34" s="8" t="s">
        <v>10</v>
      </c>
      <c r="D34" s="9" t="s">
        <v>110</v>
      </c>
      <c r="E34" s="11" t="s">
        <v>111</v>
      </c>
      <c r="F34" s="10" t="s">
        <v>13</v>
      </c>
      <c r="G34" s="10" t="s">
        <v>11</v>
      </c>
      <c r="H34" s="10" t="s">
        <v>11</v>
      </c>
      <c r="I34" s="10" t="s">
        <v>11</v>
      </c>
      <c r="J34" s="10" t="s">
        <v>110</v>
      </c>
      <c r="L34" s="6" t="str">
        <f>IFERROR(VLOOKUP($B34,'LISTA - Setembro2024'!$B$3:$F$539,5,0),"Campo eliminado")</f>
        <v>Y</v>
      </c>
      <c r="M34" s="6" t="str">
        <f t="shared" si="1"/>
        <v>Igual</v>
      </c>
      <c r="N34" s="6" t="str">
        <f>IFERROR(VLOOKUP($B34,'LISTA - Setembro2024'!$B$3:$K$539,6,0),"Campo eliminado")</f>
        <v>N</v>
      </c>
      <c r="O34" s="6" t="str">
        <f t="shared" si="2"/>
        <v>Igual</v>
      </c>
      <c r="P34" s="6" t="str">
        <f>IFERROR(VLOOKUP($B34,'LISTA - Setembro2024'!$B$3:$K$539,7,0),"Campo eliminado")</f>
        <v>N</v>
      </c>
      <c r="Q34" s="6" t="str">
        <f t="shared" si="3"/>
        <v>Igual</v>
      </c>
      <c r="R34" s="6" t="str">
        <f>IFERROR(VLOOKUP($B34,'LISTA - Setembro2024'!$B$3:$K$539,9,0),"Campo eliminado")</f>
        <v>N</v>
      </c>
      <c r="S34" s="6" t="str">
        <f t="shared" si="4"/>
        <v>Igual</v>
      </c>
      <c r="U34" s="6" t="str">
        <f>VLOOKUP(B34,DataLake!$A$4:$A$429,1,0)</f>
        <v>ENTITY_FLG_NN_ACCRL</v>
      </c>
    </row>
    <row r="35" spans="1:21" ht="15" hidden="1" customHeight="1" x14ac:dyDescent="0.25">
      <c r="A35" s="7" t="s">
        <v>112</v>
      </c>
      <c r="B35" s="47" t="str">
        <f t="shared" si="0"/>
        <v>ENTITY_FLG_RQST_BNKRPTCY</v>
      </c>
      <c r="C35" s="8" t="s">
        <v>10</v>
      </c>
      <c r="D35" s="9" t="s">
        <v>113</v>
      </c>
      <c r="E35" s="11" t="s">
        <v>114</v>
      </c>
      <c r="F35" s="10" t="s">
        <v>13</v>
      </c>
      <c r="G35" s="10" t="s">
        <v>11</v>
      </c>
      <c r="H35" s="10" t="s">
        <v>11</v>
      </c>
      <c r="I35" s="10" t="s">
        <v>11</v>
      </c>
      <c r="J35" s="10" t="s">
        <v>113</v>
      </c>
      <c r="L35" s="6" t="str">
        <f>IFERROR(VLOOKUP($B35,'LISTA - Setembro2024'!$B$3:$F$539,5,0),"Campo eliminado")</f>
        <v>Y</v>
      </c>
      <c r="M35" s="6" t="str">
        <f t="shared" si="1"/>
        <v>Igual</v>
      </c>
      <c r="N35" s="6" t="str">
        <f>IFERROR(VLOOKUP($B35,'LISTA - Setembro2024'!$B$3:$K$539,6,0),"Campo eliminado")</f>
        <v>N</v>
      </c>
      <c r="O35" s="6" t="str">
        <f t="shared" si="2"/>
        <v>Igual</v>
      </c>
      <c r="P35" s="6" t="str">
        <f>IFERROR(VLOOKUP($B35,'LISTA - Setembro2024'!$B$3:$K$539,7,0),"Campo eliminado")</f>
        <v>N</v>
      </c>
      <c r="Q35" s="6" t="str">
        <f t="shared" si="3"/>
        <v>Igual</v>
      </c>
      <c r="R35" s="6" t="str">
        <f>IFERROR(VLOOKUP($B35,'LISTA - Setembro2024'!$B$3:$K$539,9,0),"Campo eliminado")</f>
        <v>N</v>
      </c>
      <c r="S35" s="6" t="str">
        <f t="shared" si="4"/>
        <v>Igual</v>
      </c>
      <c r="U35" s="6" t="str">
        <f>VLOOKUP(B35,DataLake!$A$4:$A$429,1,0)</f>
        <v>ENTITY_FLG_RQST_BNKRPTCY</v>
      </c>
    </row>
    <row r="36" spans="1:21" ht="15" hidden="1" customHeight="1" x14ac:dyDescent="0.25">
      <c r="A36" s="7" t="s">
        <v>115</v>
      </c>
      <c r="B36" s="47" t="str">
        <f t="shared" si="0"/>
        <v>ENTITY_FLG_RQST_DSTRSSD_RSTRCTRNG</v>
      </c>
      <c r="C36" s="8" t="s">
        <v>10</v>
      </c>
      <c r="D36" s="9" t="s">
        <v>116</v>
      </c>
      <c r="E36" s="11" t="s">
        <v>117</v>
      </c>
      <c r="F36" s="10" t="s">
        <v>13</v>
      </c>
      <c r="G36" s="10" t="s">
        <v>11</v>
      </c>
      <c r="H36" s="10" t="s">
        <v>11</v>
      </c>
      <c r="I36" s="10" t="s">
        <v>11</v>
      </c>
      <c r="J36" s="10" t="s">
        <v>11</v>
      </c>
      <c r="L36" s="6" t="str">
        <f>IFERROR(VLOOKUP($B36,'LISTA - Setembro2024'!$B$3:$F$539,5,0),"Campo eliminado")</f>
        <v>Y</v>
      </c>
      <c r="M36" s="6" t="str">
        <f t="shared" si="1"/>
        <v>Igual</v>
      </c>
      <c r="N36" s="6" t="str">
        <f>IFERROR(VLOOKUP($B36,'LISTA - Setembro2024'!$B$3:$K$539,6,0),"Campo eliminado")</f>
        <v>N</v>
      </c>
      <c r="O36" s="6" t="str">
        <f t="shared" si="2"/>
        <v>Igual</v>
      </c>
      <c r="P36" s="6" t="str">
        <f>IFERROR(VLOOKUP($B36,'LISTA - Setembro2024'!$B$3:$K$539,7,0),"Campo eliminado")</f>
        <v>N</v>
      </c>
      <c r="Q36" s="6" t="str">
        <f t="shared" si="3"/>
        <v>Igual</v>
      </c>
      <c r="R36" s="6" t="str">
        <f>IFERROR(VLOOKUP($B36,'LISTA - Setembro2024'!$B$3:$K$539,9,0),"Campo eliminado")</f>
        <v>N</v>
      </c>
      <c r="S36" s="6" t="str">
        <f t="shared" si="4"/>
        <v>Igual</v>
      </c>
      <c r="U36" s="6" t="str">
        <f>VLOOKUP(B36,DataLake!$A$4:$A$429,1,0)</f>
        <v>ENTITY_FLG_RQST_DSTRSSD_RSTRCTRNG</v>
      </c>
    </row>
    <row r="37" spans="1:21" ht="15" hidden="1" customHeight="1" x14ac:dyDescent="0.25">
      <c r="A37" s="7" t="s">
        <v>118</v>
      </c>
      <c r="B37" s="47" t="str">
        <f t="shared" si="0"/>
        <v>ENTITY_FLG_RQST_EMRGNCY_FNDNG</v>
      </c>
      <c r="C37" s="8" t="s">
        <v>10</v>
      </c>
      <c r="D37" s="9" t="s">
        <v>119</v>
      </c>
      <c r="E37" s="11" t="s">
        <v>120</v>
      </c>
      <c r="F37" s="10" t="s">
        <v>13</v>
      </c>
      <c r="G37" s="10" t="s">
        <v>11</v>
      </c>
      <c r="H37" s="10" t="s">
        <v>11</v>
      </c>
      <c r="I37" s="10" t="s">
        <v>11</v>
      </c>
      <c r="J37" s="10" t="s">
        <v>119</v>
      </c>
      <c r="L37" s="6" t="str">
        <f>IFERROR(VLOOKUP($B37,'LISTA - Setembro2024'!$B$3:$F$539,5,0),"Campo eliminado")</f>
        <v>Y</v>
      </c>
      <c r="M37" s="6" t="str">
        <f t="shared" si="1"/>
        <v>Igual</v>
      </c>
      <c r="N37" s="6" t="str">
        <f>IFERROR(VLOOKUP($B37,'LISTA - Setembro2024'!$B$3:$K$539,6,0),"Campo eliminado")</f>
        <v>N</v>
      </c>
      <c r="O37" s="6" t="str">
        <f t="shared" si="2"/>
        <v>Igual</v>
      </c>
      <c r="P37" s="6" t="str">
        <f>IFERROR(VLOOKUP($B37,'LISTA - Setembro2024'!$B$3:$K$539,7,0),"Campo eliminado")</f>
        <v>N</v>
      </c>
      <c r="Q37" s="6" t="str">
        <f t="shared" si="3"/>
        <v>Igual</v>
      </c>
      <c r="R37" s="6" t="str">
        <f>IFERROR(VLOOKUP($B37,'LISTA - Setembro2024'!$B$3:$K$539,9,0),"Campo eliminado")</f>
        <v>N</v>
      </c>
      <c r="S37" s="6" t="str">
        <f t="shared" si="4"/>
        <v>Igual</v>
      </c>
      <c r="U37" s="6" t="str">
        <f>VLOOKUP(B37,DataLake!$A$4:$A$429,1,0)</f>
        <v>ENTITY_FLG_RQST_EMRGNCY_FNDNG</v>
      </c>
    </row>
    <row r="38" spans="1:21" ht="15" hidden="1" customHeight="1" x14ac:dyDescent="0.25">
      <c r="A38" s="7" t="s">
        <v>121</v>
      </c>
      <c r="B38" s="47" t="str">
        <f t="shared" si="0"/>
        <v>ENTITY_FLG_SLL_WTH_LSS</v>
      </c>
      <c r="C38" s="8" t="s">
        <v>10</v>
      </c>
      <c r="D38" s="9" t="s">
        <v>122</v>
      </c>
      <c r="E38" s="11" t="s">
        <v>123</v>
      </c>
      <c r="F38" s="10" t="s">
        <v>13</v>
      </c>
      <c r="G38" s="10" t="s">
        <v>11</v>
      </c>
      <c r="H38" s="10" t="s">
        <v>11</v>
      </c>
      <c r="I38" s="10" t="s">
        <v>11</v>
      </c>
      <c r="J38" s="10" t="s">
        <v>11</v>
      </c>
      <c r="L38" s="6" t="str">
        <f>IFERROR(VLOOKUP($B38,'LISTA - Setembro2024'!$B$3:$F$539,5,0),"Campo eliminado")</f>
        <v>Y</v>
      </c>
      <c r="M38" s="6" t="str">
        <f t="shared" si="1"/>
        <v>Igual</v>
      </c>
      <c r="N38" s="6" t="str">
        <f>IFERROR(VLOOKUP($B38,'LISTA - Setembro2024'!$B$3:$K$539,6,0),"Campo eliminado")</f>
        <v>N</v>
      </c>
      <c r="O38" s="6" t="str">
        <f t="shared" si="2"/>
        <v>Igual</v>
      </c>
      <c r="P38" s="6" t="str">
        <f>IFERROR(VLOOKUP($B38,'LISTA - Setembro2024'!$B$3:$K$539,7,0),"Campo eliminado")</f>
        <v>N</v>
      </c>
      <c r="Q38" s="6" t="str">
        <f t="shared" si="3"/>
        <v>Igual</v>
      </c>
      <c r="R38" s="6" t="str">
        <f>IFERROR(VLOOKUP($B38,'LISTA - Setembro2024'!$B$3:$K$539,9,0),"Campo eliminado")</f>
        <v>N</v>
      </c>
      <c r="S38" s="6" t="str">
        <f t="shared" si="4"/>
        <v>Igual</v>
      </c>
      <c r="U38" s="6" t="str">
        <f>VLOOKUP(B38,DataLake!$A$4:$A$429,1,0)</f>
        <v>ENTITY_FLG_SLL_WTH_LSS</v>
      </c>
    </row>
    <row r="39" spans="1:21" ht="15" hidden="1" customHeight="1" x14ac:dyDescent="0.25">
      <c r="A39" s="7" t="s">
        <v>124</v>
      </c>
      <c r="B39" s="47" t="str">
        <f t="shared" si="0"/>
        <v>ENTITY_INCM_SC</v>
      </c>
      <c r="C39" s="8" t="s">
        <v>10</v>
      </c>
      <c r="D39" s="9" t="s">
        <v>125</v>
      </c>
      <c r="E39" s="11" t="s">
        <v>126</v>
      </c>
      <c r="F39" s="10" t="s">
        <v>13</v>
      </c>
      <c r="G39" s="10" t="s">
        <v>11</v>
      </c>
      <c r="H39" s="10" t="s">
        <v>11</v>
      </c>
      <c r="I39" s="10" t="s">
        <v>11</v>
      </c>
      <c r="J39" s="10" t="s">
        <v>11</v>
      </c>
      <c r="L39" s="6" t="str">
        <f>IFERROR(VLOOKUP($B39,'LISTA - Setembro2024'!$B$3:$F$539,5,0),"Campo eliminado")</f>
        <v>Y</v>
      </c>
      <c r="M39" s="6" t="str">
        <f t="shared" si="1"/>
        <v>Igual</v>
      </c>
      <c r="N39" s="6" t="str">
        <f>IFERROR(VLOOKUP($B39,'LISTA - Setembro2024'!$B$3:$K$539,6,0),"Campo eliminado")</f>
        <v>N</v>
      </c>
      <c r="O39" s="6" t="str">
        <f t="shared" si="2"/>
        <v>Igual</v>
      </c>
      <c r="P39" s="6" t="str">
        <f>IFERROR(VLOOKUP($B39,'LISTA - Setembro2024'!$B$3:$K$539,7,0),"Campo eliminado")</f>
        <v>N</v>
      </c>
      <c r="Q39" s="6" t="str">
        <f t="shared" si="3"/>
        <v>Igual</v>
      </c>
      <c r="R39" s="6" t="str">
        <f>IFERROR(VLOOKUP($B39,'LISTA - Setembro2024'!$B$3:$K$539,9,0),"Campo eliminado")</f>
        <v>N</v>
      </c>
      <c r="S39" s="6" t="str">
        <f t="shared" si="4"/>
        <v>Igual</v>
      </c>
      <c r="U39" s="6" t="str">
        <f>VLOOKUP(B39,DataLake!$A$4:$A$429,1,0)</f>
        <v>ENTITY_INCM_SC</v>
      </c>
    </row>
    <row r="40" spans="1:21" ht="15" hidden="1" customHeight="1" x14ac:dyDescent="0.25">
      <c r="A40" s="7" t="s">
        <v>127</v>
      </c>
      <c r="B40" s="47" t="str">
        <f t="shared" si="0"/>
        <v>ENTITY_INTRNL_RTNG</v>
      </c>
      <c r="C40" s="8" t="s">
        <v>10</v>
      </c>
      <c r="D40" s="9" t="s">
        <v>128</v>
      </c>
      <c r="E40" s="11" t="s">
        <v>129</v>
      </c>
      <c r="F40" s="10" t="s">
        <v>13</v>
      </c>
      <c r="G40" s="10" t="s">
        <v>11</v>
      </c>
      <c r="H40" s="10" t="s">
        <v>11</v>
      </c>
      <c r="I40" s="10" t="s">
        <v>11</v>
      </c>
      <c r="J40" s="10" t="s">
        <v>128</v>
      </c>
      <c r="L40" s="6" t="str">
        <f>IFERROR(VLOOKUP($B40,'LISTA - Setembro2024'!$B$3:$F$539,5,0),"Campo eliminado")</f>
        <v>Y</v>
      </c>
      <c r="M40" s="6" t="str">
        <f t="shared" si="1"/>
        <v>Igual</v>
      </c>
      <c r="N40" s="6" t="str">
        <f>IFERROR(VLOOKUP($B40,'LISTA - Setembro2024'!$B$3:$K$539,6,0),"Campo eliminado")</f>
        <v>N</v>
      </c>
      <c r="O40" s="6" t="str">
        <f t="shared" si="2"/>
        <v>Igual</v>
      </c>
      <c r="P40" s="6" t="str">
        <f>IFERROR(VLOOKUP($B40,'LISTA - Setembro2024'!$B$3:$K$539,7,0),"Campo eliminado")</f>
        <v>N</v>
      </c>
      <c r="Q40" s="6" t="str">
        <f t="shared" si="3"/>
        <v>Igual</v>
      </c>
      <c r="R40" s="6" t="str">
        <f>IFERROR(VLOOKUP($B40,'LISTA - Setembro2024'!$B$3:$K$539,9,0),"Campo eliminado")</f>
        <v>N</v>
      </c>
      <c r="S40" s="6" t="str">
        <f t="shared" si="4"/>
        <v>Igual</v>
      </c>
      <c r="U40" s="6" t="str">
        <f>VLOOKUP(B40,DataLake!$A$4:$A$429,1,0)</f>
        <v>ENTITY_INTRNL_RTNG</v>
      </c>
    </row>
    <row r="41" spans="1:21" ht="15" hidden="1" customHeight="1" x14ac:dyDescent="0.25">
      <c r="A41" s="7" t="s">
        <v>130</v>
      </c>
      <c r="B41" s="47" t="str">
        <f t="shared" si="0"/>
        <v>ENTITY_INTRNL_RTNG_PRVS</v>
      </c>
      <c r="C41" s="8" t="s">
        <v>10</v>
      </c>
      <c r="D41" s="9" t="s">
        <v>131</v>
      </c>
      <c r="E41" s="11" t="s">
        <v>132</v>
      </c>
      <c r="F41" s="10" t="s">
        <v>13</v>
      </c>
      <c r="G41" s="10" t="s">
        <v>11</v>
      </c>
      <c r="H41" s="10" t="s">
        <v>11</v>
      </c>
      <c r="I41" s="10" t="s">
        <v>11</v>
      </c>
      <c r="J41" s="10" t="s">
        <v>131</v>
      </c>
      <c r="L41" s="6" t="str">
        <f>IFERROR(VLOOKUP($B41,'LISTA - Setembro2024'!$B$3:$F$539,5,0),"Campo eliminado")</f>
        <v>Y</v>
      </c>
      <c r="M41" s="6" t="str">
        <f t="shared" si="1"/>
        <v>Igual</v>
      </c>
      <c r="N41" s="6" t="str">
        <f>IFERROR(VLOOKUP($B41,'LISTA - Setembro2024'!$B$3:$K$539,6,0),"Campo eliminado")</f>
        <v>N</v>
      </c>
      <c r="O41" s="6" t="str">
        <f t="shared" si="2"/>
        <v>Igual</v>
      </c>
      <c r="P41" s="6" t="str">
        <f>IFERROR(VLOOKUP($B41,'LISTA - Setembro2024'!$B$3:$K$539,7,0),"Campo eliminado")</f>
        <v>N</v>
      </c>
      <c r="Q41" s="6" t="str">
        <f t="shared" si="3"/>
        <v>Igual</v>
      </c>
      <c r="R41" s="6" t="str">
        <f>IFERROR(VLOOKUP($B41,'LISTA - Setembro2024'!$B$3:$K$539,9,0),"Campo eliminado")</f>
        <v>N</v>
      </c>
      <c r="S41" s="6" t="str">
        <f t="shared" si="4"/>
        <v>Igual</v>
      </c>
      <c r="U41" s="6" t="str">
        <f>VLOOKUP(B41,DataLake!$A$4:$A$429,1,0)</f>
        <v>ENTITY_INTRNL_RTNG_PRVS</v>
      </c>
    </row>
    <row r="42" spans="1:21" ht="15" hidden="1" customHeight="1" x14ac:dyDescent="0.25">
      <c r="A42" s="7" t="s">
        <v>133</v>
      </c>
      <c r="B42" s="47" t="str">
        <f t="shared" si="0"/>
        <v>ENTITY_LGL_PRCDNG_STTS_LE</v>
      </c>
      <c r="C42" s="8" t="s">
        <v>10</v>
      </c>
      <c r="D42" s="9" t="s">
        <v>134</v>
      </c>
      <c r="E42" s="11" t="s">
        <v>135</v>
      </c>
      <c r="F42" s="10" t="s">
        <v>13</v>
      </c>
      <c r="G42" s="10" t="s">
        <v>11</v>
      </c>
      <c r="H42" s="10" t="s">
        <v>11</v>
      </c>
      <c r="I42" s="10" t="s">
        <v>11</v>
      </c>
      <c r="J42" s="10" t="s">
        <v>11</v>
      </c>
      <c r="L42" s="6" t="str">
        <f>IFERROR(VLOOKUP($B42,'LISTA - Setembro2024'!$B$3:$F$539,5,0),"Campo eliminado")</f>
        <v>Y</v>
      </c>
      <c r="M42" s="6" t="str">
        <f t="shared" si="1"/>
        <v>Igual</v>
      </c>
      <c r="N42" s="6" t="str">
        <f>IFERROR(VLOOKUP($B42,'LISTA - Setembro2024'!$B$3:$K$539,6,0),"Campo eliminado")</f>
        <v>N</v>
      </c>
      <c r="O42" s="6" t="str">
        <f t="shared" si="2"/>
        <v>Igual</v>
      </c>
      <c r="P42" s="6" t="str">
        <f>IFERROR(VLOOKUP($B42,'LISTA - Setembro2024'!$B$3:$K$539,7,0),"Campo eliminado")</f>
        <v>N</v>
      </c>
      <c r="Q42" s="6" t="str">
        <f t="shared" si="3"/>
        <v>Igual</v>
      </c>
      <c r="R42" s="6" t="str">
        <f>IFERROR(VLOOKUP($B42,'LISTA - Setembro2024'!$B$3:$K$539,9,0),"Campo eliminado")</f>
        <v>N</v>
      </c>
      <c r="S42" s="6" t="str">
        <f t="shared" si="4"/>
        <v>Igual</v>
      </c>
      <c r="U42" s="6" t="str">
        <f>VLOOKUP(B42,DataLake!$A$4:$A$429,1,0)</f>
        <v>ENTITY_LGL_PRCDNG_STTS_LE</v>
      </c>
    </row>
    <row r="43" spans="1:21" ht="15" hidden="1" customHeight="1" x14ac:dyDescent="0.25">
      <c r="A43" s="7" t="s">
        <v>136</v>
      </c>
      <c r="B43" s="47" t="str">
        <f t="shared" si="0"/>
        <v>ENTITY_OWND_BY_SPNSR</v>
      </c>
      <c r="C43" s="8" t="s">
        <v>10</v>
      </c>
      <c r="D43" s="9" t="s">
        <v>137</v>
      </c>
      <c r="E43" s="11" t="s">
        <v>138</v>
      </c>
      <c r="F43" s="10" t="s">
        <v>13</v>
      </c>
      <c r="G43" s="10" t="s">
        <v>11</v>
      </c>
      <c r="H43" s="10" t="s">
        <v>11</v>
      </c>
      <c r="I43" s="10" t="s">
        <v>11</v>
      </c>
      <c r="J43" s="10" t="s">
        <v>137</v>
      </c>
      <c r="L43" s="6" t="str">
        <f>IFERROR(VLOOKUP($B43,'LISTA - Setembro2024'!$B$3:$F$539,5,0),"Campo eliminado")</f>
        <v>Y</v>
      </c>
      <c r="M43" s="6" t="str">
        <f t="shared" si="1"/>
        <v>Igual</v>
      </c>
      <c r="N43" s="6" t="str">
        <f>IFERROR(VLOOKUP($B43,'LISTA - Setembro2024'!$B$3:$K$539,6,0),"Campo eliminado")</f>
        <v>N</v>
      </c>
      <c r="O43" s="6" t="str">
        <f t="shared" si="2"/>
        <v>Igual</v>
      </c>
      <c r="P43" s="6" t="str">
        <f>IFERROR(VLOOKUP($B43,'LISTA - Setembro2024'!$B$3:$K$539,7,0),"Campo eliminado")</f>
        <v>N</v>
      </c>
      <c r="Q43" s="6" t="str">
        <f t="shared" si="3"/>
        <v>Igual</v>
      </c>
      <c r="R43" s="6" t="str">
        <f>IFERROR(VLOOKUP($B43,'LISTA - Setembro2024'!$B$3:$K$539,9,0),"Campo eliminado")</f>
        <v>N</v>
      </c>
      <c r="S43" s="6" t="str">
        <f t="shared" si="4"/>
        <v>Igual</v>
      </c>
      <c r="U43" s="6" t="str">
        <f>VLOOKUP(B43,DataLake!$A$4:$A$429,1,0)</f>
        <v>ENTITY_OWND_BY_SPNSR</v>
      </c>
    </row>
    <row r="44" spans="1:21" ht="15" hidden="1" customHeight="1" x14ac:dyDescent="0.25">
      <c r="A44" s="7" t="s">
        <v>139</v>
      </c>
      <c r="B44" s="47" t="str">
        <f t="shared" si="0"/>
        <v>ENTITY_PRFRMNG_STTS_LE</v>
      </c>
      <c r="C44" s="8" t="s">
        <v>10</v>
      </c>
      <c r="D44" s="9" t="s">
        <v>140</v>
      </c>
      <c r="E44" s="11" t="s">
        <v>141</v>
      </c>
      <c r="F44" s="10" t="s">
        <v>13</v>
      </c>
      <c r="G44" s="10" t="s">
        <v>11</v>
      </c>
      <c r="H44" s="10" t="s">
        <v>11</v>
      </c>
      <c r="I44" s="10" t="s">
        <v>11</v>
      </c>
      <c r="J44" s="10" t="s">
        <v>11</v>
      </c>
      <c r="L44" s="6" t="str">
        <f>IFERROR(VLOOKUP($B44,'LISTA - Setembro2024'!$B$3:$F$539,5,0),"Campo eliminado")</f>
        <v>Y</v>
      </c>
      <c r="M44" s="6" t="str">
        <f t="shared" si="1"/>
        <v>Igual</v>
      </c>
      <c r="N44" s="6" t="str">
        <f>IFERROR(VLOOKUP($B44,'LISTA - Setembro2024'!$B$3:$K$539,6,0),"Campo eliminado")</f>
        <v>N</v>
      </c>
      <c r="O44" s="6" t="str">
        <f t="shared" si="2"/>
        <v>Igual</v>
      </c>
      <c r="P44" s="6" t="str">
        <f>IFERROR(VLOOKUP($B44,'LISTA - Setembro2024'!$B$3:$K$539,7,0),"Campo eliminado")</f>
        <v>N</v>
      </c>
      <c r="Q44" s="6" t="str">
        <f t="shared" si="3"/>
        <v>Igual</v>
      </c>
      <c r="R44" s="6" t="str">
        <f>IFERROR(VLOOKUP($B44,'LISTA - Setembro2024'!$B$3:$K$539,9,0),"Campo eliminado")</f>
        <v>N</v>
      </c>
      <c r="S44" s="6" t="str">
        <f t="shared" si="4"/>
        <v>Igual</v>
      </c>
      <c r="U44" s="6" t="str">
        <f>VLOOKUP(B44,DataLake!$A$4:$A$429,1,0)</f>
        <v>ENTITY_PRFRMNG_STTS_LE</v>
      </c>
    </row>
    <row r="45" spans="1:21" ht="15" hidden="1" customHeight="1" x14ac:dyDescent="0.25">
      <c r="A45" s="7" t="s">
        <v>142</v>
      </c>
      <c r="B45" s="47" t="str">
        <f t="shared" si="0"/>
        <v>ENTITY_RTNG_MTHD</v>
      </c>
      <c r="C45" s="8" t="s">
        <v>10</v>
      </c>
      <c r="D45" s="9" t="s">
        <v>143</v>
      </c>
      <c r="E45" s="11" t="s">
        <v>144</v>
      </c>
      <c r="F45" s="10" t="s">
        <v>13</v>
      </c>
      <c r="G45" s="10" t="s">
        <v>11</v>
      </c>
      <c r="H45" s="10" t="s">
        <v>11</v>
      </c>
      <c r="I45" s="10" t="s">
        <v>11</v>
      </c>
      <c r="J45" s="10" t="s">
        <v>143</v>
      </c>
      <c r="L45" s="6" t="str">
        <f>IFERROR(VLOOKUP($B45,'LISTA - Setembro2024'!$B$3:$F$539,5,0),"Campo eliminado")</f>
        <v>Y</v>
      </c>
      <c r="M45" s="6" t="str">
        <f t="shared" si="1"/>
        <v>Igual</v>
      </c>
      <c r="N45" s="6" t="str">
        <f>IFERROR(VLOOKUP($B45,'LISTA - Setembro2024'!$B$3:$K$539,6,0),"Campo eliminado")</f>
        <v>N</v>
      </c>
      <c r="O45" s="6" t="str">
        <f t="shared" si="2"/>
        <v>Igual</v>
      </c>
      <c r="P45" s="6" t="str">
        <f>IFERROR(VLOOKUP($B45,'LISTA - Setembro2024'!$B$3:$K$539,7,0),"Campo eliminado")</f>
        <v>N</v>
      </c>
      <c r="Q45" s="6" t="str">
        <f t="shared" si="3"/>
        <v>Igual</v>
      </c>
      <c r="R45" s="6" t="str">
        <f>IFERROR(VLOOKUP($B45,'LISTA - Setembro2024'!$B$3:$K$539,9,0),"Campo eliminado")</f>
        <v>N</v>
      </c>
      <c r="S45" s="6" t="str">
        <f t="shared" si="4"/>
        <v>Igual</v>
      </c>
      <c r="U45" s="6" t="str">
        <f>VLOOKUP(B45,DataLake!$A$4:$A$429,1,0)</f>
        <v>ENTITY_RTNG_MTHD</v>
      </c>
    </row>
    <row r="46" spans="1:21" ht="15" hidden="1" customHeight="1" x14ac:dyDescent="0.25">
      <c r="A46" s="7" t="s">
        <v>145</v>
      </c>
      <c r="B46" s="47" t="str">
        <f t="shared" si="0"/>
        <v>ENTITY_RTNG_SCL</v>
      </c>
      <c r="C46" s="8" t="s">
        <v>10</v>
      </c>
      <c r="D46" s="9" t="s">
        <v>146</v>
      </c>
      <c r="E46" s="11" t="s">
        <v>147</v>
      </c>
      <c r="F46" s="10" t="s">
        <v>13</v>
      </c>
      <c r="G46" s="10" t="s">
        <v>11</v>
      </c>
      <c r="H46" s="10" t="s">
        <v>11</v>
      </c>
      <c r="I46" s="10" t="s">
        <v>11</v>
      </c>
      <c r="J46" s="10" t="s">
        <v>11</v>
      </c>
      <c r="L46" s="6" t="str">
        <f>IFERROR(VLOOKUP($B46,'LISTA - Setembro2024'!$B$3:$F$539,5,0),"Campo eliminado")</f>
        <v>Y</v>
      </c>
      <c r="M46" s="6" t="str">
        <f t="shared" si="1"/>
        <v>Igual</v>
      </c>
      <c r="N46" s="6" t="str">
        <f>IFERROR(VLOOKUP($B46,'LISTA - Setembro2024'!$B$3:$K$539,6,0),"Campo eliminado")</f>
        <v>N</v>
      </c>
      <c r="O46" s="6" t="str">
        <f t="shared" si="2"/>
        <v>Igual</v>
      </c>
      <c r="P46" s="6" t="str">
        <f>IFERROR(VLOOKUP($B46,'LISTA - Setembro2024'!$B$3:$K$539,7,0),"Campo eliminado")</f>
        <v>N</v>
      </c>
      <c r="Q46" s="6" t="str">
        <f t="shared" si="3"/>
        <v>Igual</v>
      </c>
      <c r="R46" s="6" t="str">
        <f>IFERROR(VLOOKUP($B46,'LISTA - Setembro2024'!$B$3:$K$539,9,0),"Campo eliminado")</f>
        <v>N</v>
      </c>
      <c r="S46" s="6" t="str">
        <f t="shared" si="4"/>
        <v>Igual</v>
      </c>
      <c r="U46" s="6" t="str">
        <f>VLOOKUP(B46,DataLake!$A$4:$A$429,1,0)</f>
        <v>ENTITY_RTNG_SCL</v>
      </c>
    </row>
    <row r="47" spans="1:21" ht="15" hidden="1" customHeight="1" x14ac:dyDescent="0.25">
      <c r="A47" s="7" t="s">
        <v>148</v>
      </c>
      <c r="B47" s="47" t="str">
        <f t="shared" si="0"/>
        <v>ENTITY_WTCH_LST</v>
      </c>
      <c r="C47" s="8" t="s">
        <v>10</v>
      </c>
      <c r="D47" s="9" t="s">
        <v>149</v>
      </c>
      <c r="E47" s="11" t="s">
        <v>150</v>
      </c>
      <c r="F47" s="10" t="s">
        <v>13</v>
      </c>
      <c r="G47" s="10" t="s">
        <v>11</v>
      </c>
      <c r="H47" s="10" t="s">
        <v>11</v>
      </c>
      <c r="I47" s="10" t="s">
        <v>11</v>
      </c>
      <c r="J47" s="10" t="s">
        <v>149</v>
      </c>
      <c r="L47" s="6" t="str">
        <f>IFERROR(VLOOKUP($B47,'LISTA - Setembro2024'!$B$3:$F$539,5,0),"Campo eliminado")</f>
        <v>Y</v>
      </c>
      <c r="M47" s="6" t="str">
        <f t="shared" si="1"/>
        <v>Igual</v>
      </c>
      <c r="N47" s="6" t="str">
        <f>IFERROR(VLOOKUP($B47,'LISTA - Setembro2024'!$B$3:$K$539,6,0),"Campo eliminado")</f>
        <v>N</v>
      </c>
      <c r="O47" s="6" t="str">
        <f t="shared" si="2"/>
        <v>Igual</v>
      </c>
      <c r="P47" s="6" t="str">
        <f>IFERROR(VLOOKUP($B47,'LISTA - Setembro2024'!$B$3:$K$539,7,0),"Campo eliminado")</f>
        <v>N</v>
      </c>
      <c r="Q47" s="6" t="str">
        <f t="shared" si="3"/>
        <v>Igual</v>
      </c>
      <c r="R47" s="6" t="str">
        <f>IFERROR(VLOOKUP($B47,'LISTA - Setembro2024'!$B$3:$K$539,9,0),"Campo eliminado")</f>
        <v>N</v>
      </c>
      <c r="S47" s="6" t="str">
        <f t="shared" si="4"/>
        <v>Igual</v>
      </c>
      <c r="U47" s="6" t="str">
        <f>VLOOKUP(B47,DataLake!$A$4:$A$429,1,0)</f>
        <v>ENTITY_WTCH_LST</v>
      </c>
    </row>
    <row r="48" spans="1:21" ht="15" hidden="1" customHeight="1" x14ac:dyDescent="0.25">
      <c r="A48" s="7" t="s">
        <v>151</v>
      </c>
      <c r="B48" s="47" t="str">
        <f t="shared" si="0"/>
        <v>ENTITY_SNGL_PRPS_VHCL</v>
      </c>
      <c r="C48" s="8" t="s">
        <v>10</v>
      </c>
      <c r="D48" s="9" t="s">
        <v>152</v>
      </c>
      <c r="E48" s="11" t="s">
        <v>153</v>
      </c>
      <c r="F48" s="10" t="s">
        <v>13</v>
      </c>
      <c r="G48" s="10" t="s">
        <v>11</v>
      </c>
      <c r="H48" s="10" t="s">
        <v>11</v>
      </c>
      <c r="I48" s="10" t="s">
        <v>11</v>
      </c>
      <c r="J48" s="10" t="s">
        <v>152</v>
      </c>
      <c r="L48" s="6" t="str">
        <f>IFERROR(VLOOKUP($B48,'LISTA - Setembro2024'!$B$3:$F$539,5,0),"Campo eliminado")</f>
        <v>Y</v>
      </c>
      <c r="M48" s="6" t="str">
        <f t="shared" si="1"/>
        <v>Igual</v>
      </c>
      <c r="N48" s="6" t="str">
        <f>IFERROR(VLOOKUP($B48,'LISTA - Setembro2024'!$B$3:$K$539,6,0),"Campo eliminado")</f>
        <v>N</v>
      </c>
      <c r="O48" s="6" t="str">
        <f t="shared" si="2"/>
        <v>Igual</v>
      </c>
      <c r="P48" s="6" t="str">
        <f>IFERROR(VLOOKUP($B48,'LISTA - Setembro2024'!$B$3:$K$539,7,0),"Campo eliminado")</f>
        <v>N</v>
      </c>
      <c r="Q48" s="6" t="str">
        <f t="shared" si="3"/>
        <v>Igual</v>
      </c>
      <c r="R48" s="6" t="str">
        <f>IFERROR(VLOOKUP($B48,'LISTA - Setembro2024'!$B$3:$K$539,9,0),"Campo eliminado")</f>
        <v>N</v>
      </c>
      <c r="S48" s="6" t="str">
        <f t="shared" si="4"/>
        <v>Igual</v>
      </c>
      <c r="U48" s="6" t="str">
        <f>VLOOKUP(B48,DataLake!$A$4:$A$429,1,0)</f>
        <v>ENTITY_SNGL_PRPS_VHCL</v>
      </c>
    </row>
    <row r="49" spans="1:21" ht="15" hidden="1" customHeight="1" x14ac:dyDescent="0.25">
      <c r="A49" s="7" t="s">
        <v>154</v>
      </c>
      <c r="B49" s="47" t="str">
        <f t="shared" si="0"/>
        <v>ENTITY_GRP_EBITDA</v>
      </c>
      <c r="C49" s="8" t="s">
        <v>10</v>
      </c>
      <c r="D49" s="9" t="s">
        <v>155</v>
      </c>
      <c r="E49" s="14" t="s">
        <v>156</v>
      </c>
      <c r="F49" s="10" t="s">
        <v>13</v>
      </c>
      <c r="G49" s="10" t="s">
        <v>11</v>
      </c>
      <c r="H49" s="10" t="s">
        <v>11</v>
      </c>
      <c r="I49" s="10" t="s">
        <v>11</v>
      </c>
      <c r="J49" s="10" t="s">
        <v>155</v>
      </c>
      <c r="L49" s="6" t="str">
        <f>IFERROR(VLOOKUP($B49,'LISTA - Setembro2024'!$B$3:$F$539,5,0),"Campo eliminado")</f>
        <v>Y</v>
      </c>
      <c r="M49" s="6" t="str">
        <f t="shared" si="1"/>
        <v>Igual</v>
      </c>
      <c r="N49" s="6" t="str">
        <f>IFERROR(VLOOKUP($B49,'LISTA - Setembro2024'!$B$3:$K$539,6,0),"Campo eliminado")</f>
        <v>N</v>
      </c>
      <c r="O49" s="6" t="str">
        <f t="shared" si="2"/>
        <v>Igual</v>
      </c>
      <c r="P49" s="6" t="str">
        <f>IFERROR(VLOOKUP($B49,'LISTA - Setembro2024'!$B$3:$K$539,7,0),"Campo eliminado")</f>
        <v>N</v>
      </c>
      <c r="Q49" s="6" t="str">
        <f t="shared" si="3"/>
        <v>Igual</v>
      </c>
      <c r="R49" s="6" t="str">
        <f>IFERROR(VLOOKUP($B49,'LISTA - Setembro2024'!$B$3:$K$539,9,0),"Campo eliminado")</f>
        <v>N</v>
      </c>
      <c r="S49" s="6" t="str">
        <f t="shared" si="4"/>
        <v>Igual</v>
      </c>
      <c r="U49" s="6" t="str">
        <f>VLOOKUP(B49,DataLake!$A$4:$A$429,1,0)</f>
        <v>ENTITY_GRP_EBITDA</v>
      </c>
    </row>
    <row r="50" spans="1:21" ht="15" hidden="1" customHeight="1" x14ac:dyDescent="0.25">
      <c r="A50" s="7" t="s">
        <v>157</v>
      </c>
      <c r="B50" s="47" t="str">
        <f t="shared" si="0"/>
        <v>ENTITY_GRP_EQTY</v>
      </c>
      <c r="C50" s="8" t="s">
        <v>10</v>
      </c>
      <c r="D50" s="9" t="s">
        <v>158</v>
      </c>
      <c r="E50" s="14" t="s">
        <v>159</v>
      </c>
      <c r="F50" s="10" t="s">
        <v>13</v>
      </c>
      <c r="G50" s="10" t="s">
        <v>11</v>
      </c>
      <c r="H50" s="10" t="s">
        <v>13</v>
      </c>
      <c r="I50" s="10" t="s">
        <v>11</v>
      </c>
      <c r="J50" s="10" t="s">
        <v>158</v>
      </c>
      <c r="L50" s="6" t="str">
        <f>IFERROR(VLOOKUP($B50,'LISTA - Setembro2024'!$B$3:$F$539,5,0),"Campo eliminado")</f>
        <v>Y</v>
      </c>
      <c r="M50" s="6" t="str">
        <f t="shared" si="1"/>
        <v>Igual</v>
      </c>
      <c r="N50" s="6" t="str">
        <f>IFERROR(VLOOKUP($B50,'LISTA - Setembro2024'!$B$3:$K$539,6,0),"Campo eliminado")</f>
        <v>N</v>
      </c>
      <c r="O50" s="6" t="str">
        <f t="shared" si="2"/>
        <v>Igual</v>
      </c>
      <c r="P50" s="6" t="str">
        <f>IFERROR(VLOOKUP($B50,'LISTA - Setembro2024'!$B$3:$K$539,7,0),"Campo eliminado")</f>
        <v>Y</v>
      </c>
      <c r="Q50" s="6" t="str">
        <f t="shared" si="3"/>
        <v>Igual</v>
      </c>
      <c r="R50" s="6" t="str">
        <f>IFERROR(VLOOKUP($B50,'LISTA - Setembro2024'!$B$3:$K$539,9,0),"Campo eliminado")</f>
        <v>N</v>
      </c>
      <c r="S50" s="6" t="str">
        <f t="shared" si="4"/>
        <v>Igual</v>
      </c>
      <c r="U50" s="6" t="str">
        <f>VLOOKUP(B50,DataLake!$A$4:$A$429,1,0)</f>
        <v>ENTITY_GRP_EQTY</v>
      </c>
    </row>
    <row r="51" spans="1:21" ht="15" hidden="1" customHeight="1" x14ac:dyDescent="0.25">
      <c r="A51" s="7" t="s">
        <v>160</v>
      </c>
      <c r="B51" s="47" t="str">
        <f t="shared" si="0"/>
        <v>ENTITY_GRP_NT_DBT</v>
      </c>
      <c r="C51" s="8" t="s">
        <v>10</v>
      </c>
      <c r="D51" s="9" t="s">
        <v>161</v>
      </c>
      <c r="E51" s="11" t="s">
        <v>162</v>
      </c>
      <c r="F51" s="10" t="s">
        <v>13</v>
      </c>
      <c r="G51" s="10" t="s">
        <v>11</v>
      </c>
      <c r="H51" s="10" t="s">
        <v>11</v>
      </c>
      <c r="I51" s="10" t="s">
        <v>11</v>
      </c>
      <c r="J51" s="10" t="s">
        <v>161</v>
      </c>
      <c r="L51" s="6" t="str">
        <f>IFERROR(VLOOKUP($B51,'LISTA - Setembro2024'!$B$3:$F$539,5,0),"Campo eliminado")</f>
        <v>Y</v>
      </c>
      <c r="M51" s="6" t="str">
        <f t="shared" si="1"/>
        <v>Igual</v>
      </c>
      <c r="N51" s="6" t="str">
        <f>IFERROR(VLOOKUP($B51,'LISTA - Setembro2024'!$B$3:$K$539,6,0),"Campo eliminado")</f>
        <v>N</v>
      </c>
      <c r="O51" s="6" t="str">
        <f t="shared" si="2"/>
        <v>Igual</v>
      </c>
      <c r="P51" s="6" t="str">
        <f>IFERROR(VLOOKUP($B51,'LISTA - Setembro2024'!$B$3:$K$539,7,0),"Campo eliminado")</f>
        <v>N</v>
      </c>
      <c r="Q51" s="6" t="str">
        <f t="shared" si="3"/>
        <v>Igual</v>
      </c>
      <c r="R51" s="6" t="str">
        <f>IFERROR(VLOOKUP($B51,'LISTA - Setembro2024'!$B$3:$K$539,9,0),"Campo eliminado")</f>
        <v>N</v>
      </c>
      <c r="S51" s="6" t="str">
        <f t="shared" si="4"/>
        <v>Igual</v>
      </c>
      <c r="U51" s="6" t="str">
        <f>VLOOKUP(B51,DataLake!$A$4:$A$429,1,0)</f>
        <v>ENTITY_GRP_NT_DBT</v>
      </c>
    </row>
    <row r="52" spans="1:21" ht="15" hidden="1" customHeight="1" x14ac:dyDescent="0.25">
      <c r="A52" s="7" t="s">
        <v>163</v>
      </c>
      <c r="B52" s="47" t="str">
        <f t="shared" si="0"/>
        <v>ENTITY_ANNL_TRNVR_LE</v>
      </c>
      <c r="C52" s="8" t="s">
        <v>10</v>
      </c>
      <c r="D52" s="9" t="s">
        <v>164</v>
      </c>
      <c r="E52" s="11" t="s">
        <v>165</v>
      </c>
      <c r="F52" s="10" t="s">
        <v>13</v>
      </c>
      <c r="G52" s="10" t="s">
        <v>11</v>
      </c>
      <c r="H52" s="10" t="s">
        <v>13</v>
      </c>
      <c r="I52" s="10" t="s">
        <v>11</v>
      </c>
      <c r="J52" s="10" t="s">
        <v>164</v>
      </c>
      <c r="L52" s="6" t="str">
        <f>IFERROR(VLOOKUP($B52,'LISTA - Setembro2024'!$B$3:$F$539,5,0),"Campo eliminado")</f>
        <v>Y</v>
      </c>
      <c r="M52" s="6" t="str">
        <f t="shared" si="1"/>
        <v>Igual</v>
      </c>
      <c r="N52" s="6" t="str">
        <f>IFERROR(VLOOKUP($B52,'LISTA - Setembro2024'!$B$3:$K$539,6,0),"Campo eliminado")</f>
        <v>N</v>
      </c>
      <c r="O52" s="6" t="str">
        <f t="shared" si="2"/>
        <v>Igual</v>
      </c>
      <c r="P52" s="6" t="str">
        <f>IFERROR(VLOOKUP($B52,'LISTA - Setembro2024'!$B$3:$K$539,7,0),"Campo eliminado")</f>
        <v>Y</v>
      </c>
      <c r="Q52" s="6" t="str">
        <f t="shared" si="3"/>
        <v>Igual</v>
      </c>
      <c r="R52" s="6" t="str">
        <f>IFERROR(VLOOKUP($B52,'LISTA - Setembro2024'!$B$3:$K$539,9,0),"Campo eliminado")</f>
        <v>N</v>
      </c>
      <c r="S52" s="6" t="str">
        <f t="shared" si="4"/>
        <v>Igual</v>
      </c>
      <c r="U52" s="6" t="str">
        <f>VLOOKUP(B52,DataLake!$A$4:$A$429,1,0)</f>
        <v>ENTITY_ANNL_TRNVR_LE</v>
      </c>
    </row>
    <row r="53" spans="1:21" ht="15" hidden="1" customHeight="1" x14ac:dyDescent="0.25">
      <c r="A53" s="7" t="s">
        <v>166</v>
      </c>
      <c r="B53" s="47" t="str">
        <f t="shared" si="0"/>
        <v>ENTITY_ANNL_TRNVR_PRVS</v>
      </c>
      <c r="C53" s="8" t="s">
        <v>10</v>
      </c>
      <c r="D53" s="9" t="s">
        <v>167</v>
      </c>
      <c r="E53" s="11" t="s">
        <v>168</v>
      </c>
      <c r="F53" s="10" t="s">
        <v>13</v>
      </c>
      <c r="G53" s="10" t="s">
        <v>11</v>
      </c>
      <c r="H53" s="10" t="s">
        <v>11</v>
      </c>
      <c r="I53" s="10" t="s">
        <v>11</v>
      </c>
      <c r="J53" s="10" t="s">
        <v>167</v>
      </c>
      <c r="L53" s="6" t="str">
        <f>IFERROR(VLOOKUP($B53,'LISTA - Setembro2024'!$B$3:$F$539,5,0),"Campo eliminado")</f>
        <v>Y</v>
      </c>
      <c r="M53" s="6" t="str">
        <f t="shared" si="1"/>
        <v>Igual</v>
      </c>
      <c r="N53" s="6" t="str">
        <f>IFERROR(VLOOKUP($B53,'LISTA - Setembro2024'!$B$3:$K$539,6,0),"Campo eliminado")</f>
        <v>N</v>
      </c>
      <c r="O53" s="6" t="str">
        <f t="shared" si="2"/>
        <v>Igual</v>
      </c>
      <c r="P53" s="6" t="str">
        <f>IFERROR(VLOOKUP($B53,'LISTA - Setembro2024'!$B$3:$K$539,7,0),"Campo eliminado")</f>
        <v>N</v>
      </c>
      <c r="Q53" s="6" t="str">
        <f t="shared" si="3"/>
        <v>Igual</v>
      </c>
      <c r="R53" s="6" t="str">
        <f>IFERROR(VLOOKUP($B53,'LISTA - Setembro2024'!$B$3:$K$539,9,0),"Campo eliminado")</f>
        <v>N</v>
      </c>
      <c r="S53" s="6" t="str">
        <f t="shared" si="4"/>
        <v>Igual</v>
      </c>
      <c r="U53" s="6" t="str">
        <f>VLOOKUP(B53,DataLake!$A$4:$A$429,1,0)</f>
        <v>ENTITY_ANNL_TRNVR_PRVS</v>
      </c>
    </row>
    <row r="54" spans="1:21" ht="15" hidden="1" customHeight="1" x14ac:dyDescent="0.25">
      <c r="A54" s="7" t="s">
        <v>169</v>
      </c>
      <c r="B54" s="47" t="str">
        <f t="shared" si="0"/>
        <v>ENTITY_CAPEX</v>
      </c>
      <c r="C54" s="8" t="s">
        <v>10</v>
      </c>
      <c r="D54" s="9" t="s">
        <v>170</v>
      </c>
      <c r="E54" s="11" t="s">
        <v>171</v>
      </c>
      <c r="F54" s="10" t="s">
        <v>13</v>
      </c>
      <c r="G54" s="10" t="s">
        <v>11</v>
      </c>
      <c r="H54" s="10" t="s">
        <v>11</v>
      </c>
      <c r="I54" s="10" t="s">
        <v>11</v>
      </c>
      <c r="J54" s="10" t="s">
        <v>170</v>
      </c>
      <c r="L54" s="6" t="str">
        <f>IFERROR(VLOOKUP($B54,'LISTA - Setembro2024'!$B$3:$F$539,5,0),"Campo eliminado")</f>
        <v>Y</v>
      </c>
      <c r="M54" s="6" t="str">
        <f t="shared" si="1"/>
        <v>Igual</v>
      </c>
      <c r="N54" s="6" t="str">
        <f>IFERROR(VLOOKUP($B54,'LISTA - Setembro2024'!$B$3:$K$539,6,0),"Campo eliminado")</f>
        <v>N</v>
      </c>
      <c r="O54" s="6" t="str">
        <f t="shared" si="2"/>
        <v>Igual</v>
      </c>
      <c r="P54" s="6" t="str">
        <f>IFERROR(VLOOKUP($B54,'LISTA - Setembro2024'!$B$3:$K$539,7,0),"Campo eliminado")</f>
        <v>N</v>
      </c>
      <c r="Q54" s="6" t="str">
        <f t="shared" si="3"/>
        <v>Igual</v>
      </c>
      <c r="R54" s="6" t="str">
        <f>IFERROR(VLOOKUP($B54,'LISTA - Setembro2024'!$B$3:$K$539,9,0),"Campo eliminado")</f>
        <v>N</v>
      </c>
      <c r="S54" s="6" t="str">
        <f t="shared" si="4"/>
        <v>Igual</v>
      </c>
      <c r="U54" s="6" t="str">
        <f>VLOOKUP(B54,DataLake!$A$4:$A$429,1,0)</f>
        <v>ENTITY_CAPEX</v>
      </c>
    </row>
    <row r="55" spans="1:21" ht="15" hidden="1" customHeight="1" x14ac:dyDescent="0.25">
      <c r="A55" s="7" t="s">
        <v>172</v>
      </c>
      <c r="B55" s="47" t="str">
        <f t="shared" si="0"/>
        <v>ENTITY_CAPEX_PRVS</v>
      </c>
      <c r="C55" s="8" t="s">
        <v>10</v>
      </c>
      <c r="D55" s="9" t="s">
        <v>173</v>
      </c>
      <c r="E55" s="11" t="s">
        <v>174</v>
      </c>
      <c r="F55" s="10" t="s">
        <v>13</v>
      </c>
      <c r="G55" s="10" t="s">
        <v>11</v>
      </c>
      <c r="H55" s="10" t="s">
        <v>11</v>
      </c>
      <c r="I55" s="10" t="s">
        <v>11</v>
      </c>
      <c r="J55" s="10" t="s">
        <v>173</v>
      </c>
      <c r="L55" s="6" t="str">
        <f>IFERROR(VLOOKUP($B55,'LISTA - Setembro2024'!$B$3:$F$539,5,0),"Campo eliminado")</f>
        <v>Y</v>
      </c>
      <c r="M55" s="6" t="str">
        <f t="shared" si="1"/>
        <v>Igual</v>
      </c>
      <c r="N55" s="6" t="str">
        <f>IFERROR(VLOOKUP($B55,'LISTA - Setembro2024'!$B$3:$K$539,6,0),"Campo eliminado")</f>
        <v>N</v>
      </c>
      <c r="O55" s="6" t="str">
        <f t="shared" si="2"/>
        <v>Igual</v>
      </c>
      <c r="P55" s="6" t="str">
        <f>IFERROR(VLOOKUP($B55,'LISTA - Setembro2024'!$B$3:$K$539,7,0),"Campo eliminado")</f>
        <v>N</v>
      </c>
      <c r="Q55" s="6" t="str">
        <f t="shared" si="3"/>
        <v>Igual</v>
      </c>
      <c r="R55" s="6" t="str">
        <f>IFERROR(VLOOKUP($B55,'LISTA - Setembro2024'!$B$3:$K$539,9,0),"Campo eliminado")</f>
        <v>N</v>
      </c>
      <c r="S55" s="6" t="str">
        <f t="shared" si="4"/>
        <v>Igual</v>
      </c>
      <c r="U55" s="6" t="str">
        <f>VLOOKUP(B55,DataLake!$A$4:$A$429,1,0)</f>
        <v>ENTITY_CAPEX_PRVS</v>
      </c>
    </row>
    <row r="56" spans="1:21" ht="15" hidden="1" customHeight="1" x14ac:dyDescent="0.25">
      <c r="A56" s="7" t="s">
        <v>175</v>
      </c>
      <c r="B56" s="47" t="str">
        <f t="shared" si="0"/>
        <v>ENTITY_CLLCTN_MD</v>
      </c>
      <c r="C56" s="8" t="s">
        <v>10</v>
      </c>
      <c r="D56" s="9" t="s">
        <v>176</v>
      </c>
      <c r="E56" s="11" t="s">
        <v>177</v>
      </c>
      <c r="F56" s="10" t="s">
        <v>13</v>
      </c>
      <c r="G56" s="10" t="s">
        <v>11</v>
      </c>
      <c r="H56" s="10" t="s">
        <v>11</v>
      </c>
      <c r="I56" s="10" t="s">
        <v>11</v>
      </c>
      <c r="J56" s="10" t="s">
        <v>176</v>
      </c>
      <c r="L56" s="6" t="str">
        <f>IFERROR(VLOOKUP($B56,'LISTA - Setembro2024'!$B$3:$F$539,5,0),"Campo eliminado")</f>
        <v>Y</v>
      </c>
      <c r="M56" s="6" t="str">
        <f t="shared" si="1"/>
        <v>Igual</v>
      </c>
      <c r="N56" s="6" t="str">
        <f>IFERROR(VLOOKUP($B56,'LISTA - Setembro2024'!$B$3:$K$539,6,0),"Campo eliminado")</f>
        <v>N</v>
      </c>
      <c r="O56" s="6" t="str">
        <f t="shared" si="2"/>
        <v>Igual</v>
      </c>
      <c r="P56" s="6" t="str">
        <f>IFERROR(VLOOKUP($B56,'LISTA - Setembro2024'!$B$3:$K$539,7,0),"Campo eliminado")</f>
        <v>N</v>
      </c>
      <c r="Q56" s="6" t="str">
        <f t="shared" si="3"/>
        <v>Igual</v>
      </c>
      <c r="R56" s="6" t="str">
        <f>IFERROR(VLOOKUP($B56,'LISTA - Setembro2024'!$B$3:$K$539,9,0),"Campo eliminado")</f>
        <v>N</v>
      </c>
      <c r="S56" s="6" t="str">
        <f t="shared" si="4"/>
        <v>Igual</v>
      </c>
      <c r="U56" s="6" t="str">
        <f>VLOOKUP(B56,DataLake!$A$4:$A$429,1,0)</f>
        <v>ENTITY_CLLCTN_MD</v>
      </c>
    </row>
    <row r="57" spans="1:21" ht="15" hidden="1" customHeight="1" x14ac:dyDescent="0.25">
      <c r="A57" s="7" t="s">
        <v>178</v>
      </c>
      <c r="B57" s="47" t="str">
        <f t="shared" si="0"/>
        <v>ENTITY_CSH</v>
      </c>
      <c r="C57" s="8" t="s">
        <v>10</v>
      </c>
      <c r="D57" s="9" t="s">
        <v>179</v>
      </c>
      <c r="E57" s="11" t="s">
        <v>180</v>
      </c>
      <c r="F57" s="10" t="s">
        <v>13</v>
      </c>
      <c r="G57" s="10" t="s">
        <v>11</v>
      </c>
      <c r="H57" s="10" t="s">
        <v>11</v>
      </c>
      <c r="I57" s="10" t="s">
        <v>11</v>
      </c>
      <c r="J57" s="10" t="s">
        <v>179</v>
      </c>
      <c r="L57" s="6" t="str">
        <f>IFERROR(VLOOKUP($B57,'LISTA - Setembro2024'!$B$3:$F$539,5,0),"Campo eliminado")</f>
        <v>Y</v>
      </c>
      <c r="M57" s="6" t="str">
        <f t="shared" si="1"/>
        <v>Igual</v>
      </c>
      <c r="N57" s="6" t="str">
        <f>IFERROR(VLOOKUP($B57,'LISTA - Setembro2024'!$B$3:$K$539,6,0),"Campo eliminado")</f>
        <v>N</v>
      </c>
      <c r="O57" s="6" t="str">
        <f t="shared" si="2"/>
        <v>Igual</v>
      </c>
      <c r="P57" s="6" t="str">
        <f>IFERROR(VLOOKUP($B57,'LISTA - Setembro2024'!$B$3:$K$539,7,0),"Campo eliminado")</f>
        <v>N</v>
      </c>
      <c r="Q57" s="6" t="str">
        <f t="shared" si="3"/>
        <v>Igual</v>
      </c>
      <c r="R57" s="6" t="str">
        <f>IFERROR(VLOOKUP($B57,'LISTA - Setembro2024'!$B$3:$K$539,9,0),"Campo eliminado")</f>
        <v>N</v>
      </c>
      <c r="S57" s="6" t="str">
        <f t="shared" si="4"/>
        <v>Igual</v>
      </c>
      <c r="U57" s="6" t="str">
        <f>VLOOKUP(B57,DataLake!$A$4:$A$429,1,0)</f>
        <v>ENTITY_CSH</v>
      </c>
    </row>
    <row r="58" spans="1:21" ht="15" hidden="1" customHeight="1" x14ac:dyDescent="0.25">
      <c r="A58" s="7" t="s">
        <v>181</v>
      </c>
      <c r="B58" s="47" t="str">
        <f t="shared" si="0"/>
        <v>ENTITY_CSH_PRVS</v>
      </c>
      <c r="C58" s="8" t="s">
        <v>10</v>
      </c>
      <c r="D58" s="9" t="s">
        <v>182</v>
      </c>
      <c r="E58" s="11" t="s">
        <v>183</v>
      </c>
      <c r="F58" s="10" t="s">
        <v>13</v>
      </c>
      <c r="G58" s="10" t="s">
        <v>11</v>
      </c>
      <c r="H58" s="10" t="s">
        <v>11</v>
      </c>
      <c r="I58" s="10" t="s">
        <v>11</v>
      </c>
      <c r="J58" s="10" t="s">
        <v>182</v>
      </c>
      <c r="L58" s="6" t="str">
        <f>IFERROR(VLOOKUP($B58,'LISTA - Setembro2024'!$B$3:$F$539,5,0),"Campo eliminado")</f>
        <v>Y</v>
      </c>
      <c r="M58" s="6" t="str">
        <f t="shared" si="1"/>
        <v>Igual</v>
      </c>
      <c r="N58" s="6" t="str">
        <f>IFERROR(VLOOKUP($B58,'LISTA - Setembro2024'!$B$3:$K$539,6,0),"Campo eliminado")</f>
        <v>N</v>
      </c>
      <c r="O58" s="6" t="str">
        <f t="shared" si="2"/>
        <v>Igual</v>
      </c>
      <c r="P58" s="6" t="str">
        <f>IFERROR(VLOOKUP($B58,'LISTA - Setembro2024'!$B$3:$K$539,7,0),"Campo eliminado")</f>
        <v>N</v>
      </c>
      <c r="Q58" s="6" t="str">
        <f t="shared" si="3"/>
        <v>Igual</v>
      </c>
      <c r="R58" s="6" t="str">
        <f>IFERROR(VLOOKUP($B58,'LISTA - Setembro2024'!$B$3:$K$539,9,0),"Campo eliminado")</f>
        <v>N</v>
      </c>
      <c r="S58" s="6" t="str">
        <f t="shared" si="4"/>
        <v>Igual</v>
      </c>
      <c r="U58" s="6" t="str">
        <f>VLOOKUP(B58,DataLake!$A$4:$A$429,1,0)</f>
        <v>ENTITY_CSH_PRVS</v>
      </c>
    </row>
    <row r="59" spans="1:21" ht="15" hidden="1" customHeight="1" x14ac:dyDescent="0.25">
      <c r="A59" s="7" t="s">
        <v>184</v>
      </c>
      <c r="B59" s="47" t="str">
        <f t="shared" si="0"/>
        <v>ENTITY_EBITDA</v>
      </c>
      <c r="C59" s="8" t="s">
        <v>10</v>
      </c>
      <c r="D59" s="9" t="s">
        <v>185</v>
      </c>
      <c r="E59" s="11" t="s">
        <v>186</v>
      </c>
      <c r="F59" s="10" t="s">
        <v>13</v>
      </c>
      <c r="G59" s="10" t="s">
        <v>11</v>
      </c>
      <c r="H59" s="10" t="s">
        <v>11</v>
      </c>
      <c r="I59" s="10" t="s">
        <v>11</v>
      </c>
      <c r="J59" s="10" t="s">
        <v>185</v>
      </c>
      <c r="L59" s="6" t="str">
        <f>IFERROR(VLOOKUP($B59,'LISTA - Setembro2024'!$B$3:$F$539,5,0),"Campo eliminado")</f>
        <v>Y</v>
      </c>
      <c r="M59" s="6" t="str">
        <f t="shared" si="1"/>
        <v>Igual</v>
      </c>
      <c r="N59" s="6" t="str">
        <f>IFERROR(VLOOKUP($B59,'LISTA - Setembro2024'!$B$3:$K$539,6,0),"Campo eliminado")</f>
        <v>N</v>
      </c>
      <c r="O59" s="6" t="str">
        <f t="shared" si="2"/>
        <v>Igual</v>
      </c>
      <c r="P59" s="6" t="str">
        <f>IFERROR(VLOOKUP($B59,'LISTA - Setembro2024'!$B$3:$K$539,7,0),"Campo eliminado")</f>
        <v>N</v>
      </c>
      <c r="Q59" s="6" t="str">
        <f t="shared" si="3"/>
        <v>Igual</v>
      </c>
      <c r="R59" s="6" t="str">
        <f>IFERROR(VLOOKUP($B59,'LISTA - Setembro2024'!$B$3:$K$539,9,0),"Campo eliminado")</f>
        <v>N</v>
      </c>
      <c r="S59" s="6" t="str">
        <f t="shared" si="4"/>
        <v>Igual</v>
      </c>
      <c r="U59" s="6" t="str">
        <f>VLOOKUP(B59,DataLake!$A$4:$A$429,1,0)</f>
        <v>ENTITY_EBITDA</v>
      </c>
    </row>
    <row r="60" spans="1:21" ht="15" hidden="1" customHeight="1" x14ac:dyDescent="0.25">
      <c r="A60" s="7" t="s">
        <v>187</v>
      </c>
      <c r="B60" s="47" t="str">
        <f t="shared" si="0"/>
        <v>ENTITY_EBITDA_PRVS</v>
      </c>
      <c r="C60" s="8" t="s">
        <v>10</v>
      </c>
      <c r="D60" s="9" t="s">
        <v>188</v>
      </c>
      <c r="E60" s="11" t="s">
        <v>189</v>
      </c>
      <c r="F60" s="10" t="s">
        <v>13</v>
      </c>
      <c r="G60" s="10" t="s">
        <v>11</v>
      </c>
      <c r="H60" s="10" t="s">
        <v>11</v>
      </c>
      <c r="I60" s="10" t="s">
        <v>11</v>
      </c>
      <c r="J60" s="10" t="s">
        <v>188</v>
      </c>
      <c r="L60" s="6" t="str">
        <f>IFERROR(VLOOKUP($B60,'LISTA - Setembro2024'!$B$3:$F$539,5,0),"Campo eliminado")</f>
        <v>Y</v>
      </c>
      <c r="M60" s="6" t="str">
        <f t="shared" si="1"/>
        <v>Igual</v>
      </c>
      <c r="N60" s="6" t="str">
        <f>IFERROR(VLOOKUP($B60,'LISTA - Setembro2024'!$B$3:$K$539,6,0),"Campo eliminado")</f>
        <v>N</v>
      </c>
      <c r="O60" s="6" t="str">
        <f t="shared" si="2"/>
        <v>Igual</v>
      </c>
      <c r="P60" s="6" t="str">
        <f>IFERROR(VLOOKUP($B60,'LISTA - Setembro2024'!$B$3:$K$539,7,0),"Campo eliminado")</f>
        <v>N</v>
      </c>
      <c r="Q60" s="6" t="str">
        <f t="shared" si="3"/>
        <v>Igual</v>
      </c>
      <c r="R60" s="6" t="str">
        <f>IFERROR(VLOOKUP($B60,'LISTA - Setembro2024'!$B$3:$K$539,9,0),"Campo eliminado")</f>
        <v>N</v>
      </c>
      <c r="S60" s="6" t="str">
        <f t="shared" si="4"/>
        <v>Igual</v>
      </c>
      <c r="U60" s="6" t="str">
        <f>VLOOKUP(B60,DataLake!$A$4:$A$429,1,0)</f>
        <v>ENTITY_EBITDA_PRVS</v>
      </c>
    </row>
    <row r="61" spans="1:21" ht="15" hidden="1" customHeight="1" x14ac:dyDescent="0.25">
      <c r="A61" s="7" t="s">
        <v>190</v>
      </c>
      <c r="B61" s="47" t="str">
        <f t="shared" si="0"/>
        <v>ENTITY_EQTY</v>
      </c>
      <c r="C61" s="8" t="s">
        <v>10</v>
      </c>
      <c r="D61" s="9" t="s">
        <v>191</v>
      </c>
      <c r="E61" s="11" t="s">
        <v>192</v>
      </c>
      <c r="F61" s="10" t="s">
        <v>13</v>
      </c>
      <c r="G61" s="10" t="s">
        <v>11</v>
      </c>
      <c r="H61" s="10" t="s">
        <v>13</v>
      </c>
      <c r="I61" s="10" t="s">
        <v>11</v>
      </c>
      <c r="J61" s="10" t="s">
        <v>191</v>
      </c>
      <c r="L61" s="6" t="str">
        <f>IFERROR(VLOOKUP($B61,'LISTA - Setembro2024'!$B$3:$F$539,5,0),"Campo eliminado")</f>
        <v>Y</v>
      </c>
      <c r="M61" s="6" t="str">
        <f t="shared" si="1"/>
        <v>Igual</v>
      </c>
      <c r="N61" s="6" t="str">
        <f>IFERROR(VLOOKUP($B61,'LISTA - Setembro2024'!$B$3:$K$539,6,0),"Campo eliminado")</f>
        <v>N</v>
      </c>
      <c r="O61" s="6" t="str">
        <f t="shared" si="2"/>
        <v>Igual</v>
      </c>
      <c r="P61" s="6" t="str">
        <f>IFERROR(VLOOKUP($B61,'LISTA - Setembro2024'!$B$3:$K$539,7,0),"Campo eliminado")</f>
        <v>Y</v>
      </c>
      <c r="Q61" s="6" t="str">
        <f t="shared" si="3"/>
        <v>Igual</v>
      </c>
      <c r="R61" s="6" t="str">
        <f>IFERROR(VLOOKUP($B61,'LISTA - Setembro2024'!$B$3:$K$539,9,0),"Campo eliminado")</f>
        <v>N</v>
      </c>
      <c r="S61" s="6" t="str">
        <f t="shared" si="4"/>
        <v>Igual</v>
      </c>
      <c r="U61" s="6" t="str">
        <f>VLOOKUP(B61,DataLake!$A$4:$A$429,1,0)</f>
        <v>ENTITY_EQTY</v>
      </c>
    </row>
    <row r="62" spans="1:21" ht="15" hidden="1" customHeight="1" x14ac:dyDescent="0.25">
      <c r="A62" s="7" t="s">
        <v>193</v>
      </c>
      <c r="B62" s="47" t="str">
        <f t="shared" si="0"/>
        <v>ENTITY_EQTY_PRVS</v>
      </c>
      <c r="C62" s="8" t="s">
        <v>10</v>
      </c>
      <c r="D62" s="9" t="s">
        <v>194</v>
      </c>
      <c r="E62" s="11" t="s">
        <v>195</v>
      </c>
      <c r="F62" s="10" t="s">
        <v>13</v>
      </c>
      <c r="G62" s="10" t="s">
        <v>11</v>
      </c>
      <c r="H62" s="10" t="s">
        <v>11</v>
      </c>
      <c r="I62" s="10" t="s">
        <v>11</v>
      </c>
      <c r="J62" s="10" t="s">
        <v>194</v>
      </c>
      <c r="L62" s="6" t="str">
        <f>IFERROR(VLOOKUP($B62,'LISTA - Setembro2024'!$B$3:$F$539,5,0),"Campo eliminado")</f>
        <v>Y</v>
      </c>
      <c r="M62" s="6" t="str">
        <f t="shared" si="1"/>
        <v>Igual</v>
      </c>
      <c r="N62" s="6" t="str">
        <f>IFERROR(VLOOKUP($B62,'LISTA - Setembro2024'!$B$3:$K$539,6,0),"Campo eliminado")</f>
        <v>N</v>
      </c>
      <c r="O62" s="6" t="str">
        <f t="shared" si="2"/>
        <v>Igual</v>
      </c>
      <c r="P62" s="6" t="str">
        <f>IFERROR(VLOOKUP($B62,'LISTA - Setembro2024'!$B$3:$K$539,7,0),"Campo eliminado")</f>
        <v>N</v>
      </c>
      <c r="Q62" s="6" t="str">
        <f t="shared" si="3"/>
        <v>Igual</v>
      </c>
      <c r="R62" s="6" t="str">
        <f>IFERROR(VLOOKUP($B62,'LISTA - Setembro2024'!$B$3:$K$539,9,0),"Campo eliminado")</f>
        <v>N</v>
      </c>
      <c r="S62" s="6" t="str">
        <f t="shared" si="4"/>
        <v>Igual</v>
      </c>
      <c r="U62" s="6" t="str">
        <f>VLOOKUP(B62,DataLake!$A$4:$A$429,1,0)</f>
        <v>ENTITY_EQTY_PRVS</v>
      </c>
    </row>
    <row r="63" spans="1:21" ht="15" hidden="1" customHeight="1" x14ac:dyDescent="0.25">
      <c r="A63" s="7" t="s">
        <v>196</v>
      </c>
      <c r="B63" s="47" t="str">
        <f t="shared" si="0"/>
        <v>ENTITY_GRP_TTL_DBT</v>
      </c>
      <c r="C63" s="8" t="s">
        <v>10</v>
      </c>
      <c r="D63" s="9" t="s">
        <v>197</v>
      </c>
      <c r="E63" s="14" t="s">
        <v>198</v>
      </c>
      <c r="F63" s="10" t="s">
        <v>13</v>
      </c>
      <c r="G63" s="10" t="s">
        <v>11</v>
      </c>
      <c r="H63" s="10" t="s">
        <v>13</v>
      </c>
      <c r="I63" s="10" t="s">
        <v>11</v>
      </c>
      <c r="J63" s="10" t="s">
        <v>197</v>
      </c>
      <c r="L63" s="6" t="str">
        <f>IFERROR(VLOOKUP($B63,'LISTA - Setembro2024'!$B$3:$F$539,5,0),"Campo eliminado")</f>
        <v>Y</v>
      </c>
      <c r="M63" s="6" t="str">
        <f t="shared" si="1"/>
        <v>Igual</v>
      </c>
      <c r="N63" s="6" t="str">
        <f>IFERROR(VLOOKUP($B63,'LISTA - Setembro2024'!$B$3:$K$539,6,0),"Campo eliminado")</f>
        <v>N</v>
      </c>
      <c r="O63" s="6" t="str">
        <f t="shared" si="2"/>
        <v>Igual</v>
      </c>
      <c r="P63" s="6" t="str">
        <f>IFERROR(VLOOKUP($B63,'LISTA - Setembro2024'!$B$3:$K$539,7,0),"Campo eliminado")</f>
        <v>Y</v>
      </c>
      <c r="Q63" s="6" t="str">
        <f t="shared" si="3"/>
        <v>Igual</v>
      </c>
      <c r="R63" s="6" t="str">
        <f>IFERROR(VLOOKUP($B63,'LISTA - Setembro2024'!$B$3:$K$539,9,0),"Campo eliminado")</f>
        <v>N</v>
      </c>
      <c r="S63" s="6" t="str">
        <f t="shared" si="4"/>
        <v>Igual</v>
      </c>
      <c r="U63" s="6" t="str">
        <f>VLOOKUP(B63,DataLake!$A$4:$A$429,1,0)</f>
        <v>ENTITY_GRP_TTL_DBT</v>
      </c>
    </row>
    <row r="64" spans="1:21" ht="15" hidden="1" customHeight="1" x14ac:dyDescent="0.25">
      <c r="A64" s="7" t="s">
        <v>199</v>
      </c>
      <c r="B64" s="47" t="str">
        <f t="shared" si="0"/>
        <v>ENTITY_GDWILL</v>
      </c>
      <c r="C64" s="8" t="s">
        <v>10</v>
      </c>
      <c r="D64" s="9" t="s">
        <v>200</v>
      </c>
      <c r="E64" s="11" t="s">
        <v>201</v>
      </c>
      <c r="F64" s="10" t="s">
        <v>13</v>
      </c>
      <c r="G64" s="10" t="s">
        <v>11</v>
      </c>
      <c r="H64" s="10" t="s">
        <v>11</v>
      </c>
      <c r="I64" s="10" t="s">
        <v>11</v>
      </c>
      <c r="J64" s="10" t="s">
        <v>200</v>
      </c>
      <c r="L64" s="6" t="str">
        <f>IFERROR(VLOOKUP($B64,'LISTA - Setembro2024'!$B$3:$F$539,5,0),"Campo eliminado")</f>
        <v>Y</v>
      </c>
      <c r="M64" s="6" t="str">
        <f t="shared" si="1"/>
        <v>Igual</v>
      </c>
      <c r="N64" s="6" t="str">
        <f>IFERROR(VLOOKUP($B64,'LISTA - Setembro2024'!$B$3:$K$539,6,0),"Campo eliminado")</f>
        <v>N</v>
      </c>
      <c r="O64" s="6" t="str">
        <f t="shared" si="2"/>
        <v>Igual</v>
      </c>
      <c r="P64" s="6" t="str">
        <f>IFERROR(VLOOKUP($B64,'LISTA - Setembro2024'!$B$3:$K$539,7,0),"Campo eliminado")</f>
        <v>N</v>
      </c>
      <c r="Q64" s="6" t="str">
        <f t="shared" si="3"/>
        <v>Igual</v>
      </c>
      <c r="R64" s="6" t="str">
        <f>IFERROR(VLOOKUP($B64,'LISTA - Setembro2024'!$B$3:$K$539,9,0),"Campo eliminado")</f>
        <v>N</v>
      </c>
      <c r="S64" s="6" t="str">
        <f t="shared" si="4"/>
        <v>Igual</v>
      </c>
      <c r="U64" s="6" t="str">
        <f>VLOOKUP(B64,DataLake!$A$4:$A$429,1,0)</f>
        <v>ENTITY_GDWILL</v>
      </c>
    </row>
    <row r="65" spans="1:21" ht="15" hidden="1" customHeight="1" x14ac:dyDescent="0.25">
      <c r="A65" s="7" t="s">
        <v>202</v>
      </c>
      <c r="B65" s="47" t="str">
        <f t="shared" si="0"/>
        <v>ENTITY_GDWILL_PRVS</v>
      </c>
      <c r="C65" s="8" t="s">
        <v>10</v>
      </c>
      <c r="D65" s="9" t="s">
        <v>203</v>
      </c>
      <c r="E65" s="11" t="s">
        <v>204</v>
      </c>
      <c r="F65" s="10" t="s">
        <v>13</v>
      </c>
      <c r="G65" s="10" t="s">
        <v>11</v>
      </c>
      <c r="H65" s="10" t="s">
        <v>11</v>
      </c>
      <c r="I65" s="10" t="s">
        <v>11</v>
      </c>
      <c r="J65" s="10" t="s">
        <v>203</v>
      </c>
      <c r="L65" s="6" t="str">
        <f>IFERROR(VLOOKUP($B65,'LISTA - Setembro2024'!$B$3:$F$539,5,0),"Campo eliminado")</f>
        <v>Y</v>
      </c>
      <c r="M65" s="6" t="str">
        <f t="shared" si="1"/>
        <v>Igual</v>
      </c>
      <c r="N65" s="6" t="str">
        <f>IFERROR(VLOOKUP($B65,'LISTA - Setembro2024'!$B$3:$K$539,6,0),"Campo eliminado")</f>
        <v>N</v>
      </c>
      <c r="O65" s="6" t="str">
        <f t="shared" si="2"/>
        <v>Igual</v>
      </c>
      <c r="P65" s="6" t="str">
        <f>IFERROR(VLOOKUP($B65,'LISTA - Setembro2024'!$B$3:$K$539,7,0),"Campo eliminado")</f>
        <v>N</v>
      </c>
      <c r="Q65" s="6" t="str">
        <f t="shared" si="3"/>
        <v>Igual</v>
      </c>
      <c r="R65" s="6" t="str">
        <f>IFERROR(VLOOKUP($B65,'LISTA - Setembro2024'!$B$3:$K$539,9,0),"Campo eliminado")</f>
        <v>N</v>
      </c>
      <c r="S65" s="6" t="str">
        <f t="shared" si="4"/>
        <v>Igual</v>
      </c>
      <c r="U65" s="6" t="str">
        <f>VLOOKUP(B65,DataLake!$A$4:$A$429,1,0)</f>
        <v>ENTITY_GDWILL_PRVS</v>
      </c>
    </row>
    <row r="66" spans="1:21" ht="15" hidden="1" customHeight="1" x14ac:dyDescent="0.25">
      <c r="A66" s="7" t="s">
        <v>205</v>
      </c>
      <c r="B66" s="47" t="str">
        <f t="shared" si="0"/>
        <v>ENTITY_LTI</v>
      </c>
      <c r="C66" s="8" t="s">
        <v>10</v>
      </c>
      <c r="D66" s="9" t="s">
        <v>206</v>
      </c>
      <c r="E66" s="11" t="s">
        <v>207</v>
      </c>
      <c r="F66" s="10" t="s">
        <v>13</v>
      </c>
      <c r="G66" s="10" t="s">
        <v>11</v>
      </c>
      <c r="H66" s="10" t="s">
        <v>11</v>
      </c>
      <c r="I66" s="10" t="s">
        <v>11</v>
      </c>
      <c r="J66" s="10" t="s">
        <v>206</v>
      </c>
      <c r="L66" s="6" t="str">
        <f>IFERROR(VLOOKUP($B66,'LISTA - Setembro2024'!$B$3:$F$539,5,0),"Campo eliminado")</f>
        <v>Y</v>
      </c>
      <c r="M66" s="6" t="str">
        <f t="shared" si="1"/>
        <v>Igual</v>
      </c>
      <c r="N66" s="6" t="str">
        <f>IFERROR(VLOOKUP($B66,'LISTA - Setembro2024'!$B$3:$K$539,6,0),"Campo eliminado")</f>
        <v>N</v>
      </c>
      <c r="O66" s="6" t="str">
        <f t="shared" si="2"/>
        <v>Igual</v>
      </c>
      <c r="P66" s="6" t="str">
        <f>IFERROR(VLOOKUP($B66,'LISTA - Setembro2024'!$B$3:$K$539,7,0),"Campo eliminado")</f>
        <v>N</v>
      </c>
      <c r="Q66" s="6" t="str">
        <f t="shared" si="3"/>
        <v>Igual</v>
      </c>
      <c r="R66" s="6" t="str">
        <f>IFERROR(VLOOKUP($B66,'LISTA - Setembro2024'!$B$3:$K$539,9,0),"Campo eliminado")</f>
        <v>N</v>
      </c>
      <c r="S66" s="6" t="str">
        <f t="shared" si="4"/>
        <v>Igual</v>
      </c>
      <c r="U66" s="6" t="str">
        <f>VLOOKUP(B66,DataLake!$A$4:$A$429,1,0)</f>
        <v>ENTITY_LTI</v>
      </c>
    </row>
    <row r="67" spans="1:21" ht="15" hidden="1" customHeight="1" x14ac:dyDescent="0.25">
      <c r="A67" s="7" t="s">
        <v>208</v>
      </c>
      <c r="B67" s="47" t="str">
        <f t="shared" ref="B67:B130" si="5">C67&amp;"_"&amp;D67</f>
        <v>ENTITY_LVRG</v>
      </c>
      <c r="C67" s="8" t="s">
        <v>10</v>
      </c>
      <c r="D67" s="9" t="s">
        <v>209</v>
      </c>
      <c r="E67" s="11" t="s">
        <v>210</v>
      </c>
      <c r="F67" s="10" t="s">
        <v>13</v>
      </c>
      <c r="G67" s="10" t="s">
        <v>11</v>
      </c>
      <c r="H67" s="10" t="s">
        <v>11</v>
      </c>
      <c r="I67" s="10" t="s">
        <v>11</v>
      </c>
      <c r="J67" s="10" t="s">
        <v>209</v>
      </c>
      <c r="L67" s="6" t="str">
        <f>IFERROR(VLOOKUP($B67,'LISTA - Setembro2024'!$B$3:$F$539,5,0),"Campo eliminado")</f>
        <v>Y</v>
      </c>
      <c r="M67" s="6" t="str">
        <f t="shared" ref="M67:M130" si="6">IF(L67="Campo eliminado","Campo eliminado",IF(L67=F67,"Igual","Diferente"))</f>
        <v>Igual</v>
      </c>
      <c r="N67" s="6" t="str">
        <f>IFERROR(VLOOKUP($B67,'LISTA - Setembro2024'!$B$3:$K$539,6,0),"Campo eliminado")</f>
        <v>N</v>
      </c>
      <c r="O67" s="6" t="str">
        <f t="shared" ref="O67:O130" si="7">IF(N67="Campo eliminado","Campo eliminado",IF(N67=G67,"Igual","Diferente"))</f>
        <v>Igual</v>
      </c>
      <c r="P67" s="6" t="str">
        <f>IFERROR(VLOOKUP($B67,'LISTA - Setembro2024'!$B$3:$K$539,7,0),"Campo eliminado")</f>
        <v>N</v>
      </c>
      <c r="Q67" s="6" t="str">
        <f t="shared" ref="Q67:Q130" si="8">IF(P67="Campo eliminado","Campo eliminado",IF(P67=H67,"Igual","Diferente"))</f>
        <v>Igual</v>
      </c>
      <c r="R67" s="6" t="str">
        <f>IFERROR(VLOOKUP($B67,'LISTA - Setembro2024'!$B$3:$K$539,9,0),"Campo eliminado")</f>
        <v>N</v>
      </c>
      <c r="S67" s="6" t="str">
        <f t="shared" ref="S67:S130" si="9">IF(R67="Campo eliminado","Campo eliminado",IF(R67=I67,"Igual","Diferente"))</f>
        <v>Igual</v>
      </c>
      <c r="U67" s="6" t="str">
        <f>VLOOKUP(B67,DataLake!$A$4:$A$429,1,0)</f>
        <v>ENTITY_LVRG</v>
      </c>
    </row>
    <row r="68" spans="1:21" ht="15" hidden="1" customHeight="1" x14ac:dyDescent="0.25">
      <c r="A68" s="7" t="s">
        <v>211</v>
      </c>
      <c r="B68" s="47" t="str">
        <f t="shared" si="5"/>
        <v>ENTITY_LVRG_PRVS</v>
      </c>
      <c r="C68" s="8" t="s">
        <v>10</v>
      </c>
      <c r="D68" s="9" t="s">
        <v>212</v>
      </c>
      <c r="E68" s="11" t="s">
        <v>213</v>
      </c>
      <c r="F68" s="10" t="s">
        <v>13</v>
      </c>
      <c r="G68" s="10" t="s">
        <v>11</v>
      </c>
      <c r="H68" s="10" t="s">
        <v>11</v>
      </c>
      <c r="I68" s="10" t="s">
        <v>11</v>
      </c>
      <c r="J68" s="10" t="s">
        <v>212</v>
      </c>
      <c r="L68" s="6" t="str">
        <f>IFERROR(VLOOKUP($B68,'LISTA - Setembro2024'!$B$3:$F$539,5,0),"Campo eliminado")</f>
        <v>Y</v>
      </c>
      <c r="M68" s="6" t="str">
        <f t="shared" si="6"/>
        <v>Igual</v>
      </c>
      <c r="N68" s="6" t="str">
        <f>IFERROR(VLOOKUP($B68,'LISTA - Setembro2024'!$B$3:$K$539,6,0),"Campo eliminado")</f>
        <v>N</v>
      </c>
      <c r="O68" s="6" t="str">
        <f t="shared" si="7"/>
        <v>Igual</v>
      </c>
      <c r="P68" s="6" t="str">
        <f>IFERROR(VLOOKUP($B68,'LISTA - Setembro2024'!$B$3:$K$539,7,0),"Campo eliminado")</f>
        <v>N</v>
      </c>
      <c r="Q68" s="6" t="str">
        <f t="shared" si="8"/>
        <v>Igual</v>
      </c>
      <c r="R68" s="6" t="str">
        <f>IFERROR(VLOOKUP($B68,'LISTA - Setembro2024'!$B$3:$K$539,9,0),"Campo eliminado")</f>
        <v>N</v>
      </c>
      <c r="S68" s="6" t="str">
        <f t="shared" si="9"/>
        <v>Igual</v>
      </c>
      <c r="U68" s="6" t="str">
        <f>VLOOKUP(B68,DataLake!$A$4:$A$429,1,0)</f>
        <v>ENTITY_LVRG_PRVS</v>
      </c>
    </row>
    <row r="69" spans="1:21" ht="15" hidden="1" customHeight="1" x14ac:dyDescent="0.25">
      <c r="A69" s="7" t="s">
        <v>214</v>
      </c>
      <c r="B69" s="47" t="str">
        <f t="shared" si="5"/>
        <v>ENTITY_MNTHL_INCM</v>
      </c>
      <c r="C69" s="8" t="s">
        <v>10</v>
      </c>
      <c r="D69" s="9" t="s">
        <v>215</v>
      </c>
      <c r="E69" s="11" t="s">
        <v>216</v>
      </c>
      <c r="F69" s="10" t="s">
        <v>13</v>
      </c>
      <c r="G69" s="10" t="s">
        <v>11</v>
      </c>
      <c r="H69" s="10" t="s">
        <v>11</v>
      </c>
      <c r="I69" s="10" t="s">
        <v>11</v>
      </c>
      <c r="J69" s="10" t="s">
        <v>215</v>
      </c>
      <c r="L69" s="6" t="str">
        <f>IFERROR(VLOOKUP($B69,'LISTA - Setembro2024'!$B$3:$F$539,5,0),"Campo eliminado")</f>
        <v>Y</v>
      </c>
      <c r="M69" s="6" t="str">
        <f t="shared" si="6"/>
        <v>Igual</v>
      </c>
      <c r="N69" s="6" t="str">
        <f>IFERROR(VLOOKUP($B69,'LISTA - Setembro2024'!$B$3:$K$539,6,0),"Campo eliminado")</f>
        <v>N</v>
      </c>
      <c r="O69" s="6" t="str">
        <f t="shared" si="7"/>
        <v>Igual</v>
      </c>
      <c r="P69" s="6" t="str">
        <f>IFERROR(VLOOKUP($B69,'LISTA - Setembro2024'!$B$3:$K$539,7,0),"Campo eliminado")</f>
        <v>N</v>
      </c>
      <c r="Q69" s="6" t="str">
        <f t="shared" si="8"/>
        <v>Igual</v>
      </c>
      <c r="R69" s="6" t="str">
        <f>IFERROR(VLOOKUP($B69,'LISTA - Setembro2024'!$B$3:$K$539,9,0),"Campo eliminado")</f>
        <v>N</v>
      </c>
      <c r="S69" s="6" t="str">
        <f t="shared" si="9"/>
        <v>Igual</v>
      </c>
      <c r="U69" s="6" t="str">
        <f>VLOOKUP(B69,DataLake!$A$4:$A$429,1,0)</f>
        <v>ENTITY_MNTHL_INCM</v>
      </c>
    </row>
    <row r="70" spans="1:21" ht="15" hidden="1" customHeight="1" x14ac:dyDescent="0.25">
      <c r="A70" s="7" t="s">
        <v>217</v>
      </c>
      <c r="B70" s="47" t="str">
        <f t="shared" si="5"/>
        <v>ENTITY_MNTHL_INCM_SLR</v>
      </c>
      <c r="C70" s="8" t="s">
        <v>10</v>
      </c>
      <c r="D70" s="9" t="s">
        <v>218</v>
      </c>
      <c r="E70" s="11" t="s">
        <v>219</v>
      </c>
      <c r="F70" s="10" t="s">
        <v>13</v>
      </c>
      <c r="G70" s="10" t="s">
        <v>11</v>
      </c>
      <c r="H70" s="10" t="s">
        <v>11</v>
      </c>
      <c r="I70" s="10" t="s">
        <v>11</v>
      </c>
      <c r="J70" s="10" t="s">
        <v>218</v>
      </c>
      <c r="L70" s="6" t="str">
        <f>IFERROR(VLOOKUP($B70,'LISTA - Setembro2024'!$B$3:$F$539,5,0),"Campo eliminado")</f>
        <v>Y</v>
      </c>
      <c r="M70" s="6" t="str">
        <f t="shared" si="6"/>
        <v>Igual</v>
      </c>
      <c r="N70" s="6" t="str">
        <f>IFERROR(VLOOKUP($B70,'LISTA - Setembro2024'!$B$3:$K$539,6,0),"Campo eliminado")</f>
        <v>N</v>
      </c>
      <c r="O70" s="6" t="str">
        <f t="shared" si="7"/>
        <v>Igual</v>
      </c>
      <c r="P70" s="6" t="str">
        <f>IFERROR(VLOOKUP($B70,'LISTA - Setembro2024'!$B$3:$K$539,7,0),"Campo eliminado")</f>
        <v>N</v>
      </c>
      <c r="Q70" s="6" t="str">
        <f t="shared" si="8"/>
        <v>Igual</v>
      </c>
      <c r="R70" s="6" t="str">
        <f>IFERROR(VLOOKUP($B70,'LISTA - Setembro2024'!$B$3:$K$539,9,0),"Campo eliminado")</f>
        <v>N</v>
      </c>
      <c r="S70" s="6" t="str">
        <f t="shared" si="9"/>
        <v>Igual</v>
      </c>
      <c r="U70" s="6" t="str">
        <f>VLOOKUP(B70,DataLake!$A$4:$A$429,1,0)</f>
        <v>ENTITY_MNTHL_INCM_SLR</v>
      </c>
    </row>
    <row r="71" spans="1:21" ht="15" hidden="1" customHeight="1" x14ac:dyDescent="0.25">
      <c r="A71" s="7" t="s">
        <v>220</v>
      </c>
      <c r="B71" s="47" t="str">
        <f t="shared" si="5"/>
        <v>ENTITY_MNTHL_TRNVR</v>
      </c>
      <c r="C71" s="8" t="s">
        <v>10</v>
      </c>
      <c r="D71" s="9" t="s">
        <v>221</v>
      </c>
      <c r="E71" s="11" t="s">
        <v>222</v>
      </c>
      <c r="F71" s="10" t="s">
        <v>13</v>
      </c>
      <c r="G71" s="10" t="s">
        <v>11</v>
      </c>
      <c r="H71" s="10" t="s">
        <v>11</v>
      </c>
      <c r="I71" s="10" t="s">
        <v>11</v>
      </c>
      <c r="J71" s="10" t="s">
        <v>221</v>
      </c>
      <c r="L71" s="6" t="str">
        <f>IFERROR(VLOOKUP($B71,'LISTA - Setembro2024'!$B$3:$F$539,5,0),"Campo eliminado")</f>
        <v>Y</v>
      </c>
      <c r="M71" s="6" t="str">
        <f t="shared" si="6"/>
        <v>Igual</v>
      </c>
      <c r="N71" s="6" t="str">
        <f>IFERROR(VLOOKUP($B71,'LISTA - Setembro2024'!$B$3:$K$539,6,0),"Campo eliminado")</f>
        <v>N</v>
      </c>
      <c r="O71" s="6" t="str">
        <f t="shared" si="7"/>
        <v>Igual</v>
      </c>
      <c r="P71" s="6" t="str">
        <f>IFERROR(VLOOKUP($B71,'LISTA - Setembro2024'!$B$3:$K$539,7,0),"Campo eliminado")</f>
        <v>N</v>
      </c>
      <c r="Q71" s="6" t="str">
        <f t="shared" si="8"/>
        <v>Igual</v>
      </c>
      <c r="R71" s="6" t="str">
        <f>IFERROR(VLOOKUP($B71,'LISTA - Setembro2024'!$B$3:$K$539,9,0),"Campo eliminado")</f>
        <v>N</v>
      </c>
      <c r="S71" s="6" t="str">
        <f t="shared" si="9"/>
        <v>Igual</v>
      </c>
      <c r="U71" s="6" t="str">
        <f>VLOOKUP(B71,DataLake!$A$4:$A$429,1,0)</f>
        <v>ENTITY_MNTHL_TRNVR</v>
      </c>
    </row>
    <row r="72" spans="1:21" ht="15" hidden="1" customHeight="1" x14ac:dyDescent="0.25">
      <c r="A72" s="7" t="s">
        <v>223</v>
      </c>
      <c r="B72" s="47" t="str">
        <f t="shared" si="5"/>
        <v>ENTITY_NT_INCM</v>
      </c>
      <c r="C72" s="8" t="s">
        <v>10</v>
      </c>
      <c r="D72" s="9" t="s">
        <v>224</v>
      </c>
      <c r="E72" s="11" t="s">
        <v>225</v>
      </c>
      <c r="F72" s="10" t="s">
        <v>13</v>
      </c>
      <c r="G72" s="10" t="s">
        <v>11</v>
      </c>
      <c r="H72" s="10" t="s">
        <v>11</v>
      </c>
      <c r="I72" s="10" t="s">
        <v>11</v>
      </c>
      <c r="J72" s="10" t="s">
        <v>224</v>
      </c>
      <c r="L72" s="6" t="str">
        <f>IFERROR(VLOOKUP($B72,'LISTA - Setembro2024'!$B$3:$F$539,5,0),"Campo eliminado")</f>
        <v>Y</v>
      </c>
      <c r="M72" s="6" t="str">
        <f t="shared" si="6"/>
        <v>Igual</v>
      </c>
      <c r="N72" s="6" t="str">
        <f>IFERROR(VLOOKUP($B72,'LISTA - Setembro2024'!$B$3:$K$539,6,0),"Campo eliminado")</f>
        <v>N</v>
      </c>
      <c r="O72" s="6" t="str">
        <f t="shared" si="7"/>
        <v>Igual</v>
      </c>
      <c r="P72" s="6" t="str">
        <f>IFERROR(VLOOKUP($B72,'LISTA - Setembro2024'!$B$3:$K$539,7,0),"Campo eliminado")</f>
        <v>N</v>
      </c>
      <c r="Q72" s="6" t="str">
        <f t="shared" si="8"/>
        <v>Igual</v>
      </c>
      <c r="R72" s="6" t="str">
        <f>IFERROR(VLOOKUP($B72,'LISTA - Setembro2024'!$B$3:$K$539,9,0),"Campo eliminado")</f>
        <v>N</v>
      </c>
      <c r="S72" s="6" t="str">
        <f t="shared" si="9"/>
        <v>Igual</v>
      </c>
      <c r="U72" s="6" t="str">
        <f>VLOOKUP(B72,DataLake!$A$4:$A$429,1,0)</f>
        <v>ENTITY_NT_INCM</v>
      </c>
    </row>
    <row r="73" spans="1:21" ht="15" hidden="1" customHeight="1" x14ac:dyDescent="0.25">
      <c r="A73" s="7" t="s">
        <v>226</v>
      </c>
      <c r="B73" s="47" t="str">
        <f t="shared" si="5"/>
        <v>ENTITY_NT_INCM_PRVS</v>
      </c>
      <c r="C73" s="8" t="s">
        <v>10</v>
      </c>
      <c r="D73" s="9" t="s">
        <v>227</v>
      </c>
      <c r="E73" s="11" t="s">
        <v>228</v>
      </c>
      <c r="F73" s="10" t="s">
        <v>13</v>
      </c>
      <c r="G73" s="10" t="s">
        <v>11</v>
      </c>
      <c r="H73" s="10" t="s">
        <v>11</v>
      </c>
      <c r="I73" s="10" t="s">
        <v>11</v>
      </c>
      <c r="J73" s="10" t="s">
        <v>227</v>
      </c>
      <c r="L73" s="6" t="str">
        <f>IFERROR(VLOOKUP($B73,'LISTA - Setembro2024'!$B$3:$F$539,5,0),"Campo eliminado")</f>
        <v>Y</v>
      </c>
      <c r="M73" s="6" t="str">
        <f t="shared" si="6"/>
        <v>Igual</v>
      </c>
      <c r="N73" s="6" t="str">
        <f>IFERROR(VLOOKUP($B73,'LISTA - Setembro2024'!$B$3:$K$539,6,0),"Campo eliminado")</f>
        <v>N</v>
      </c>
      <c r="O73" s="6" t="str">
        <f t="shared" si="7"/>
        <v>Igual</v>
      </c>
      <c r="P73" s="6" t="str">
        <f>IFERROR(VLOOKUP($B73,'LISTA - Setembro2024'!$B$3:$K$539,7,0),"Campo eliminado")</f>
        <v>N</v>
      </c>
      <c r="Q73" s="6" t="str">
        <f t="shared" si="8"/>
        <v>Igual</v>
      </c>
      <c r="R73" s="6" t="str">
        <f>IFERROR(VLOOKUP($B73,'LISTA - Setembro2024'!$B$3:$K$539,9,0),"Campo eliminado")</f>
        <v>N</v>
      </c>
      <c r="S73" s="6" t="str">
        <f t="shared" si="9"/>
        <v>Igual</v>
      </c>
      <c r="U73" s="6" t="str">
        <f>VLOOKUP(B73,DataLake!$A$4:$A$429,1,0)</f>
        <v>ENTITY_NT_INCM_PRVS</v>
      </c>
    </row>
    <row r="74" spans="1:21" ht="15" hidden="1" customHeight="1" x14ac:dyDescent="0.25">
      <c r="A74" s="7" t="s">
        <v>229</v>
      </c>
      <c r="B74" s="47" t="str">
        <f t="shared" si="5"/>
        <v>ENTITY_TTL_DBT</v>
      </c>
      <c r="C74" s="8" t="s">
        <v>10</v>
      </c>
      <c r="D74" s="9" t="s">
        <v>230</v>
      </c>
      <c r="E74" s="11" t="s">
        <v>231</v>
      </c>
      <c r="F74" s="10" t="s">
        <v>13</v>
      </c>
      <c r="G74" s="10" t="s">
        <v>11</v>
      </c>
      <c r="H74" s="10" t="s">
        <v>13</v>
      </c>
      <c r="I74" s="10" t="s">
        <v>11</v>
      </c>
      <c r="J74" s="10" t="s">
        <v>230</v>
      </c>
      <c r="L74" s="6" t="str">
        <f>IFERROR(VLOOKUP($B74,'LISTA - Setembro2024'!$B$3:$F$539,5,0),"Campo eliminado")</f>
        <v>Y</v>
      </c>
      <c r="M74" s="6" t="str">
        <f t="shared" si="6"/>
        <v>Igual</v>
      </c>
      <c r="N74" s="6" t="str">
        <f>IFERROR(VLOOKUP($B74,'LISTA - Setembro2024'!$B$3:$K$539,6,0),"Campo eliminado")</f>
        <v>N</v>
      </c>
      <c r="O74" s="6" t="str">
        <f t="shared" si="7"/>
        <v>Igual</v>
      </c>
      <c r="P74" s="6" t="str">
        <f>IFERROR(VLOOKUP($B74,'LISTA - Setembro2024'!$B$3:$K$539,7,0),"Campo eliminado")</f>
        <v>Y</v>
      </c>
      <c r="Q74" s="6" t="str">
        <f t="shared" si="8"/>
        <v>Igual</v>
      </c>
      <c r="R74" s="6" t="str">
        <f>IFERROR(VLOOKUP($B74,'LISTA - Setembro2024'!$B$3:$K$539,9,0),"Campo eliminado")</f>
        <v>N</v>
      </c>
      <c r="S74" s="6" t="str">
        <f t="shared" si="9"/>
        <v>Igual</v>
      </c>
      <c r="U74" s="6" t="str">
        <f>VLOOKUP(B74,DataLake!$A$4:$A$429,1,0)</f>
        <v>ENTITY_TTL_DBT</v>
      </c>
    </row>
    <row r="75" spans="1:21" ht="15" hidden="1" customHeight="1" x14ac:dyDescent="0.25">
      <c r="A75" s="7" t="s">
        <v>232</v>
      </c>
      <c r="B75" s="47" t="str">
        <f t="shared" si="5"/>
        <v>ENTITY_TTL_DBT_PRVS</v>
      </c>
      <c r="C75" s="8" t="s">
        <v>10</v>
      </c>
      <c r="D75" s="9" t="s">
        <v>233</v>
      </c>
      <c r="E75" s="11" t="s">
        <v>234</v>
      </c>
      <c r="F75" s="10" t="s">
        <v>13</v>
      </c>
      <c r="G75" s="10" t="s">
        <v>11</v>
      </c>
      <c r="H75" s="10" t="s">
        <v>11</v>
      </c>
      <c r="I75" s="10" t="s">
        <v>11</v>
      </c>
      <c r="J75" s="10" t="s">
        <v>233</v>
      </c>
      <c r="L75" s="6" t="str">
        <f>IFERROR(VLOOKUP($B75,'LISTA - Setembro2024'!$B$3:$F$539,5,0),"Campo eliminado")</f>
        <v>Y</v>
      </c>
      <c r="M75" s="6" t="str">
        <f t="shared" si="6"/>
        <v>Igual</v>
      </c>
      <c r="N75" s="6" t="str">
        <f>IFERROR(VLOOKUP($B75,'LISTA - Setembro2024'!$B$3:$K$539,6,0),"Campo eliminado")</f>
        <v>N</v>
      </c>
      <c r="O75" s="6" t="str">
        <f t="shared" si="7"/>
        <v>Igual</v>
      </c>
      <c r="P75" s="6" t="str">
        <f>IFERROR(VLOOKUP($B75,'LISTA - Setembro2024'!$B$3:$K$539,7,0),"Campo eliminado")</f>
        <v>N</v>
      </c>
      <c r="Q75" s="6" t="str">
        <f t="shared" si="8"/>
        <v>Igual</v>
      </c>
      <c r="R75" s="6" t="str">
        <f>IFERROR(VLOOKUP($B75,'LISTA - Setembro2024'!$B$3:$K$539,9,0),"Campo eliminado")</f>
        <v>N</v>
      </c>
      <c r="S75" s="6" t="str">
        <f t="shared" si="9"/>
        <v>Igual</v>
      </c>
      <c r="U75" s="6" t="str">
        <f>VLOOKUP(B75,DataLake!$A$4:$A$429,1,0)</f>
        <v>ENTITY_TTL_DBT_PRVS</v>
      </c>
    </row>
    <row r="76" spans="1:21" ht="15" hidden="1" customHeight="1" x14ac:dyDescent="0.25">
      <c r="A76" s="7" t="s">
        <v>235</v>
      </c>
      <c r="B76" s="47" t="str">
        <f t="shared" si="5"/>
        <v>ENTITY_TTL_INTRST_PD</v>
      </c>
      <c r="C76" s="8" t="s">
        <v>10</v>
      </c>
      <c r="D76" s="9" t="s">
        <v>236</v>
      </c>
      <c r="E76" s="11" t="s">
        <v>237</v>
      </c>
      <c r="F76" s="10" t="s">
        <v>13</v>
      </c>
      <c r="G76" s="10" t="s">
        <v>11</v>
      </c>
      <c r="H76" s="10" t="s">
        <v>11</v>
      </c>
      <c r="I76" s="10" t="s">
        <v>11</v>
      </c>
      <c r="J76" s="10" t="s">
        <v>236</v>
      </c>
      <c r="L76" s="6" t="str">
        <f>IFERROR(VLOOKUP($B76,'LISTA - Setembro2024'!$B$3:$F$539,5,0),"Campo eliminado")</f>
        <v>Y</v>
      </c>
      <c r="M76" s="6" t="str">
        <f t="shared" si="6"/>
        <v>Igual</v>
      </c>
      <c r="N76" s="6" t="str">
        <f>IFERROR(VLOOKUP($B76,'LISTA - Setembro2024'!$B$3:$K$539,6,0),"Campo eliminado")</f>
        <v>N</v>
      </c>
      <c r="O76" s="6" t="str">
        <f t="shared" si="7"/>
        <v>Igual</v>
      </c>
      <c r="P76" s="6" t="str">
        <f>IFERROR(VLOOKUP($B76,'LISTA - Setembro2024'!$B$3:$K$539,7,0),"Campo eliminado")</f>
        <v>N</v>
      </c>
      <c r="Q76" s="6" t="str">
        <f t="shared" si="8"/>
        <v>Igual</v>
      </c>
      <c r="R76" s="6" t="str">
        <f>IFERROR(VLOOKUP($B76,'LISTA - Setembro2024'!$B$3:$K$539,9,0),"Campo eliminado")</f>
        <v>N</v>
      </c>
      <c r="S76" s="6" t="str">
        <f t="shared" si="9"/>
        <v>Igual</v>
      </c>
      <c r="U76" s="6" t="str">
        <f>VLOOKUP(B76,DataLake!$A$4:$A$429,1,0)</f>
        <v>ENTITY_TTL_INTRST_PD</v>
      </c>
    </row>
    <row r="77" spans="1:21" ht="15" hidden="1" customHeight="1" x14ac:dyDescent="0.25">
      <c r="A77" s="7" t="s">
        <v>238</v>
      </c>
      <c r="B77" s="47" t="str">
        <f t="shared" si="5"/>
        <v>ENTITY_TTL_LVRG_RT</v>
      </c>
      <c r="C77" s="8" t="s">
        <v>10</v>
      </c>
      <c r="D77" s="9" t="s">
        <v>239</v>
      </c>
      <c r="E77" s="11" t="s">
        <v>240</v>
      </c>
      <c r="F77" s="10" t="s">
        <v>13</v>
      </c>
      <c r="G77" s="10" t="s">
        <v>11</v>
      </c>
      <c r="H77" s="10" t="s">
        <v>11</v>
      </c>
      <c r="I77" s="10" t="s">
        <v>11</v>
      </c>
      <c r="J77" s="10" t="s">
        <v>239</v>
      </c>
      <c r="L77" s="6" t="str">
        <f>IFERROR(VLOOKUP($B77,'LISTA - Setembro2024'!$B$3:$F$539,5,0),"Campo eliminado")</f>
        <v>Y</v>
      </c>
      <c r="M77" s="6" t="str">
        <f t="shared" si="6"/>
        <v>Igual</v>
      </c>
      <c r="N77" s="6" t="str">
        <f>IFERROR(VLOOKUP($B77,'LISTA - Setembro2024'!$B$3:$K$539,6,0),"Campo eliminado")</f>
        <v>N</v>
      </c>
      <c r="O77" s="6" t="str">
        <f t="shared" si="7"/>
        <v>Igual</v>
      </c>
      <c r="P77" s="6" t="str">
        <f>IFERROR(VLOOKUP($B77,'LISTA - Setembro2024'!$B$3:$K$539,7,0),"Campo eliminado")</f>
        <v>N</v>
      </c>
      <c r="Q77" s="6" t="str">
        <f t="shared" si="8"/>
        <v>Igual</v>
      </c>
      <c r="R77" s="6" t="str">
        <f>IFERROR(VLOOKUP($B77,'LISTA - Setembro2024'!$B$3:$K$539,9,0),"Campo eliminado")</f>
        <v>N</v>
      </c>
      <c r="S77" s="6" t="str">
        <f t="shared" si="9"/>
        <v>Igual</v>
      </c>
      <c r="U77" s="6" t="str">
        <f>VLOOKUP(B77,DataLake!$A$4:$A$429,1,0)</f>
        <v>ENTITY_TTL_LVRG_RT</v>
      </c>
    </row>
    <row r="78" spans="1:21" ht="15" hidden="1" customHeight="1" x14ac:dyDescent="0.25">
      <c r="A78" s="7" t="s">
        <v>241</v>
      </c>
      <c r="B78" s="47" t="str">
        <f t="shared" si="5"/>
        <v>ENTITY_TTL_LVRG_RT_PRVS</v>
      </c>
      <c r="C78" s="8" t="s">
        <v>10</v>
      </c>
      <c r="D78" s="9" t="s">
        <v>242</v>
      </c>
      <c r="E78" s="11" t="s">
        <v>243</v>
      </c>
      <c r="F78" s="10" t="s">
        <v>13</v>
      </c>
      <c r="G78" s="10" t="s">
        <v>11</v>
      </c>
      <c r="H78" s="10" t="s">
        <v>11</v>
      </c>
      <c r="I78" s="10" t="s">
        <v>11</v>
      </c>
      <c r="J78" s="10" t="s">
        <v>242</v>
      </c>
      <c r="L78" s="6" t="str">
        <f>IFERROR(VLOOKUP($B78,'LISTA - Setembro2024'!$B$3:$F$539,5,0),"Campo eliminado")</f>
        <v>Y</v>
      </c>
      <c r="M78" s="6" t="str">
        <f t="shared" si="6"/>
        <v>Igual</v>
      </c>
      <c r="N78" s="6" t="str">
        <f>IFERROR(VLOOKUP($B78,'LISTA - Setembro2024'!$B$3:$K$539,6,0),"Campo eliminado")</f>
        <v>N</v>
      </c>
      <c r="O78" s="6" t="str">
        <f t="shared" si="7"/>
        <v>Igual</v>
      </c>
      <c r="P78" s="6" t="str">
        <f>IFERROR(VLOOKUP($B78,'LISTA - Setembro2024'!$B$3:$K$539,7,0),"Campo eliminado")</f>
        <v>N</v>
      </c>
      <c r="Q78" s="6" t="str">
        <f t="shared" si="8"/>
        <v>Igual</v>
      </c>
      <c r="R78" s="6" t="str">
        <f>IFERROR(VLOOKUP($B78,'LISTA - Setembro2024'!$B$3:$K$539,9,0),"Campo eliminado")</f>
        <v>N</v>
      </c>
      <c r="S78" s="6" t="str">
        <f t="shared" si="9"/>
        <v>Igual</v>
      </c>
      <c r="U78" s="6" t="str">
        <f>VLOOKUP(B78,DataLake!$A$4:$A$429,1,0)</f>
        <v>ENTITY_TTL_LVRG_RT_PRVS</v>
      </c>
    </row>
    <row r="79" spans="1:21" ht="15" hidden="1" customHeight="1" x14ac:dyDescent="0.25">
      <c r="A79" s="7" t="s">
        <v>244</v>
      </c>
      <c r="B79" s="47" t="str">
        <f t="shared" si="5"/>
        <v>ENTITY_DBT_RPYMNT_CPCTY_SNR_DBT</v>
      </c>
      <c r="C79" s="8" t="s">
        <v>10</v>
      </c>
      <c r="D79" s="9" t="s">
        <v>245</v>
      </c>
      <c r="E79" s="11" t="s">
        <v>246</v>
      </c>
      <c r="F79" s="10" t="s">
        <v>13</v>
      </c>
      <c r="G79" s="10" t="s">
        <v>11</v>
      </c>
      <c r="H79" s="10" t="s">
        <v>11</v>
      </c>
      <c r="I79" s="10" t="s">
        <v>11</v>
      </c>
      <c r="J79" s="10" t="s">
        <v>245</v>
      </c>
      <c r="L79" s="6" t="str">
        <f>IFERROR(VLOOKUP($B79,'LISTA - Setembro2024'!$B$3:$F$539,5,0),"Campo eliminado")</f>
        <v>Y</v>
      </c>
      <c r="M79" s="6" t="str">
        <f t="shared" si="6"/>
        <v>Igual</v>
      </c>
      <c r="N79" s="6" t="str">
        <f>IFERROR(VLOOKUP($B79,'LISTA - Setembro2024'!$B$3:$K$539,6,0),"Campo eliminado")</f>
        <v>N</v>
      </c>
      <c r="O79" s="6" t="str">
        <f t="shared" si="7"/>
        <v>Igual</v>
      </c>
      <c r="P79" s="6" t="str">
        <f>IFERROR(VLOOKUP($B79,'LISTA - Setembro2024'!$B$3:$K$539,7,0),"Campo eliminado")</f>
        <v>N</v>
      </c>
      <c r="Q79" s="6" t="str">
        <f t="shared" si="8"/>
        <v>Igual</v>
      </c>
      <c r="R79" s="6" t="str">
        <f>IFERROR(VLOOKUP($B79,'LISTA - Setembro2024'!$B$3:$K$539,9,0),"Campo eliminado")</f>
        <v>N</v>
      </c>
      <c r="S79" s="6" t="str">
        <f t="shared" si="9"/>
        <v>Igual</v>
      </c>
      <c r="U79" s="6" t="str">
        <f>VLOOKUP(B79,DataLake!$A$4:$A$429,1,0)</f>
        <v>ENTITY_DBT_RPYMNT_CPCTY_SNR_DBT</v>
      </c>
    </row>
    <row r="80" spans="1:21" ht="15" hidden="1" customHeight="1" x14ac:dyDescent="0.25">
      <c r="A80" s="7" t="s">
        <v>247</v>
      </c>
      <c r="B80" s="47" t="str">
        <f t="shared" si="5"/>
        <v>ENTITY_DBT_RPYMNT_CPCTY_TTL</v>
      </c>
      <c r="C80" s="8" t="s">
        <v>10</v>
      </c>
      <c r="D80" s="9" t="s">
        <v>248</v>
      </c>
      <c r="E80" s="11" t="s">
        <v>249</v>
      </c>
      <c r="F80" s="10" t="s">
        <v>13</v>
      </c>
      <c r="G80" s="10" t="s">
        <v>11</v>
      </c>
      <c r="H80" s="10" t="s">
        <v>11</v>
      </c>
      <c r="I80" s="10" t="s">
        <v>11</v>
      </c>
      <c r="J80" s="10" t="s">
        <v>248</v>
      </c>
      <c r="L80" s="6" t="str">
        <f>IFERROR(VLOOKUP($B80,'LISTA - Setembro2024'!$B$3:$F$539,5,0),"Campo eliminado")</f>
        <v>Y</v>
      </c>
      <c r="M80" s="6" t="str">
        <f t="shared" si="6"/>
        <v>Igual</v>
      </c>
      <c r="N80" s="6" t="str">
        <f>IFERROR(VLOOKUP($B80,'LISTA - Setembro2024'!$B$3:$K$539,6,0),"Campo eliminado")</f>
        <v>N</v>
      </c>
      <c r="O80" s="6" t="str">
        <f t="shared" si="7"/>
        <v>Igual</v>
      </c>
      <c r="P80" s="6" t="str">
        <f>IFERROR(VLOOKUP($B80,'LISTA - Setembro2024'!$B$3:$K$539,7,0),"Campo eliminado")</f>
        <v>N</v>
      </c>
      <c r="Q80" s="6" t="str">
        <f t="shared" si="8"/>
        <v>Igual</v>
      </c>
      <c r="R80" s="6" t="str">
        <f>IFERROR(VLOOKUP($B80,'LISTA - Setembro2024'!$B$3:$K$539,9,0),"Campo eliminado")</f>
        <v>N</v>
      </c>
      <c r="S80" s="6" t="str">
        <f t="shared" si="9"/>
        <v>Igual</v>
      </c>
      <c r="U80" s="6" t="str">
        <f>VLOOKUP(B80,DataLake!$A$4:$A$429,1,0)</f>
        <v>ENTITY_DBT_RPYMNT_CPCTY_TTL</v>
      </c>
    </row>
    <row r="81" spans="1:21" ht="15" hidden="1" customHeight="1" x14ac:dyDescent="0.25">
      <c r="A81" s="7" t="s">
        <v>250</v>
      </c>
      <c r="B81" s="47" t="str">
        <f t="shared" si="5"/>
        <v>ENTITY_DBT_SRVC_RT</v>
      </c>
      <c r="C81" s="8" t="s">
        <v>10</v>
      </c>
      <c r="D81" s="9" t="s">
        <v>251</v>
      </c>
      <c r="E81" s="11" t="s">
        <v>252</v>
      </c>
      <c r="F81" s="10" t="s">
        <v>13</v>
      </c>
      <c r="G81" s="10" t="s">
        <v>11</v>
      </c>
      <c r="H81" s="10" t="s">
        <v>11</v>
      </c>
      <c r="I81" s="10" t="s">
        <v>11</v>
      </c>
      <c r="J81" s="10" t="s">
        <v>251</v>
      </c>
      <c r="L81" s="6" t="str">
        <f>IFERROR(VLOOKUP($B81,'LISTA - Setembro2024'!$B$3:$F$539,5,0),"Campo eliminado")</f>
        <v>Y</v>
      </c>
      <c r="M81" s="6" t="str">
        <f t="shared" si="6"/>
        <v>Igual</v>
      </c>
      <c r="N81" s="6" t="str">
        <f>IFERROR(VLOOKUP($B81,'LISTA - Setembro2024'!$B$3:$K$539,6,0),"Campo eliminado")</f>
        <v>N</v>
      </c>
      <c r="O81" s="6" t="str">
        <f t="shared" si="7"/>
        <v>Igual</v>
      </c>
      <c r="P81" s="6" t="str">
        <f>IFERROR(VLOOKUP($B81,'LISTA - Setembro2024'!$B$3:$K$539,7,0),"Campo eliminado")</f>
        <v>N</v>
      </c>
      <c r="Q81" s="6" t="str">
        <f t="shared" si="8"/>
        <v>Igual</v>
      </c>
      <c r="R81" s="6" t="str">
        <f>IFERROR(VLOOKUP($B81,'LISTA - Setembro2024'!$B$3:$K$539,9,0),"Campo eliminado")</f>
        <v>N</v>
      </c>
      <c r="S81" s="6" t="str">
        <f t="shared" si="9"/>
        <v>Igual</v>
      </c>
      <c r="U81" s="6" t="str">
        <f>VLOOKUP(B81,DataLake!$A$4:$A$429,1,0)</f>
        <v>ENTITY_DBT_SRVC_RT</v>
      </c>
    </row>
    <row r="82" spans="1:21" ht="15" hidden="1" customHeight="1" x14ac:dyDescent="0.25">
      <c r="A82" s="7" t="s">
        <v>253</v>
      </c>
      <c r="B82" s="47" t="str">
        <f t="shared" si="5"/>
        <v>ENTITY_DBT_SRVC_RT_12M</v>
      </c>
      <c r="C82" s="8" t="s">
        <v>10</v>
      </c>
      <c r="D82" s="9" t="s">
        <v>254</v>
      </c>
      <c r="E82" s="11" t="s">
        <v>255</v>
      </c>
      <c r="F82" s="10" t="s">
        <v>13</v>
      </c>
      <c r="G82" s="10" t="s">
        <v>11</v>
      </c>
      <c r="H82" s="10" t="s">
        <v>11</v>
      </c>
      <c r="I82" s="10" t="s">
        <v>11</v>
      </c>
      <c r="J82" s="10" t="s">
        <v>254</v>
      </c>
      <c r="L82" s="6" t="str">
        <f>IFERROR(VLOOKUP($B82,'LISTA - Setembro2024'!$B$3:$F$539,5,0),"Campo eliminado")</f>
        <v>Y</v>
      </c>
      <c r="M82" s="6" t="str">
        <f t="shared" si="6"/>
        <v>Igual</v>
      </c>
      <c r="N82" s="6" t="str">
        <f>IFERROR(VLOOKUP($B82,'LISTA - Setembro2024'!$B$3:$K$539,6,0),"Campo eliminado")</f>
        <v>N</v>
      </c>
      <c r="O82" s="6" t="str">
        <f t="shared" si="7"/>
        <v>Igual</v>
      </c>
      <c r="P82" s="6" t="str">
        <f>IFERROR(VLOOKUP($B82,'LISTA - Setembro2024'!$B$3:$K$539,7,0),"Campo eliminado")</f>
        <v>N</v>
      </c>
      <c r="Q82" s="6" t="str">
        <f t="shared" si="8"/>
        <v>Igual</v>
      </c>
      <c r="R82" s="6" t="str">
        <f>IFERROR(VLOOKUP($B82,'LISTA - Setembro2024'!$B$3:$K$539,9,0),"Campo eliminado")</f>
        <v>N</v>
      </c>
      <c r="S82" s="6" t="str">
        <f t="shared" si="9"/>
        <v>Igual</v>
      </c>
      <c r="U82" s="6" t="str">
        <f>VLOOKUP(B82,DataLake!$A$4:$A$429,1,0)</f>
        <v>ENTITY_DBT_SRVC_RT_12M</v>
      </c>
    </row>
    <row r="83" spans="1:21" ht="15" hidden="1" customHeight="1" x14ac:dyDescent="0.25">
      <c r="A83" s="7" t="s">
        <v>256</v>
      </c>
      <c r="B83" s="47" t="str">
        <f t="shared" si="5"/>
        <v>ENTITY_PD_CRR_RD</v>
      </c>
      <c r="C83" s="8" t="s">
        <v>10</v>
      </c>
      <c r="D83" s="9" t="s">
        <v>257</v>
      </c>
      <c r="E83" s="11" t="s">
        <v>258</v>
      </c>
      <c r="F83" s="10" t="s">
        <v>13</v>
      </c>
      <c r="G83" s="10" t="s">
        <v>11</v>
      </c>
      <c r="H83" s="10" t="s">
        <v>11</v>
      </c>
      <c r="I83" s="10" t="s">
        <v>11</v>
      </c>
      <c r="J83" s="10" t="s">
        <v>11</v>
      </c>
      <c r="L83" s="6" t="str">
        <f>IFERROR(VLOOKUP($B83,'LISTA - Setembro2024'!$B$3:$F$539,5,0),"Campo eliminado")</f>
        <v>Y</v>
      </c>
      <c r="M83" s="6" t="str">
        <f t="shared" si="6"/>
        <v>Igual</v>
      </c>
      <c r="N83" s="6" t="str">
        <f>IFERROR(VLOOKUP($B83,'LISTA - Setembro2024'!$B$3:$K$539,6,0),"Campo eliminado")</f>
        <v>N</v>
      </c>
      <c r="O83" s="6" t="str">
        <f t="shared" si="7"/>
        <v>Igual</v>
      </c>
      <c r="P83" s="6" t="str">
        <f>IFERROR(VLOOKUP($B83,'LISTA - Setembro2024'!$B$3:$K$539,7,0),"Campo eliminado")</f>
        <v>N</v>
      </c>
      <c r="Q83" s="6" t="str">
        <f t="shared" si="8"/>
        <v>Igual</v>
      </c>
      <c r="R83" s="6" t="str">
        <f>IFERROR(VLOOKUP($B83,'LISTA - Setembro2024'!$B$3:$K$539,9,0),"Campo eliminado")</f>
        <v>N</v>
      </c>
      <c r="S83" s="6" t="str">
        <f t="shared" si="9"/>
        <v>Igual</v>
      </c>
      <c r="U83" s="6" t="str">
        <f>VLOOKUP(B83,DataLake!$A$4:$A$429,1,0)</f>
        <v>ENTITY_PD_CRR_RD</v>
      </c>
    </row>
    <row r="84" spans="1:21" ht="15" hidden="1" customHeight="1" x14ac:dyDescent="0.25">
      <c r="A84" s="7" t="s">
        <v>259</v>
      </c>
      <c r="B84" s="47" t="str">
        <f t="shared" si="5"/>
        <v>ENTITY_PD_IFRS9_12M_RD</v>
      </c>
      <c r="C84" s="8" t="s">
        <v>10</v>
      </c>
      <c r="D84" s="9" t="s">
        <v>260</v>
      </c>
      <c r="E84" s="11" t="s">
        <v>261</v>
      </c>
      <c r="F84" s="10" t="s">
        <v>13</v>
      </c>
      <c r="G84" s="10" t="s">
        <v>11</v>
      </c>
      <c r="H84" s="10" t="s">
        <v>11</v>
      </c>
      <c r="I84" s="10" t="s">
        <v>11</v>
      </c>
      <c r="J84" s="10" t="s">
        <v>11</v>
      </c>
      <c r="L84" s="6" t="str">
        <f>IFERROR(VLOOKUP($B84,'LISTA - Setembro2024'!$B$3:$F$539,5,0),"Campo eliminado")</f>
        <v>Y</v>
      </c>
      <c r="M84" s="6" t="str">
        <f t="shared" si="6"/>
        <v>Igual</v>
      </c>
      <c r="N84" s="6" t="str">
        <f>IFERROR(VLOOKUP($B84,'LISTA - Setembro2024'!$B$3:$K$539,6,0),"Campo eliminado")</f>
        <v>N</v>
      </c>
      <c r="O84" s="6" t="str">
        <f t="shared" si="7"/>
        <v>Igual</v>
      </c>
      <c r="P84" s="6" t="str">
        <f>IFERROR(VLOOKUP($B84,'LISTA - Setembro2024'!$B$3:$K$539,7,0),"Campo eliminado")</f>
        <v>N</v>
      </c>
      <c r="Q84" s="6" t="str">
        <f t="shared" si="8"/>
        <v>Igual</v>
      </c>
      <c r="R84" s="6" t="str">
        <f>IFERROR(VLOOKUP($B84,'LISTA - Setembro2024'!$B$3:$K$539,9,0),"Campo eliminado")</f>
        <v>N</v>
      </c>
      <c r="S84" s="6" t="str">
        <f t="shared" si="9"/>
        <v>Igual</v>
      </c>
      <c r="U84" s="6" t="str">
        <f>VLOOKUP(B84,DataLake!$A$4:$A$429,1,0)</f>
        <v>ENTITY_PD_IFRS9_12M_RD</v>
      </c>
    </row>
    <row r="85" spans="1:21" ht="15" hidden="1" customHeight="1" x14ac:dyDescent="0.25">
      <c r="A85" s="7" t="s">
        <v>262</v>
      </c>
      <c r="B85" s="47" t="str">
        <f t="shared" si="5"/>
        <v>ENTITY_PD_IFRS9_12M_RD_T1</v>
      </c>
      <c r="C85" s="8" t="s">
        <v>10</v>
      </c>
      <c r="D85" s="9" t="s">
        <v>263</v>
      </c>
      <c r="E85" s="11" t="s">
        <v>264</v>
      </c>
      <c r="F85" s="10" t="s">
        <v>13</v>
      </c>
      <c r="G85" s="10" t="s">
        <v>11</v>
      </c>
      <c r="H85" s="10" t="s">
        <v>11</v>
      </c>
      <c r="I85" s="10" t="s">
        <v>11</v>
      </c>
      <c r="J85" s="10" t="s">
        <v>11</v>
      </c>
      <c r="L85" s="6" t="str">
        <f>IFERROR(VLOOKUP($B85,'LISTA - Setembro2024'!$B$3:$F$539,5,0),"Campo eliminado")</f>
        <v>Y</v>
      </c>
      <c r="M85" s="6" t="str">
        <f t="shared" si="6"/>
        <v>Igual</v>
      </c>
      <c r="N85" s="6" t="str">
        <f>IFERROR(VLOOKUP($B85,'LISTA - Setembro2024'!$B$3:$K$539,6,0),"Campo eliminado")</f>
        <v>N</v>
      </c>
      <c r="O85" s="6" t="str">
        <f t="shared" si="7"/>
        <v>Igual</v>
      </c>
      <c r="P85" s="6" t="str">
        <f>IFERROR(VLOOKUP($B85,'LISTA - Setembro2024'!$B$3:$K$539,7,0),"Campo eliminado")</f>
        <v>N</v>
      </c>
      <c r="Q85" s="6" t="str">
        <f t="shared" si="8"/>
        <v>Igual</v>
      </c>
      <c r="R85" s="6" t="str">
        <f>IFERROR(VLOOKUP($B85,'LISTA - Setembro2024'!$B$3:$K$539,9,0),"Campo eliminado")</f>
        <v>N</v>
      </c>
      <c r="S85" s="6" t="str">
        <f t="shared" si="9"/>
        <v>Igual</v>
      </c>
      <c r="U85" s="6" t="str">
        <f>VLOOKUP(B85,DataLake!$A$4:$A$429,1,0)</f>
        <v>ENTITY_PD_IFRS9_12M_RD_T1</v>
      </c>
    </row>
    <row r="86" spans="1:21" ht="15" hidden="1" customHeight="1" x14ac:dyDescent="0.25">
      <c r="A86" s="7" t="s">
        <v>265</v>
      </c>
      <c r="B86" s="47" t="str">
        <f t="shared" si="5"/>
        <v>ENTITY_TAX_ID</v>
      </c>
      <c r="C86" s="8" t="s">
        <v>10</v>
      </c>
      <c r="D86" s="9" t="s">
        <v>266</v>
      </c>
      <c r="E86" s="11" t="s">
        <v>267</v>
      </c>
      <c r="F86" s="10" t="s">
        <v>13</v>
      </c>
      <c r="G86" s="10" t="s">
        <v>11</v>
      </c>
      <c r="H86" s="10" t="s">
        <v>11</v>
      </c>
      <c r="I86" s="10" t="s">
        <v>11</v>
      </c>
      <c r="J86" s="10" t="s">
        <v>11</v>
      </c>
      <c r="L86" s="6" t="str">
        <f>IFERROR(VLOOKUP($B86,'LISTA - Setembro2024'!$B$3:$F$539,5,0),"Campo eliminado")</f>
        <v>Y</v>
      </c>
      <c r="M86" s="6" t="str">
        <f t="shared" si="6"/>
        <v>Igual</v>
      </c>
      <c r="N86" s="6" t="str">
        <f>IFERROR(VLOOKUP($B86,'LISTA - Setembro2024'!$B$3:$K$539,6,0),"Campo eliminado")</f>
        <v>N</v>
      </c>
      <c r="O86" s="6" t="str">
        <f t="shared" si="7"/>
        <v>Igual</v>
      </c>
      <c r="P86" s="6" t="str">
        <f>IFERROR(VLOOKUP($B86,'LISTA - Setembro2024'!$B$3:$K$539,7,0),"Campo eliminado")</f>
        <v>N</v>
      </c>
      <c r="Q86" s="6" t="str">
        <f t="shared" si="8"/>
        <v>Igual</v>
      </c>
      <c r="R86" s="6" t="str">
        <f>IFERROR(VLOOKUP($B86,'LISTA - Setembro2024'!$B$3:$K$539,9,0),"Campo eliminado")</f>
        <v>N</v>
      </c>
      <c r="S86" s="6" t="str">
        <f t="shared" si="9"/>
        <v>Igual</v>
      </c>
      <c r="U86" s="6" t="str">
        <f>VLOOKUP(B86,DataLake!$A$4:$A$429,1,0)</f>
        <v>ENTITY_TAX_ID</v>
      </c>
    </row>
    <row r="87" spans="1:21" ht="15" hidden="1" customHeight="1" x14ac:dyDescent="0.25">
      <c r="A87" s="7" t="s">
        <v>268</v>
      </c>
      <c r="B87" s="47" t="str">
        <f t="shared" si="5"/>
        <v>ENTITY_ANNL_TRNVR_LE_BDR</v>
      </c>
      <c r="C87" s="8" t="s">
        <v>10</v>
      </c>
      <c r="D87" s="9" t="s">
        <v>269</v>
      </c>
      <c r="E87" s="11" t="s">
        <v>270</v>
      </c>
      <c r="F87" s="10" t="s">
        <v>13</v>
      </c>
      <c r="G87" s="10" t="s">
        <v>11</v>
      </c>
      <c r="H87" s="10" t="s">
        <v>11</v>
      </c>
      <c r="I87" s="10" t="s">
        <v>11</v>
      </c>
      <c r="J87" s="10" t="s">
        <v>11</v>
      </c>
      <c r="L87" s="6" t="str">
        <f>IFERROR(VLOOKUP($B87,'LISTA - Setembro2024'!$B$3:$F$539,5,0),"Campo eliminado")</f>
        <v>Y</v>
      </c>
      <c r="M87" s="6" t="str">
        <f t="shared" si="6"/>
        <v>Igual</v>
      </c>
      <c r="N87" s="6" t="str">
        <f>IFERROR(VLOOKUP($B87,'LISTA - Setembro2024'!$B$3:$K$539,6,0),"Campo eliminado")</f>
        <v>N</v>
      </c>
      <c r="O87" s="6" t="str">
        <f t="shared" si="7"/>
        <v>Igual</v>
      </c>
      <c r="P87" s="6" t="str">
        <f>IFERROR(VLOOKUP($B87,'LISTA - Setembro2024'!$B$3:$K$539,7,0),"Campo eliminado")</f>
        <v>N</v>
      </c>
      <c r="Q87" s="6" t="str">
        <f t="shared" si="8"/>
        <v>Igual</v>
      </c>
      <c r="R87" s="6" t="str">
        <f>IFERROR(VLOOKUP($B87,'LISTA - Setembro2024'!$B$3:$K$539,9,0),"Campo eliminado")</f>
        <v>N</v>
      </c>
      <c r="S87" s="6" t="str">
        <f t="shared" si="9"/>
        <v>Igual</v>
      </c>
      <c r="U87" s="6" t="str">
        <f>VLOOKUP(B87,DataLake!$A$4:$A$429,1,0)</f>
        <v>ENTITY_ANNL_TRNVR_LE_BDR</v>
      </c>
    </row>
    <row r="88" spans="1:21" ht="15" hidden="1" customHeight="1" x14ac:dyDescent="0.25">
      <c r="A88" s="7" t="s">
        <v>271</v>
      </c>
      <c r="B88" s="47" t="str">
        <f t="shared" si="5"/>
        <v>ENTITY_ANNL_TRNVR_PRVS_BDR</v>
      </c>
      <c r="C88" s="8" t="s">
        <v>10</v>
      </c>
      <c r="D88" s="9" t="s">
        <v>272</v>
      </c>
      <c r="E88" s="11" t="s">
        <v>273</v>
      </c>
      <c r="F88" s="10" t="s">
        <v>13</v>
      </c>
      <c r="G88" s="10" t="s">
        <v>11</v>
      </c>
      <c r="H88" s="10" t="s">
        <v>11</v>
      </c>
      <c r="I88" s="10" t="s">
        <v>11</v>
      </c>
      <c r="J88" s="10" t="s">
        <v>11</v>
      </c>
      <c r="L88" s="6" t="str">
        <f>IFERROR(VLOOKUP($B88,'LISTA - Setembro2024'!$B$3:$F$539,5,0),"Campo eliminado")</f>
        <v>Y</v>
      </c>
      <c r="M88" s="6" t="str">
        <f t="shared" si="6"/>
        <v>Igual</v>
      </c>
      <c r="N88" s="6" t="str">
        <f>IFERROR(VLOOKUP($B88,'LISTA - Setembro2024'!$B$3:$K$539,6,0),"Campo eliminado")</f>
        <v>N</v>
      </c>
      <c r="O88" s="6" t="str">
        <f t="shared" si="7"/>
        <v>Igual</v>
      </c>
      <c r="P88" s="6" t="str">
        <f>IFERROR(VLOOKUP($B88,'LISTA - Setembro2024'!$B$3:$K$539,7,0),"Campo eliminado")</f>
        <v>N</v>
      </c>
      <c r="Q88" s="6" t="str">
        <f t="shared" si="8"/>
        <v>Igual</v>
      </c>
      <c r="R88" s="6" t="str">
        <f>IFERROR(VLOOKUP($B88,'LISTA - Setembro2024'!$B$3:$K$539,9,0),"Campo eliminado")</f>
        <v>N</v>
      </c>
      <c r="S88" s="6" t="str">
        <f t="shared" si="9"/>
        <v>Igual</v>
      </c>
      <c r="U88" s="6" t="str">
        <f>VLOOKUP(B88,DataLake!$A$4:$A$429,1,0)</f>
        <v>ENTITY_ANNL_TRNVR_PRVS_BDR</v>
      </c>
    </row>
    <row r="89" spans="1:21" ht="15" hidden="1" customHeight="1" x14ac:dyDescent="0.25">
      <c r="A89" s="7" t="s">
        <v>274</v>
      </c>
      <c r="B89" s="47" t="str">
        <f t="shared" si="5"/>
        <v>ENTITY_OSI_ID</v>
      </c>
      <c r="C89" s="8" t="s">
        <v>10</v>
      </c>
      <c r="D89" s="9" t="s">
        <v>275</v>
      </c>
      <c r="E89" s="11" t="s">
        <v>276</v>
      </c>
      <c r="F89" s="10" t="s">
        <v>13</v>
      </c>
      <c r="G89" s="10" t="s">
        <v>11</v>
      </c>
      <c r="H89" s="10" t="s">
        <v>11</v>
      </c>
      <c r="I89" s="10" t="s">
        <v>11</v>
      </c>
      <c r="J89" s="10" t="s">
        <v>11</v>
      </c>
      <c r="L89" s="6" t="str">
        <f>IFERROR(VLOOKUP($B89,'LISTA - Setembro2024'!$B$3:$F$539,5,0),"Campo eliminado")</f>
        <v>Y</v>
      </c>
      <c r="M89" s="6" t="str">
        <f t="shared" si="6"/>
        <v>Igual</v>
      </c>
      <c r="N89" s="6" t="str">
        <f>IFERROR(VLOOKUP($B89,'LISTA - Setembro2024'!$B$3:$K$539,6,0),"Campo eliminado")</f>
        <v>N</v>
      </c>
      <c r="O89" s="6" t="str">
        <f t="shared" si="7"/>
        <v>Igual</v>
      </c>
      <c r="P89" s="6" t="str">
        <f>IFERROR(VLOOKUP($B89,'LISTA - Setembro2024'!$B$3:$K$539,7,0),"Campo eliminado")</f>
        <v>N</v>
      </c>
      <c r="Q89" s="6" t="str">
        <f t="shared" si="8"/>
        <v>Igual</v>
      </c>
      <c r="R89" s="6" t="str">
        <f>IFERROR(VLOOKUP($B89,'LISTA - Setembro2024'!$B$3:$K$539,9,0),"Campo eliminado")</f>
        <v>N</v>
      </c>
      <c r="S89" s="6" t="str">
        <f t="shared" si="9"/>
        <v>Igual</v>
      </c>
      <c r="U89" s="6" t="str">
        <f>VLOOKUP(B89,DataLake!$A$4:$A$429,1,0)</f>
        <v>ENTITY_OSI_ID</v>
      </c>
    </row>
    <row r="90" spans="1:21" ht="15" hidden="1" customHeight="1" x14ac:dyDescent="0.25">
      <c r="A90" s="7" t="s">
        <v>277</v>
      </c>
      <c r="B90" s="47" t="str">
        <f t="shared" si="5"/>
        <v>ENTITY_PD_CRR_RD_T1</v>
      </c>
      <c r="C90" s="8" t="s">
        <v>10</v>
      </c>
      <c r="D90" s="9" t="s">
        <v>278</v>
      </c>
      <c r="E90" s="11" t="s">
        <v>279</v>
      </c>
      <c r="F90" s="10" t="s">
        <v>13</v>
      </c>
      <c r="G90" s="10" t="s">
        <v>11</v>
      </c>
      <c r="H90" s="10" t="s">
        <v>11</v>
      </c>
      <c r="I90" s="10" t="s">
        <v>11</v>
      </c>
      <c r="J90" s="10" t="s">
        <v>11</v>
      </c>
      <c r="L90" s="6" t="str">
        <f>IFERROR(VLOOKUP($B90,'LISTA - Setembro2024'!$B$3:$F$539,5,0),"Campo eliminado")</f>
        <v>Y</v>
      </c>
      <c r="M90" s="6" t="str">
        <f t="shared" si="6"/>
        <v>Igual</v>
      </c>
      <c r="N90" s="6" t="str">
        <f>IFERROR(VLOOKUP($B90,'LISTA - Setembro2024'!$B$3:$K$539,6,0),"Campo eliminado")</f>
        <v>N</v>
      </c>
      <c r="O90" s="6" t="str">
        <f t="shared" si="7"/>
        <v>Igual</v>
      </c>
      <c r="P90" s="6" t="str">
        <f>IFERROR(VLOOKUP($B90,'LISTA - Setembro2024'!$B$3:$K$539,7,0),"Campo eliminado")</f>
        <v>N</v>
      </c>
      <c r="Q90" s="6" t="str">
        <f t="shared" si="8"/>
        <v>Igual</v>
      </c>
      <c r="R90" s="6" t="str">
        <f>IFERROR(VLOOKUP($B90,'LISTA - Setembro2024'!$B$3:$K$539,9,0),"Campo eliminado")</f>
        <v>N</v>
      </c>
      <c r="S90" s="6" t="str">
        <f t="shared" si="9"/>
        <v>Igual</v>
      </c>
      <c r="U90" s="6" t="str">
        <f>VLOOKUP(B90,DataLake!$A$4:$A$429,1,0)</f>
        <v>ENTITY_PD_CRR_RD_T1</v>
      </c>
    </row>
    <row r="91" spans="1:21" ht="15" hidden="1" customHeight="1" x14ac:dyDescent="0.25">
      <c r="A91" s="7" t="s">
        <v>280</v>
      </c>
      <c r="B91" s="47" t="str">
        <f t="shared" si="5"/>
        <v>ENTITY_EC_GRP_ID</v>
      </c>
      <c r="C91" s="8" t="s">
        <v>10</v>
      </c>
      <c r="D91" s="9" t="s">
        <v>281</v>
      </c>
      <c r="E91" s="11" t="s">
        <v>282</v>
      </c>
      <c r="F91" s="10" t="s">
        <v>13</v>
      </c>
      <c r="G91" s="10" t="s">
        <v>11</v>
      </c>
      <c r="H91" s="10" t="s">
        <v>11</v>
      </c>
      <c r="I91" s="10" t="s">
        <v>11</v>
      </c>
      <c r="J91" s="10" t="s">
        <v>11</v>
      </c>
      <c r="L91" s="6" t="str">
        <f>IFERROR(VLOOKUP($B91,'LISTA - Setembro2024'!$B$3:$F$539,5,0),"Campo eliminado")</f>
        <v>Y</v>
      </c>
      <c r="M91" s="6" t="str">
        <f t="shared" si="6"/>
        <v>Igual</v>
      </c>
      <c r="N91" s="6" t="str">
        <f>IFERROR(VLOOKUP($B91,'LISTA - Setembro2024'!$B$3:$K$539,6,0),"Campo eliminado")</f>
        <v>N</v>
      </c>
      <c r="O91" s="6" t="str">
        <f t="shared" si="7"/>
        <v>Igual</v>
      </c>
      <c r="P91" s="6" t="str">
        <f>IFERROR(VLOOKUP($B91,'LISTA - Setembro2024'!$B$3:$K$539,7,0),"Campo eliminado")</f>
        <v>N</v>
      </c>
      <c r="Q91" s="6" t="str">
        <f t="shared" si="8"/>
        <v>Igual</v>
      </c>
      <c r="R91" s="6" t="str">
        <f>IFERROR(VLOOKUP($B91,'LISTA - Setembro2024'!$B$3:$K$539,9,0),"Campo eliminado")</f>
        <v>N</v>
      </c>
      <c r="S91" s="6" t="str">
        <f t="shared" si="9"/>
        <v>Igual</v>
      </c>
      <c r="U91" s="6" t="str">
        <f>VLOOKUP(B91,DataLake!$A$4:$A$429,1,0)</f>
        <v>ENTITY_EC_GRP_ID</v>
      </c>
    </row>
    <row r="92" spans="1:21" ht="15" hidden="1" customHeight="1" x14ac:dyDescent="0.25">
      <c r="A92" s="7" t="s">
        <v>283</v>
      </c>
      <c r="B92" s="47" t="str">
        <f t="shared" si="5"/>
        <v>ENTITY_EC_GRP_NM</v>
      </c>
      <c r="C92" s="8" t="s">
        <v>10</v>
      </c>
      <c r="D92" s="9" t="s">
        <v>284</v>
      </c>
      <c r="E92" s="11" t="s">
        <v>285</v>
      </c>
      <c r="F92" s="10" t="s">
        <v>13</v>
      </c>
      <c r="G92" s="10" t="s">
        <v>11</v>
      </c>
      <c r="H92" s="10" t="s">
        <v>11</v>
      </c>
      <c r="I92" s="10" t="s">
        <v>11</v>
      </c>
      <c r="J92" s="10" t="s">
        <v>11</v>
      </c>
      <c r="L92" s="6" t="str">
        <f>IFERROR(VLOOKUP($B92,'LISTA - Setembro2024'!$B$3:$F$539,5,0),"Campo eliminado")</f>
        <v>Y</v>
      </c>
      <c r="M92" s="6" t="str">
        <f t="shared" si="6"/>
        <v>Igual</v>
      </c>
      <c r="N92" s="6" t="str">
        <f>IFERROR(VLOOKUP($B92,'LISTA - Setembro2024'!$B$3:$K$539,6,0),"Campo eliminado")</f>
        <v>N</v>
      </c>
      <c r="O92" s="6" t="str">
        <f t="shared" si="7"/>
        <v>Igual</v>
      </c>
      <c r="P92" s="6" t="str">
        <f>IFERROR(VLOOKUP($B92,'LISTA - Setembro2024'!$B$3:$K$539,7,0),"Campo eliminado")</f>
        <v>Y</v>
      </c>
      <c r="Q92" s="6" t="str">
        <f t="shared" si="8"/>
        <v>Diferente</v>
      </c>
      <c r="R92" s="6" t="str">
        <f>IFERROR(VLOOKUP($B92,'LISTA - Setembro2024'!$B$3:$K$539,9,0),"Campo eliminado")</f>
        <v>N</v>
      </c>
      <c r="S92" s="6" t="str">
        <f t="shared" si="9"/>
        <v>Igual</v>
      </c>
      <c r="U92" s="6" t="str">
        <f>VLOOKUP(B92,DataLake!$A$4:$A$429,1,0)</f>
        <v>ENTITY_EC_GRP_NM</v>
      </c>
    </row>
    <row r="93" spans="1:21" ht="15" hidden="1" customHeight="1" x14ac:dyDescent="0.25">
      <c r="A93" s="16" t="s">
        <v>286</v>
      </c>
      <c r="B93" s="47" t="str">
        <f t="shared" si="5"/>
        <v>ENTITY_PST_CD</v>
      </c>
      <c r="C93" s="8" t="s">
        <v>10</v>
      </c>
      <c r="D93" s="9" t="s">
        <v>287</v>
      </c>
      <c r="E93" s="11" t="s">
        <v>288</v>
      </c>
      <c r="F93" s="10" t="s">
        <v>11</v>
      </c>
      <c r="G93" s="10" t="s">
        <v>11</v>
      </c>
      <c r="H93" s="10" t="s">
        <v>13</v>
      </c>
      <c r="I93" s="10" t="s">
        <v>13</v>
      </c>
      <c r="J93" s="10" t="s">
        <v>11</v>
      </c>
      <c r="L93" s="6" t="str">
        <f>IFERROR(VLOOKUP($B93,'LISTA - Setembro2024'!$B$3:$F$539,5,0),"Campo eliminado")</f>
        <v>N</v>
      </c>
      <c r="M93" s="6" t="str">
        <f t="shared" si="6"/>
        <v>Igual</v>
      </c>
      <c r="N93" s="6" t="str">
        <f>IFERROR(VLOOKUP($B93,'LISTA - Setembro2024'!$B$3:$K$539,6,0),"Campo eliminado")</f>
        <v>N</v>
      </c>
      <c r="O93" s="6" t="str">
        <f t="shared" si="7"/>
        <v>Igual</v>
      </c>
      <c r="P93" s="6" t="str">
        <f>IFERROR(VLOOKUP($B93,'LISTA - Setembro2024'!$B$3:$K$539,7,0),"Campo eliminado")</f>
        <v>Y</v>
      </c>
      <c r="Q93" s="6" t="str">
        <f t="shared" si="8"/>
        <v>Igual</v>
      </c>
      <c r="R93" s="6" t="str">
        <f>IFERROR(VLOOKUP($B93,'LISTA - Setembro2024'!$B$3:$K$539,9,0),"Campo eliminado")</f>
        <v>Y</v>
      </c>
      <c r="S93" s="6" t="str">
        <f t="shared" si="9"/>
        <v>Igual</v>
      </c>
      <c r="U93" s="6" t="str">
        <f>VLOOKUP(B93,DataLake!$A$4:$A$429,1,0)</f>
        <v>ENTITY_PST_CD</v>
      </c>
    </row>
    <row r="94" spans="1:21" ht="15" hidden="1" customHeight="1" x14ac:dyDescent="0.25">
      <c r="A94" s="16" t="s">
        <v>289</v>
      </c>
      <c r="B94" s="47" t="str">
        <f t="shared" si="5"/>
        <v>ENTITY_ESG_SBSCTR</v>
      </c>
      <c r="C94" s="8" t="s">
        <v>10</v>
      </c>
      <c r="D94" s="9" t="s">
        <v>290</v>
      </c>
      <c r="E94" s="11" t="s">
        <v>291</v>
      </c>
      <c r="F94" s="10" t="s">
        <v>11</v>
      </c>
      <c r="G94" s="10" t="s">
        <v>11</v>
      </c>
      <c r="H94" s="10" t="s">
        <v>13</v>
      </c>
      <c r="I94" s="10" t="s">
        <v>11</v>
      </c>
      <c r="J94" s="10" t="s">
        <v>11</v>
      </c>
      <c r="L94" s="6" t="str">
        <f>IFERROR(VLOOKUP($B94,'LISTA - Setembro2024'!$B$3:$F$539,5,0),"Campo eliminado")</f>
        <v>N</v>
      </c>
      <c r="M94" s="6" t="str">
        <f t="shared" si="6"/>
        <v>Igual</v>
      </c>
      <c r="N94" s="6" t="str">
        <f>IFERROR(VLOOKUP($B94,'LISTA - Setembro2024'!$B$3:$K$539,6,0),"Campo eliminado")</f>
        <v>N</v>
      </c>
      <c r="O94" s="6" t="str">
        <f t="shared" si="7"/>
        <v>Igual</v>
      </c>
      <c r="P94" s="6" t="str">
        <f>IFERROR(VLOOKUP($B94,'LISTA - Setembro2024'!$B$3:$K$539,7,0),"Campo eliminado")</f>
        <v>Y</v>
      </c>
      <c r="Q94" s="6" t="str">
        <f t="shared" si="8"/>
        <v>Igual</v>
      </c>
      <c r="R94" s="6" t="str">
        <f>IFERROR(VLOOKUP($B94,'LISTA - Setembro2024'!$B$3:$K$539,9,0),"Campo eliminado")</f>
        <v>N</v>
      </c>
      <c r="S94" s="6" t="str">
        <f t="shared" si="9"/>
        <v>Igual</v>
      </c>
      <c r="U94" s="6" t="str">
        <f>VLOOKUP(B94,DataLake!$A$4:$A$429,1,0)</f>
        <v>ENTITY_ESG_SBSCTR</v>
      </c>
    </row>
    <row r="95" spans="1:21" ht="13.8" hidden="1" x14ac:dyDescent="0.25">
      <c r="A95" s="16" t="s">
        <v>292</v>
      </c>
      <c r="B95" s="47" t="str">
        <f t="shared" si="5"/>
        <v>ENTITY_NACE_ESG</v>
      </c>
      <c r="C95" s="8" t="s">
        <v>10</v>
      </c>
      <c r="D95" s="9" t="s">
        <v>293</v>
      </c>
      <c r="E95" s="11" t="s">
        <v>294</v>
      </c>
      <c r="F95" s="10" t="s">
        <v>11</v>
      </c>
      <c r="G95" s="10" t="s">
        <v>11</v>
      </c>
      <c r="H95" s="10" t="s">
        <v>13</v>
      </c>
      <c r="I95" s="10" t="s">
        <v>13</v>
      </c>
      <c r="J95" s="10" t="s">
        <v>11</v>
      </c>
      <c r="L95" s="6" t="str">
        <f>IFERROR(VLOOKUP($B95,'LISTA - Setembro2024'!$B$3:$F$539,5,0),"Campo eliminado")</f>
        <v>N</v>
      </c>
      <c r="M95" s="6" t="str">
        <f t="shared" si="6"/>
        <v>Igual</v>
      </c>
      <c r="N95" s="6" t="str">
        <f>IFERROR(VLOOKUP($B95,'LISTA - Setembro2024'!$B$3:$K$539,6,0),"Campo eliminado")</f>
        <v>N</v>
      </c>
      <c r="O95" s="6" t="str">
        <f t="shared" si="7"/>
        <v>Igual</v>
      </c>
      <c r="P95" s="6" t="str">
        <f>IFERROR(VLOOKUP($B95,'LISTA - Setembro2024'!$B$3:$K$539,7,0),"Campo eliminado")</f>
        <v>Y</v>
      </c>
      <c r="Q95" s="6" t="str">
        <f t="shared" si="8"/>
        <v>Igual</v>
      </c>
      <c r="R95" s="6" t="str">
        <f>IFERROR(VLOOKUP($B95,'LISTA - Setembro2024'!$B$3:$K$539,9,0),"Campo eliminado")</f>
        <v>Y</v>
      </c>
      <c r="S95" s="6" t="str">
        <f t="shared" si="9"/>
        <v>Igual</v>
      </c>
      <c r="U95" s="6" t="str">
        <f>VLOOKUP(B95,DataLake!$A$4:$A$429,1,0)</f>
        <v>ENTITY_NACE_ESG</v>
      </c>
    </row>
    <row r="96" spans="1:21" ht="15" hidden="1" customHeight="1" x14ac:dyDescent="0.25">
      <c r="A96" s="16" t="s">
        <v>295</v>
      </c>
      <c r="B96" s="47" t="str">
        <f t="shared" si="5"/>
        <v>ENTITY_TTL_LBLTY</v>
      </c>
      <c r="C96" s="8" t="s">
        <v>10</v>
      </c>
      <c r="D96" s="9" t="s">
        <v>296</v>
      </c>
      <c r="E96" s="11" t="s">
        <v>297</v>
      </c>
      <c r="F96" s="10" t="s">
        <v>11</v>
      </c>
      <c r="G96" s="10" t="s">
        <v>11</v>
      </c>
      <c r="H96" s="10" t="s">
        <v>13</v>
      </c>
      <c r="I96" s="10" t="s">
        <v>11</v>
      </c>
      <c r="J96" s="10" t="s">
        <v>11</v>
      </c>
      <c r="L96" s="6" t="str">
        <f>IFERROR(VLOOKUP($B96,'LISTA - Setembro2024'!$B$3:$F$539,5,0),"Campo eliminado")</f>
        <v>N</v>
      </c>
      <c r="M96" s="6" t="str">
        <f t="shared" si="6"/>
        <v>Igual</v>
      </c>
      <c r="N96" s="6" t="str">
        <f>IFERROR(VLOOKUP($B96,'LISTA - Setembro2024'!$B$3:$K$539,6,0),"Campo eliminado")</f>
        <v>N</v>
      </c>
      <c r="O96" s="6" t="str">
        <f t="shared" si="7"/>
        <v>Igual</v>
      </c>
      <c r="P96" s="6" t="str">
        <f>IFERROR(VLOOKUP($B96,'LISTA - Setembro2024'!$B$3:$K$539,7,0),"Campo eliminado")</f>
        <v>Y</v>
      </c>
      <c r="Q96" s="6" t="str">
        <f t="shared" si="8"/>
        <v>Igual</v>
      </c>
      <c r="R96" s="6" t="str">
        <f>IFERROR(VLOOKUP($B96,'LISTA - Setembro2024'!$B$3:$K$539,9,0),"Campo eliminado")</f>
        <v>N</v>
      </c>
      <c r="S96" s="6" t="str">
        <f t="shared" si="9"/>
        <v>Igual</v>
      </c>
      <c r="U96" s="6" t="str">
        <f>VLOOKUP(B96,DataLake!$A$4:$A$429,1,0)</f>
        <v>ENTITY_TTL_LBLTY</v>
      </c>
    </row>
    <row r="97" spans="1:21" ht="15" hidden="1" customHeight="1" x14ac:dyDescent="0.25">
      <c r="A97" s="16" t="s">
        <v>298</v>
      </c>
      <c r="B97" s="47" t="str">
        <f t="shared" si="5"/>
        <v>ENTITY_TXNMY_ELGBL_CAPEX_CCM</v>
      </c>
      <c r="C97" s="8" t="s">
        <v>10</v>
      </c>
      <c r="D97" s="9" t="s">
        <v>299</v>
      </c>
      <c r="E97" s="11" t="s">
        <v>300</v>
      </c>
      <c r="F97" s="10" t="s">
        <v>11</v>
      </c>
      <c r="G97" s="10" t="s">
        <v>11</v>
      </c>
      <c r="H97" s="10" t="s">
        <v>13</v>
      </c>
      <c r="I97" s="10" t="s">
        <v>11</v>
      </c>
      <c r="J97" s="10" t="s">
        <v>11</v>
      </c>
      <c r="L97" s="6" t="str">
        <f>IFERROR(VLOOKUP($B97,'LISTA - Setembro2024'!$B$3:$F$539,5,0),"Campo eliminado")</f>
        <v>N</v>
      </c>
      <c r="M97" s="6" t="str">
        <f t="shared" si="6"/>
        <v>Igual</v>
      </c>
      <c r="N97" s="6" t="str">
        <f>IFERROR(VLOOKUP($B97,'LISTA - Setembro2024'!$B$3:$K$539,6,0),"Campo eliminado")</f>
        <v>N</v>
      </c>
      <c r="O97" s="6" t="str">
        <f t="shared" si="7"/>
        <v>Igual</v>
      </c>
      <c r="P97" s="6" t="str">
        <f>IFERROR(VLOOKUP($B97,'LISTA - Setembro2024'!$B$3:$K$539,7,0),"Campo eliminado")</f>
        <v>Y</v>
      </c>
      <c r="Q97" s="6" t="str">
        <f t="shared" si="8"/>
        <v>Igual</v>
      </c>
      <c r="R97" s="6" t="str">
        <f>IFERROR(VLOOKUP($B97,'LISTA - Setembro2024'!$B$3:$K$539,9,0),"Campo eliminado")</f>
        <v>N</v>
      </c>
      <c r="S97" s="6" t="str">
        <f t="shared" si="9"/>
        <v>Igual</v>
      </c>
      <c r="U97" s="6" t="str">
        <f>VLOOKUP(B97,DataLake!$A$4:$A$429,1,0)</f>
        <v>ENTITY_TXNMY_ELGBL_CAPEX_CCM</v>
      </c>
    </row>
    <row r="98" spans="1:21" ht="15" hidden="1" customHeight="1" x14ac:dyDescent="0.25">
      <c r="A98" s="16" t="s">
        <v>301</v>
      </c>
      <c r="B98" s="47" t="str">
        <f t="shared" si="5"/>
        <v>ENTITY_TXNMY_ELGBL_TRNVR_CCM</v>
      </c>
      <c r="C98" s="8" t="s">
        <v>10</v>
      </c>
      <c r="D98" s="9" t="s">
        <v>302</v>
      </c>
      <c r="E98" s="11" t="s">
        <v>303</v>
      </c>
      <c r="F98" s="10" t="s">
        <v>11</v>
      </c>
      <c r="G98" s="10" t="s">
        <v>11</v>
      </c>
      <c r="H98" s="10" t="s">
        <v>13</v>
      </c>
      <c r="I98" s="10" t="s">
        <v>11</v>
      </c>
      <c r="J98" s="10" t="s">
        <v>11</v>
      </c>
      <c r="L98" s="6" t="str">
        <f>IFERROR(VLOOKUP($B98,'LISTA - Setembro2024'!$B$3:$F$539,5,0),"Campo eliminado")</f>
        <v>N</v>
      </c>
      <c r="M98" s="6" t="str">
        <f t="shared" si="6"/>
        <v>Igual</v>
      </c>
      <c r="N98" s="6" t="str">
        <f>IFERROR(VLOOKUP($B98,'LISTA - Setembro2024'!$B$3:$K$539,6,0),"Campo eliminado")</f>
        <v>N</v>
      </c>
      <c r="O98" s="6" t="str">
        <f t="shared" si="7"/>
        <v>Igual</v>
      </c>
      <c r="P98" s="6" t="str">
        <f>IFERROR(VLOOKUP($B98,'LISTA - Setembro2024'!$B$3:$K$539,7,0),"Campo eliminado")</f>
        <v>Y</v>
      </c>
      <c r="Q98" s="6" t="str">
        <f t="shared" si="8"/>
        <v>Igual</v>
      </c>
      <c r="R98" s="6" t="str">
        <f>IFERROR(VLOOKUP($B98,'LISTA - Setembro2024'!$B$3:$K$539,9,0),"Campo eliminado")</f>
        <v>N</v>
      </c>
      <c r="S98" s="6" t="str">
        <f t="shared" si="9"/>
        <v>Igual</v>
      </c>
      <c r="U98" s="6" t="str">
        <f>VLOOKUP(B98,DataLake!$A$4:$A$429,1,0)</f>
        <v>ENTITY_TXNMY_ELGBL_TRNVR_CCM</v>
      </c>
    </row>
    <row r="99" spans="1:21" ht="15" hidden="1" customHeight="1" x14ac:dyDescent="0.25">
      <c r="A99" s="16" t="s">
        <v>304</v>
      </c>
      <c r="B99" s="47" t="str">
        <f t="shared" si="5"/>
        <v>ENTITY_TXNMY_ELGBL_CAPEX_CCA</v>
      </c>
      <c r="C99" s="8" t="s">
        <v>10</v>
      </c>
      <c r="D99" s="9" t="s">
        <v>305</v>
      </c>
      <c r="E99" s="11" t="s">
        <v>306</v>
      </c>
      <c r="F99" s="10" t="s">
        <v>11</v>
      </c>
      <c r="G99" s="10" t="s">
        <v>11</v>
      </c>
      <c r="H99" s="10" t="s">
        <v>13</v>
      </c>
      <c r="I99" s="10" t="s">
        <v>11</v>
      </c>
      <c r="J99" s="10" t="s">
        <v>11</v>
      </c>
      <c r="L99" s="6" t="str">
        <f>IFERROR(VLOOKUP($B99,'LISTA - Setembro2024'!$B$3:$F$539,5,0),"Campo eliminado")</f>
        <v>N</v>
      </c>
      <c r="M99" s="6" t="str">
        <f t="shared" si="6"/>
        <v>Igual</v>
      </c>
      <c r="N99" s="6" t="str">
        <f>IFERROR(VLOOKUP($B99,'LISTA - Setembro2024'!$B$3:$K$539,6,0),"Campo eliminado")</f>
        <v>N</v>
      </c>
      <c r="O99" s="6" t="str">
        <f t="shared" si="7"/>
        <v>Igual</v>
      </c>
      <c r="P99" s="6" t="str">
        <f>IFERROR(VLOOKUP($B99,'LISTA - Setembro2024'!$B$3:$K$539,7,0),"Campo eliminado")</f>
        <v>Y</v>
      </c>
      <c r="Q99" s="6" t="str">
        <f t="shared" si="8"/>
        <v>Igual</v>
      </c>
      <c r="R99" s="6" t="str">
        <f>IFERROR(VLOOKUP($B99,'LISTA - Setembro2024'!$B$3:$K$539,9,0),"Campo eliminado")</f>
        <v>N</v>
      </c>
      <c r="S99" s="6" t="str">
        <f t="shared" si="9"/>
        <v>Igual</v>
      </c>
      <c r="U99" s="6" t="str">
        <f>VLOOKUP(B99,DataLake!$A$4:$A$429,1,0)</f>
        <v>ENTITY_TXNMY_ELGBL_CAPEX_CCA</v>
      </c>
    </row>
    <row r="100" spans="1:21" ht="15" hidden="1" customHeight="1" x14ac:dyDescent="0.25">
      <c r="A100" s="16" t="s">
        <v>307</v>
      </c>
      <c r="B100" s="47" t="str">
        <f t="shared" si="5"/>
        <v>ENTITY_TXNMY_ELGBL_TRNVR_CCA</v>
      </c>
      <c r="C100" s="8" t="s">
        <v>10</v>
      </c>
      <c r="D100" s="9" t="s">
        <v>308</v>
      </c>
      <c r="E100" s="11" t="s">
        <v>309</v>
      </c>
      <c r="F100" s="10" t="s">
        <v>11</v>
      </c>
      <c r="G100" s="10" t="s">
        <v>11</v>
      </c>
      <c r="H100" s="10" t="s">
        <v>13</v>
      </c>
      <c r="I100" s="10" t="s">
        <v>11</v>
      </c>
      <c r="J100" s="10" t="s">
        <v>11</v>
      </c>
      <c r="L100" s="6" t="str">
        <f>IFERROR(VLOOKUP($B100,'LISTA - Setembro2024'!$B$3:$F$539,5,0),"Campo eliminado")</f>
        <v>N</v>
      </c>
      <c r="M100" s="6" t="str">
        <f t="shared" si="6"/>
        <v>Igual</v>
      </c>
      <c r="N100" s="6" t="str">
        <f>IFERROR(VLOOKUP($B100,'LISTA - Setembro2024'!$B$3:$K$539,6,0),"Campo eliminado")</f>
        <v>N</v>
      </c>
      <c r="O100" s="6" t="str">
        <f t="shared" si="7"/>
        <v>Igual</v>
      </c>
      <c r="P100" s="6" t="str">
        <f>IFERROR(VLOOKUP($B100,'LISTA - Setembro2024'!$B$3:$K$539,7,0),"Campo eliminado")</f>
        <v>Y</v>
      </c>
      <c r="Q100" s="6" t="str">
        <f t="shared" si="8"/>
        <v>Igual</v>
      </c>
      <c r="R100" s="6" t="str">
        <f>IFERROR(VLOOKUP($B100,'LISTA - Setembro2024'!$B$3:$K$539,9,0),"Campo eliminado")</f>
        <v>N</v>
      </c>
      <c r="S100" s="6" t="str">
        <f t="shared" si="9"/>
        <v>Igual</v>
      </c>
      <c r="U100" s="6" t="str">
        <f>VLOOKUP(B100,DataLake!$A$4:$A$429,1,0)</f>
        <v>ENTITY_TXNMY_ELGBL_TRNVR_CCA</v>
      </c>
    </row>
    <row r="101" spans="1:21" ht="15" hidden="1" customHeight="1" x14ac:dyDescent="0.25">
      <c r="A101" s="16" t="s">
        <v>310</v>
      </c>
      <c r="B101" s="47" t="str">
        <f t="shared" si="5"/>
        <v>ENTITY_ENBLNG_CAPEX_CCM</v>
      </c>
      <c r="C101" s="8" t="s">
        <v>10</v>
      </c>
      <c r="D101" s="9" t="s">
        <v>311</v>
      </c>
      <c r="E101" s="11" t="s">
        <v>312</v>
      </c>
      <c r="F101" s="10" t="s">
        <v>11</v>
      </c>
      <c r="G101" s="10" t="s">
        <v>11</v>
      </c>
      <c r="H101" s="10" t="s">
        <v>13</v>
      </c>
      <c r="I101" s="10" t="s">
        <v>11</v>
      </c>
      <c r="J101" s="10" t="s">
        <v>11</v>
      </c>
      <c r="L101" s="6" t="str">
        <f>IFERROR(VLOOKUP($B101,'LISTA - Setembro2024'!$B$3:$F$539,5,0),"Campo eliminado")</f>
        <v>N</v>
      </c>
      <c r="M101" s="6" t="str">
        <f t="shared" si="6"/>
        <v>Igual</v>
      </c>
      <c r="N101" s="6" t="str">
        <f>IFERROR(VLOOKUP($B101,'LISTA - Setembro2024'!$B$3:$K$539,6,0),"Campo eliminado")</f>
        <v>N</v>
      </c>
      <c r="O101" s="6" t="str">
        <f t="shared" si="7"/>
        <v>Igual</v>
      </c>
      <c r="P101" s="6" t="str">
        <f>IFERROR(VLOOKUP($B101,'LISTA - Setembro2024'!$B$3:$K$539,7,0),"Campo eliminado")</f>
        <v>Y</v>
      </c>
      <c r="Q101" s="6" t="str">
        <f t="shared" si="8"/>
        <v>Igual</v>
      </c>
      <c r="R101" s="6" t="str">
        <f>IFERROR(VLOOKUP($B101,'LISTA - Setembro2024'!$B$3:$K$539,9,0),"Campo eliminado")</f>
        <v>N</v>
      </c>
      <c r="S101" s="6" t="str">
        <f t="shared" si="9"/>
        <v>Igual</v>
      </c>
      <c r="U101" s="6" t="str">
        <f>VLOOKUP(B101,DataLake!$A$4:$A$429,1,0)</f>
        <v>ENTITY_ENBLNG_CAPEX_CCM</v>
      </c>
    </row>
    <row r="102" spans="1:21" ht="15" hidden="1" customHeight="1" x14ac:dyDescent="0.25">
      <c r="A102" s="16" t="s">
        <v>313</v>
      </c>
      <c r="B102" s="47" t="str">
        <f t="shared" si="5"/>
        <v>ENTITY_ENBLNG_CAPEX_CCA</v>
      </c>
      <c r="C102" s="8" t="s">
        <v>10</v>
      </c>
      <c r="D102" s="9" t="s">
        <v>314</v>
      </c>
      <c r="E102" s="11" t="s">
        <v>315</v>
      </c>
      <c r="F102" s="10" t="s">
        <v>11</v>
      </c>
      <c r="G102" s="10" t="s">
        <v>11</v>
      </c>
      <c r="H102" s="10" t="s">
        <v>13</v>
      </c>
      <c r="I102" s="10" t="s">
        <v>11</v>
      </c>
      <c r="J102" s="10" t="s">
        <v>11</v>
      </c>
      <c r="L102" s="6" t="str">
        <f>IFERROR(VLOOKUP($B102,'LISTA - Setembro2024'!$B$3:$F$539,5,0),"Campo eliminado")</f>
        <v>N</v>
      </c>
      <c r="M102" s="6" t="str">
        <f t="shared" si="6"/>
        <v>Igual</v>
      </c>
      <c r="N102" s="6" t="str">
        <f>IFERROR(VLOOKUP($B102,'LISTA - Setembro2024'!$B$3:$K$539,6,0),"Campo eliminado")</f>
        <v>N</v>
      </c>
      <c r="O102" s="6" t="str">
        <f t="shared" si="7"/>
        <v>Igual</v>
      </c>
      <c r="P102" s="6" t="str">
        <f>IFERROR(VLOOKUP($B102,'LISTA - Setembro2024'!$B$3:$K$539,7,0),"Campo eliminado")</f>
        <v>Y</v>
      </c>
      <c r="Q102" s="6" t="str">
        <f t="shared" si="8"/>
        <v>Igual</v>
      </c>
      <c r="R102" s="6" t="str">
        <f>IFERROR(VLOOKUP($B102,'LISTA - Setembro2024'!$B$3:$K$539,9,0),"Campo eliminado")</f>
        <v>N</v>
      </c>
      <c r="S102" s="6" t="str">
        <f t="shared" si="9"/>
        <v>Igual</v>
      </c>
      <c r="U102" s="6" t="str">
        <f>VLOOKUP(B102,DataLake!$A$4:$A$429,1,0)</f>
        <v>ENTITY_ENBLNG_CAPEX_CCA</v>
      </c>
    </row>
    <row r="103" spans="1:21" ht="15" hidden="1" customHeight="1" x14ac:dyDescent="0.25">
      <c r="A103" s="16" t="s">
        <v>316</v>
      </c>
      <c r="B103" s="47" t="str">
        <f t="shared" si="5"/>
        <v>ENTITY_TRNSTNL_CAPEX</v>
      </c>
      <c r="C103" s="8" t="s">
        <v>10</v>
      </c>
      <c r="D103" s="9" t="s">
        <v>317</v>
      </c>
      <c r="E103" s="11" t="s">
        <v>318</v>
      </c>
      <c r="F103" s="10" t="s">
        <v>11</v>
      </c>
      <c r="G103" s="10" t="s">
        <v>11</v>
      </c>
      <c r="H103" s="10" t="s">
        <v>13</v>
      </c>
      <c r="I103" s="10" t="s">
        <v>11</v>
      </c>
      <c r="J103" s="10" t="s">
        <v>11</v>
      </c>
      <c r="L103" s="6" t="str">
        <f>IFERROR(VLOOKUP($B103,'LISTA - Setembro2024'!$B$3:$F$539,5,0),"Campo eliminado")</f>
        <v>N</v>
      </c>
      <c r="M103" s="6" t="str">
        <f t="shared" si="6"/>
        <v>Igual</v>
      </c>
      <c r="N103" s="6" t="str">
        <f>IFERROR(VLOOKUP($B103,'LISTA - Setembro2024'!$B$3:$K$539,6,0),"Campo eliminado")</f>
        <v>N</v>
      </c>
      <c r="O103" s="6" t="str">
        <f t="shared" si="7"/>
        <v>Igual</v>
      </c>
      <c r="P103" s="6" t="str">
        <f>IFERROR(VLOOKUP($B103,'LISTA - Setembro2024'!$B$3:$K$539,7,0),"Campo eliminado")</f>
        <v>Y</v>
      </c>
      <c r="Q103" s="6" t="str">
        <f t="shared" si="8"/>
        <v>Igual</v>
      </c>
      <c r="R103" s="6" t="str">
        <f>IFERROR(VLOOKUP($B103,'LISTA - Setembro2024'!$B$3:$K$539,9,0),"Campo eliminado")</f>
        <v>N</v>
      </c>
      <c r="S103" s="6" t="str">
        <f t="shared" si="9"/>
        <v>Igual</v>
      </c>
      <c r="U103" s="6" t="str">
        <f>VLOOKUP(B103,DataLake!$A$4:$A$429,1,0)</f>
        <v>ENTITY_TRNSTNL_CAPEX</v>
      </c>
    </row>
    <row r="104" spans="1:21" ht="15" hidden="1" customHeight="1" x14ac:dyDescent="0.25">
      <c r="A104" s="16" t="s">
        <v>319</v>
      </c>
      <c r="B104" s="47" t="str">
        <f t="shared" si="5"/>
        <v>ENTITY_PURE_CAPEX_CCM</v>
      </c>
      <c r="C104" s="8" t="s">
        <v>10</v>
      </c>
      <c r="D104" s="17" t="s">
        <v>320</v>
      </c>
      <c r="E104" s="12" t="s">
        <v>321</v>
      </c>
      <c r="F104" s="10" t="s">
        <v>11</v>
      </c>
      <c r="G104" s="10" t="s">
        <v>11</v>
      </c>
      <c r="H104" s="10" t="s">
        <v>13</v>
      </c>
      <c r="I104" s="10" t="s">
        <v>11</v>
      </c>
      <c r="J104" s="10" t="s">
        <v>11</v>
      </c>
      <c r="L104" s="6" t="str">
        <f>IFERROR(VLOOKUP($B104,'LISTA - Setembro2024'!$B$3:$F$539,5,0),"Campo eliminado")</f>
        <v>N</v>
      </c>
      <c r="M104" s="6" t="str">
        <f t="shared" si="6"/>
        <v>Igual</v>
      </c>
      <c r="N104" s="6" t="str">
        <f>IFERROR(VLOOKUP($B104,'LISTA - Setembro2024'!$B$3:$K$539,6,0),"Campo eliminado")</f>
        <v>N</v>
      </c>
      <c r="O104" s="6" t="str">
        <f t="shared" si="7"/>
        <v>Igual</v>
      </c>
      <c r="P104" s="6" t="str">
        <f>IFERROR(VLOOKUP($B104,'LISTA - Setembro2024'!$B$3:$K$539,7,0),"Campo eliminado")</f>
        <v>Y</v>
      </c>
      <c r="Q104" s="6" t="str">
        <f t="shared" si="8"/>
        <v>Igual</v>
      </c>
      <c r="R104" s="6" t="str">
        <f>IFERROR(VLOOKUP($B104,'LISTA - Setembro2024'!$B$3:$K$539,9,0),"Campo eliminado")</f>
        <v>N</v>
      </c>
      <c r="S104" s="6" t="str">
        <f t="shared" si="9"/>
        <v>Igual</v>
      </c>
      <c r="U104" s="6" t="str">
        <f>VLOOKUP(B104,DataLake!$A$4:$A$429,1,0)</f>
        <v>ENTITY_PURE_CAPEX_CCM</v>
      </c>
    </row>
    <row r="105" spans="1:21" ht="15" hidden="1" customHeight="1" x14ac:dyDescent="0.25">
      <c r="A105" s="16" t="s">
        <v>322</v>
      </c>
      <c r="B105" s="47" t="str">
        <f t="shared" si="5"/>
        <v>ENTITY_PURE_CAPEX_CCA</v>
      </c>
      <c r="C105" s="8" t="s">
        <v>10</v>
      </c>
      <c r="D105" s="17" t="s">
        <v>323</v>
      </c>
      <c r="E105" s="12" t="s">
        <v>324</v>
      </c>
      <c r="F105" s="10" t="s">
        <v>11</v>
      </c>
      <c r="G105" s="10" t="s">
        <v>11</v>
      </c>
      <c r="H105" s="10" t="s">
        <v>13</v>
      </c>
      <c r="I105" s="10" t="s">
        <v>11</v>
      </c>
      <c r="J105" s="10" t="s">
        <v>11</v>
      </c>
      <c r="L105" s="6" t="str">
        <f>IFERROR(VLOOKUP($B105,'LISTA - Setembro2024'!$B$3:$F$539,5,0),"Campo eliminado")</f>
        <v>N</v>
      </c>
      <c r="M105" s="6" t="str">
        <f t="shared" si="6"/>
        <v>Igual</v>
      </c>
      <c r="N105" s="6" t="str">
        <f>IFERROR(VLOOKUP($B105,'LISTA - Setembro2024'!$B$3:$K$539,6,0),"Campo eliminado")</f>
        <v>N</v>
      </c>
      <c r="O105" s="6" t="str">
        <f t="shared" si="7"/>
        <v>Igual</v>
      </c>
      <c r="P105" s="6" t="str">
        <f>IFERROR(VLOOKUP($B105,'LISTA - Setembro2024'!$B$3:$K$539,7,0),"Campo eliminado")</f>
        <v>Y</v>
      </c>
      <c r="Q105" s="6" t="str">
        <f t="shared" si="8"/>
        <v>Igual</v>
      </c>
      <c r="R105" s="6" t="str">
        <f>IFERROR(VLOOKUP($B105,'LISTA - Setembro2024'!$B$3:$K$539,9,0),"Campo eliminado")</f>
        <v>N</v>
      </c>
      <c r="S105" s="6" t="str">
        <f t="shared" si="9"/>
        <v>Igual</v>
      </c>
      <c r="U105" s="6" t="str">
        <f>VLOOKUP(B105,DataLake!$A$4:$A$429,1,0)</f>
        <v>ENTITY_PURE_CAPEX_CCA</v>
      </c>
    </row>
    <row r="106" spans="1:21" ht="15" hidden="1" customHeight="1" x14ac:dyDescent="0.25">
      <c r="A106" s="16" t="s">
        <v>325</v>
      </c>
      <c r="B106" s="47" t="str">
        <f t="shared" si="5"/>
        <v>ENTITY_ENBLNG_TRNVR_CCM</v>
      </c>
      <c r="C106" s="8" t="s">
        <v>10</v>
      </c>
      <c r="D106" s="9" t="s">
        <v>326</v>
      </c>
      <c r="E106" s="11" t="s">
        <v>327</v>
      </c>
      <c r="F106" s="10" t="s">
        <v>11</v>
      </c>
      <c r="G106" s="10" t="s">
        <v>11</v>
      </c>
      <c r="H106" s="10" t="s">
        <v>13</v>
      </c>
      <c r="I106" s="10" t="s">
        <v>11</v>
      </c>
      <c r="J106" s="10" t="s">
        <v>11</v>
      </c>
      <c r="L106" s="6" t="str">
        <f>IFERROR(VLOOKUP($B106,'LISTA - Setembro2024'!$B$3:$F$539,5,0),"Campo eliminado")</f>
        <v>N</v>
      </c>
      <c r="M106" s="6" t="str">
        <f t="shared" si="6"/>
        <v>Igual</v>
      </c>
      <c r="N106" s="6" t="str">
        <f>IFERROR(VLOOKUP($B106,'LISTA - Setembro2024'!$B$3:$K$539,6,0),"Campo eliminado")</f>
        <v>N</v>
      </c>
      <c r="O106" s="6" t="str">
        <f t="shared" si="7"/>
        <v>Igual</v>
      </c>
      <c r="P106" s="6" t="str">
        <f>IFERROR(VLOOKUP($B106,'LISTA - Setembro2024'!$B$3:$K$539,7,0),"Campo eliminado")</f>
        <v>Y</v>
      </c>
      <c r="Q106" s="6" t="str">
        <f t="shared" si="8"/>
        <v>Igual</v>
      </c>
      <c r="R106" s="6" t="str">
        <f>IFERROR(VLOOKUP($B106,'LISTA - Setembro2024'!$B$3:$K$539,9,0),"Campo eliminado")</f>
        <v>N</v>
      </c>
      <c r="S106" s="6" t="str">
        <f t="shared" si="9"/>
        <v>Igual</v>
      </c>
      <c r="U106" s="6" t="str">
        <f>VLOOKUP(B106,DataLake!$A$4:$A$429,1,0)</f>
        <v>ENTITY_ENBLNG_TRNVR_CCM</v>
      </c>
    </row>
    <row r="107" spans="1:21" ht="15" hidden="1" customHeight="1" x14ac:dyDescent="0.25">
      <c r="A107" s="16" t="s">
        <v>328</v>
      </c>
      <c r="B107" s="47" t="str">
        <f t="shared" si="5"/>
        <v>ENTITY_ENBLNG_TRNVR_CCA</v>
      </c>
      <c r="C107" s="8" t="s">
        <v>10</v>
      </c>
      <c r="D107" s="9" t="s">
        <v>329</v>
      </c>
      <c r="E107" s="11" t="s">
        <v>330</v>
      </c>
      <c r="F107" s="10" t="s">
        <v>11</v>
      </c>
      <c r="G107" s="10" t="s">
        <v>11</v>
      </c>
      <c r="H107" s="10" t="s">
        <v>13</v>
      </c>
      <c r="I107" s="10" t="s">
        <v>11</v>
      </c>
      <c r="J107" s="10" t="s">
        <v>11</v>
      </c>
      <c r="L107" s="6" t="str">
        <f>IFERROR(VLOOKUP($B107,'LISTA - Setembro2024'!$B$3:$F$539,5,0),"Campo eliminado")</f>
        <v>N</v>
      </c>
      <c r="M107" s="6" t="str">
        <f t="shared" si="6"/>
        <v>Igual</v>
      </c>
      <c r="N107" s="6" t="str">
        <f>IFERROR(VLOOKUP($B107,'LISTA - Setembro2024'!$B$3:$K$539,6,0),"Campo eliminado")</f>
        <v>N</v>
      </c>
      <c r="O107" s="6" t="str">
        <f t="shared" si="7"/>
        <v>Igual</v>
      </c>
      <c r="P107" s="6" t="str">
        <f>IFERROR(VLOOKUP($B107,'LISTA - Setembro2024'!$B$3:$K$539,7,0),"Campo eliminado")</f>
        <v>Y</v>
      </c>
      <c r="Q107" s="6" t="str">
        <f t="shared" si="8"/>
        <v>Igual</v>
      </c>
      <c r="R107" s="6" t="str">
        <f>IFERROR(VLOOKUP($B107,'LISTA - Setembro2024'!$B$3:$K$539,9,0),"Campo eliminado")</f>
        <v>N</v>
      </c>
      <c r="S107" s="6" t="str">
        <f t="shared" si="9"/>
        <v>Igual</v>
      </c>
      <c r="U107" s="6" t="str">
        <f>VLOOKUP(B107,DataLake!$A$4:$A$429,1,0)</f>
        <v>ENTITY_ENBLNG_TRNVR_CCA</v>
      </c>
    </row>
    <row r="108" spans="1:21" ht="15" hidden="1" customHeight="1" x14ac:dyDescent="0.25">
      <c r="A108" s="16" t="s">
        <v>331</v>
      </c>
      <c r="B108" s="47" t="str">
        <f t="shared" si="5"/>
        <v>ENTITY_TRNSTNL_TRNVR</v>
      </c>
      <c r="C108" s="8" t="s">
        <v>10</v>
      </c>
      <c r="D108" s="9" t="s">
        <v>332</v>
      </c>
      <c r="E108" s="11" t="s">
        <v>333</v>
      </c>
      <c r="F108" s="10" t="s">
        <v>11</v>
      </c>
      <c r="G108" s="10" t="s">
        <v>11</v>
      </c>
      <c r="H108" s="10" t="s">
        <v>13</v>
      </c>
      <c r="I108" s="10" t="s">
        <v>11</v>
      </c>
      <c r="J108" s="10" t="s">
        <v>11</v>
      </c>
      <c r="L108" s="6" t="str">
        <f>IFERROR(VLOOKUP($B108,'LISTA - Setembro2024'!$B$3:$F$539,5,0),"Campo eliminado")</f>
        <v>N</v>
      </c>
      <c r="M108" s="6" t="str">
        <f t="shared" si="6"/>
        <v>Igual</v>
      </c>
      <c r="N108" s="6" t="str">
        <f>IFERROR(VLOOKUP($B108,'LISTA - Setembro2024'!$B$3:$K$539,6,0),"Campo eliminado")</f>
        <v>N</v>
      </c>
      <c r="O108" s="6" t="str">
        <f t="shared" si="7"/>
        <v>Igual</v>
      </c>
      <c r="P108" s="6" t="str">
        <f>IFERROR(VLOOKUP($B108,'LISTA - Setembro2024'!$B$3:$K$539,7,0),"Campo eliminado")</f>
        <v>Y</v>
      </c>
      <c r="Q108" s="6" t="str">
        <f t="shared" si="8"/>
        <v>Igual</v>
      </c>
      <c r="R108" s="6" t="str">
        <f>IFERROR(VLOOKUP($B108,'LISTA - Setembro2024'!$B$3:$K$539,9,0),"Campo eliminado")</f>
        <v>N</v>
      </c>
      <c r="S108" s="6" t="str">
        <f t="shared" si="9"/>
        <v>Igual</v>
      </c>
      <c r="U108" s="6" t="str">
        <f>VLOOKUP(B108,DataLake!$A$4:$A$429,1,0)</f>
        <v>ENTITY_TRNSTNL_TRNVR</v>
      </c>
    </row>
    <row r="109" spans="1:21" ht="15" hidden="1" customHeight="1" x14ac:dyDescent="0.25">
      <c r="A109" s="16" t="s">
        <v>334</v>
      </c>
      <c r="B109" s="47" t="str">
        <f t="shared" si="5"/>
        <v>ENTITY_PURE_TRNVR_CCM</v>
      </c>
      <c r="C109" s="8" t="s">
        <v>10</v>
      </c>
      <c r="D109" s="17" t="s">
        <v>335</v>
      </c>
      <c r="E109" s="12" t="s">
        <v>336</v>
      </c>
      <c r="F109" s="10" t="s">
        <v>11</v>
      </c>
      <c r="G109" s="10" t="s">
        <v>11</v>
      </c>
      <c r="H109" s="10" t="s">
        <v>13</v>
      </c>
      <c r="I109" s="10" t="s">
        <v>11</v>
      </c>
      <c r="J109" s="10" t="s">
        <v>11</v>
      </c>
      <c r="L109" s="6" t="str">
        <f>IFERROR(VLOOKUP($B109,'LISTA - Setembro2024'!$B$3:$F$539,5,0),"Campo eliminado")</f>
        <v>N</v>
      </c>
      <c r="M109" s="6" t="str">
        <f t="shared" si="6"/>
        <v>Igual</v>
      </c>
      <c r="N109" s="6" t="str">
        <f>IFERROR(VLOOKUP($B109,'LISTA - Setembro2024'!$B$3:$K$539,6,0),"Campo eliminado")</f>
        <v>N</v>
      </c>
      <c r="O109" s="6" t="str">
        <f t="shared" si="7"/>
        <v>Igual</v>
      </c>
      <c r="P109" s="6" t="str">
        <f>IFERROR(VLOOKUP($B109,'LISTA - Setembro2024'!$B$3:$K$539,7,0),"Campo eliminado")</f>
        <v>Y</v>
      </c>
      <c r="Q109" s="6" t="str">
        <f t="shared" si="8"/>
        <v>Igual</v>
      </c>
      <c r="R109" s="6" t="str">
        <f>IFERROR(VLOOKUP($B109,'LISTA - Setembro2024'!$B$3:$K$539,9,0),"Campo eliminado")</f>
        <v>N</v>
      </c>
      <c r="S109" s="6" t="str">
        <f t="shared" si="9"/>
        <v>Igual</v>
      </c>
      <c r="U109" s="6" t="str">
        <f>VLOOKUP(B109,DataLake!$A$4:$A$429,1,0)</f>
        <v>ENTITY_PURE_TRNVR_CCM</v>
      </c>
    </row>
    <row r="110" spans="1:21" ht="15" hidden="1" customHeight="1" x14ac:dyDescent="0.25">
      <c r="A110" s="16" t="s">
        <v>337</v>
      </c>
      <c r="B110" s="47" t="str">
        <f t="shared" si="5"/>
        <v>ENTITY_PURE_TRNVR_CCA</v>
      </c>
      <c r="C110" s="8" t="s">
        <v>10</v>
      </c>
      <c r="D110" s="17" t="s">
        <v>338</v>
      </c>
      <c r="E110" s="12" t="s">
        <v>339</v>
      </c>
      <c r="F110" s="10" t="s">
        <v>11</v>
      </c>
      <c r="G110" s="10" t="s">
        <v>11</v>
      </c>
      <c r="H110" s="10" t="s">
        <v>13</v>
      </c>
      <c r="I110" s="10" t="s">
        <v>11</v>
      </c>
      <c r="J110" s="10" t="s">
        <v>11</v>
      </c>
      <c r="L110" s="6" t="str">
        <f>IFERROR(VLOOKUP($B110,'LISTA - Setembro2024'!$B$3:$F$539,5,0),"Campo eliminado")</f>
        <v>N</v>
      </c>
      <c r="M110" s="6" t="str">
        <f t="shared" si="6"/>
        <v>Igual</v>
      </c>
      <c r="N110" s="6" t="str">
        <f>IFERROR(VLOOKUP($B110,'LISTA - Setembro2024'!$B$3:$K$539,6,0),"Campo eliminado")</f>
        <v>N</v>
      </c>
      <c r="O110" s="6" t="str">
        <f t="shared" si="7"/>
        <v>Igual</v>
      </c>
      <c r="P110" s="6" t="str">
        <f>IFERROR(VLOOKUP($B110,'LISTA - Setembro2024'!$B$3:$K$539,7,0),"Campo eliminado")</f>
        <v>Y</v>
      </c>
      <c r="Q110" s="6" t="str">
        <f t="shared" si="8"/>
        <v>Igual</v>
      </c>
      <c r="R110" s="6" t="str">
        <f>IFERROR(VLOOKUP($B110,'LISTA - Setembro2024'!$B$3:$K$539,9,0),"Campo eliminado")</f>
        <v>N</v>
      </c>
      <c r="S110" s="6" t="str">
        <f t="shared" si="9"/>
        <v>Igual</v>
      </c>
      <c r="U110" s="6" t="str">
        <f>VLOOKUP(B110,DataLake!$A$4:$A$429,1,0)</f>
        <v>ENTITY_PURE_TRNVR_CCA</v>
      </c>
    </row>
    <row r="111" spans="1:21" ht="15" customHeight="1" x14ac:dyDescent="0.25">
      <c r="A111" s="16" t="s">
        <v>340</v>
      </c>
      <c r="B111" s="47" t="str">
        <f t="shared" si="5"/>
        <v>ENTITY_FLG_NFRD_APPLCBLTY</v>
      </c>
      <c r="C111" s="8" t="s">
        <v>10</v>
      </c>
      <c r="D111" s="9" t="s">
        <v>341</v>
      </c>
      <c r="E111" s="14" t="s">
        <v>342</v>
      </c>
      <c r="F111" s="10" t="s">
        <v>11</v>
      </c>
      <c r="G111" s="10" t="s">
        <v>11</v>
      </c>
      <c r="H111" s="10" t="s">
        <v>13</v>
      </c>
      <c r="I111" s="10" t="s">
        <v>13</v>
      </c>
      <c r="J111" s="10" t="s">
        <v>11</v>
      </c>
      <c r="L111" s="6" t="str">
        <f>IFERROR(VLOOKUP($B111,'LISTA - Setembro2024'!$B$3:$F$539,5,0),"Campo eliminado")</f>
        <v>Campo eliminado</v>
      </c>
      <c r="M111" s="6" t="str">
        <f t="shared" si="6"/>
        <v>Campo eliminado</v>
      </c>
      <c r="N111" s="6" t="str">
        <f>IFERROR(VLOOKUP($B111,'LISTA - Setembro2024'!$B$3:$K$539,6,0),"Campo eliminado")</f>
        <v>Campo eliminado</v>
      </c>
      <c r="O111" s="6" t="str">
        <f t="shared" si="7"/>
        <v>Campo eliminado</v>
      </c>
      <c r="P111" s="6" t="str">
        <f>IFERROR(VLOOKUP($B111,'LISTA - Setembro2024'!$B$3:$K$539,7,0),"Campo eliminado")</f>
        <v>Campo eliminado</v>
      </c>
      <c r="Q111" s="6" t="str">
        <f t="shared" si="8"/>
        <v>Campo eliminado</v>
      </c>
      <c r="R111" s="6" t="str">
        <f>IFERROR(VLOOKUP($B111,'LISTA - Setembro2024'!$B$3:$K$539,9,0),"Campo eliminado")</f>
        <v>Campo eliminado</v>
      </c>
      <c r="S111" s="6" t="str">
        <f t="shared" si="9"/>
        <v>Campo eliminado</v>
      </c>
      <c r="U111" s="6" t="str">
        <f>VLOOKUP(B111,DataLake!$A$4:$A$429,1,0)</f>
        <v>ENTITY_FLG_NFRD_APPLCBLTY</v>
      </c>
    </row>
    <row r="112" spans="1:21" ht="15" hidden="1" customHeight="1" x14ac:dyDescent="0.25">
      <c r="A112" s="16" t="s">
        <v>343</v>
      </c>
      <c r="B112" s="47" t="str">
        <f t="shared" si="5"/>
        <v>ENTITY_FLG_GRP_NFRD_APPLCBLTY</v>
      </c>
      <c r="C112" s="8" t="s">
        <v>10</v>
      </c>
      <c r="D112" s="9" t="s">
        <v>344</v>
      </c>
      <c r="E112" s="14" t="s">
        <v>345</v>
      </c>
      <c r="F112" s="10" t="s">
        <v>11</v>
      </c>
      <c r="G112" s="10" t="s">
        <v>11</v>
      </c>
      <c r="H112" s="10" t="s">
        <v>13</v>
      </c>
      <c r="I112" s="10" t="s">
        <v>13</v>
      </c>
      <c r="J112" s="10" t="s">
        <v>11</v>
      </c>
      <c r="L112" s="6" t="str">
        <f>IFERROR(VLOOKUP($B112,'LISTA - Setembro2024'!$B$3:$F$539,5,0),"Campo eliminado")</f>
        <v>Campo eliminado</v>
      </c>
      <c r="M112" s="6" t="str">
        <f t="shared" si="6"/>
        <v>Campo eliminado</v>
      </c>
      <c r="N112" s="6" t="str">
        <f>IFERROR(VLOOKUP($B112,'LISTA - Setembro2024'!$B$3:$K$539,6,0),"Campo eliminado")</f>
        <v>Campo eliminado</v>
      </c>
      <c r="O112" s="6" t="str">
        <f t="shared" si="7"/>
        <v>Campo eliminado</v>
      </c>
      <c r="P112" s="6" t="str">
        <f>IFERROR(VLOOKUP($B112,'LISTA - Setembro2024'!$B$3:$K$539,7,0),"Campo eliminado")</f>
        <v>Campo eliminado</v>
      </c>
      <c r="Q112" s="6" t="str">
        <f t="shared" si="8"/>
        <v>Campo eliminado</v>
      </c>
      <c r="R112" s="6" t="str">
        <f>IFERROR(VLOOKUP($B112,'LISTA - Setembro2024'!$B$3:$K$539,9,0),"Campo eliminado")</f>
        <v>Campo eliminado</v>
      </c>
      <c r="S112" s="6" t="str">
        <f t="shared" si="9"/>
        <v>Campo eliminado</v>
      </c>
      <c r="U112" s="6" t="str">
        <f>VLOOKUP(B112,DataLake!$A$4:$A$429,1,0)</f>
        <v>ENTITY_FLG_GRP_NFRD_APPLCBLTY</v>
      </c>
    </row>
    <row r="113" spans="1:21" ht="15" hidden="1" customHeight="1" x14ac:dyDescent="0.25">
      <c r="A113" s="16" t="s">
        <v>346</v>
      </c>
      <c r="B113" s="47" t="str">
        <f t="shared" si="5"/>
        <v>ENTITY_ISIN</v>
      </c>
      <c r="C113" s="8" t="s">
        <v>10</v>
      </c>
      <c r="D113" s="9" t="s">
        <v>347</v>
      </c>
      <c r="E113" s="11" t="s">
        <v>347</v>
      </c>
      <c r="F113" s="10" t="s">
        <v>11</v>
      </c>
      <c r="G113" s="10" t="s">
        <v>11</v>
      </c>
      <c r="H113" s="10" t="s">
        <v>13</v>
      </c>
      <c r="I113" s="10" t="s">
        <v>11</v>
      </c>
      <c r="J113" s="10" t="s">
        <v>347</v>
      </c>
      <c r="L113" s="6" t="str">
        <f>IFERROR(VLOOKUP($B113,'LISTA - Setembro2024'!$B$3:$F$539,5,0),"Campo eliminado")</f>
        <v>N</v>
      </c>
      <c r="M113" s="6" t="str">
        <f t="shared" si="6"/>
        <v>Igual</v>
      </c>
      <c r="N113" s="6" t="str">
        <f>IFERROR(VLOOKUP($B113,'LISTA - Setembro2024'!$B$3:$K$539,6,0),"Campo eliminado")</f>
        <v>N</v>
      </c>
      <c r="O113" s="6" t="str">
        <f t="shared" si="7"/>
        <v>Igual</v>
      </c>
      <c r="P113" s="6" t="str">
        <f>IFERROR(VLOOKUP($B113,'LISTA - Setembro2024'!$B$3:$K$539,7,0),"Campo eliminado")</f>
        <v>Y</v>
      </c>
      <c r="Q113" s="6" t="str">
        <f t="shared" si="8"/>
        <v>Igual</v>
      </c>
      <c r="R113" s="6" t="str">
        <f>IFERROR(VLOOKUP($B113,'LISTA - Setembro2024'!$B$3:$K$539,9,0),"Campo eliminado")</f>
        <v>N</v>
      </c>
      <c r="S113" s="6" t="str">
        <f t="shared" si="9"/>
        <v>Igual</v>
      </c>
      <c r="U113" s="6" t="str">
        <f>VLOOKUP(B113,DataLake!$A$4:$A$429,1,0)</f>
        <v>ENTITY_ISIN</v>
      </c>
    </row>
    <row r="114" spans="1:21" ht="15" hidden="1" customHeight="1" x14ac:dyDescent="0.25">
      <c r="A114" s="16" t="s">
        <v>348</v>
      </c>
      <c r="B114" s="47" t="str">
        <f t="shared" si="5"/>
        <v>ENTITY_GRP_ANNL_TRNVR_LE</v>
      </c>
      <c r="C114" s="8" t="s">
        <v>10</v>
      </c>
      <c r="D114" s="9" t="s">
        <v>349</v>
      </c>
      <c r="E114" s="11" t="s">
        <v>350</v>
      </c>
      <c r="F114" s="10" t="s">
        <v>11</v>
      </c>
      <c r="G114" s="10" t="s">
        <v>11</v>
      </c>
      <c r="H114" s="10" t="s">
        <v>13</v>
      </c>
      <c r="I114" s="10" t="s">
        <v>11</v>
      </c>
      <c r="J114" s="10" t="s">
        <v>11</v>
      </c>
      <c r="L114" s="6" t="str">
        <f>IFERROR(VLOOKUP($B114,'LISTA - Setembro2024'!$B$3:$F$539,5,0),"Campo eliminado")</f>
        <v>N</v>
      </c>
      <c r="M114" s="6" t="str">
        <f t="shared" si="6"/>
        <v>Igual</v>
      </c>
      <c r="N114" s="6" t="str">
        <f>IFERROR(VLOOKUP($B114,'LISTA - Setembro2024'!$B$3:$K$539,6,0),"Campo eliminado")</f>
        <v>N</v>
      </c>
      <c r="O114" s="6" t="str">
        <f t="shared" si="7"/>
        <v>Igual</v>
      </c>
      <c r="P114" s="6" t="str">
        <f>IFERROR(VLOOKUP($B114,'LISTA - Setembro2024'!$B$3:$K$539,7,0),"Campo eliminado")</f>
        <v>Y</v>
      </c>
      <c r="Q114" s="6" t="str">
        <f t="shared" si="8"/>
        <v>Igual</v>
      </c>
      <c r="R114" s="6" t="str">
        <f>IFERROR(VLOOKUP($B114,'LISTA - Setembro2024'!$B$3:$K$539,9,0),"Campo eliminado")</f>
        <v>N</v>
      </c>
      <c r="S114" s="6" t="str">
        <f t="shared" si="9"/>
        <v>Igual</v>
      </c>
      <c r="U114" s="6" t="str">
        <f>VLOOKUP(B114,DataLake!$A$4:$A$429,1,0)</f>
        <v>ENTITY_GRP_ANNL_TRNVR_LE</v>
      </c>
    </row>
    <row r="115" spans="1:21" ht="15" hidden="1" customHeight="1" x14ac:dyDescent="0.25">
      <c r="A115" s="16" t="s">
        <v>351</v>
      </c>
      <c r="B115" s="47" t="str">
        <f t="shared" si="5"/>
        <v>ENTITY_GRP_TTL_LBLTY</v>
      </c>
      <c r="C115" s="8" t="s">
        <v>10</v>
      </c>
      <c r="D115" s="9" t="s">
        <v>352</v>
      </c>
      <c r="E115" s="14" t="s">
        <v>353</v>
      </c>
      <c r="F115" s="10" t="s">
        <v>11</v>
      </c>
      <c r="G115" s="10" t="s">
        <v>11</v>
      </c>
      <c r="H115" s="10" t="s">
        <v>13</v>
      </c>
      <c r="I115" s="10" t="s">
        <v>11</v>
      </c>
      <c r="J115" s="10" t="s">
        <v>11</v>
      </c>
      <c r="L115" s="6" t="str">
        <f>IFERROR(VLOOKUP($B115,'LISTA - Setembro2024'!$B$3:$F$539,5,0),"Campo eliminado")</f>
        <v>N</v>
      </c>
      <c r="M115" s="6" t="str">
        <f t="shared" si="6"/>
        <v>Igual</v>
      </c>
      <c r="N115" s="6" t="str">
        <f>IFERROR(VLOOKUP($B115,'LISTA - Setembro2024'!$B$3:$K$539,6,0),"Campo eliminado")</f>
        <v>N</v>
      </c>
      <c r="O115" s="6" t="str">
        <f t="shared" si="7"/>
        <v>Igual</v>
      </c>
      <c r="P115" s="6" t="str">
        <f>IFERROR(VLOOKUP($B115,'LISTA - Setembro2024'!$B$3:$K$539,7,0),"Campo eliminado")</f>
        <v>Y</v>
      </c>
      <c r="Q115" s="6" t="str">
        <f t="shared" si="8"/>
        <v>Igual</v>
      </c>
      <c r="R115" s="6" t="str">
        <f>IFERROR(VLOOKUP($B115,'LISTA - Setembro2024'!$B$3:$K$539,9,0),"Campo eliminado")</f>
        <v>N</v>
      </c>
      <c r="S115" s="6" t="str">
        <f t="shared" si="9"/>
        <v>Igual</v>
      </c>
      <c r="U115" s="6" t="str">
        <f>VLOOKUP(B115,DataLake!$A$4:$A$429,1,0)</f>
        <v>ENTITY_GRP_TTL_LBLTY</v>
      </c>
    </row>
    <row r="116" spans="1:21" ht="15" hidden="1" customHeight="1" x14ac:dyDescent="0.25">
      <c r="A116" s="16" t="s">
        <v>354</v>
      </c>
      <c r="B116" s="47" t="str">
        <f t="shared" si="5"/>
        <v>ENTITY_CNTRPRTY_EMSSNS_SCP1</v>
      </c>
      <c r="C116" s="8" t="s">
        <v>10</v>
      </c>
      <c r="D116" s="9" t="s">
        <v>355</v>
      </c>
      <c r="E116" s="11" t="s">
        <v>356</v>
      </c>
      <c r="F116" s="10" t="s">
        <v>11</v>
      </c>
      <c r="G116" s="10" t="s">
        <v>11</v>
      </c>
      <c r="H116" s="10" t="s">
        <v>13</v>
      </c>
      <c r="I116" s="10" t="s">
        <v>13</v>
      </c>
      <c r="J116" s="10" t="s">
        <v>11</v>
      </c>
      <c r="L116" s="6" t="str">
        <f>IFERROR(VLOOKUP($B116,'LISTA - Setembro2024'!$B$3:$F$539,5,0),"Campo eliminado")</f>
        <v>N</v>
      </c>
      <c r="M116" s="6" t="str">
        <f t="shared" si="6"/>
        <v>Igual</v>
      </c>
      <c r="N116" s="6" t="str">
        <f>IFERROR(VLOOKUP($B116,'LISTA - Setembro2024'!$B$3:$K$539,6,0),"Campo eliminado")</f>
        <v>N</v>
      </c>
      <c r="O116" s="6" t="str">
        <f t="shared" si="7"/>
        <v>Igual</v>
      </c>
      <c r="P116" s="6" t="str">
        <f>IFERROR(VLOOKUP($B116,'LISTA - Setembro2024'!$B$3:$K$539,7,0),"Campo eliminado")</f>
        <v>Y</v>
      </c>
      <c r="Q116" s="6" t="str">
        <f t="shared" si="8"/>
        <v>Igual</v>
      </c>
      <c r="R116" s="6" t="str">
        <f>IFERROR(VLOOKUP($B116,'LISTA - Setembro2024'!$B$3:$K$539,9,0),"Campo eliminado")</f>
        <v>Y</v>
      </c>
      <c r="S116" s="6" t="str">
        <f t="shared" si="9"/>
        <v>Igual</v>
      </c>
      <c r="U116" s="6" t="str">
        <f>VLOOKUP(B116,DataLake!$A$4:$A$429,1,0)</f>
        <v>ENTITY_CNTRPRTY_EMSSNS_SCP1</v>
      </c>
    </row>
    <row r="117" spans="1:21" ht="15" hidden="1" customHeight="1" x14ac:dyDescent="0.25">
      <c r="A117" s="16" t="s">
        <v>357</v>
      </c>
      <c r="B117" s="47" t="str">
        <f t="shared" si="5"/>
        <v>ENTITY_CNTRPRTY_EMSSNS_SCP2</v>
      </c>
      <c r="C117" s="8" t="s">
        <v>10</v>
      </c>
      <c r="D117" s="9" t="s">
        <v>358</v>
      </c>
      <c r="E117" s="11" t="s">
        <v>359</v>
      </c>
      <c r="F117" s="10" t="s">
        <v>11</v>
      </c>
      <c r="G117" s="10" t="s">
        <v>11</v>
      </c>
      <c r="H117" s="10" t="s">
        <v>13</v>
      </c>
      <c r="I117" s="10" t="s">
        <v>13</v>
      </c>
      <c r="J117" s="10" t="s">
        <v>11</v>
      </c>
      <c r="L117" s="6" t="str">
        <f>IFERROR(VLOOKUP($B117,'LISTA - Setembro2024'!$B$3:$F$539,5,0),"Campo eliminado")</f>
        <v>N</v>
      </c>
      <c r="M117" s="6" t="str">
        <f t="shared" si="6"/>
        <v>Igual</v>
      </c>
      <c r="N117" s="6" t="str">
        <f>IFERROR(VLOOKUP($B117,'LISTA - Setembro2024'!$B$3:$K$539,6,0),"Campo eliminado")</f>
        <v>N</v>
      </c>
      <c r="O117" s="6" t="str">
        <f t="shared" si="7"/>
        <v>Igual</v>
      </c>
      <c r="P117" s="6" t="str">
        <f>IFERROR(VLOOKUP($B117,'LISTA - Setembro2024'!$B$3:$K$539,7,0),"Campo eliminado")</f>
        <v>Y</v>
      </c>
      <c r="Q117" s="6" t="str">
        <f t="shared" si="8"/>
        <v>Igual</v>
      </c>
      <c r="R117" s="6" t="str">
        <f>IFERROR(VLOOKUP($B117,'LISTA - Setembro2024'!$B$3:$K$539,9,0),"Campo eliminado")</f>
        <v>Y</v>
      </c>
      <c r="S117" s="6" t="str">
        <f t="shared" si="9"/>
        <v>Igual</v>
      </c>
      <c r="U117" s="6" t="str">
        <f>VLOOKUP(B117,DataLake!$A$4:$A$429,1,0)</f>
        <v>ENTITY_CNTRPRTY_EMSSNS_SCP2</v>
      </c>
    </row>
    <row r="118" spans="1:21" ht="15" hidden="1" customHeight="1" x14ac:dyDescent="0.25">
      <c r="A118" s="16" t="s">
        <v>360</v>
      </c>
      <c r="B118" s="47" t="str">
        <f t="shared" si="5"/>
        <v>ENTITY_CNTRPRTY_EMSSNS_SCP3</v>
      </c>
      <c r="C118" s="8" t="s">
        <v>10</v>
      </c>
      <c r="D118" s="9" t="s">
        <v>361</v>
      </c>
      <c r="E118" s="11" t="s">
        <v>362</v>
      </c>
      <c r="F118" s="10" t="s">
        <v>11</v>
      </c>
      <c r="G118" s="10" t="s">
        <v>11</v>
      </c>
      <c r="H118" s="10" t="s">
        <v>13</v>
      </c>
      <c r="I118" s="10" t="s">
        <v>13</v>
      </c>
      <c r="J118" s="10" t="s">
        <v>11</v>
      </c>
      <c r="L118" s="6" t="str">
        <f>IFERROR(VLOOKUP($B118,'LISTA - Setembro2024'!$B$3:$F$539,5,0),"Campo eliminado")</f>
        <v>N</v>
      </c>
      <c r="M118" s="6" t="str">
        <f t="shared" si="6"/>
        <v>Igual</v>
      </c>
      <c r="N118" s="6" t="str">
        <f>IFERROR(VLOOKUP($B118,'LISTA - Setembro2024'!$B$3:$K$539,6,0),"Campo eliminado")</f>
        <v>N</v>
      </c>
      <c r="O118" s="6" t="str">
        <f t="shared" si="7"/>
        <v>Igual</v>
      </c>
      <c r="P118" s="6" t="str">
        <f>IFERROR(VLOOKUP($B118,'LISTA - Setembro2024'!$B$3:$K$539,7,0),"Campo eliminado")</f>
        <v>Y</v>
      </c>
      <c r="Q118" s="6" t="str">
        <f t="shared" si="8"/>
        <v>Igual</v>
      </c>
      <c r="R118" s="6" t="str">
        <f>IFERROR(VLOOKUP($B118,'LISTA - Setembro2024'!$B$3:$K$539,9,0),"Campo eliminado")</f>
        <v>Y</v>
      </c>
      <c r="S118" s="6" t="str">
        <f t="shared" si="9"/>
        <v>Igual</v>
      </c>
      <c r="U118" s="6" t="str">
        <f>VLOOKUP(B118,DataLake!$A$4:$A$429,1,0)</f>
        <v>ENTITY_CNTRPRTY_EMSSNS_SCP3</v>
      </c>
    </row>
    <row r="119" spans="1:21" ht="15" hidden="1" customHeight="1" x14ac:dyDescent="0.25">
      <c r="A119" s="16" t="s">
        <v>363</v>
      </c>
      <c r="B119" s="47" t="str">
        <f t="shared" si="5"/>
        <v>ENTITY_FLG_EXCLDD_EU_PRS_ALGND_BNCHMRK</v>
      </c>
      <c r="C119" s="8" t="s">
        <v>10</v>
      </c>
      <c r="D119" s="9" t="s">
        <v>364</v>
      </c>
      <c r="E119" s="11" t="s">
        <v>365</v>
      </c>
      <c r="F119" s="10" t="s">
        <v>11</v>
      </c>
      <c r="G119" s="10" t="s">
        <v>11</v>
      </c>
      <c r="H119" s="10" t="s">
        <v>13</v>
      </c>
      <c r="I119" s="10" t="s">
        <v>11</v>
      </c>
      <c r="J119" s="10" t="s">
        <v>11</v>
      </c>
      <c r="L119" s="6" t="str">
        <f>IFERROR(VLOOKUP($B119,'LISTA - Setembro2024'!$B$3:$F$539,5,0),"Campo eliminado")</f>
        <v>N</v>
      </c>
      <c r="M119" s="6" t="str">
        <f t="shared" si="6"/>
        <v>Igual</v>
      </c>
      <c r="N119" s="6" t="str">
        <f>IFERROR(VLOOKUP($B119,'LISTA - Setembro2024'!$B$3:$K$539,6,0),"Campo eliminado")</f>
        <v>N</v>
      </c>
      <c r="O119" s="6" t="str">
        <f t="shared" si="7"/>
        <v>Igual</v>
      </c>
      <c r="P119" s="6" t="str">
        <f>IFERROR(VLOOKUP($B119,'LISTA - Setembro2024'!$B$3:$K$539,7,0),"Campo eliminado")</f>
        <v>Y</v>
      </c>
      <c r="Q119" s="6" t="str">
        <f t="shared" si="8"/>
        <v>Igual</v>
      </c>
      <c r="R119" s="6" t="str">
        <f>IFERROR(VLOOKUP($B119,'LISTA - Setembro2024'!$B$3:$K$539,9,0),"Campo eliminado")</f>
        <v>N</v>
      </c>
      <c r="S119" s="6" t="str">
        <f t="shared" si="9"/>
        <v>Igual</v>
      </c>
      <c r="U119" s="6" t="str">
        <f>VLOOKUP(B119,DataLake!$A$4:$A$429,1,0)</f>
        <v>ENTITY_FLG_EXCLDD_EU_PRS_ALGND_BNCHMRK</v>
      </c>
    </row>
    <row r="120" spans="1:21" ht="15" hidden="1" customHeight="1" x14ac:dyDescent="0.25">
      <c r="A120" s="16" t="s">
        <v>366</v>
      </c>
      <c r="B120" s="47" t="str">
        <f t="shared" si="5"/>
        <v>ENTITY_GRP_EMSSNS_SCP1</v>
      </c>
      <c r="C120" s="8" t="s">
        <v>10</v>
      </c>
      <c r="D120" s="9" t="s">
        <v>367</v>
      </c>
      <c r="E120" s="11" t="s">
        <v>368</v>
      </c>
      <c r="F120" s="10" t="s">
        <v>11</v>
      </c>
      <c r="G120" s="10" t="s">
        <v>11</v>
      </c>
      <c r="H120" s="10" t="s">
        <v>13</v>
      </c>
      <c r="I120" s="10" t="s">
        <v>13</v>
      </c>
      <c r="J120" s="10" t="s">
        <v>11</v>
      </c>
      <c r="L120" s="6" t="str">
        <f>IFERROR(VLOOKUP($B120,'LISTA - Setembro2024'!$B$3:$F$539,5,0),"Campo eliminado")</f>
        <v>N</v>
      </c>
      <c r="M120" s="6" t="str">
        <f t="shared" si="6"/>
        <v>Igual</v>
      </c>
      <c r="N120" s="6" t="str">
        <f>IFERROR(VLOOKUP($B120,'LISTA - Setembro2024'!$B$3:$K$539,6,0),"Campo eliminado")</f>
        <v>N</v>
      </c>
      <c r="O120" s="6" t="str">
        <f t="shared" si="7"/>
        <v>Igual</v>
      </c>
      <c r="P120" s="6" t="str">
        <f>IFERROR(VLOOKUP($B120,'LISTA - Setembro2024'!$B$3:$K$539,7,0),"Campo eliminado")</f>
        <v>Y</v>
      </c>
      <c r="Q120" s="6" t="str">
        <f t="shared" si="8"/>
        <v>Igual</v>
      </c>
      <c r="R120" s="6" t="str">
        <f>IFERROR(VLOOKUP($B120,'LISTA - Setembro2024'!$B$3:$K$539,9,0),"Campo eliminado")</f>
        <v>Y</v>
      </c>
      <c r="S120" s="6" t="str">
        <f t="shared" si="9"/>
        <v>Igual</v>
      </c>
      <c r="U120" s="6" t="str">
        <f>VLOOKUP(B120,DataLake!$A$4:$A$429,1,0)</f>
        <v>ENTITY_GRP_EMSSNS_SCP1</v>
      </c>
    </row>
    <row r="121" spans="1:21" ht="15" hidden="1" customHeight="1" x14ac:dyDescent="0.25">
      <c r="A121" s="16" t="s">
        <v>369</v>
      </c>
      <c r="B121" s="47" t="str">
        <f t="shared" si="5"/>
        <v>ENTITY_GRP_EMSSNS_SCP2</v>
      </c>
      <c r="C121" s="8" t="s">
        <v>10</v>
      </c>
      <c r="D121" s="9" t="s">
        <v>370</v>
      </c>
      <c r="E121" s="11" t="s">
        <v>371</v>
      </c>
      <c r="F121" s="10" t="s">
        <v>11</v>
      </c>
      <c r="G121" s="10" t="s">
        <v>11</v>
      </c>
      <c r="H121" s="10" t="s">
        <v>13</v>
      </c>
      <c r="I121" s="10" t="s">
        <v>13</v>
      </c>
      <c r="J121" s="10" t="s">
        <v>11</v>
      </c>
      <c r="L121" s="6" t="str">
        <f>IFERROR(VLOOKUP($B121,'LISTA - Setembro2024'!$B$3:$F$539,5,0),"Campo eliminado")</f>
        <v>N</v>
      </c>
      <c r="M121" s="6" t="str">
        <f t="shared" si="6"/>
        <v>Igual</v>
      </c>
      <c r="N121" s="6" t="str">
        <f>IFERROR(VLOOKUP($B121,'LISTA - Setembro2024'!$B$3:$K$539,6,0),"Campo eliminado")</f>
        <v>N</v>
      </c>
      <c r="O121" s="6" t="str">
        <f t="shared" si="7"/>
        <v>Igual</v>
      </c>
      <c r="P121" s="6" t="str">
        <f>IFERROR(VLOOKUP($B121,'LISTA - Setembro2024'!$B$3:$K$539,7,0),"Campo eliminado")</f>
        <v>Y</v>
      </c>
      <c r="Q121" s="6" t="str">
        <f t="shared" si="8"/>
        <v>Igual</v>
      </c>
      <c r="R121" s="6" t="str">
        <f>IFERROR(VLOOKUP($B121,'LISTA - Setembro2024'!$B$3:$K$539,9,0),"Campo eliminado")</f>
        <v>Y</v>
      </c>
      <c r="S121" s="6" t="str">
        <f t="shared" si="9"/>
        <v>Igual</v>
      </c>
      <c r="U121" s="6" t="str">
        <f>VLOOKUP(B121,DataLake!$A$4:$A$429,1,0)</f>
        <v>ENTITY_GRP_EMSSNS_SCP2</v>
      </c>
    </row>
    <row r="122" spans="1:21" ht="15" hidden="1" customHeight="1" x14ac:dyDescent="0.25">
      <c r="A122" s="16" t="s">
        <v>372</v>
      </c>
      <c r="B122" s="47" t="str">
        <f t="shared" si="5"/>
        <v>ENTITY_GRP_EMSSNS_SCP3</v>
      </c>
      <c r="C122" s="8" t="s">
        <v>10</v>
      </c>
      <c r="D122" s="9" t="s">
        <v>373</v>
      </c>
      <c r="E122" s="11" t="s">
        <v>374</v>
      </c>
      <c r="F122" s="10" t="s">
        <v>11</v>
      </c>
      <c r="G122" s="10" t="s">
        <v>11</v>
      </c>
      <c r="H122" s="10" t="s">
        <v>13</v>
      </c>
      <c r="I122" s="10" t="s">
        <v>13</v>
      </c>
      <c r="J122" s="10" t="s">
        <v>11</v>
      </c>
      <c r="L122" s="6" t="str">
        <f>IFERROR(VLOOKUP($B122,'LISTA - Setembro2024'!$B$3:$F$539,5,0),"Campo eliminado")</f>
        <v>N</v>
      </c>
      <c r="M122" s="6" t="str">
        <f t="shared" si="6"/>
        <v>Igual</v>
      </c>
      <c r="N122" s="6" t="str">
        <f>IFERROR(VLOOKUP($B122,'LISTA - Setembro2024'!$B$3:$K$539,6,0),"Campo eliminado")</f>
        <v>N</v>
      </c>
      <c r="O122" s="6" t="str">
        <f t="shared" si="7"/>
        <v>Igual</v>
      </c>
      <c r="P122" s="6" t="str">
        <f>IFERROR(VLOOKUP($B122,'LISTA - Setembro2024'!$B$3:$K$539,7,0),"Campo eliminado")</f>
        <v>Y</v>
      </c>
      <c r="Q122" s="6" t="str">
        <f t="shared" si="8"/>
        <v>Igual</v>
      </c>
      <c r="R122" s="6" t="str">
        <f>IFERROR(VLOOKUP($B122,'LISTA - Setembro2024'!$B$3:$K$539,9,0),"Campo eliminado")</f>
        <v>Y</v>
      </c>
      <c r="S122" s="6" t="str">
        <f t="shared" si="9"/>
        <v>Igual</v>
      </c>
      <c r="U122" s="6" t="str">
        <f>VLOOKUP(B122,DataLake!$A$4:$A$429,1,0)</f>
        <v>ENTITY_GRP_EMSSNS_SCP3</v>
      </c>
    </row>
    <row r="123" spans="1:21" ht="15" hidden="1" customHeight="1" x14ac:dyDescent="0.25">
      <c r="A123" s="16" t="s">
        <v>375</v>
      </c>
      <c r="B123" s="47" t="str">
        <f t="shared" si="5"/>
        <v>ENTITY_FLG_ACT_PHYSCL_RSK</v>
      </c>
      <c r="C123" s="8" t="s">
        <v>10</v>
      </c>
      <c r="D123" s="9" t="s">
        <v>376</v>
      </c>
      <c r="E123" s="18" t="s">
        <v>377</v>
      </c>
      <c r="F123" s="10" t="s">
        <v>11</v>
      </c>
      <c r="G123" s="10" t="s">
        <v>11</v>
      </c>
      <c r="H123" s="10" t="s">
        <v>13</v>
      </c>
      <c r="I123" s="10" t="s">
        <v>11</v>
      </c>
      <c r="J123" s="10" t="s">
        <v>11</v>
      </c>
      <c r="L123" s="6" t="str">
        <f>IFERROR(VLOOKUP($B123,'LISTA - Setembro2024'!$B$3:$F$539,5,0),"Campo eliminado")</f>
        <v>N</v>
      </c>
      <c r="M123" s="6" t="str">
        <f t="shared" si="6"/>
        <v>Igual</v>
      </c>
      <c r="N123" s="6" t="str">
        <f>IFERROR(VLOOKUP($B123,'LISTA - Setembro2024'!$B$3:$K$539,6,0),"Campo eliminado")</f>
        <v>N</v>
      </c>
      <c r="O123" s="6" t="str">
        <f t="shared" si="7"/>
        <v>Igual</v>
      </c>
      <c r="P123" s="6" t="str">
        <f>IFERROR(VLOOKUP($B123,'LISTA - Setembro2024'!$B$3:$K$539,7,0),"Campo eliminado")</f>
        <v>Y</v>
      </c>
      <c r="Q123" s="6" t="str">
        <f t="shared" si="8"/>
        <v>Igual</v>
      </c>
      <c r="R123" s="6" t="str">
        <f>IFERROR(VLOOKUP($B123,'LISTA - Setembro2024'!$B$3:$K$539,9,0),"Campo eliminado")</f>
        <v>N</v>
      </c>
      <c r="S123" s="6" t="str">
        <f t="shared" si="9"/>
        <v>Igual</v>
      </c>
      <c r="U123" s="6" t="str">
        <f>VLOOKUP(B123,DataLake!$A$4:$A$429,1,0)</f>
        <v>ENTITY_FLG_ACT_PHYSCL_RSK</v>
      </c>
    </row>
    <row r="124" spans="1:21" ht="15" hidden="1" customHeight="1" x14ac:dyDescent="0.25">
      <c r="A124" s="16" t="s">
        <v>378</v>
      </c>
      <c r="B124" s="47" t="str">
        <f t="shared" si="5"/>
        <v>ENTITY_FLG_CHRNC_PHYSCL_RSK</v>
      </c>
      <c r="C124" s="8" t="s">
        <v>10</v>
      </c>
      <c r="D124" s="9" t="s">
        <v>379</v>
      </c>
      <c r="E124" s="18" t="s">
        <v>380</v>
      </c>
      <c r="F124" s="10" t="s">
        <v>11</v>
      </c>
      <c r="G124" s="10" t="s">
        <v>11</v>
      </c>
      <c r="H124" s="10" t="s">
        <v>13</v>
      </c>
      <c r="I124" s="10" t="s">
        <v>11</v>
      </c>
      <c r="J124" s="10" t="s">
        <v>11</v>
      </c>
      <c r="L124" s="6" t="str">
        <f>IFERROR(VLOOKUP($B124,'LISTA - Setembro2024'!$B$3:$F$539,5,0),"Campo eliminado")</f>
        <v>N</v>
      </c>
      <c r="M124" s="6" t="str">
        <f t="shared" si="6"/>
        <v>Igual</v>
      </c>
      <c r="N124" s="6" t="str">
        <f>IFERROR(VLOOKUP($B124,'LISTA - Setembro2024'!$B$3:$K$539,6,0),"Campo eliminado")</f>
        <v>N</v>
      </c>
      <c r="O124" s="6" t="str">
        <f t="shared" si="7"/>
        <v>Igual</v>
      </c>
      <c r="P124" s="6" t="str">
        <f>IFERROR(VLOOKUP($B124,'LISTA - Setembro2024'!$B$3:$K$539,7,0),"Campo eliminado")</f>
        <v>Y</v>
      </c>
      <c r="Q124" s="6" t="str">
        <f t="shared" si="8"/>
        <v>Igual</v>
      </c>
      <c r="R124" s="6" t="str">
        <f>IFERROR(VLOOKUP($B124,'LISTA - Setembro2024'!$B$3:$K$539,9,0),"Campo eliminado")</f>
        <v>N</v>
      </c>
      <c r="S124" s="6" t="str">
        <f t="shared" si="9"/>
        <v>Igual</v>
      </c>
      <c r="U124" s="6" t="str">
        <f>VLOOKUP(B124,DataLake!$A$4:$A$429,1,0)</f>
        <v>ENTITY_FLG_CHRNC_PHYSCL_RSK</v>
      </c>
    </row>
    <row r="125" spans="1:21" ht="15" hidden="1" customHeight="1" x14ac:dyDescent="0.25">
      <c r="A125" s="16" t="s">
        <v>381</v>
      </c>
      <c r="B125" s="47" t="str">
        <f t="shared" si="5"/>
        <v>ENTITY_GRP_ECNMC_ACTVTY</v>
      </c>
      <c r="C125" s="8" t="s">
        <v>10</v>
      </c>
      <c r="D125" s="17" t="s">
        <v>382</v>
      </c>
      <c r="E125" s="18" t="s">
        <v>383</v>
      </c>
      <c r="F125" s="10" t="s">
        <v>11</v>
      </c>
      <c r="G125" s="10" t="s">
        <v>11</v>
      </c>
      <c r="H125" s="10" t="s">
        <v>11</v>
      </c>
      <c r="I125" s="10" t="s">
        <v>13</v>
      </c>
      <c r="J125" s="10" t="s">
        <v>11</v>
      </c>
      <c r="L125" s="6" t="str">
        <f>IFERROR(VLOOKUP($B125,'LISTA - Setembro2024'!$B$3:$F$539,5,0),"Campo eliminado")</f>
        <v>N</v>
      </c>
      <c r="M125" s="6" t="str">
        <f t="shared" si="6"/>
        <v>Igual</v>
      </c>
      <c r="N125" s="6" t="str">
        <f>IFERROR(VLOOKUP($B125,'LISTA - Setembro2024'!$B$3:$K$539,6,0),"Campo eliminado")</f>
        <v>N</v>
      </c>
      <c r="O125" s="6" t="str">
        <f t="shared" si="7"/>
        <v>Igual</v>
      </c>
      <c r="P125" s="6" t="str">
        <f>IFERROR(VLOOKUP($B125,'LISTA - Setembro2024'!$B$3:$K$539,7,0),"Campo eliminado")</f>
        <v>N</v>
      </c>
      <c r="Q125" s="6" t="str">
        <f t="shared" si="8"/>
        <v>Igual</v>
      </c>
      <c r="R125" s="6" t="str">
        <f>IFERROR(VLOOKUP($B125,'LISTA - Setembro2024'!$B$3:$K$539,9,0),"Campo eliminado")</f>
        <v>Y</v>
      </c>
      <c r="S125" s="6" t="str">
        <f t="shared" si="9"/>
        <v>Igual</v>
      </c>
      <c r="U125" s="6" t="e">
        <f>VLOOKUP(B125,DataLake!$A$4:$A$429,1,0)</f>
        <v>#N/A</v>
      </c>
    </row>
    <row r="126" spans="1:21" ht="15" hidden="1" customHeight="1" x14ac:dyDescent="0.25">
      <c r="A126" s="7" t="s">
        <v>384</v>
      </c>
      <c r="B126" s="47" t="str">
        <f t="shared" si="5"/>
        <v>ENTITY_PRSN_TYP</v>
      </c>
      <c r="C126" s="8" t="s">
        <v>10</v>
      </c>
      <c r="D126" s="49" t="s">
        <v>385</v>
      </c>
      <c r="E126" s="50" t="s">
        <v>386</v>
      </c>
      <c r="F126" s="51" t="s">
        <v>13</v>
      </c>
      <c r="G126" s="10" t="s">
        <v>11</v>
      </c>
      <c r="H126" s="10" t="s">
        <v>11</v>
      </c>
      <c r="I126" s="10" t="s">
        <v>11</v>
      </c>
      <c r="J126" s="10" t="s">
        <v>11</v>
      </c>
      <c r="L126" s="6" t="str">
        <f>IFERROR(VLOOKUP($B126,'LISTA - Setembro2024'!$B$3:$F$539,5,0),"Campo eliminado")</f>
        <v>Y</v>
      </c>
      <c r="M126" s="6" t="str">
        <f t="shared" si="6"/>
        <v>Igual</v>
      </c>
      <c r="N126" s="6" t="str">
        <f>IFERROR(VLOOKUP($B126,'LISTA - Setembro2024'!$B$3:$K$539,6,0),"Campo eliminado")</f>
        <v>N</v>
      </c>
      <c r="O126" s="6" t="str">
        <f t="shared" si="7"/>
        <v>Igual</v>
      </c>
      <c r="P126" s="6" t="str">
        <f>IFERROR(VLOOKUP($B126,'LISTA - Setembro2024'!$B$3:$K$539,7,0),"Campo eliminado")</f>
        <v>N</v>
      </c>
      <c r="Q126" s="6" t="str">
        <f t="shared" si="8"/>
        <v>Igual</v>
      </c>
      <c r="R126" s="6" t="str">
        <f>IFERROR(VLOOKUP($B126,'LISTA - Setembro2024'!$B$3:$K$539,9,0),"Campo eliminado")</f>
        <v>N</v>
      </c>
      <c r="S126" s="6" t="str">
        <f t="shared" si="9"/>
        <v>Igual</v>
      </c>
      <c r="U126" s="6" t="str">
        <f>VLOOKUP(B126,DataLake!$A$4:$A$429,1,0)</f>
        <v>ENTITY_PRSN_TYP</v>
      </c>
    </row>
    <row r="127" spans="1:21" ht="15" hidden="1" customHeight="1" x14ac:dyDescent="0.25">
      <c r="A127" s="7" t="s">
        <v>387</v>
      </c>
      <c r="B127" s="47" t="str">
        <f t="shared" si="5"/>
        <v>ENTITY_FR_CSH_FLW</v>
      </c>
      <c r="C127" s="8" t="s">
        <v>10</v>
      </c>
      <c r="D127" s="49" t="s">
        <v>388</v>
      </c>
      <c r="E127" s="52" t="s">
        <v>389</v>
      </c>
      <c r="F127" s="51" t="s">
        <v>13</v>
      </c>
      <c r="G127" s="10" t="s">
        <v>11</v>
      </c>
      <c r="H127" s="10" t="s">
        <v>11</v>
      </c>
      <c r="I127" s="10" t="s">
        <v>11</v>
      </c>
      <c r="J127" s="10" t="s">
        <v>11</v>
      </c>
      <c r="L127" s="6" t="str">
        <f>IFERROR(VLOOKUP($B127,'LISTA - Setembro2024'!$B$3:$F$539,5,0),"Campo eliminado")</f>
        <v>Y</v>
      </c>
      <c r="M127" s="6" t="str">
        <f t="shared" si="6"/>
        <v>Igual</v>
      </c>
      <c r="N127" s="6" t="str">
        <f>IFERROR(VLOOKUP($B127,'LISTA - Setembro2024'!$B$3:$K$539,6,0),"Campo eliminado")</f>
        <v>N</v>
      </c>
      <c r="O127" s="6" t="str">
        <f t="shared" si="7"/>
        <v>Igual</v>
      </c>
      <c r="P127" s="6" t="str">
        <f>IFERROR(VLOOKUP($B127,'LISTA - Setembro2024'!$B$3:$K$539,7,0),"Campo eliminado")</f>
        <v>N</v>
      </c>
      <c r="Q127" s="6" t="str">
        <f t="shared" si="8"/>
        <v>Igual</v>
      </c>
      <c r="R127" s="6" t="str">
        <f>IFERROR(VLOOKUP($B127,'LISTA - Setembro2024'!$B$3:$K$539,9,0),"Campo eliminado")</f>
        <v>N</v>
      </c>
      <c r="S127" s="6" t="str">
        <f t="shared" si="9"/>
        <v>Igual</v>
      </c>
      <c r="U127" s="6" t="str">
        <f>VLOOKUP(B127,DataLake!$A$4:$A$429,1,0)</f>
        <v>ENTITY_FR_CSH_FLW</v>
      </c>
    </row>
    <row r="128" spans="1:21" ht="15" hidden="1" customHeight="1" x14ac:dyDescent="0.25">
      <c r="A128" s="7" t="s">
        <v>390</v>
      </c>
      <c r="B128" s="47" t="str">
        <f t="shared" si="5"/>
        <v>ENTITY_FR_CSH_FLW_T1</v>
      </c>
      <c r="C128" s="8" t="s">
        <v>10</v>
      </c>
      <c r="D128" s="49" t="s">
        <v>391</v>
      </c>
      <c r="E128" s="52" t="s">
        <v>392</v>
      </c>
      <c r="F128" s="51" t="s">
        <v>13</v>
      </c>
      <c r="G128" s="10" t="s">
        <v>11</v>
      </c>
      <c r="H128" s="10" t="s">
        <v>11</v>
      </c>
      <c r="I128" s="10" t="s">
        <v>11</v>
      </c>
      <c r="J128" s="10" t="s">
        <v>11</v>
      </c>
      <c r="L128" s="6" t="str">
        <f>IFERROR(VLOOKUP($B128,'LISTA - Setembro2024'!$B$3:$F$539,5,0),"Campo eliminado")</f>
        <v>Y</v>
      </c>
      <c r="M128" s="6" t="str">
        <f t="shared" si="6"/>
        <v>Igual</v>
      </c>
      <c r="N128" s="6" t="str">
        <f>IFERROR(VLOOKUP($B128,'LISTA - Setembro2024'!$B$3:$K$539,6,0),"Campo eliminado")</f>
        <v>N</v>
      </c>
      <c r="O128" s="6" t="str">
        <f t="shared" si="7"/>
        <v>Igual</v>
      </c>
      <c r="P128" s="6" t="str">
        <f>IFERROR(VLOOKUP($B128,'LISTA - Setembro2024'!$B$3:$K$539,7,0),"Campo eliminado")</f>
        <v>N</v>
      </c>
      <c r="Q128" s="6" t="str">
        <f t="shared" si="8"/>
        <v>Igual</v>
      </c>
      <c r="R128" s="6" t="str">
        <f>IFERROR(VLOOKUP($B128,'LISTA - Setembro2024'!$B$3:$K$539,9,0),"Campo eliminado")</f>
        <v>N</v>
      </c>
      <c r="S128" s="6" t="str">
        <f t="shared" si="9"/>
        <v>Igual</v>
      </c>
      <c r="U128" s="6" t="str">
        <f>VLOOKUP(B128,DataLake!$A$4:$A$429,1,0)</f>
        <v>ENTITY_FR_CSH_FLW_T1</v>
      </c>
    </row>
    <row r="129" spans="1:21" ht="15" hidden="1" customHeight="1" x14ac:dyDescent="0.25">
      <c r="A129" s="7" t="s">
        <v>393</v>
      </c>
      <c r="B129" s="47" t="str">
        <f t="shared" si="5"/>
        <v>ENTITY_FR_CSH_FLW_T2</v>
      </c>
      <c r="C129" s="8" t="s">
        <v>10</v>
      </c>
      <c r="D129" s="49" t="s">
        <v>394</v>
      </c>
      <c r="E129" s="52" t="s">
        <v>395</v>
      </c>
      <c r="F129" s="51" t="s">
        <v>13</v>
      </c>
      <c r="G129" s="10" t="s">
        <v>11</v>
      </c>
      <c r="H129" s="10" t="s">
        <v>11</v>
      </c>
      <c r="I129" s="10" t="s">
        <v>11</v>
      </c>
      <c r="J129" s="10" t="s">
        <v>11</v>
      </c>
      <c r="L129" s="6" t="str">
        <f>IFERROR(VLOOKUP($B129,'LISTA - Setembro2024'!$B$3:$F$539,5,0),"Campo eliminado")</f>
        <v>Y</v>
      </c>
      <c r="M129" s="6" t="str">
        <f t="shared" si="6"/>
        <v>Igual</v>
      </c>
      <c r="N129" s="6" t="str">
        <f>IFERROR(VLOOKUP($B129,'LISTA - Setembro2024'!$B$3:$K$539,6,0),"Campo eliminado")</f>
        <v>N</v>
      </c>
      <c r="O129" s="6" t="str">
        <f t="shared" si="7"/>
        <v>Igual</v>
      </c>
      <c r="P129" s="6" t="str">
        <f>IFERROR(VLOOKUP($B129,'LISTA - Setembro2024'!$B$3:$K$539,7,0),"Campo eliminado")</f>
        <v>N</v>
      </c>
      <c r="Q129" s="6" t="str">
        <f t="shared" si="8"/>
        <v>Igual</v>
      </c>
      <c r="R129" s="6" t="str">
        <f>IFERROR(VLOOKUP($B129,'LISTA - Setembro2024'!$B$3:$K$539,9,0),"Campo eliminado")</f>
        <v>N</v>
      </c>
      <c r="S129" s="6" t="str">
        <f t="shared" si="9"/>
        <v>Igual</v>
      </c>
      <c r="U129" s="6" t="str">
        <f>VLOOKUP(B129,DataLake!$A$4:$A$429,1,0)</f>
        <v>ENTITY_FR_CSH_FLW_T2</v>
      </c>
    </row>
    <row r="130" spans="1:21" ht="15" hidden="1" customHeight="1" x14ac:dyDescent="0.25">
      <c r="A130" s="7" t="s">
        <v>396</v>
      </c>
      <c r="B130" s="47" t="str">
        <f t="shared" si="5"/>
        <v>ENTITY_FR_CSH_FLW_T3</v>
      </c>
      <c r="C130" s="8" t="s">
        <v>10</v>
      </c>
      <c r="D130" s="49" t="s">
        <v>397</v>
      </c>
      <c r="E130" s="52" t="s">
        <v>398</v>
      </c>
      <c r="F130" s="51" t="s">
        <v>13</v>
      </c>
      <c r="G130" s="10" t="s">
        <v>11</v>
      </c>
      <c r="H130" s="10" t="s">
        <v>11</v>
      </c>
      <c r="I130" s="10" t="s">
        <v>11</v>
      </c>
      <c r="J130" s="10" t="s">
        <v>11</v>
      </c>
      <c r="L130" s="6" t="str">
        <f>IFERROR(VLOOKUP($B130,'LISTA - Setembro2024'!$B$3:$F$539,5,0),"Campo eliminado")</f>
        <v>Y</v>
      </c>
      <c r="M130" s="6" t="str">
        <f t="shared" si="6"/>
        <v>Igual</v>
      </c>
      <c r="N130" s="6" t="str">
        <f>IFERROR(VLOOKUP($B130,'LISTA - Setembro2024'!$B$3:$K$539,6,0),"Campo eliminado")</f>
        <v>N</v>
      </c>
      <c r="O130" s="6" t="str">
        <f t="shared" si="7"/>
        <v>Igual</v>
      </c>
      <c r="P130" s="6" t="str">
        <f>IFERROR(VLOOKUP($B130,'LISTA - Setembro2024'!$B$3:$K$539,7,0),"Campo eliminado")</f>
        <v>N</v>
      </c>
      <c r="Q130" s="6" t="str">
        <f t="shared" si="8"/>
        <v>Igual</v>
      </c>
      <c r="R130" s="6" t="str">
        <f>IFERROR(VLOOKUP($B130,'LISTA - Setembro2024'!$B$3:$K$539,9,0),"Campo eliminado")</f>
        <v>N</v>
      </c>
      <c r="S130" s="6" t="str">
        <f t="shared" si="9"/>
        <v>Igual</v>
      </c>
      <c r="U130" s="6" t="str">
        <f>VLOOKUP(B130,DataLake!$A$4:$A$429,1,0)</f>
        <v>ENTITY_FR_CSH_FLW_T3</v>
      </c>
    </row>
    <row r="131" spans="1:21" ht="15" hidden="1" customHeight="1" x14ac:dyDescent="0.25">
      <c r="A131" s="7" t="s">
        <v>399</v>
      </c>
      <c r="B131" s="47" t="str">
        <f t="shared" ref="B131:B194" si="10">C131&amp;"_"&amp;D131</f>
        <v>INSTR_ENTITY_COD_SOC</v>
      </c>
      <c r="C131" s="8" t="s">
        <v>400</v>
      </c>
      <c r="D131" s="9" t="s">
        <v>12</v>
      </c>
      <c r="E131" s="11" t="s">
        <v>14</v>
      </c>
      <c r="F131" s="10" t="s">
        <v>13</v>
      </c>
      <c r="G131" s="10" t="s">
        <v>11</v>
      </c>
      <c r="H131" s="10" t="s">
        <v>13</v>
      </c>
      <c r="I131" s="10" t="s">
        <v>11</v>
      </c>
      <c r="J131" s="10" t="s">
        <v>11</v>
      </c>
      <c r="L131" s="6" t="str">
        <f>IFERROR(VLOOKUP($B131,'LISTA - Setembro2024'!$B$3:$F$539,5,0),"Campo eliminado")</f>
        <v>Y</v>
      </c>
      <c r="M131" s="6" t="str">
        <f t="shared" ref="M131:M194" si="11">IF(L131="Campo eliminado","Campo eliminado",IF(L131=F131,"Igual","Diferente"))</f>
        <v>Igual</v>
      </c>
      <c r="N131" s="6" t="str">
        <f>IFERROR(VLOOKUP($B131,'LISTA - Setembro2024'!$B$3:$K$539,6,0),"Campo eliminado")</f>
        <v>N</v>
      </c>
      <c r="O131" s="6" t="str">
        <f t="shared" ref="O131:O194" si="12">IF(N131="Campo eliminado","Campo eliminado",IF(N131=G131,"Igual","Diferente"))</f>
        <v>Igual</v>
      </c>
      <c r="P131" s="6" t="str">
        <f>IFERROR(VLOOKUP($B131,'LISTA - Setembro2024'!$B$3:$K$539,7,0),"Campo eliminado")</f>
        <v>Y</v>
      </c>
      <c r="Q131" s="6" t="str">
        <f t="shared" ref="Q131:Q194" si="13">IF(P131="Campo eliminado","Campo eliminado",IF(P131=H131,"Igual","Diferente"))</f>
        <v>Igual</v>
      </c>
      <c r="R131" s="6" t="str">
        <f>IFERROR(VLOOKUP($B131,'LISTA - Setembro2024'!$B$3:$K$539,9,0),"Campo eliminado")</f>
        <v>N</v>
      </c>
      <c r="S131" s="6" t="str">
        <f t="shared" ref="S131:S194" si="14">IF(R131="Campo eliminado","Campo eliminado",IF(R131=I131,"Igual","Diferente"))</f>
        <v>Igual</v>
      </c>
      <c r="U131" s="6" t="str">
        <f>VLOOKUP(B131,DataLake!$A$4:$A$429,1,0)</f>
        <v>INSTR_ENTITY_COD_SOC</v>
      </c>
    </row>
    <row r="132" spans="1:21" ht="15" hidden="1" customHeight="1" x14ac:dyDescent="0.25">
      <c r="A132" s="7" t="s">
        <v>401</v>
      </c>
      <c r="B132" s="47" t="str">
        <f t="shared" si="10"/>
        <v>INSTR_ENTITY_DT_RFRNC</v>
      </c>
      <c r="C132" s="8" t="s">
        <v>400</v>
      </c>
      <c r="D132" s="9" t="s">
        <v>38</v>
      </c>
      <c r="E132" s="11" t="s">
        <v>402</v>
      </c>
      <c r="F132" s="10" t="s">
        <v>13</v>
      </c>
      <c r="G132" s="10" t="s">
        <v>11</v>
      </c>
      <c r="H132" s="10" t="s">
        <v>13</v>
      </c>
      <c r="I132" s="10" t="s">
        <v>11</v>
      </c>
      <c r="J132" s="10" t="s">
        <v>11</v>
      </c>
      <c r="L132" s="6" t="str">
        <f>IFERROR(VLOOKUP($B132,'LISTA - Setembro2024'!$B$3:$F$539,5,0),"Campo eliminado")</f>
        <v>Y</v>
      </c>
      <c r="M132" s="6" t="str">
        <f t="shared" si="11"/>
        <v>Igual</v>
      </c>
      <c r="N132" s="6" t="str">
        <f>IFERROR(VLOOKUP($B132,'LISTA - Setembro2024'!$B$3:$K$539,6,0),"Campo eliminado")</f>
        <v>N</v>
      </c>
      <c r="O132" s="6" t="str">
        <f t="shared" si="12"/>
        <v>Igual</v>
      </c>
      <c r="P132" s="6" t="str">
        <f>IFERROR(VLOOKUP($B132,'LISTA - Setembro2024'!$B$3:$K$539,7,0),"Campo eliminado")</f>
        <v>Y</v>
      </c>
      <c r="Q132" s="6" t="str">
        <f t="shared" si="13"/>
        <v>Igual</v>
      </c>
      <c r="R132" s="6" t="str">
        <f>IFERROR(VLOOKUP($B132,'LISTA - Setembro2024'!$B$3:$K$539,9,0),"Campo eliminado")</f>
        <v>N</v>
      </c>
      <c r="S132" s="6" t="str">
        <f t="shared" si="14"/>
        <v>Igual</v>
      </c>
      <c r="U132" s="6" t="e">
        <f>VLOOKUP(B132,DataLake!$A$4:$A$429,1,0)</f>
        <v>#N/A</v>
      </c>
    </row>
    <row r="133" spans="1:21" ht="15" hidden="1" customHeight="1" x14ac:dyDescent="0.25">
      <c r="A133" s="7" t="s">
        <v>403</v>
      </c>
      <c r="B133" s="47" t="str">
        <f t="shared" si="10"/>
        <v>INSTR_ENTITY_ENTTY_ID</v>
      </c>
      <c r="C133" s="8" t="s">
        <v>400</v>
      </c>
      <c r="D133" s="9" t="s">
        <v>41</v>
      </c>
      <c r="E133" s="11" t="s">
        <v>42</v>
      </c>
      <c r="F133" s="10" t="s">
        <v>13</v>
      </c>
      <c r="G133" s="10" t="s">
        <v>11</v>
      </c>
      <c r="H133" s="10" t="s">
        <v>13</v>
      </c>
      <c r="I133" s="10" t="s">
        <v>11</v>
      </c>
      <c r="J133" s="10" t="s">
        <v>11</v>
      </c>
      <c r="L133" s="6" t="str">
        <f>IFERROR(VLOOKUP($B133,'LISTA - Setembro2024'!$B$3:$F$539,5,0),"Campo eliminado")</f>
        <v>Y</v>
      </c>
      <c r="M133" s="6" t="str">
        <f t="shared" si="11"/>
        <v>Igual</v>
      </c>
      <c r="N133" s="6" t="str">
        <f>IFERROR(VLOOKUP($B133,'LISTA - Setembro2024'!$B$3:$K$539,6,0),"Campo eliminado")</f>
        <v>N</v>
      </c>
      <c r="O133" s="6" t="str">
        <f t="shared" si="12"/>
        <v>Igual</v>
      </c>
      <c r="P133" s="6" t="str">
        <f>IFERROR(VLOOKUP($B133,'LISTA - Setembro2024'!$B$3:$K$539,7,0),"Campo eliminado")</f>
        <v>Y</v>
      </c>
      <c r="Q133" s="6" t="str">
        <f t="shared" si="13"/>
        <v>Igual</v>
      </c>
      <c r="R133" s="6" t="str">
        <f>IFERROR(VLOOKUP($B133,'LISTA - Setembro2024'!$B$3:$K$539,9,0),"Campo eliminado")</f>
        <v>N</v>
      </c>
      <c r="S133" s="6" t="str">
        <f t="shared" si="14"/>
        <v>Igual</v>
      </c>
      <c r="U133" s="6" t="str">
        <f>VLOOKUP(B133,DataLake!$A$4:$A$429,1,0)</f>
        <v>INSTR_ENTITY_ENTTY_ID</v>
      </c>
    </row>
    <row r="134" spans="1:21" ht="15" hidden="1" customHeight="1" x14ac:dyDescent="0.25">
      <c r="A134" s="7" t="s">
        <v>404</v>
      </c>
      <c r="B134" s="47" t="str">
        <f t="shared" si="10"/>
        <v>INSTR_ENTITY_INSTRMNT_ID</v>
      </c>
      <c r="C134" s="8" t="s">
        <v>400</v>
      </c>
      <c r="D134" s="9" t="s">
        <v>405</v>
      </c>
      <c r="E134" s="11" t="s">
        <v>406</v>
      </c>
      <c r="F134" s="10" t="s">
        <v>13</v>
      </c>
      <c r="G134" s="10" t="s">
        <v>11</v>
      </c>
      <c r="H134" s="10" t="s">
        <v>13</v>
      </c>
      <c r="I134" s="10" t="s">
        <v>11</v>
      </c>
      <c r="J134" s="10" t="s">
        <v>11</v>
      </c>
      <c r="L134" s="6" t="str">
        <f>IFERROR(VLOOKUP($B134,'LISTA - Setembro2024'!$B$3:$F$539,5,0),"Campo eliminado")</f>
        <v>Y</v>
      </c>
      <c r="M134" s="6" t="str">
        <f t="shared" si="11"/>
        <v>Igual</v>
      </c>
      <c r="N134" s="6" t="str">
        <f>IFERROR(VLOOKUP($B134,'LISTA - Setembro2024'!$B$3:$K$539,6,0),"Campo eliminado")</f>
        <v>N</v>
      </c>
      <c r="O134" s="6" t="str">
        <f t="shared" si="12"/>
        <v>Igual</v>
      </c>
      <c r="P134" s="6" t="str">
        <f>IFERROR(VLOOKUP($B134,'LISTA - Setembro2024'!$B$3:$K$539,7,0),"Campo eliminado")</f>
        <v>Y</v>
      </c>
      <c r="Q134" s="6" t="str">
        <f t="shared" si="13"/>
        <v>Igual</v>
      </c>
      <c r="R134" s="6" t="str">
        <f>IFERROR(VLOOKUP($B134,'LISTA - Setembro2024'!$B$3:$K$539,9,0),"Campo eliminado")</f>
        <v>N</v>
      </c>
      <c r="S134" s="6" t="str">
        <f t="shared" si="14"/>
        <v>Igual</v>
      </c>
      <c r="U134" s="6" t="str">
        <f>VLOOKUP(B134,DataLake!$A$4:$A$429,1,0)</f>
        <v>INSTR_ENTITY_INSTRMNT_ID</v>
      </c>
    </row>
    <row r="135" spans="1:21" ht="15" hidden="1" customHeight="1" x14ac:dyDescent="0.25">
      <c r="A135" s="7" t="s">
        <v>407</v>
      </c>
      <c r="B135" s="47" t="str">
        <f t="shared" si="10"/>
        <v>INSTR_ENTITY_JNT_LBLTY_AMNT</v>
      </c>
      <c r="C135" s="8" t="s">
        <v>400</v>
      </c>
      <c r="D135" s="9" t="s">
        <v>408</v>
      </c>
      <c r="E135" s="11" t="s">
        <v>409</v>
      </c>
      <c r="F135" s="10" t="s">
        <v>13</v>
      </c>
      <c r="G135" s="10" t="s">
        <v>11</v>
      </c>
      <c r="H135" s="10" t="s">
        <v>11</v>
      </c>
      <c r="I135" s="10" t="s">
        <v>11</v>
      </c>
      <c r="J135" s="10" t="s">
        <v>11</v>
      </c>
      <c r="L135" s="6" t="str">
        <f>IFERROR(VLOOKUP($B135,'LISTA - Setembro2024'!$B$3:$F$539,5,0),"Campo eliminado")</f>
        <v>Y</v>
      </c>
      <c r="M135" s="6" t="str">
        <f t="shared" si="11"/>
        <v>Igual</v>
      </c>
      <c r="N135" s="6" t="str">
        <f>IFERROR(VLOOKUP($B135,'LISTA - Setembro2024'!$B$3:$K$539,6,0),"Campo eliminado")</f>
        <v>N</v>
      </c>
      <c r="O135" s="6" t="str">
        <f t="shared" si="12"/>
        <v>Igual</v>
      </c>
      <c r="P135" s="6" t="str">
        <f>IFERROR(VLOOKUP($B135,'LISTA - Setembro2024'!$B$3:$K$539,7,0),"Campo eliminado")</f>
        <v>N</v>
      </c>
      <c r="Q135" s="6" t="str">
        <f t="shared" si="13"/>
        <v>Igual</v>
      </c>
      <c r="R135" s="6" t="str">
        <f>IFERROR(VLOOKUP($B135,'LISTA - Setembro2024'!$B$3:$K$539,9,0),"Campo eliminado")</f>
        <v>N</v>
      </c>
      <c r="S135" s="6" t="str">
        <f t="shared" si="14"/>
        <v>Igual</v>
      </c>
      <c r="U135" s="6" t="str">
        <f>VLOOKUP(B135,DataLake!$A$4:$A$429,1,0)</f>
        <v>INSTR_ENTITY_JNT_LBLTY_AMNT</v>
      </c>
    </row>
    <row r="136" spans="1:21" ht="15" hidden="1" customHeight="1" x14ac:dyDescent="0.25">
      <c r="A136" s="7" t="s">
        <v>410</v>
      </c>
      <c r="B136" s="47" t="str">
        <f t="shared" si="10"/>
        <v>INSTR_ENTITY_MN_ENTTY_ID</v>
      </c>
      <c r="C136" s="8" t="s">
        <v>400</v>
      </c>
      <c r="D136" s="9" t="s">
        <v>411</v>
      </c>
      <c r="E136" s="11" t="s">
        <v>412</v>
      </c>
      <c r="F136" s="10" t="s">
        <v>13</v>
      </c>
      <c r="G136" s="10" t="s">
        <v>11</v>
      </c>
      <c r="H136" s="10" t="s">
        <v>13</v>
      </c>
      <c r="I136" s="10" t="s">
        <v>11</v>
      </c>
      <c r="J136" s="10" t="s">
        <v>11</v>
      </c>
      <c r="L136" s="6" t="str">
        <f>IFERROR(VLOOKUP($B136,'LISTA - Setembro2024'!$B$3:$F$539,5,0),"Campo eliminado")</f>
        <v>Y</v>
      </c>
      <c r="M136" s="6" t="str">
        <f t="shared" si="11"/>
        <v>Igual</v>
      </c>
      <c r="N136" s="6" t="str">
        <f>IFERROR(VLOOKUP($B136,'LISTA - Setembro2024'!$B$3:$K$539,6,0),"Campo eliminado")</f>
        <v>N</v>
      </c>
      <c r="O136" s="6" t="str">
        <f t="shared" si="12"/>
        <v>Igual</v>
      </c>
      <c r="P136" s="6" t="str">
        <f>IFERROR(VLOOKUP($B136,'LISTA - Setembro2024'!$B$3:$K$539,7,0),"Campo eliminado")</f>
        <v>Y</v>
      </c>
      <c r="Q136" s="6" t="str">
        <f t="shared" si="13"/>
        <v>Igual</v>
      </c>
      <c r="R136" s="6" t="str">
        <f>IFERROR(VLOOKUP($B136,'LISTA - Setembro2024'!$B$3:$K$539,9,0),"Campo eliminado")</f>
        <v>N</v>
      </c>
      <c r="S136" s="6" t="str">
        <f t="shared" si="14"/>
        <v>Igual</v>
      </c>
      <c r="U136" s="6" t="str">
        <f>VLOOKUP(B136,DataLake!$A$4:$A$429,1,0)</f>
        <v>INSTR_ENTITY_MN_ENTTY_ID</v>
      </c>
    </row>
    <row r="137" spans="1:21" ht="15" hidden="1" customHeight="1" x14ac:dyDescent="0.25">
      <c r="A137" s="7" t="s">
        <v>413</v>
      </c>
      <c r="B137" s="47" t="str">
        <f t="shared" si="10"/>
        <v>INSTRUMENT_COD_SOC</v>
      </c>
      <c r="C137" s="8" t="s">
        <v>414</v>
      </c>
      <c r="D137" s="9" t="s">
        <v>12</v>
      </c>
      <c r="E137" s="11" t="s">
        <v>14</v>
      </c>
      <c r="F137" s="10" t="s">
        <v>13</v>
      </c>
      <c r="G137" s="10" t="s">
        <v>13</v>
      </c>
      <c r="H137" s="10" t="s">
        <v>13</v>
      </c>
      <c r="I137" s="10" t="s">
        <v>13</v>
      </c>
      <c r="J137" s="10" t="s">
        <v>11</v>
      </c>
      <c r="L137" s="6" t="str">
        <f>IFERROR(VLOOKUP($B137,'LISTA - Setembro2024'!$B$3:$F$539,5,0),"Campo eliminado")</f>
        <v>Y</v>
      </c>
      <c r="M137" s="6" t="str">
        <f t="shared" si="11"/>
        <v>Igual</v>
      </c>
      <c r="N137" s="6" t="str">
        <f>IFERROR(VLOOKUP($B137,'LISTA - Setembro2024'!$B$3:$K$539,6,0),"Campo eliminado")</f>
        <v>Y</v>
      </c>
      <c r="O137" s="6" t="str">
        <f t="shared" si="12"/>
        <v>Igual</v>
      </c>
      <c r="P137" s="6" t="str">
        <f>IFERROR(VLOOKUP($B137,'LISTA - Setembro2024'!$B$3:$K$539,7,0),"Campo eliminado")</f>
        <v>Y</v>
      </c>
      <c r="Q137" s="6" t="str">
        <f t="shared" si="13"/>
        <v>Igual</v>
      </c>
      <c r="R137" s="6" t="str">
        <f>IFERROR(VLOOKUP($B137,'LISTA - Setembro2024'!$B$3:$K$539,9,0),"Campo eliminado")</f>
        <v>Y</v>
      </c>
      <c r="S137" s="6" t="str">
        <f t="shared" si="14"/>
        <v>Igual</v>
      </c>
      <c r="U137" s="6" t="str">
        <f>VLOOKUP(B137,DataLake!$A$4:$A$429,1,0)</f>
        <v>INSTRUMENT_COD_SOC</v>
      </c>
    </row>
    <row r="138" spans="1:21" ht="15" hidden="1" customHeight="1" x14ac:dyDescent="0.25">
      <c r="A138" s="7" t="s">
        <v>415</v>
      </c>
      <c r="B138" s="47" t="str">
        <f t="shared" si="10"/>
        <v>INSTRUMENT_SUBPORTFOLIO_ID</v>
      </c>
      <c r="C138" s="8" t="s">
        <v>414</v>
      </c>
      <c r="D138" s="9" t="s">
        <v>416</v>
      </c>
      <c r="E138" s="11" t="s">
        <v>417</v>
      </c>
      <c r="F138" s="10" t="s">
        <v>13</v>
      </c>
      <c r="G138" s="10" t="s">
        <v>13</v>
      </c>
      <c r="H138" s="10" t="s">
        <v>13</v>
      </c>
      <c r="I138" s="10" t="s">
        <v>13</v>
      </c>
      <c r="J138" s="10" t="s">
        <v>11</v>
      </c>
      <c r="L138" s="6" t="str">
        <f>IFERROR(VLOOKUP($B138,'LISTA - Setembro2024'!$B$3:$F$539,5,0),"Campo eliminado")</f>
        <v>Y</v>
      </c>
      <c r="M138" s="6" t="str">
        <f t="shared" si="11"/>
        <v>Igual</v>
      </c>
      <c r="N138" s="6" t="str">
        <f>IFERROR(VLOOKUP($B138,'LISTA - Setembro2024'!$B$3:$K$539,6,0),"Campo eliminado")</f>
        <v>Y</v>
      </c>
      <c r="O138" s="6" t="str">
        <f t="shared" si="12"/>
        <v>Igual</v>
      </c>
      <c r="P138" s="6" t="str">
        <f>IFERROR(VLOOKUP($B138,'LISTA - Setembro2024'!$B$3:$K$539,7,0),"Campo eliminado")</f>
        <v>Y</v>
      </c>
      <c r="Q138" s="6" t="str">
        <f t="shared" si="13"/>
        <v>Igual</v>
      </c>
      <c r="R138" s="6" t="str">
        <f>IFERROR(VLOOKUP($B138,'LISTA - Setembro2024'!$B$3:$K$539,9,0),"Campo eliminado")</f>
        <v>Y</v>
      </c>
      <c r="S138" s="6" t="str">
        <f t="shared" si="14"/>
        <v>Igual</v>
      </c>
      <c r="U138" s="6" t="str">
        <f>VLOOKUP(B138,DataLake!$A$4:$A$429,1,0)</f>
        <v>INSTRUMENT_SUBPORTFOLIO_ID</v>
      </c>
    </row>
    <row r="139" spans="1:21" ht="15" hidden="1" customHeight="1" x14ac:dyDescent="0.25">
      <c r="A139" s="7" t="s">
        <v>418</v>
      </c>
      <c r="B139" s="47" t="str">
        <f t="shared" si="10"/>
        <v>INSTRUMENT_CRE_FNRP18</v>
      </c>
      <c r="C139" s="8" t="s">
        <v>414</v>
      </c>
      <c r="D139" s="9" t="s">
        <v>419</v>
      </c>
      <c r="E139" s="11" t="s">
        <v>420</v>
      </c>
      <c r="F139" s="10" t="s">
        <v>13</v>
      </c>
      <c r="G139" s="10" t="s">
        <v>11</v>
      </c>
      <c r="H139" s="10" t="s">
        <v>11</v>
      </c>
      <c r="I139" s="10" t="s">
        <v>11</v>
      </c>
      <c r="J139" s="10" t="s">
        <v>11</v>
      </c>
      <c r="L139" s="6" t="str">
        <f>IFERROR(VLOOKUP($B139,'LISTA - Setembro2024'!$B$3:$F$539,5,0),"Campo eliminado")</f>
        <v>Y</v>
      </c>
      <c r="M139" s="6" t="str">
        <f t="shared" si="11"/>
        <v>Igual</v>
      </c>
      <c r="N139" s="6" t="str">
        <f>IFERROR(VLOOKUP($B139,'LISTA - Setembro2024'!$B$3:$K$539,6,0),"Campo eliminado")</f>
        <v>N</v>
      </c>
      <c r="O139" s="6" t="str">
        <f t="shared" si="12"/>
        <v>Igual</v>
      </c>
      <c r="P139" s="6" t="str">
        <f>IFERROR(VLOOKUP($B139,'LISTA - Setembro2024'!$B$3:$K$539,7,0),"Campo eliminado")</f>
        <v>N</v>
      </c>
      <c r="Q139" s="6" t="str">
        <f t="shared" si="13"/>
        <v>Igual</v>
      </c>
      <c r="R139" s="6" t="str">
        <f>IFERROR(VLOOKUP($B139,'LISTA - Setembro2024'!$B$3:$K$539,9,0),"Campo eliminado")</f>
        <v>N</v>
      </c>
      <c r="S139" s="6" t="str">
        <f t="shared" si="14"/>
        <v>Igual</v>
      </c>
      <c r="U139" s="6" t="str">
        <f>VLOOKUP(B139,DataLake!$A$4:$A$429,1,0)</f>
        <v>INSTRUMENT_CRE_FNRP18</v>
      </c>
    </row>
    <row r="140" spans="1:21" ht="15" hidden="1" customHeight="1" x14ac:dyDescent="0.25">
      <c r="A140" s="7" t="s">
        <v>421</v>
      </c>
      <c r="B140" s="47" t="str">
        <f t="shared" si="10"/>
        <v>INSTRUMENT_SME_FNRP18</v>
      </c>
      <c r="C140" s="8" t="s">
        <v>414</v>
      </c>
      <c r="D140" s="9" t="s">
        <v>422</v>
      </c>
      <c r="E140" s="11" t="s">
        <v>423</v>
      </c>
      <c r="F140" s="10" t="s">
        <v>13</v>
      </c>
      <c r="G140" s="10" t="s">
        <v>11</v>
      </c>
      <c r="H140" s="10" t="s">
        <v>11</v>
      </c>
      <c r="I140" s="10" t="s">
        <v>11</v>
      </c>
      <c r="J140" s="10" t="s">
        <v>11</v>
      </c>
      <c r="L140" s="6" t="str">
        <f>IFERROR(VLOOKUP($B140,'LISTA - Setembro2024'!$B$3:$F$539,5,0),"Campo eliminado")</f>
        <v>Y</v>
      </c>
      <c r="M140" s="6" t="str">
        <f t="shared" si="11"/>
        <v>Igual</v>
      </c>
      <c r="N140" s="6" t="str">
        <f>IFERROR(VLOOKUP($B140,'LISTA - Setembro2024'!$B$3:$K$539,6,0),"Campo eliminado")</f>
        <v>N</v>
      </c>
      <c r="O140" s="6" t="str">
        <f t="shared" si="12"/>
        <v>Igual</v>
      </c>
      <c r="P140" s="6" t="str">
        <f>IFERROR(VLOOKUP($B140,'LISTA - Setembro2024'!$B$3:$K$539,7,0),"Campo eliminado")</f>
        <v>N</v>
      </c>
      <c r="Q140" s="6" t="str">
        <f t="shared" si="13"/>
        <v>Igual</v>
      </c>
      <c r="R140" s="6" t="str">
        <f>IFERROR(VLOOKUP($B140,'LISTA - Setembro2024'!$B$3:$K$539,9,0),"Campo eliminado")</f>
        <v>N</v>
      </c>
      <c r="S140" s="6" t="str">
        <f t="shared" si="14"/>
        <v>Igual</v>
      </c>
      <c r="U140" s="6" t="str">
        <f>VLOOKUP(B140,DataLake!$A$4:$A$429,1,0)</f>
        <v>INSTRUMENT_SME_FNRP18</v>
      </c>
    </row>
    <row r="141" spans="1:21" ht="15" hidden="1" customHeight="1" x14ac:dyDescent="0.25">
      <c r="A141" s="7" t="s">
        <v>424</v>
      </c>
      <c r="B141" s="47" t="str">
        <f t="shared" si="10"/>
        <v>INSTRUMENT_RRE_FNRP18</v>
      </c>
      <c r="C141" s="8" t="s">
        <v>414</v>
      </c>
      <c r="D141" s="9" t="s">
        <v>425</v>
      </c>
      <c r="E141" s="11" t="s">
        <v>426</v>
      </c>
      <c r="F141" s="10" t="s">
        <v>13</v>
      </c>
      <c r="G141" s="10" t="s">
        <v>11</v>
      </c>
      <c r="H141" s="10" t="s">
        <v>11</v>
      </c>
      <c r="I141" s="10" t="s">
        <v>11</v>
      </c>
      <c r="J141" s="10" t="s">
        <v>11</v>
      </c>
      <c r="L141" s="6" t="str">
        <f>IFERROR(VLOOKUP($B141,'LISTA - Setembro2024'!$B$3:$F$539,5,0),"Campo eliminado")</f>
        <v>Y</v>
      </c>
      <c r="M141" s="6" t="str">
        <f t="shared" si="11"/>
        <v>Igual</v>
      </c>
      <c r="N141" s="6" t="str">
        <f>IFERROR(VLOOKUP($B141,'LISTA - Setembro2024'!$B$3:$K$539,6,0),"Campo eliminado")</f>
        <v>N</v>
      </c>
      <c r="O141" s="6" t="str">
        <f t="shared" si="12"/>
        <v>Igual</v>
      </c>
      <c r="P141" s="6" t="str">
        <f>IFERROR(VLOOKUP($B141,'LISTA - Setembro2024'!$B$3:$K$539,7,0),"Campo eliminado")</f>
        <v>N</v>
      </c>
      <c r="Q141" s="6" t="str">
        <f t="shared" si="13"/>
        <v>Igual</v>
      </c>
      <c r="R141" s="6" t="str">
        <f>IFERROR(VLOOKUP($B141,'LISTA - Setembro2024'!$B$3:$K$539,9,0),"Campo eliminado")</f>
        <v>N</v>
      </c>
      <c r="S141" s="6" t="str">
        <f t="shared" si="14"/>
        <v>Igual</v>
      </c>
      <c r="U141" s="6" t="str">
        <f>VLOOKUP(B141,DataLake!$A$4:$A$429,1,0)</f>
        <v>INSTRUMENT_RRE_FNRP18</v>
      </c>
    </row>
    <row r="142" spans="1:21" ht="15" hidden="1" customHeight="1" x14ac:dyDescent="0.25">
      <c r="A142" s="7" t="s">
        <v>427</v>
      </c>
      <c r="B142" s="47" t="str">
        <f t="shared" si="10"/>
        <v>INSTRUMENT_CNSMPTN_FNRP18</v>
      </c>
      <c r="C142" s="8" t="s">
        <v>414</v>
      </c>
      <c r="D142" s="9" t="s">
        <v>428</v>
      </c>
      <c r="E142" s="11" t="s">
        <v>429</v>
      </c>
      <c r="F142" s="10" t="s">
        <v>13</v>
      </c>
      <c r="G142" s="10" t="s">
        <v>11</v>
      </c>
      <c r="H142" s="10" t="s">
        <v>11</v>
      </c>
      <c r="I142" s="10" t="s">
        <v>11</v>
      </c>
      <c r="J142" s="10" t="s">
        <v>11</v>
      </c>
      <c r="L142" s="6" t="str">
        <f>IFERROR(VLOOKUP($B142,'LISTA - Setembro2024'!$B$3:$F$539,5,0),"Campo eliminado")</f>
        <v>Y</v>
      </c>
      <c r="M142" s="6" t="str">
        <f t="shared" si="11"/>
        <v>Igual</v>
      </c>
      <c r="N142" s="6" t="str">
        <f>IFERROR(VLOOKUP($B142,'LISTA - Setembro2024'!$B$3:$K$539,6,0),"Campo eliminado")</f>
        <v>N</v>
      </c>
      <c r="O142" s="6" t="str">
        <f t="shared" si="12"/>
        <v>Igual</v>
      </c>
      <c r="P142" s="6" t="str">
        <f>IFERROR(VLOOKUP($B142,'LISTA - Setembro2024'!$B$3:$K$539,7,0),"Campo eliminado")</f>
        <v>N</v>
      </c>
      <c r="Q142" s="6" t="str">
        <f t="shared" si="13"/>
        <v>Igual</v>
      </c>
      <c r="R142" s="6" t="str">
        <f>IFERROR(VLOOKUP($B142,'LISTA - Setembro2024'!$B$3:$K$539,9,0),"Campo eliminado")</f>
        <v>N</v>
      </c>
      <c r="S142" s="6" t="str">
        <f t="shared" si="14"/>
        <v>Igual</v>
      </c>
      <c r="U142" s="6" t="str">
        <f>VLOOKUP(B142,DataLake!$A$4:$A$429,1,0)</f>
        <v>INSTRUMENT_CNSMPTN_FNRP18</v>
      </c>
    </row>
    <row r="143" spans="1:21" ht="15" hidden="1" customHeight="1" x14ac:dyDescent="0.25">
      <c r="A143" s="7" t="s">
        <v>430</v>
      </c>
      <c r="B143" s="47" t="str">
        <f t="shared" si="10"/>
        <v>INSTRUMENT_DT_RFRNC</v>
      </c>
      <c r="C143" s="8" t="s">
        <v>414</v>
      </c>
      <c r="D143" s="9" t="s">
        <v>38</v>
      </c>
      <c r="E143" s="11" t="s">
        <v>402</v>
      </c>
      <c r="F143" s="10" t="s">
        <v>13</v>
      </c>
      <c r="G143" s="10" t="s">
        <v>13</v>
      </c>
      <c r="H143" s="10" t="s">
        <v>13</v>
      </c>
      <c r="I143" s="10" t="s">
        <v>13</v>
      </c>
      <c r="J143" s="10" t="s">
        <v>11</v>
      </c>
      <c r="L143" s="6" t="str">
        <f>IFERROR(VLOOKUP($B143,'LISTA - Setembro2024'!$B$3:$F$539,5,0),"Campo eliminado")</f>
        <v>Y</v>
      </c>
      <c r="M143" s="6" t="str">
        <f t="shared" si="11"/>
        <v>Igual</v>
      </c>
      <c r="N143" s="6" t="str">
        <f>IFERROR(VLOOKUP($B143,'LISTA - Setembro2024'!$B$3:$K$539,6,0),"Campo eliminado")</f>
        <v>Y</v>
      </c>
      <c r="O143" s="6" t="str">
        <f t="shared" si="12"/>
        <v>Igual</v>
      </c>
      <c r="P143" s="6" t="str">
        <f>IFERROR(VLOOKUP($B143,'LISTA - Setembro2024'!$B$3:$K$539,7,0),"Campo eliminado")</f>
        <v>Y</v>
      </c>
      <c r="Q143" s="6" t="str">
        <f t="shared" si="13"/>
        <v>Igual</v>
      </c>
      <c r="R143" s="6" t="str">
        <f>IFERROR(VLOOKUP($B143,'LISTA - Setembro2024'!$B$3:$K$539,9,0),"Campo eliminado")</f>
        <v>Y</v>
      </c>
      <c r="S143" s="6" t="str">
        <f t="shared" si="14"/>
        <v>Igual</v>
      </c>
      <c r="U143" s="6" t="e">
        <f>VLOOKUP(B143,DataLake!$A$4:$A$429,1,0)</f>
        <v>#N/A</v>
      </c>
    </row>
    <row r="144" spans="1:21" ht="15" hidden="1" customHeight="1" x14ac:dyDescent="0.25">
      <c r="A144" s="7" t="s">
        <v>431</v>
      </c>
      <c r="B144" s="47" t="str">
        <f t="shared" si="10"/>
        <v>INSTRUMENT_INSTRMNT_ID</v>
      </c>
      <c r="C144" s="8" t="s">
        <v>414</v>
      </c>
      <c r="D144" s="9" t="s">
        <v>405</v>
      </c>
      <c r="E144" s="11" t="s">
        <v>406</v>
      </c>
      <c r="F144" s="10" t="s">
        <v>13</v>
      </c>
      <c r="G144" s="10" t="s">
        <v>13</v>
      </c>
      <c r="H144" s="10" t="s">
        <v>13</v>
      </c>
      <c r="I144" s="10" t="s">
        <v>13</v>
      </c>
      <c r="J144" s="10" t="s">
        <v>11</v>
      </c>
      <c r="L144" s="6" t="str">
        <f>IFERROR(VLOOKUP($B144,'LISTA - Setembro2024'!$B$3:$F$539,5,0),"Campo eliminado")</f>
        <v>Y</v>
      </c>
      <c r="M144" s="6" t="str">
        <f t="shared" si="11"/>
        <v>Igual</v>
      </c>
      <c r="N144" s="6" t="str">
        <f>IFERROR(VLOOKUP($B144,'LISTA - Setembro2024'!$B$3:$K$539,6,0),"Campo eliminado")</f>
        <v>Y</v>
      </c>
      <c r="O144" s="6" t="str">
        <f t="shared" si="12"/>
        <v>Igual</v>
      </c>
      <c r="P144" s="6" t="str">
        <f>IFERROR(VLOOKUP($B144,'LISTA - Setembro2024'!$B$3:$K$539,7,0),"Campo eliminado")</f>
        <v>Y</v>
      </c>
      <c r="Q144" s="6" t="str">
        <f t="shared" si="13"/>
        <v>Igual</v>
      </c>
      <c r="R144" s="6" t="str">
        <f>IFERROR(VLOOKUP($B144,'LISTA - Setembro2024'!$B$3:$K$539,9,0),"Campo eliminado")</f>
        <v>Y</v>
      </c>
      <c r="S144" s="6" t="str">
        <f t="shared" si="14"/>
        <v>Igual</v>
      </c>
      <c r="U144" s="6" t="str">
        <f>VLOOKUP(B144,DataLake!$A$4:$A$429,1,0)</f>
        <v>INSTRUMENT_INSTRMNT_ID</v>
      </c>
    </row>
    <row r="145" spans="1:21" ht="15" hidden="1" customHeight="1" x14ac:dyDescent="0.25">
      <c r="A145" s="7" t="s">
        <v>432</v>
      </c>
      <c r="B145" s="47" t="str">
        <f t="shared" si="10"/>
        <v>INSTRUMENT_CNTRCT_ID</v>
      </c>
      <c r="C145" s="8" t="s">
        <v>414</v>
      </c>
      <c r="D145" s="9" t="s">
        <v>433</v>
      </c>
      <c r="E145" s="11" t="s">
        <v>434</v>
      </c>
      <c r="F145" s="10" t="s">
        <v>13</v>
      </c>
      <c r="G145" s="10" t="s">
        <v>11</v>
      </c>
      <c r="H145" s="10" t="s">
        <v>11</v>
      </c>
      <c r="I145" s="10" t="s">
        <v>11</v>
      </c>
      <c r="J145" s="10" t="s">
        <v>11</v>
      </c>
      <c r="L145" s="6" t="str">
        <f>IFERROR(VLOOKUP($B145,'LISTA - Setembro2024'!$B$3:$F$539,5,0),"Campo eliminado")</f>
        <v>Y</v>
      </c>
      <c r="M145" s="6" t="str">
        <f t="shared" si="11"/>
        <v>Igual</v>
      </c>
      <c r="N145" s="6" t="str">
        <f>IFERROR(VLOOKUP($B145,'LISTA - Setembro2024'!$B$3:$K$539,6,0),"Campo eliminado")</f>
        <v>N</v>
      </c>
      <c r="O145" s="6" t="str">
        <f t="shared" si="12"/>
        <v>Igual</v>
      </c>
      <c r="P145" s="6" t="str">
        <f>IFERROR(VLOOKUP($B145,'LISTA - Setembro2024'!$B$3:$K$539,7,0),"Campo eliminado")</f>
        <v>N</v>
      </c>
      <c r="Q145" s="6" t="str">
        <f t="shared" si="13"/>
        <v>Igual</v>
      </c>
      <c r="R145" s="6" t="str">
        <f>IFERROR(VLOOKUP($B145,'LISTA - Setembro2024'!$B$3:$K$539,9,0),"Campo eliminado")</f>
        <v>N</v>
      </c>
      <c r="S145" s="6" t="str">
        <f t="shared" si="14"/>
        <v>Igual</v>
      </c>
      <c r="U145" s="6" t="str">
        <f>VLOOKUP(B145,DataLake!$A$4:$A$429,1,0)</f>
        <v>INSTRUMENT_CNTRCT_ID</v>
      </c>
    </row>
    <row r="146" spans="1:21" ht="15" hidden="1" customHeight="1" x14ac:dyDescent="0.25">
      <c r="A146" s="7" t="s">
        <v>435</v>
      </c>
      <c r="B146" s="47" t="str">
        <f t="shared" si="10"/>
        <v>INSTRUMENT_CRRNCY_DNMNTN</v>
      </c>
      <c r="C146" s="8" t="s">
        <v>414</v>
      </c>
      <c r="D146" s="9" t="s">
        <v>436</v>
      </c>
      <c r="E146" s="11" t="s">
        <v>437</v>
      </c>
      <c r="F146" s="10" t="s">
        <v>13</v>
      </c>
      <c r="G146" s="10" t="s">
        <v>11</v>
      </c>
      <c r="H146" s="10" t="s">
        <v>11</v>
      </c>
      <c r="I146" s="10" t="s">
        <v>11</v>
      </c>
      <c r="J146" s="10" t="s">
        <v>11</v>
      </c>
      <c r="L146" s="6" t="str">
        <f>IFERROR(VLOOKUP($B146,'LISTA - Setembro2024'!$B$3:$F$539,5,0),"Campo eliminado")</f>
        <v>Y</v>
      </c>
      <c r="M146" s="6" t="str">
        <f t="shared" si="11"/>
        <v>Igual</v>
      </c>
      <c r="N146" s="6" t="str">
        <f>IFERROR(VLOOKUP($B146,'LISTA - Setembro2024'!$B$3:$K$539,6,0),"Campo eliminado")</f>
        <v>N</v>
      </c>
      <c r="O146" s="6" t="str">
        <f t="shared" si="12"/>
        <v>Igual</v>
      </c>
      <c r="P146" s="6" t="str">
        <f>IFERROR(VLOOKUP($B146,'LISTA - Setembro2024'!$B$3:$K$539,7,0),"Campo eliminado")</f>
        <v>N</v>
      </c>
      <c r="Q146" s="6" t="str">
        <f t="shared" si="13"/>
        <v>Igual</v>
      </c>
      <c r="R146" s="6" t="str">
        <f>IFERROR(VLOOKUP($B146,'LISTA - Setembro2024'!$B$3:$K$539,9,0),"Campo eliminado")</f>
        <v>N</v>
      </c>
      <c r="S146" s="6" t="str">
        <f t="shared" si="14"/>
        <v>Igual</v>
      </c>
      <c r="U146" s="6" t="str">
        <f>VLOOKUP(B146,DataLake!$A$4:$A$429,1,0)</f>
        <v>INSTRUMENT_CRRNCY_DNMNTN</v>
      </c>
    </row>
    <row r="147" spans="1:21" ht="15" hidden="1" customHeight="1" x14ac:dyDescent="0.25">
      <c r="A147" s="7" t="s">
        <v>438</v>
      </c>
      <c r="B147" s="47" t="str">
        <f t="shared" si="10"/>
        <v>INSTRUMENT_DT_INCPTN</v>
      </c>
      <c r="C147" s="8" t="s">
        <v>414</v>
      </c>
      <c r="D147" s="9" t="s">
        <v>439</v>
      </c>
      <c r="E147" s="11" t="s">
        <v>440</v>
      </c>
      <c r="F147" s="10" t="s">
        <v>13</v>
      </c>
      <c r="G147" s="10" t="s">
        <v>11</v>
      </c>
      <c r="H147" s="10" t="s">
        <v>13</v>
      </c>
      <c r="I147" s="10" t="s">
        <v>11</v>
      </c>
      <c r="J147" s="10" t="s">
        <v>11</v>
      </c>
      <c r="L147" s="6" t="str">
        <f>IFERROR(VLOOKUP($B147,'LISTA - Setembro2024'!$B$3:$F$539,5,0),"Campo eliminado")</f>
        <v>Y</v>
      </c>
      <c r="M147" s="6" t="str">
        <f t="shared" si="11"/>
        <v>Igual</v>
      </c>
      <c r="N147" s="6" t="str">
        <f>IFERROR(VLOOKUP($B147,'LISTA - Setembro2024'!$B$3:$K$539,6,0),"Campo eliminado")</f>
        <v>N</v>
      </c>
      <c r="O147" s="6" t="str">
        <f t="shared" si="12"/>
        <v>Igual</v>
      </c>
      <c r="P147" s="6" t="str">
        <f>IFERROR(VLOOKUP($B147,'LISTA - Setembro2024'!$B$3:$K$539,7,0),"Campo eliminado")</f>
        <v>Y</v>
      </c>
      <c r="Q147" s="6" t="str">
        <f t="shared" si="13"/>
        <v>Igual</v>
      </c>
      <c r="R147" s="6" t="str">
        <f>IFERROR(VLOOKUP($B147,'LISTA - Setembro2024'!$B$3:$K$539,9,0),"Campo eliminado")</f>
        <v>N</v>
      </c>
      <c r="S147" s="6" t="str">
        <f t="shared" si="14"/>
        <v>Igual</v>
      </c>
      <c r="U147" s="6" t="str">
        <f>VLOOKUP(B147,DataLake!$A$4:$A$429,1,0)</f>
        <v>INSTRUMENT_DT_INCPTN</v>
      </c>
    </row>
    <row r="148" spans="1:21" ht="15" hidden="1" customHeight="1" x14ac:dyDescent="0.25">
      <c r="A148" s="7" t="s">
        <v>441</v>
      </c>
      <c r="B148" s="47" t="str">
        <f t="shared" si="10"/>
        <v>INSTRUMENT_OBSRVD_AGNT_ID</v>
      </c>
      <c r="C148" s="8" t="s">
        <v>414</v>
      </c>
      <c r="D148" s="9" t="s">
        <v>442</v>
      </c>
      <c r="E148" s="11" t="s">
        <v>443</v>
      </c>
      <c r="F148" s="10" t="s">
        <v>13</v>
      </c>
      <c r="G148" s="10" t="s">
        <v>11</v>
      </c>
      <c r="H148" s="10" t="s">
        <v>11</v>
      </c>
      <c r="I148" s="10" t="s">
        <v>11</v>
      </c>
      <c r="J148" s="10" t="s">
        <v>11</v>
      </c>
      <c r="L148" s="6" t="str">
        <f>IFERROR(VLOOKUP($B148,'LISTA - Setembro2024'!$B$3:$F$539,5,0),"Campo eliminado")</f>
        <v>Y</v>
      </c>
      <c r="M148" s="6" t="str">
        <f t="shared" si="11"/>
        <v>Igual</v>
      </c>
      <c r="N148" s="6" t="str">
        <f>IFERROR(VLOOKUP($B148,'LISTA - Setembro2024'!$B$3:$K$539,6,0),"Campo eliminado")</f>
        <v>N</v>
      </c>
      <c r="O148" s="6" t="str">
        <f t="shared" si="12"/>
        <v>Igual</v>
      </c>
      <c r="P148" s="6" t="str">
        <f>IFERROR(VLOOKUP($B148,'LISTA - Setembro2024'!$B$3:$K$539,7,0),"Campo eliminado")</f>
        <v>N</v>
      </c>
      <c r="Q148" s="6" t="str">
        <f t="shared" si="13"/>
        <v>Igual</v>
      </c>
      <c r="R148" s="6" t="str">
        <f>IFERROR(VLOOKUP($B148,'LISTA - Setembro2024'!$B$3:$K$539,9,0),"Campo eliminado")</f>
        <v>N</v>
      </c>
      <c r="S148" s="6" t="str">
        <f t="shared" si="14"/>
        <v>Igual</v>
      </c>
      <c r="U148" s="6" t="str">
        <f>VLOOKUP(B148,DataLake!$A$4:$A$429,1,0)</f>
        <v>INSTRUMENT_OBSRVD_AGNT_ID</v>
      </c>
    </row>
    <row r="149" spans="1:21" ht="15" hidden="1" customHeight="1" x14ac:dyDescent="0.25">
      <c r="A149" s="7" t="s">
        <v>444</v>
      </c>
      <c r="B149" s="47" t="str">
        <f t="shared" si="10"/>
        <v>INSTRUMENT_OBSRVD_AGNT_NM</v>
      </c>
      <c r="C149" s="8" t="s">
        <v>414</v>
      </c>
      <c r="D149" s="9" t="s">
        <v>445</v>
      </c>
      <c r="E149" s="11" t="s">
        <v>446</v>
      </c>
      <c r="F149" s="10" t="s">
        <v>13</v>
      </c>
      <c r="G149" s="10" t="s">
        <v>11</v>
      </c>
      <c r="H149" s="10" t="s">
        <v>11</v>
      </c>
      <c r="I149" s="10" t="s">
        <v>11</v>
      </c>
      <c r="J149" s="10" t="s">
        <v>11</v>
      </c>
      <c r="L149" s="6" t="str">
        <f>IFERROR(VLOOKUP($B149,'LISTA - Setembro2024'!$B$3:$F$539,5,0),"Campo eliminado")</f>
        <v>Y</v>
      </c>
      <c r="M149" s="6" t="str">
        <f t="shared" si="11"/>
        <v>Igual</v>
      </c>
      <c r="N149" s="6" t="str">
        <f>IFERROR(VLOOKUP($B149,'LISTA - Setembro2024'!$B$3:$K$539,6,0),"Campo eliminado")</f>
        <v>N</v>
      </c>
      <c r="O149" s="6" t="str">
        <f t="shared" si="12"/>
        <v>Igual</v>
      </c>
      <c r="P149" s="6" t="str">
        <f>IFERROR(VLOOKUP($B149,'LISTA - Setembro2024'!$B$3:$K$539,7,0),"Campo eliminado")</f>
        <v>N</v>
      </c>
      <c r="Q149" s="6" t="str">
        <f t="shared" si="13"/>
        <v>Igual</v>
      </c>
      <c r="R149" s="6" t="str">
        <f>IFERROR(VLOOKUP($B149,'LISTA - Setembro2024'!$B$3:$K$539,9,0),"Campo eliminado")</f>
        <v>N</v>
      </c>
      <c r="S149" s="6" t="str">
        <f t="shared" si="14"/>
        <v>Igual</v>
      </c>
      <c r="U149" s="6" t="str">
        <f>VLOOKUP(B149,DataLake!$A$4:$A$429,1,0)</f>
        <v>INSTRUMENT_OBSRVD_AGNT_NM</v>
      </c>
    </row>
    <row r="150" spans="1:21" ht="15" hidden="1" customHeight="1" x14ac:dyDescent="0.25">
      <c r="A150" s="7" t="s">
        <v>447</v>
      </c>
      <c r="B150" s="47" t="str">
        <f t="shared" si="10"/>
        <v>INSTRUMENT_PRDCT</v>
      </c>
      <c r="C150" s="8" t="s">
        <v>414</v>
      </c>
      <c r="D150" s="9" t="s">
        <v>448</v>
      </c>
      <c r="E150" s="11" t="s">
        <v>449</v>
      </c>
      <c r="F150" s="10" t="s">
        <v>13</v>
      </c>
      <c r="G150" s="10" t="s">
        <v>11</v>
      </c>
      <c r="H150" s="10" t="s">
        <v>11</v>
      </c>
      <c r="I150" s="10" t="s">
        <v>11</v>
      </c>
      <c r="J150" s="10" t="s">
        <v>11</v>
      </c>
      <c r="L150" s="6" t="str">
        <f>IFERROR(VLOOKUP($B150,'LISTA - Setembro2024'!$B$3:$F$539,5,0),"Campo eliminado")</f>
        <v>Y</v>
      </c>
      <c r="M150" s="6" t="str">
        <f t="shared" si="11"/>
        <v>Igual</v>
      </c>
      <c r="N150" s="6" t="str">
        <f>IFERROR(VLOOKUP($B150,'LISTA - Setembro2024'!$B$3:$K$539,6,0),"Campo eliminado")</f>
        <v>N</v>
      </c>
      <c r="O150" s="6" t="str">
        <f t="shared" si="12"/>
        <v>Igual</v>
      </c>
      <c r="P150" s="6" t="str">
        <f>IFERROR(VLOOKUP($B150,'LISTA - Setembro2024'!$B$3:$K$539,7,0),"Campo eliminado")</f>
        <v>N</v>
      </c>
      <c r="Q150" s="6" t="str">
        <f t="shared" si="13"/>
        <v>Igual</v>
      </c>
      <c r="R150" s="6" t="str">
        <f>IFERROR(VLOOKUP($B150,'LISTA - Setembro2024'!$B$3:$K$539,9,0),"Campo eliminado")</f>
        <v>N</v>
      </c>
      <c r="S150" s="6" t="str">
        <f t="shared" si="14"/>
        <v>Igual</v>
      </c>
      <c r="U150" s="6" t="str">
        <f>VLOOKUP(B150,DataLake!$A$4:$A$429,1,0)</f>
        <v>INSTRUMENT_PRDCT</v>
      </c>
    </row>
    <row r="151" spans="1:21" ht="15" hidden="1" customHeight="1" x14ac:dyDescent="0.25">
      <c r="A151" s="7" t="s">
        <v>450</v>
      </c>
      <c r="B151" s="47" t="str">
        <f t="shared" si="10"/>
        <v>INSTRUMENT_BRCHD_CVNNTS</v>
      </c>
      <c r="C151" s="8" t="s">
        <v>414</v>
      </c>
      <c r="D151" s="9" t="s">
        <v>451</v>
      </c>
      <c r="E151" s="11" t="s">
        <v>452</v>
      </c>
      <c r="F151" s="10" t="s">
        <v>13</v>
      </c>
      <c r="G151" s="10" t="s">
        <v>11</v>
      </c>
      <c r="H151" s="10" t="s">
        <v>11</v>
      </c>
      <c r="I151" s="10" t="s">
        <v>11</v>
      </c>
      <c r="J151" s="10" t="s">
        <v>11</v>
      </c>
      <c r="L151" s="6" t="str">
        <f>IFERROR(VLOOKUP($B151,'LISTA - Setembro2024'!$B$3:$F$539,5,0),"Campo eliminado")</f>
        <v>Y</v>
      </c>
      <c r="M151" s="6" t="str">
        <f t="shared" si="11"/>
        <v>Igual</v>
      </c>
      <c r="N151" s="6" t="str">
        <f>IFERROR(VLOOKUP($B151,'LISTA - Setembro2024'!$B$3:$K$539,6,0),"Campo eliminado")</f>
        <v>N</v>
      </c>
      <c r="O151" s="6" t="str">
        <f t="shared" si="12"/>
        <v>Igual</v>
      </c>
      <c r="P151" s="6" t="str">
        <f>IFERROR(VLOOKUP($B151,'LISTA - Setembro2024'!$B$3:$K$539,7,0),"Campo eliminado")</f>
        <v>N</v>
      </c>
      <c r="Q151" s="6" t="str">
        <f t="shared" si="13"/>
        <v>Igual</v>
      </c>
      <c r="R151" s="6" t="str">
        <f>IFERROR(VLOOKUP($B151,'LISTA - Setembro2024'!$B$3:$K$539,9,0),"Campo eliminado")</f>
        <v>N</v>
      </c>
      <c r="S151" s="6" t="str">
        <f t="shared" si="14"/>
        <v>Igual</v>
      </c>
      <c r="U151" s="6" t="str">
        <f>VLOOKUP(B151,DataLake!$A$4:$A$429,1,0)</f>
        <v>INSTRUMENT_BRCHD_CVNNTS</v>
      </c>
    </row>
    <row r="152" spans="1:21" ht="15" hidden="1" customHeight="1" x14ac:dyDescent="0.25">
      <c r="A152" s="7" t="s">
        <v>453</v>
      </c>
      <c r="B152" s="47" t="str">
        <f t="shared" si="10"/>
        <v>INSTRUMENT_CHNNL_ORGNTN</v>
      </c>
      <c r="C152" s="8" t="s">
        <v>414</v>
      </c>
      <c r="D152" s="9" t="s">
        <v>454</v>
      </c>
      <c r="E152" s="11" t="s">
        <v>455</v>
      </c>
      <c r="F152" s="10" t="s">
        <v>13</v>
      </c>
      <c r="G152" s="10" t="s">
        <v>11</v>
      </c>
      <c r="H152" s="10" t="s">
        <v>11</v>
      </c>
      <c r="I152" s="10" t="s">
        <v>11</v>
      </c>
      <c r="J152" s="10" t="s">
        <v>11</v>
      </c>
      <c r="L152" s="6" t="str">
        <f>IFERROR(VLOOKUP($B152,'LISTA - Setembro2024'!$B$3:$F$539,5,0),"Campo eliminado")</f>
        <v>Y</v>
      </c>
      <c r="M152" s="6" t="str">
        <f t="shared" si="11"/>
        <v>Igual</v>
      </c>
      <c r="N152" s="6" t="str">
        <f>IFERROR(VLOOKUP($B152,'LISTA - Setembro2024'!$B$3:$K$539,6,0),"Campo eliminado")</f>
        <v>N</v>
      </c>
      <c r="O152" s="6" t="str">
        <f t="shared" si="12"/>
        <v>Igual</v>
      </c>
      <c r="P152" s="6" t="str">
        <f>IFERROR(VLOOKUP($B152,'LISTA - Setembro2024'!$B$3:$K$539,7,0),"Campo eliminado")</f>
        <v>N</v>
      </c>
      <c r="Q152" s="6" t="str">
        <f t="shared" si="13"/>
        <v>Igual</v>
      </c>
      <c r="R152" s="6" t="str">
        <f>IFERROR(VLOOKUP($B152,'LISTA - Setembro2024'!$B$3:$K$539,9,0),"Campo eliminado")</f>
        <v>N</v>
      </c>
      <c r="S152" s="6" t="str">
        <f t="shared" si="14"/>
        <v>Igual</v>
      </c>
      <c r="U152" s="6" t="str">
        <f>VLOOKUP(B152,DataLake!$A$4:$A$429,1,0)</f>
        <v>INSTRUMENT_CHNNL_ORGNTN</v>
      </c>
    </row>
    <row r="153" spans="1:21" ht="15" hidden="1" customHeight="1" x14ac:dyDescent="0.25">
      <c r="A153" s="7" t="s">
        <v>456</v>
      </c>
      <c r="B153" s="47" t="str">
        <f t="shared" si="10"/>
        <v>INSTRUMENT_CSH_SWP_TRP</v>
      </c>
      <c r="C153" s="8" t="s">
        <v>414</v>
      </c>
      <c r="D153" s="19" t="s">
        <v>457</v>
      </c>
      <c r="E153" s="11" t="s">
        <v>458</v>
      </c>
      <c r="F153" s="10" t="s">
        <v>13</v>
      </c>
      <c r="G153" s="10" t="s">
        <v>11</v>
      </c>
      <c r="H153" s="10" t="s">
        <v>11</v>
      </c>
      <c r="I153" s="10" t="s">
        <v>11</v>
      </c>
      <c r="J153" s="10" t="s">
        <v>11</v>
      </c>
      <c r="L153" s="6" t="str">
        <f>IFERROR(VLOOKUP($B153,'LISTA - Setembro2024'!$B$3:$F$539,5,0),"Campo eliminado")</f>
        <v>Y</v>
      </c>
      <c r="M153" s="6" t="str">
        <f t="shared" si="11"/>
        <v>Igual</v>
      </c>
      <c r="N153" s="6" t="str">
        <f>IFERROR(VLOOKUP($B153,'LISTA - Setembro2024'!$B$3:$K$539,6,0),"Campo eliminado")</f>
        <v>N</v>
      </c>
      <c r="O153" s="6" t="str">
        <f t="shared" si="12"/>
        <v>Igual</v>
      </c>
      <c r="P153" s="6" t="str">
        <f>IFERROR(VLOOKUP($B153,'LISTA - Setembro2024'!$B$3:$K$539,7,0),"Campo eliminado")</f>
        <v>N</v>
      </c>
      <c r="Q153" s="6" t="str">
        <f t="shared" si="13"/>
        <v>Igual</v>
      </c>
      <c r="R153" s="6" t="str">
        <f>IFERROR(VLOOKUP($B153,'LISTA - Setembro2024'!$B$3:$K$539,9,0),"Campo eliminado")</f>
        <v>N</v>
      </c>
      <c r="S153" s="6" t="str">
        <f t="shared" si="14"/>
        <v>Igual</v>
      </c>
      <c r="U153" s="6" t="str">
        <f>VLOOKUP(B153,DataLake!$A$4:$A$429,1,0)</f>
        <v>INSTRUMENT_CSH_SWP_TRP</v>
      </c>
    </row>
    <row r="154" spans="1:21" ht="15" hidden="1" customHeight="1" x14ac:dyDescent="0.25">
      <c r="A154" s="7" t="s">
        <v>459</v>
      </c>
      <c r="B154" s="47" t="str">
        <f t="shared" si="10"/>
        <v>INSTRUMENT_CVNNT_STTS</v>
      </c>
      <c r="C154" s="8" t="s">
        <v>414</v>
      </c>
      <c r="D154" s="9" t="s">
        <v>460</v>
      </c>
      <c r="E154" s="11" t="s">
        <v>461</v>
      </c>
      <c r="F154" s="10" t="s">
        <v>13</v>
      </c>
      <c r="G154" s="10" t="s">
        <v>11</v>
      </c>
      <c r="H154" s="10" t="s">
        <v>11</v>
      </c>
      <c r="I154" s="10" t="s">
        <v>11</v>
      </c>
      <c r="J154" s="10" t="s">
        <v>11</v>
      </c>
      <c r="L154" s="6" t="str">
        <f>IFERROR(VLOOKUP($B154,'LISTA - Setembro2024'!$B$3:$F$539,5,0),"Campo eliminado")</f>
        <v>Y</v>
      </c>
      <c r="M154" s="6" t="str">
        <f t="shared" si="11"/>
        <v>Igual</v>
      </c>
      <c r="N154" s="6" t="str">
        <f>IFERROR(VLOOKUP($B154,'LISTA - Setembro2024'!$B$3:$K$539,6,0),"Campo eliminado")</f>
        <v>N</v>
      </c>
      <c r="O154" s="6" t="str">
        <f t="shared" si="12"/>
        <v>Igual</v>
      </c>
      <c r="P154" s="6" t="str">
        <f>IFERROR(VLOOKUP($B154,'LISTA - Setembro2024'!$B$3:$K$539,7,0),"Campo eliminado")</f>
        <v>N</v>
      </c>
      <c r="Q154" s="6" t="str">
        <f t="shared" si="13"/>
        <v>Igual</v>
      </c>
      <c r="R154" s="6" t="str">
        <f>IFERROR(VLOOKUP($B154,'LISTA - Setembro2024'!$B$3:$K$539,9,0),"Campo eliminado")</f>
        <v>N</v>
      </c>
      <c r="S154" s="6" t="str">
        <f t="shared" si="14"/>
        <v>Igual</v>
      </c>
      <c r="U154" s="6" t="str">
        <f>VLOOKUP(B154,DataLake!$A$4:$A$429,1,0)</f>
        <v>INSTRUMENT_CVNNT_STTS</v>
      </c>
    </row>
    <row r="155" spans="1:21" s="20" customFormat="1" ht="15" hidden="1" customHeight="1" x14ac:dyDescent="0.25">
      <c r="A155" s="7" t="s">
        <v>462</v>
      </c>
      <c r="B155" s="47" t="str">
        <f t="shared" si="10"/>
        <v>INSTRUMENT_CVNNT_TYP</v>
      </c>
      <c r="C155" s="8" t="s">
        <v>414</v>
      </c>
      <c r="D155" s="9" t="s">
        <v>463</v>
      </c>
      <c r="E155" s="11" t="s">
        <v>464</v>
      </c>
      <c r="F155" s="10" t="s">
        <v>13</v>
      </c>
      <c r="G155" s="10" t="s">
        <v>11</v>
      </c>
      <c r="H155" s="10" t="s">
        <v>11</v>
      </c>
      <c r="I155" s="10" t="s">
        <v>11</v>
      </c>
      <c r="J155" s="10" t="s">
        <v>11</v>
      </c>
      <c r="L155" s="6" t="str">
        <f>IFERROR(VLOOKUP($B155,'LISTA - Setembro2024'!$B$3:$F$539,5,0),"Campo eliminado")</f>
        <v>Y</v>
      </c>
      <c r="M155" s="6" t="str">
        <f t="shared" si="11"/>
        <v>Igual</v>
      </c>
      <c r="N155" s="6" t="str">
        <f>IFERROR(VLOOKUP($B155,'LISTA - Setembro2024'!$B$3:$K$539,6,0),"Campo eliminado")</f>
        <v>N</v>
      </c>
      <c r="O155" s="6" t="str">
        <f t="shared" si="12"/>
        <v>Igual</v>
      </c>
      <c r="P155" s="6" t="str">
        <f>IFERROR(VLOOKUP($B155,'LISTA - Setembro2024'!$B$3:$K$539,7,0),"Campo eliminado")</f>
        <v>N</v>
      </c>
      <c r="Q155" s="6" t="str">
        <f t="shared" si="13"/>
        <v>Igual</v>
      </c>
      <c r="R155" s="6" t="str">
        <f>IFERROR(VLOOKUP($B155,'LISTA - Setembro2024'!$B$3:$K$539,9,0),"Campo eliminado")</f>
        <v>N</v>
      </c>
      <c r="S155" s="6" t="str">
        <f t="shared" si="14"/>
        <v>Igual</v>
      </c>
      <c r="U155" s="6" t="str">
        <f>VLOOKUP(B155,DataLake!$A$4:$A$429,1,0)</f>
        <v>INSTRUMENT_CVNNT_TYP</v>
      </c>
    </row>
    <row r="156" spans="1:21" ht="15" hidden="1" customHeight="1" x14ac:dyDescent="0.25">
      <c r="A156" s="21" t="s">
        <v>465</v>
      </c>
      <c r="B156" s="47" t="str">
        <f t="shared" si="10"/>
        <v>INSTRUMENT_DFLT_STTS_INSTRMNT</v>
      </c>
      <c r="C156" s="8" t="s">
        <v>414</v>
      </c>
      <c r="D156" s="22" t="s">
        <v>466</v>
      </c>
      <c r="E156" s="23" t="s">
        <v>467</v>
      </c>
      <c r="F156" s="10" t="s">
        <v>13</v>
      </c>
      <c r="G156" s="10" t="s">
        <v>13</v>
      </c>
      <c r="H156" s="10" t="s">
        <v>13</v>
      </c>
      <c r="I156" s="10" t="s">
        <v>11</v>
      </c>
      <c r="J156" s="10" t="s">
        <v>11</v>
      </c>
      <c r="L156" s="6" t="str">
        <f>IFERROR(VLOOKUP($B156,'LISTA - Setembro2024'!$B$3:$F$539,5,0),"Campo eliminado")</f>
        <v>Y</v>
      </c>
      <c r="M156" s="6" t="str">
        <f t="shared" si="11"/>
        <v>Igual</v>
      </c>
      <c r="N156" s="6" t="str">
        <f>IFERROR(VLOOKUP($B156,'LISTA - Setembro2024'!$B$3:$K$539,6,0),"Campo eliminado")</f>
        <v>Y</v>
      </c>
      <c r="O156" s="6" t="str">
        <f t="shared" si="12"/>
        <v>Igual</v>
      </c>
      <c r="P156" s="6" t="str">
        <f>IFERROR(VLOOKUP($B156,'LISTA - Setembro2024'!$B$3:$K$539,7,0),"Campo eliminado")</f>
        <v>Y</v>
      </c>
      <c r="Q156" s="6" t="str">
        <f t="shared" si="13"/>
        <v>Igual</v>
      </c>
      <c r="R156" s="6" t="str">
        <f>IFERROR(VLOOKUP($B156,'LISTA - Setembro2024'!$B$3:$K$539,9,0),"Campo eliminado")</f>
        <v>N</v>
      </c>
      <c r="S156" s="6" t="str">
        <f t="shared" si="14"/>
        <v>Igual</v>
      </c>
      <c r="U156" s="6" t="str">
        <f>VLOOKUP(B156,DataLake!$A$4:$A$429,1,0)</f>
        <v>INSTRUMENT_DFLT_STTS_INSTRMNT</v>
      </c>
    </row>
    <row r="157" spans="1:21" ht="15" hidden="1" customHeight="1" x14ac:dyDescent="0.25">
      <c r="A157" s="7" t="s">
        <v>468</v>
      </c>
      <c r="B157" s="47" t="str">
        <f t="shared" si="10"/>
        <v>INSTRUMENT_DT_DFLT_STTS_INSTRMNT</v>
      </c>
      <c r="C157" s="8" t="s">
        <v>414</v>
      </c>
      <c r="D157" s="9" t="s">
        <v>469</v>
      </c>
      <c r="E157" s="11" t="s">
        <v>24</v>
      </c>
      <c r="F157" s="10" t="s">
        <v>13</v>
      </c>
      <c r="G157" s="10" t="s">
        <v>11</v>
      </c>
      <c r="H157" s="10" t="s">
        <v>11</v>
      </c>
      <c r="I157" s="10" t="s">
        <v>11</v>
      </c>
      <c r="J157" s="10" t="s">
        <v>11</v>
      </c>
      <c r="L157" s="6" t="str">
        <f>IFERROR(VLOOKUP($B157,'LISTA - Setembro2024'!$B$3:$F$539,5,0),"Campo eliminado")</f>
        <v>Y</v>
      </c>
      <c r="M157" s="6" t="str">
        <f t="shared" si="11"/>
        <v>Igual</v>
      </c>
      <c r="N157" s="6" t="str">
        <f>IFERROR(VLOOKUP($B157,'LISTA - Setembro2024'!$B$3:$K$539,6,0),"Campo eliminado")</f>
        <v>N</v>
      </c>
      <c r="O157" s="6" t="str">
        <f t="shared" si="12"/>
        <v>Igual</v>
      </c>
      <c r="P157" s="6" t="str">
        <f>IFERROR(VLOOKUP($B157,'LISTA - Setembro2024'!$B$3:$K$539,7,0),"Campo eliminado")</f>
        <v>N</v>
      </c>
      <c r="Q157" s="6" t="str">
        <f t="shared" si="13"/>
        <v>Igual</v>
      </c>
      <c r="R157" s="6" t="str">
        <f>IFERROR(VLOOKUP($B157,'LISTA - Setembro2024'!$B$3:$K$539,9,0),"Campo eliminado")</f>
        <v>N</v>
      </c>
      <c r="S157" s="6" t="str">
        <f t="shared" si="14"/>
        <v>Igual</v>
      </c>
      <c r="U157" s="6" t="str">
        <f>VLOOKUP(B157,DataLake!$A$4:$A$429,1,0)</f>
        <v>INSTRUMENT_DT_DFLT_STTS_INSTRMNT</v>
      </c>
    </row>
    <row r="158" spans="1:21" ht="15" hidden="1" customHeight="1" x14ac:dyDescent="0.25">
      <c r="A158" s="7" t="s">
        <v>470</v>
      </c>
      <c r="B158" s="47" t="str">
        <f t="shared" si="10"/>
        <v>INSTRUMENT_DT_END_GP_PPAL</v>
      </c>
      <c r="C158" s="8" t="s">
        <v>414</v>
      </c>
      <c r="D158" s="9" t="s">
        <v>471</v>
      </c>
      <c r="E158" s="11" t="s">
        <v>472</v>
      </c>
      <c r="F158" s="10" t="s">
        <v>13</v>
      </c>
      <c r="G158" s="10" t="s">
        <v>11</v>
      </c>
      <c r="H158" s="10" t="s">
        <v>11</v>
      </c>
      <c r="I158" s="10" t="s">
        <v>11</v>
      </c>
      <c r="J158" s="10" t="s">
        <v>11</v>
      </c>
      <c r="L158" s="6" t="str">
        <f>IFERROR(VLOOKUP($B158,'LISTA - Setembro2024'!$B$3:$F$539,5,0),"Campo eliminado")</f>
        <v>Y</v>
      </c>
      <c r="M158" s="6" t="str">
        <f t="shared" si="11"/>
        <v>Igual</v>
      </c>
      <c r="N158" s="6" t="str">
        <f>IFERROR(VLOOKUP($B158,'LISTA - Setembro2024'!$B$3:$K$539,6,0),"Campo eliminado")</f>
        <v>N</v>
      </c>
      <c r="O158" s="6" t="str">
        <f t="shared" si="12"/>
        <v>Igual</v>
      </c>
      <c r="P158" s="6" t="str">
        <f>IFERROR(VLOOKUP($B158,'LISTA - Setembro2024'!$B$3:$K$539,7,0),"Campo eliminado")</f>
        <v>N</v>
      </c>
      <c r="Q158" s="6" t="str">
        <f t="shared" si="13"/>
        <v>Igual</v>
      </c>
      <c r="R158" s="6" t="str">
        <f>IFERROR(VLOOKUP($B158,'LISTA - Setembro2024'!$B$3:$K$539,9,0),"Campo eliminado")</f>
        <v>N</v>
      </c>
      <c r="S158" s="6" t="str">
        <f t="shared" si="14"/>
        <v>Igual</v>
      </c>
      <c r="U158" s="6" t="str">
        <f>VLOOKUP(B158,DataLake!$A$4:$A$429,1,0)</f>
        <v>INSTRUMENT_DT_END_GP_PPAL</v>
      </c>
    </row>
    <row r="159" spans="1:21" ht="15" hidden="1" customHeight="1" x14ac:dyDescent="0.25">
      <c r="A159" s="7" t="s">
        <v>473</v>
      </c>
      <c r="B159" s="47" t="str">
        <f t="shared" si="10"/>
        <v>INSTRUMENT_DT_END_INTRST_ONLY</v>
      </c>
      <c r="C159" s="8" t="s">
        <v>414</v>
      </c>
      <c r="D159" s="9" t="s">
        <v>474</v>
      </c>
      <c r="E159" s="11" t="s">
        <v>475</v>
      </c>
      <c r="F159" s="10" t="s">
        <v>13</v>
      </c>
      <c r="G159" s="10" t="s">
        <v>11</v>
      </c>
      <c r="H159" s="10" t="s">
        <v>11</v>
      </c>
      <c r="I159" s="10" t="s">
        <v>11</v>
      </c>
      <c r="J159" s="10" t="s">
        <v>11</v>
      </c>
      <c r="L159" s="6" t="str">
        <f>IFERROR(VLOOKUP($B159,'LISTA - Setembro2024'!$B$3:$F$539,5,0),"Campo eliminado")</f>
        <v>Y</v>
      </c>
      <c r="M159" s="6" t="str">
        <f t="shared" si="11"/>
        <v>Igual</v>
      </c>
      <c r="N159" s="6" t="str">
        <f>IFERROR(VLOOKUP($B159,'LISTA - Setembro2024'!$B$3:$K$539,6,0),"Campo eliminado")</f>
        <v>N</v>
      </c>
      <c r="O159" s="6" t="str">
        <f t="shared" si="12"/>
        <v>Igual</v>
      </c>
      <c r="P159" s="6" t="str">
        <f>IFERROR(VLOOKUP($B159,'LISTA - Setembro2024'!$B$3:$K$539,7,0),"Campo eliminado")</f>
        <v>N</v>
      </c>
      <c r="Q159" s="6" t="str">
        <f t="shared" si="13"/>
        <v>Igual</v>
      </c>
      <c r="R159" s="6" t="str">
        <f>IFERROR(VLOOKUP($B159,'LISTA - Setembro2024'!$B$3:$K$539,9,0),"Campo eliminado")</f>
        <v>N</v>
      </c>
      <c r="S159" s="6" t="str">
        <f t="shared" si="14"/>
        <v>Igual</v>
      </c>
      <c r="U159" s="6" t="str">
        <f>VLOOKUP(B159,DataLake!$A$4:$A$429,1,0)</f>
        <v>INSTRUMENT_DT_END_INTRST_ONLY</v>
      </c>
    </row>
    <row r="160" spans="1:21" ht="15" hidden="1" customHeight="1" x14ac:dyDescent="0.25">
      <c r="A160" s="7" t="s">
        <v>476</v>
      </c>
      <c r="B160" s="47" t="str">
        <f t="shared" si="10"/>
        <v>INSTRUMENT_DT_FRBRNC_STTS</v>
      </c>
      <c r="C160" s="8" t="s">
        <v>414</v>
      </c>
      <c r="D160" s="9" t="s">
        <v>477</v>
      </c>
      <c r="E160" s="11" t="s">
        <v>478</v>
      </c>
      <c r="F160" s="10" t="s">
        <v>13</v>
      </c>
      <c r="G160" s="10" t="s">
        <v>11</v>
      </c>
      <c r="H160" s="10" t="s">
        <v>11</v>
      </c>
      <c r="I160" s="10" t="s">
        <v>11</v>
      </c>
      <c r="J160" s="10" t="s">
        <v>11</v>
      </c>
      <c r="L160" s="6" t="str">
        <f>IFERROR(VLOOKUP($B160,'LISTA - Setembro2024'!$B$3:$F$539,5,0),"Campo eliminado")</f>
        <v>Y</v>
      </c>
      <c r="M160" s="6" t="str">
        <f t="shared" si="11"/>
        <v>Igual</v>
      </c>
      <c r="N160" s="6" t="str">
        <f>IFERROR(VLOOKUP($B160,'LISTA - Setembro2024'!$B$3:$K$539,6,0),"Campo eliminado")</f>
        <v>N</v>
      </c>
      <c r="O160" s="6" t="str">
        <f t="shared" si="12"/>
        <v>Igual</v>
      </c>
      <c r="P160" s="6" t="str">
        <f>IFERROR(VLOOKUP($B160,'LISTA - Setembro2024'!$B$3:$K$539,7,0),"Campo eliminado")</f>
        <v>N</v>
      </c>
      <c r="Q160" s="6" t="str">
        <f t="shared" si="13"/>
        <v>Igual</v>
      </c>
      <c r="R160" s="6" t="str">
        <f>IFERROR(VLOOKUP($B160,'LISTA - Setembro2024'!$B$3:$K$539,9,0),"Campo eliminado")</f>
        <v>N</v>
      </c>
      <c r="S160" s="6" t="str">
        <f t="shared" si="14"/>
        <v>Igual</v>
      </c>
      <c r="U160" s="6" t="str">
        <f>VLOOKUP(B160,DataLake!$A$4:$A$429,1,0)</f>
        <v>INSTRUMENT_DT_FRBRNC_STTS</v>
      </c>
    </row>
    <row r="161" spans="1:21" ht="15" hidden="1" customHeight="1" x14ac:dyDescent="0.25">
      <c r="A161" s="7" t="s">
        <v>479</v>
      </c>
      <c r="B161" s="47" t="str">
        <f t="shared" si="10"/>
        <v>INSTRUMENT_DT_FRBRNC_STTS_PRVS</v>
      </c>
      <c r="C161" s="8" t="s">
        <v>414</v>
      </c>
      <c r="D161" s="9" t="s">
        <v>480</v>
      </c>
      <c r="E161" s="11" t="s">
        <v>481</v>
      </c>
      <c r="F161" s="10" t="s">
        <v>13</v>
      </c>
      <c r="G161" s="10" t="s">
        <v>11</v>
      </c>
      <c r="H161" s="10" t="s">
        <v>11</v>
      </c>
      <c r="I161" s="10" t="s">
        <v>11</v>
      </c>
      <c r="J161" s="10" t="s">
        <v>11</v>
      </c>
      <c r="L161" s="6" t="str">
        <f>IFERROR(VLOOKUP($B161,'LISTA - Setembro2024'!$B$3:$F$539,5,0),"Campo eliminado")</f>
        <v>Y</v>
      </c>
      <c r="M161" s="6" t="str">
        <f t="shared" si="11"/>
        <v>Igual</v>
      </c>
      <c r="N161" s="6" t="str">
        <f>IFERROR(VLOOKUP($B161,'LISTA - Setembro2024'!$B$3:$K$539,6,0),"Campo eliminado")</f>
        <v>N</v>
      </c>
      <c r="O161" s="6" t="str">
        <f t="shared" si="12"/>
        <v>Igual</v>
      </c>
      <c r="P161" s="6" t="str">
        <f>IFERROR(VLOOKUP($B161,'LISTA - Setembro2024'!$B$3:$K$539,7,0),"Campo eliminado")</f>
        <v>N</v>
      </c>
      <c r="Q161" s="6" t="str">
        <f t="shared" si="13"/>
        <v>Igual</v>
      </c>
      <c r="R161" s="6" t="str">
        <f>IFERROR(VLOOKUP($B161,'LISTA - Setembro2024'!$B$3:$K$539,9,0),"Campo eliminado")</f>
        <v>N</v>
      </c>
      <c r="S161" s="6" t="str">
        <f t="shared" si="14"/>
        <v>Igual</v>
      </c>
      <c r="U161" s="6" t="str">
        <f>VLOOKUP(B161,DataLake!$A$4:$A$429,1,0)</f>
        <v>INSTRUMENT_DT_FRBRNC_STTS_PRVS</v>
      </c>
    </row>
    <row r="162" spans="1:21" ht="15" hidden="1" customHeight="1" x14ac:dyDescent="0.25">
      <c r="A162" s="7" t="s">
        <v>482</v>
      </c>
      <c r="B162" s="47" t="str">
        <f t="shared" si="10"/>
        <v>INSTRUMENT_DT_INTRNL_RTNG</v>
      </c>
      <c r="C162" s="8" t="s">
        <v>414</v>
      </c>
      <c r="D162" s="9" t="s">
        <v>80</v>
      </c>
      <c r="E162" s="11" t="s">
        <v>81</v>
      </c>
      <c r="F162" s="10" t="s">
        <v>13</v>
      </c>
      <c r="G162" s="10" t="s">
        <v>11</v>
      </c>
      <c r="H162" s="10" t="s">
        <v>11</v>
      </c>
      <c r="I162" s="10" t="s">
        <v>11</v>
      </c>
      <c r="J162" s="10" t="s">
        <v>11</v>
      </c>
      <c r="L162" s="6" t="str">
        <f>IFERROR(VLOOKUP($B162,'LISTA - Setembro2024'!$B$3:$F$539,5,0),"Campo eliminado")</f>
        <v>Y</v>
      </c>
      <c r="M162" s="6" t="str">
        <f t="shared" si="11"/>
        <v>Igual</v>
      </c>
      <c r="N162" s="6" t="str">
        <f>IFERROR(VLOOKUP($B162,'LISTA - Setembro2024'!$B$3:$K$539,6,0),"Campo eliminado")</f>
        <v>N</v>
      </c>
      <c r="O162" s="6" t="str">
        <f t="shared" si="12"/>
        <v>Igual</v>
      </c>
      <c r="P162" s="6" t="str">
        <f>IFERROR(VLOOKUP($B162,'LISTA - Setembro2024'!$B$3:$K$539,7,0),"Campo eliminado")</f>
        <v>N</v>
      </c>
      <c r="Q162" s="6" t="str">
        <f t="shared" si="13"/>
        <v>Igual</v>
      </c>
      <c r="R162" s="6" t="str">
        <f>IFERROR(VLOOKUP($B162,'LISTA - Setembro2024'!$B$3:$K$539,9,0),"Campo eliminado")</f>
        <v>N</v>
      </c>
      <c r="S162" s="6" t="str">
        <f t="shared" si="14"/>
        <v>Igual</v>
      </c>
      <c r="U162" s="6" t="str">
        <f>VLOOKUP(B162,DataLake!$A$4:$A$429,1,0)</f>
        <v>INSTRUMENT_DT_INTRNL_RTNG</v>
      </c>
    </row>
    <row r="163" spans="1:21" ht="15" hidden="1" customHeight="1" x14ac:dyDescent="0.25">
      <c r="A163" s="7" t="s">
        <v>483</v>
      </c>
      <c r="B163" s="47" t="str">
        <f t="shared" si="10"/>
        <v>INSTRUMENT_DT_PRFRMNG_STTS</v>
      </c>
      <c r="C163" s="8" t="s">
        <v>414</v>
      </c>
      <c r="D163" s="9" t="s">
        <v>484</v>
      </c>
      <c r="E163" s="11" t="s">
        <v>36</v>
      </c>
      <c r="F163" s="10" t="s">
        <v>13</v>
      </c>
      <c r="G163" s="10" t="s">
        <v>11</v>
      </c>
      <c r="H163" s="10" t="s">
        <v>11</v>
      </c>
      <c r="I163" s="10" t="s">
        <v>11</v>
      </c>
      <c r="J163" s="10" t="s">
        <v>11</v>
      </c>
      <c r="L163" s="6" t="str">
        <f>IFERROR(VLOOKUP($B163,'LISTA - Setembro2024'!$B$3:$F$539,5,0),"Campo eliminado")</f>
        <v>Y</v>
      </c>
      <c r="M163" s="6" t="str">
        <f t="shared" si="11"/>
        <v>Igual</v>
      </c>
      <c r="N163" s="6" t="str">
        <f>IFERROR(VLOOKUP($B163,'LISTA - Setembro2024'!$B$3:$K$539,6,0),"Campo eliminado")</f>
        <v>N</v>
      </c>
      <c r="O163" s="6" t="str">
        <f t="shared" si="12"/>
        <v>Igual</v>
      </c>
      <c r="P163" s="6" t="str">
        <f>IFERROR(VLOOKUP($B163,'LISTA - Setembro2024'!$B$3:$K$539,7,0),"Campo eliminado")</f>
        <v>N</v>
      </c>
      <c r="Q163" s="6" t="str">
        <f t="shared" si="13"/>
        <v>Igual</v>
      </c>
      <c r="R163" s="6" t="str">
        <f>IFERROR(VLOOKUP($B163,'LISTA - Setembro2024'!$B$3:$K$539,9,0),"Campo eliminado")</f>
        <v>N</v>
      </c>
      <c r="S163" s="6" t="str">
        <f t="shared" si="14"/>
        <v>Igual</v>
      </c>
      <c r="U163" s="6" t="str">
        <f>VLOOKUP(B163,DataLake!$A$4:$A$429,1,0)</f>
        <v>INSTRUMENT_DT_PRFRMNG_STTS</v>
      </c>
    </row>
    <row r="164" spans="1:21" ht="15" hidden="1" customHeight="1" x14ac:dyDescent="0.25">
      <c r="A164" s="7" t="s">
        <v>485</v>
      </c>
      <c r="B164" s="47" t="str">
        <f t="shared" si="10"/>
        <v>INSTRUMENT_DT_PRFRMNG_STTS_PRVS</v>
      </c>
      <c r="C164" s="8" t="s">
        <v>414</v>
      </c>
      <c r="D164" s="9" t="s">
        <v>486</v>
      </c>
      <c r="E164" s="11" t="s">
        <v>487</v>
      </c>
      <c r="F164" s="10" t="s">
        <v>13</v>
      </c>
      <c r="G164" s="10" t="s">
        <v>11</v>
      </c>
      <c r="H164" s="10" t="s">
        <v>11</v>
      </c>
      <c r="I164" s="10" t="s">
        <v>11</v>
      </c>
      <c r="J164" s="10" t="s">
        <v>11</v>
      </c>
      <c r="L164" s="6" t="str">
        <f>IFERROR(VLOOKUP($B164,'LISTA - Setembro2024'!$B$3:$F$539,5,0),"Campo eliminado")</f>
        <v>Y</v>
      </c>
      <c r="M164" s="6" t="str">
        <f t="shared" si="11"/>
        <v>Igual</v>
      </c>
      <c r="N164" s="6" t="str">
        <f>IFERROR(VLOOKUP($B164,'LISTA - Setembro2024'!$B$3:$K$539,6,0),"Campo eliminado")</f>
        <v>N</v>
      </c>
      <c r="O164" s="6" t="str">
        <f t="shared" si="12"/>
        <v>Igual</v>
      </c>
      <c r="P164" s="6" t="str">
        <f>IFERROR(VLOOKUP($B164,'LISTA - Setembro2024'!$B$3:$K$539,7,0),"Campo eliminado")</f>
        <v>N</v>
      </c>
      <c r="Q164" s="6" t="str">
        <f t="shared" si="13"/>
        <v>Igual</v>
      </c>
      <c r="R164" s="6" t="str">
        <f>IFERROR(VLOOKUP($B164,'LISTA - Setembro2024'!$B$3:$K$539,9,0),"Campo eliminado")</f>
        <v>N</v>
      </c>
      <c r="S164" s="6" t="str">
        <f t="shared" si="14"/>
        <v>Igual</v>
      </c>
      <c r="U164" s="6" t="str">
        <f>VLOOKUP(B164,DataLake!$A$4:$A$429,1,0)</f>
        <v>INSTRUMENT_DT_PRFRMNG_STTS_PRVS</v>
      </c>
    </row>
    <row r="165" spans="1:21" ht="15" hidden="1" customHeight="1" x14ac:dyDescent="0.25">
      <c r="A165" s="7" t="s">
        <v>488</v>
      </c>
      <c r="B165" s="47" t="str">
        <f t="shared" si="10"/>
        <v>INSTRUMENT_DT_STRT_INTRST_ONLY</v>
      </c>
      <c r="C165" s="8" t="s">
        <v>414</v>
      </c>
      <c r="D165" s="9" t="s">
        <v>489</v>
      </c>
      <c r="E165" s="11" t="s">
        <v>490</v>
      </c>
      <c r="F165" s="10" t="s">
        <v>13</v>
      </c>
      <c r="G165" s="10" t="s">
        <v>11</v>
      </c>
      <c r="H165" s="10" t="s">
        <v>11</v>
      </c>
      <c r="I165" s="10" t="s">
        <v>11</v>
      </c>
      <c r="J165" s="10" t="s">
        <v>11</v>
      </c>
      <c r="L165" s="6" t="str">
        <f>IFERROR(VLOOKUP($B165,'LISTA - Setembro2024'!$B$3:$F$539,5,0),"Campo eliminado")</f>
        <v>Y</v>
      </c>
      <c r="M165" s="6" t="str">
        <f t="shared" si="11"/>
        <v>Igual</v>
      </c>
      <c r="N165" s="6" t="str">
        <f>IFERROR(VLOOKUP($B165,'LISTA - Setembro2024'!$B$3:$K$539,6,0),"Campo eliminado")</f>
        <v>N</v>
      </c>
      <c r="O165" s="6" t="str">
        <f t="shared" si="12"/>
        <v>Igual</v>
      </c>
      <c r="P165" s="6" t="str">
        <f>IFERROR(VLOOKUP($B165,'LISTA - Setembro2024'!$B$3:$K$539,7,0),"Campo eliminado")</f>
        <v>N</v>
      </c>
      <c r="Q165" s="6" t="str">
        <f t="shared" si="13"/>
        <v>Igual</v>
      </c>
      <c r="R165" s="6" t="str">
        <f>IFERROR(VLOOKUP($B165,'LISTA - Setembro2024'!$B$3:$K$539,9,0),"Campo eliminado")</f>
        <v>N</v>
      </c>
      <c r="S165" s="6" t="str">
        <f t="shared" si="14"/>
        <v>Igual</v>
      </c>
      <c r="U165" s="6" t="str">
        <f>VLOOKUP(B165,DataLake!$A$4:$A$429,1,0)</f>
        <v>INSTRUMENT_DT_STRT_INTRST_ONLY</v>
      </c>
    </row>
    <row r="166" spans="1:21" ht="15" hidden="1" customHeight="1" x14ac:dyDescent="0.25">
      <c r="A166" s="7" t="s">
        <v>491</v>
      </c>
      <c r="B166" s="47" t="str">
        <f t="shared" si="10"/>
        <v>INSTRUMENT_EXPSR_IN_SCP</v>
      </c>
      <c r="C166" s="8" t="s">
        <v>414</v>
      </c>
      <c r="D166" s="9" t="s">
        <v>492</v>
      </c>
      <c r="E166" s="11" t="s">
        <v>493</v>
      </c>
      <c r="F166" s="10" t="s">
        <v>13</v>
      </c>
      <c r="G166" s="10" t="s">
        <v>11</v>
      </c>
      <c r="H166" s="10" t="s">
        <v>11</v>
      </c>
      <c r="I166" s="10" t="s">
        <v>11</v>
      </c>
      <c r="J166" s="10" t="s">
        <v>11</v>
      </c>
      <c r="L166" s="6" t="str">
        <f>IFERROR(VLOOKUP($B166,'LISTA - Setembro2024'!$B$3:$F$539,5,0),"Campo eliminado")</f>
        <v>Y</v>
      </c>
      <c r="M166" s="6" t="str">
        <f t="shared" si="11"/>
        <v>Igual</v>
      </c>
      <c r="N166" s="6" t="str">
        <f>IFERROR(VLOOKUP($B166,'LISTA - Setembro2024'!$B$3:$K$539,6,0),"Campo eliminado")</f>
        <v>N</v>
      </c>
      <c r="O166" s="6" t="str">
        <f t="shared" si="12"/>
        <v>Igual</v>
      </c>
      <c r="P166" s="6" t="str">
        <f>IFERROR(VLOOKUP($B166,'LISTA - Setembro2024'!$B$3:$K$539,7,0),"Campo eliminado")</f>
        <v>N</v>
      </c>
      <c r="Q166" s="6" t="str">
        <f t="shared" si="13"/>
        <v>Igual</v>
      </c>
      <c r="R166" s="6" t="str">
        <f>IFERROR(VLOOKUP($B166,'LISTA - Setembro2024'!$B$3:$K$539,9,0),"Campo eliminado")</f>
        <v>N</v>
      </c>
      <c r="S166" s="6" t="str">
        <f t="shared" si="14"/>
        <v>Igual</v>
      </c>
      <c r="U166" s="6" t="str">
        <f>VLOOKUP(B166,DataLake!$A$4:$A$429,1,0)</f>
        <v>INSTRUMENT_EXPSR_IN_SCP</v>
      </c>
    </row>
    <row r="167" spans="1:21" ht="15" hidden="1" customHeight="1" x14ac:dyDescent="0.25">
      <c r="A167" s="7" t="s">
        <v>494</v>
      </c>
      <c r="B167" s="47" t="str">
        <f t="shared" si="10"/>
        <v>INSTRUMENT_FLD_SYNDCTN</v>
      </c>
      <c r="C167" s="8" t="s">
        <v>414</v>
      </c>
      <c r="D167" s="9" t="s">
        <v>495</v>
      </c>
      <c r="E167" s="11" t="s">
        <v>496</v>
      </c>
      <c r="F167" s="10" t="s">
        <v>13</v>
      </c>
      <c r="G167" s="10" t="s">
        <v>11</v>
      </c>
      <c r="H167" s="10" t="s">
        <v>11</v>
      </c>
      <c r="I167" s="10" t="s">
        <v>11</v>
      </c>
      <c r="J167" s="10" t="s">
        <v>11</v>
      </c>
      <c r="L167" s="6" t="str">
        <f>IFERROR(VLOOKUP($B167,'LISTA - Setembro2024'!$B$3:$F$539,5,0),"Campo eliminado")</f>
        <v>Y</v>
      </c>
      <c r="M167" s="6" t="str">
        <f t="shared" si="11"/>
        <v>Igual</v>
      </c>
      <c r="N167" s="6" t="str">
        <f>IFERROR(VLOOKUP($B167,'LISTA - Setembro2024'!$B$3:$K$539,6,0),"Campo eliminado")</f>
        <v>N</v>
      </c>
      <c r="O167" s="6" t="str">
        <f t="shared" si="12"/>
        <v>Igual</v>
      </c>
      <c r="P167" s="6" t="str">
        <f>IFERROR(VLOOKUP($B167,'LISTA - Setembro2024'!$B$3:$K$539,7,0),"Campo eliminado")</f>
        <v>N</v>
      </c>
      <c r="Q167" s="6" t="str">
        <f t="shared" si="13"/>
        <v>Igual</v>
      </c>
      <c r="R167" s="6" t="str">
        <f>IFERROR(VLOOKUP($B167,'LISTA - Setembro2024'!$B$3:$K$539,9,0),"Campo eliminado")</f>
        <v>N</v>
      </c>
      <c r="S167" s="6" t="str">
        <f t="shared" si="14"/>
        <v>Igual</v>
      </c>
      <c r="U167" s="6" t="str">
        <f>VLOOKUP(B167,DataLake!$A$4:$A$429,1,0)</f>
        <v>INSTRUMENT_FLD_SYNDCTN</v>
      </c>
    </row>
    <row r="168" spans="1:21" ht="15" hidden="1" customHeight="1" x14ac:dyDescent="0.25">
      <c r="A168" s="7" t="s">
        <v>497</v>
      </c>
      <c r="B168" s="47" t="str">
        <f t="shared" si="10"/>
        <v>INSTRUMENT_FLG_LBO</v>
      </c>
      <c r="C168" s="8" t="s">
        <v>414</v>
      </c>
      <c r="D168" s="9" t="s">
        <v>498</v>
      </c>
      <c r="E168" s="11" t="s">
        <v>499</v>
      </c>
      <c r="F168" s="10" t="s">
        <v>13</v>
      </c>
      <c r="G168" s="10" t="s">
        <v>11</v>
      </c>
      <c r="H168" s="10" t="s">
        <v>11</v>
      </c>
      <c r="I168" s="10" t="s">
        <v>11</v>
      </c>
      <c r="J168" s="10" t="s">
        <v>11</v>
      </c>
      <c r="L168" s="6" t="str">
        <f>IFERROR(VLOOKUP($B168,'LISTA - Setembro2024'!$B$3:$F$539,5,0),"Campo eliminado")</f>
        <v>Y</v>
      </c>
      <c r="M168" s="6" t="str">
        <f t="shared" si="11"/>
        <v>Igual</v>
      </c>
      <c r="N168" s="6" t="str">
        <f>IFERROR(VLOOKUP($B168,'LISTA - Setembro2024'!$B$3:$K$539,6,0),"Campo eliminado")</f>
        <v>N</v>
      </c>
      <c r="O168" s="6" t="str">
        <f t="shared" si="12"/>
        <v>Igual</v>
      </c>
      <c r="P168" s="6" t="str">
        <f>IFERROR(VLOOKUP($B168,'LISTA - Setembro2024'!$B$3:$K$539,7,0),"Campo eliminado")</f>
        <v>N</v>
      </c>
      <c r="Q168" s="6" t="str">
        <f t="shared" si="13"/>
        <v>Igual</v>
      </c>
      <c r="R168" s="6" t="str">
        <f>IFERROR(VLOOKUP($B168,'LISTA - Setembro2024'!$B$3:$K$539,9,0),"Campo eliminado")</f>
        <v>N</v>
      </c>
      <c r="S168" s="6" t="str">
        <f t="shared" si="14"/>
        <v>Igual</v>
      </c>
      <c r="U168" s="6" t="str">
        <f>VLOOKUP(B168,DataLake!$A$4:$A$429,1,0)</f>
        <v>INSTRUMENT_FLG_LBO</v>
      </c>
    </row>
    <row r="169" spans="1:21" ht="15" hidden="1" customHeight="1" x14ac:dyDescent="0.25">
      <c r="A169" s="7" t="s">
        <v>500</v>
      </c>
      <c r="B169" s="47" t="str">
        <f t="shared" si="10"/>
        <v>INSTRUMENT_FRBRNC_STTS_INSTRMNT</v>
      </c>
      <c r="C169" s="8" t="s">
        <v>414</v>
      </c>
      <c r="D169" s="9" t="s">
        <v>501</v>
      </c>
      <c r="E169" s="11" t="s">
        <v>502</v>
      </c>
      <c r="F169" s="10" t="s">
        <v>13</v>
      </c>
      <c r="G169" s="10" t="s">
        <v>11</v>
      </c>
      <c r="H169" s="10" t="s">
        <v>11</v>
      </c>
      <c r="I169" s="10" t="s">
        <v>11</v>
      </c>
      <c r="J169" s="10" t="s">
        <v>11</v>
      </c>
      <c r="L169" s="6" t="str">
        <f>IFERROR(VLOOKUP($B169,'LISTA - Setembro2024'!$B$3:$F$539,5,0),"Campo eliminado")</f>
        <v>Y</v>
      </c>
      <c r="M169" s="6" t="str">
        <f t="shared" si="11"/>
        <v>Igual</v>
      </c>
      <c r="N169" s="6" t="str">
        <f>IFERROR(VLOOKUP($B169,'LISTA - Setembro2024'!$B$3:$K$539,6,0),"Campo eliminado")</f>
        <v>N</v>
      </c>
      <c r="O169" s="6" t="str">
        <f t="shared" si="12"/>
        <v>Igual</v>
      </c>
      <c r="P169" s="6" t="str">
        <f>IFERROR(VLOOKUP($B169,'LISTA - Setembro2024'!$B$3:$K$539,7,0),"Campo eliminado")</f>
        <v>Y</v>
      </c>
      <c r="Q169" s="6" t="str">
        <f t="shared" si="13"/>
        <v>Diferente</v>
      </c>
      <c r="R169" s="6" t="str">
        <f>IFERROR(VLOOKUP($B169,'LISTA - Setembro2024'!$B$3:$K$539,9,0),"Campo eliminado")</f>
        <v>N</v>
      </c>
      <c r="S169" s="6" t="str">
        <f t="shared" si="14"/>
        <v>Igual</v>
      </c>
      <c r="U169" s="6" t="str">
        <f>VLOOKUP(B169,DataLake!$A$4:$A$429,1,0)</f>
        <v>INSTRUMENT_FRBRNC_STTS_INSTRMNT</v>
      </c>
    </row>
    <row r="170" spans="1:21" ht="15" hidden="1" customHeight="1" x14ac:dyDescent="0.25">
      <c r="A170" s="7" t="s">
        <v>503</v>
      </c>
      <c r="B170" s="47" t="str">
        <f t="shared" si="10"/>
        <v>INSTRUMENT_IMPRMNT_STTS</v>
      </c>
      <c r="C170" s="8" t="s">
        <v>414</v>
      </c>
      <c r="D170" s="9" t="s">
        <v>504</v>
      </c>
      <c r="E170" s="11" t="s">
        <v>505</v>
      </c>
      <c r="F170" s="10" t="s">
        <v>13</v>
      </c>
      <c r="G170" s="10" t="s">
        <v>13</v>
      </c>
      <c r="H170" s="10" t="s">
        <v>13</v>
      </c>
      <c r="I170" s="10" t="s">
        <v>11</v>
      </c>
      <c r="J170" s="10" t="s">
        <v>11</v>
      </c>
      <c r="L170" s="6" t="str">
        <f>IFERROR(VLOOKUP($B170,'LISTA - Setembro2024'!$B$3:$F$539,5,0),"Campo eliminado")</f>
        <v>Y</v>
      </c>
      <c r="M170" s="6" t="str">
        <f t="shared" si="11"/>
        <v>Igual</v>
      </c>
      <c r="N170" s="6" t="str">
        <f>IFERROR(VLOOKUP($B170,'LISTA - Setembro2024'!$B$3:$K$539,6,0),"Campo eliminado")</f>
        <v>Y</v>
      </c>
      <c r="O170" s="6" t="str">
        <f t="shared" si="12"/>
        <v>Igual</v>
      </c>
      <c r="P170" s="6" t="str">
        <f>IFERROR(VLOOKUP($B170,'LISTA - Setembro2024'!$B$3:$K$539,7,0),"Campo eliminado")</f>
        <v>Y</v>
      </c>
      <c r="Q170" s="6" t="str">
        <f t="shared" si="13"/>
        <v>Igual</v>
      </c>
      <c r="R170" s="6" t="str">
        <f>IFERROR(VLOOKUP($B170,'LISTA - Setembro2024'!$B$3:$K$539,9,0),"Campo eliminado")</f>
        <v>N</v>
      </c>
      <c r="S170" s="6" t="str">
        <f t="shared" si="14"/>
        <v>Igual</v>
      </c>
      <c r="U170" s="6" t="str">
        <f>VLOOKUP(B170,DataLake!$A$4:$A$429,1,0)</f>
        <v>INSTRUMENT_IMPRMNT_STTS</v>
      </c>
    </row>
    <row r="171" spans="1:21" ht="15" hidden="1" customHeight="1" x14ac:dyDescent="0.25">
      <c r="A171" s="7" t="s">
        <v>506</v>
      </c>
      <c r="B171" s="47" t="str">
        <f t="shared" si="10"/>
        <v>INSTRUMENT_IMPRMNT_STTS_PRVS</v>
      </c>
      <c r="C171" s="8" t="s">
        <v>414</v>
      </c>
      <c r="D171" s="9" t="s">
        <v>507</v>
      </c>
      <c r="E171" s="11" t="s">
        <v>508</v>
      </c>
      <c r="F171" s="10" t="s">
        <v>13</v>
      </c>
      <c r="G171" s="10" t="s">
        <v>11</v>
      </c>
      <c r="H171" s="10" t="s">
        <v>11</v>
      </c>
      <c r="I171" s="10" t="s">
        <v>11</v>
      </c>
      <c r="J171" s="10" t="s">
        <v>11</v>
      </c>
      <c r="L171" s="6" t="str">
        <f>IFERROR(VLOOKUP($B171,'LISTA - Setembro2024'!$B$3:$F$539,5,0),"Campo eliminado")</f>
        <v>Y</v>
      </c>
      <c r="M171" s="6" t="str">
        <f t="shared" si="11"/>
        <v>Igual</v>
      </c>
      <c r="N171" s="6" t="str">
        <f>IFERROR(VLOOKUP($B171,'LISTA - Setembro2024'!$B$3:$K$539,6,0),"Campo eliminado")</f>
        <v>N</v>
      </c>
      <c r="O171" s="6" t="str">
        <f t="shared" si="12"/>
        <v>Igual</v>
      </c>
      <c r="P171" s="6" t="str">
        <f>IFERROR(VLOOKUP($B171,'LISTA - Setembro2024'!$B$3:$K$539,7,0),"Campo eliminado")</f>
        <v>N</v>
      </c>
      <c r="Q171" s="6" t="str">
        <f t="shared" si="13"/>
        <v>Igual</v>
      </c>
      <c r="R171" s="6" t="str">
        <f>IFERROR(VLOOKUP($B171,'LISTA - Setembro2024'!$B$3:$K$539,9,0),"Campo eliminado")</f>
        <v>N</v>
      </c>
      <c r="S171" s="6" t="str">
        <f t="shared" si="14"/>
        <v>Igual</v>
      </c>
      <c r="U171" s="6" t="str">
        <f>VLOOKUP(B171,DataLake!$A$4:$A$429,1,0)</f>
        <v>INSTRUMENT_IMPRMNT_STTS_PRVS</v>
      </c>
    </row>
    <row r="172" spans="1:21" ht="15" hidden="1" customHeight="1" x14ac:dyDescent="0.25">
      <c r="A172" s="7" t="s">
        <v>509</v>
      </c>
      <c r="B172" s="47" t="str">
        <f t="shared" si="10"/>
        <v>INSTRUMENT_INTRNL_RTNG</v>
      </c>
      <c r="C172" s="8" t="s">
        <v>414</v>
      </c>
      <c r="D172" s="9" t="s">
        <v>128</v>
      </c>
      <c r="E172" s="11" t="s">
        <v>129</v>
      </c>
      <c r="F172" s="10" t="s">
        <v>13</v>
      </c>
      <c r="G172" s="10" t="s">
        <v>11</v>
      </c>
      <c r="H172" s="10" t="s">
        <v>11</v>
      </c>
      <c r="I172" s="10" t="s">
        <v>11</v>
      </c>
      <c r="J172" s="10" t="s">
        <v>11</v>
      </c>
      <c r="L172" s="6" t="str">
        <f>IFERROR(VLOOKUP($B172,'LISTA - Setembro2024'!$B$3:$F$539,5,0),"Campo eliminado")</f>
        <v>Y</v>
      </c>
      <c r="M172" s="6" t="str">
        <f t="shared" si="11"/>
        <v>Igual</v>
      </c>
      <c r="N172" s="6" t="str">
        <f>IFERROR(VLOOKUP($B172,'LISTA - Setembro2024'!$B$3:$K$539,6,0),"Campo eliminado")</f>
        <v>N</v>
      </c>
      <c r="O172" s="6" t="str">
        <f t="shared" si="12"/>
        <v>Igual</v>
      </c>
      <c r="P172" s="6" t="str">
        <f>IFERROR(VLOOKUP($B172,'LISTA - Setembro2024'!$B$3:$K$539,7,0),"Campo eliminado")</f>
        <v>N</v>
      </c>
      <c r="Q172" s="6" t="str">
        <f t="shared" si="13"/>
        <v>Igual</v>
      </c>
      <c r="R172" s="6" t="str">
        <f>IFERROR(VLOOKUP($B172,'LISTA - Setembro2024'!$B$3:$K$539,9,0),"Campo eliminado")</f>
        <v>N</v>
      </c>
      <c r="S172" s="6" t="str">
        <f t="shared" si="14"/>
        <v>Igual</v>
      </c>
      <c r="U172" s="6" t="str">
        <f>VLOOKUP(B172,DataLake!$A$4:$A$429,1,0)</f>
        <v>INSTRUMENT_INTRNL_RTNG</v>
      </c>
    </row>
    <row r="173" spans="1:21" ht="15" hidden="1" customHeight="1" x14ac:dyDescent="0.25">
      <c r="A173" s="7" t="s">
        <v>510</v>
      </c>
      <c r="B173" s="47" t="str">
        <f t="shared" si="10"/>
        <v>INSTRUMENT_INTRNL_RTNG_INCPTN</v>
      </c>
      <c r="C173" s="8" t="s">
        <v>414</v>
      </c>
      <c r="D173" s="9" t="s">
        <v>511</v>
      </c>
      <c r="E173" s="11" t="s">
        <v>512</v>
      </c>
      <c r="F173" s="10" t="s">
        <v>13</v>
      </c>
      <c r="G173" s="10" t="s">
        <v>11</v>
      </c>
      <c r="H173" s="10" t="s">
        <v>11</v>
      </c>
      <c r="I173" s="10" t="s">
        <v>11</v>
      </c>
      <c r="J173" s="10" t="s">
        <v>11</v>
      </c>
      <c r="L173" s="6" t="str">
        <f>IFERROR(VLOOKUP($B173,'LISTA - Setembro2024'!$B$3:$F$539,5,0),"Campo eliminado")</f>
        <v>Y</v>
      </c>
      <c r="M173" s="6" t="str">
        <f t="shared" si="11"/>
        <v>Igual</v>
      </c>
      <c r="N173" s="6" t="str">
        <f>IFERROR(VLOOKUP($B173,'LISTA - Setembro2024'!$B$3:$K$539,6,0),"Campo eliminado")</f>
        <v>N</v>
      </c>
      <c r="O173" s="6" t="str">
        <f t="shared" si="12"/>
        <v>Igual</v>
      </c>
      <c r="P173" s="6" t="str">
        <f>IFERROR(VLOOKUP($B173,'LISTA - Setembro2024'!$B$3:$K$539,7,0),"Campo eliminado")</f>
        <v>N</v>
      </c>
      <c r="Q173" s="6" t="str">
        <f t="shared" si="13"/>
        <v>Igual</v>
      </c>
      <c r="R173" s="6" t="str">
        <f>IFERROR(VLOOKUP($B173,'LISTA - Setembro2024'!$B$3:$K$539,9,0),"Campo eliminado")</f>
        <v>N</v>
      </c>
      <c r="S173" s="6" t="str">
        <f t="shared" si="14"/>
        <v>Igual</v>
      </c>
      <c r="U173" s="6" t="str">
        <f>VLOOKUP(B173,DataLake!$A$4:$A$429,1,0)</f>
        <v>INSTRUMENT_INTRNL_RTNG_INCPTN</v>
      </c>
    </row>
    <row r="174" spans="1:21" ht="15" hidden="1" customHeight="1" x14ac:dyDescent="0.25">
      <c r="A174" s="7" t="s">
        <v>513</v>
      </c>
      <c r="B174" s="47" t="str">
        <f t="shared" si="10"/>
        <v>INSTRUMENT_INTRNL_SGMNT</v>
      </c>
      <c r="C174" s="8" t="s">
        <v>414</v>
      </c>
      <c r="D174" s="9" t="s">
        <v>50</v>
      </c>
      <c r="E174" s="11" t="s">
        <v>51</v>
      </c>
      <c r="F174" s="10" t="s">
        <v>13</v>
      </c>
      <c r="G174" s="10" t="s">
        <v>11</v>
      </c>
      <c r="H174" s="10" t="s">
        <v>11</v>
      </c>
      <c r="I174" s="10" t="s">
        <v>13</v>
      </c>
      <c r="J174" s="10" t="s">
        <v>11</v>
      </c>
      <c r="L174" s="6" t="str">
        <f>IFERROR(VLOOKUP($B174,'LISTA - Setembro2024'!$B$3:$F$539,5,0),"Campo eliminado")</f>
        <v>Y</v>
      </c>
      <c r="M174" s="6" t="str">
        <f t="shared" si="11"/>
        <v>Igual</v>
      </c>
      <c r="N174" s="6" t="str">
        <f>IFERROR(VLOOKUP($B174,'LISTA - Setembro2024'!$B$3:$K$539,6,0),"Campo eliminado")</f>
        <v>N</v>
      </c>
      <c r="O174" s="6" t="str">
        <f t="shared" si="12"/>
        <v>Igual</v>
      </c>
      <c r="P174" s="6" t="str">
        <f>IFERROR(VLOOKUP($B174,'LISTA - Setembro2024'!$B$3:$K$539,7,0),"Campo eliminado")</f>
        <v>N</v>
      </c>
      <c r="Q174" s="6" t="str">
        <f t="shared" si="13"/>
        <v>Igual</v>
      </c>
      <c r="R174" s="6" t="str">
        <f>IFERROR(VLOOKUP($B174,'LISTA - Setembro2024'!$B$3:$K$539,9,0),"Campo eliminado")</f>
        <v>Y</v>
      </c>
      <c r="S174" s="6" t="str">
        <f t="shared" si="14"/>
        <v>Igual</v>
      </c>
      <c r="U174" s="6" t="str">
        <f>VLOOKUP(B174,DataLake!$A$4:$A$429,1,0)</f>
        <v>INSTRUMENT_INTRNL_SGMNT</v>
      </c>
    </row>
    <row r="175" spans="1:21" ht="15" hidden="1" customHeight="1" x14ac:dyDescent="0.25">
      <c r="A175" s="7" t="s">
        <v>514</v>
      </c>
      <c r="B175" s="47" t="str">
        <f t="shared" si="10"/>
        <v>INSTRUMENT_INTRNL_UNT</v>
      </c>
      <c r="C175" s="8" t="s">
        <v>414</v>
      </c>
      <c r="D175" s="9" t="s">
        <v>53</v>
      </c>
      <c r="E175" s="11" t="s">
        <v>54</v>
      </c>
      <c r="F175" s="10" t="s">
        <v>13</v>
      </c>
      <c r="G175" s="10" t="s">
        <v>11</v>
      </c>
      <c r="H175" s="10" t="s">
        <v>11</v>
      </c>
      <c r="I175" s="10" t="s">
        <v>11</v>
      </c>
      <c r="J175" s="10" t="s">
        <v>11</v>
      </c>
      <c r="L175" s="6" t="str">
        <f>IFERROR(VLOOKUP($B175,'LISTA - Setembro2024'!$B$3:$F$539,5,0),"Campo eliminado")</f>
        <v>Y</v>
      </c>
      <c r="M175" s="6" t="str">
        <f t="shared" si="11"/>
        <v>Igual</v>
      </c>
      <c r="N175" s="6" t="str">
        <f>IFERROR(VLOOKUP($B175,'LISTA - Setembro2024'!$B$3:$K$539,6,0),"Campo eliminado")</f>
        <v>N</v>
      </c>
      <c r="O175" s="6" t="str">
        <f t="shared" si="12"/>
        <v>Igual</v>
      </c>
      <c r="P175" s="6" t="str">
        <f>IFERROR(VLOOKUP($B175,'LISTA - Setembro2024'!$B$3:$K$539,7,0),"Campo eliminado")</f>
        <v>N</v>
      </c>
      <c r="Q175" s="6" t="str">
        <f t="shared" si="13"/>
        <v>Igual</v>
      </c>
      <c r="R175" s="6" t="str">
        <f>IFERROR(VLOOKUP($B175,'LISTA - Setembro2024'!$B$3:$K$539,9,0),"Campo eliminado")</f>
        <v>N</v>
      </c>
      <c r="S175" s="6" t="str">
        <f t="shared" si="14"/>
        <v>Igual</v>
      </c>
      <c r="U175" s="6" t="str">
        <f>VLOOKUP(B175,DataLake!$A$4:$A$429,1,0)</f>
        <v>INSTRUMENT_INTRNL_UNT</v>
      </c>
    </row>
    <row r="176" spans="1:21" ht="15" hidden="1" customHeight="1" x14ac:dyDescent="0.25">
      <c r="A176" s="7" t="s">
        <v>515</v>
      </c>
      <c r="B176" s="47" t="str">
        <f t="shared" si="10"/>
        <v>INSTRUMENT_LCRE</v>
      </c>
      <c r="C176" s="8" t="s">
        <v>414</v>
      </c>
      <c r="D176" s="9" t="s">
        <v>516</v>
      </c>
      <c r="E176" s="11" t="s">
        <v>517</v>
      </c>
      <c r="F176" s="10" t="s">
        <v>13</v>
      </c>
      <c r="G176" s="10" t="s">
        <v>11</v>
      </c>
      <c r="H176" s="10" t="s">
        <v>11</v>
      </c>
      <c r="I176" s="10" t="s">
        <v>11</v>
      </c>
      <c r="J176" s="10" t="s">
        <v>11</v>
      </c>
      <c r="L176" s="6" t="str">
        <f>IFERROR(VLOOKUP($B176,'LISTA - Setembro2024'!$B$3:$F$539,5,0),"Campo eliminado")</f>
        <v>Y</v>
      </c>
      <c r="M176" s="6" t="str">
        <f t="shared" si="11"/>
        <v>Igual</v>
      </c>
      <c r="N176" s="6" t="str">
        <f>IFERROR(VLOOKUP($B176,'LISTA - Setembro2024'!$B$3:$K$539,6,0),"Campo eliminado")</f>
        <v>N</v>
      </c>
      <c r="O176" s="6" t="str">
        <f t="shared" si="12"/>
        <v>Igual</v>
      </c>
      <c r="P176" s="6" t="str">
        <f>IFERROR(VLOOKUP($B176,'LISTA - Setembro2024'!$B$3:$K$539,7,0),"Campo eliminado")</f>
        <v>N</v>
      </c>
      <c r="Q176" s="6" t="str">
        <f t="shared" si="13"/>
        <v>Igual</v>
      </c>
      <c r="R176" s="6" t="str">
        <f>IFERROR(VLOOKUP($B176,'LISTA - Setembro2024'!$B$3:$K$539,9,0),"Campo eliminado")</f>
        <v>N</v>
      </c>
      <c r="S176" s="6" t="str">
        <f t="shared" si="14"/>
        <v>Igual</v>
      </c>
      <c r="U176" s="6" t="str">
        <f>VLOOKUP(B176,DataLake!$A$4:$A$429,1,0)</f>
        <v>INSTRUMENT_LCRE</v>
      </c>
    </row>
    <row r="177" spans="1:21" ht="15" hidden="1" customHeight="1" x14ac:dyDescent="0.25">
      <c r="A177" s="7" t="s">
        <v>518</v>
      </c>
      <c r="B177" s="47" t="str">
        <f t="shared" si="10"/>
        <v>INSTRUMENT_LGL_PRCDNG_STTS</v>
      </c>
      <c r="C177" s="8" t="s">
        <v>414</v>
      </c>
      <c r="D177" s="9" t="s">
        <v>519</v>
      </c>
      <c r="E177" s="11" t="s">
        <v>520</v>
      </c>
      <c r="F177" s="10" t="s">
        <v>13</v>
      </c>
      <c r="G177" s="10" t="s">
        <v>11</v>
      </c>
      <c r="H177" s="10" t="s">
        <v>11</v>
      </c>
      <c r="I177" s="10" t="s">
        <v>11</v>
      </c>
      <c r="J177" s="10" t="s">
        <v>11</v>
      </c>
      <c r="L177" s="6" t="str">
        <f>IFERROR(VLOOKUP($B177,'LISTA - Setembro2024'!$B$3:$F$539,5,0),"Campo eliminado")</f>
        <v>Y</v>
      </c>
      <c r="M177" s="6" t="str">
        <f t="shared" si="11"/>
        <v>Igual</v>
      </c>
      <c r="N177" s="6" t="str">
        <f>IFERROR(VLOOKUP($B177,'LISTA - Setembro2024'!$B$3:$K$539,6,0),"Campo eliminado")</f>
        <v>N</v>
      </c>
      <c r="O177" s="6" t="str">
        <f t="shared" si="12"/>
        <v>Igual</v>
      </c>
      <c r="P177" s="6" t="str">
        <f>IFERROR(VLOOKUP($B177,'LISTA - Setembro2024'!$B$3:$K$539,7,0),"Campo eliminado")</f>
        <v>N</v>
      </c>
      <c r="Q177" s="6" t="str">
        <f t="shared" si="13"/>
        <v>Igual</v>
      </c>
      <c r="R177" s="6" t="str">
        <f>IFERROR(VLOOKUP($B177,'LISTA - Setembro2024'!$B$3:$K$539,9,0),"Campo eliminado")</f>
        <v>N</v>
      </c>
      <c r="S177" s="6" t="str">
        <f t="shared" si="14"/>
        <v>Igual</v>
      </c>
      <c r="U177" s="6" t="str">
        <f>VLOOKUP(B177,DataLake!$A$4:$A$429,1,0)</f>
        <v>INSTRUMENT_LGL_PRCDNG_STTS</v>
      </c>
    </row>
    <row r="178" spans="1:21" ht="15" hidden="1" customHeight="1" x14ac:dyDescent="0.25">
      <c r="A178" s="7" t="s">
        <v>521</v>
      </c>
      <c r="B178" s="47" t="str">
        <f t="shared" si="10"/>
        <v>INSTRUMENT_LND_DRGTN</v>
      </c>
      <c r="C178" s="8" t="s">
        <v>414</v>
      </c>
      <c r="D178" s="9" t="s">
        <v>522</v>
      </c>
      <c r="E178" s="11" t="s">
        <v>523</v>
      </c>
      <c r="F178" s="10" t="s">
        <v>13</v>
      </c>
      <c r="G178" s="10" t="s">
        <v>11</v>
      </c>
      <c r="H178" s="10" t="s">
        <v>11</v>
      </c>
      <c r="I178" s="10" t="s">
        <v>11</v>
      </c>
      <c r="J178" s="10" t="s">
        <v>11</v>
      </c>
      <c r="L178" s="6" t="str">
        <f>IFERROR(VLOOKUP($B178,'LISTA - Setembro2024'!$B$3:$F$539,5,0),"Campo eliminado")</f>
        <v>Y</v>
      </c>
      <c r="M178" s="6" t="str">
        <f t="shared" si="11"/>
        <v>Igual</v>
      </c>
      <c r="N178" s="6" t="str">
        <f>IFERROR(VLOOKUP($B178,'LISTA - Setembro2024'!$B$3:$K$539,6,0),"Campo eliminado")</f>
        <v>N</v>
      </c>
      <c r="O178" s="6" t="str">
        <f t="shared" si="12"/>
        <v>Igual</v>
      </c>
      <c r="P178" s="6" t="str">
        <f>IFERROR(VLOOKUP($B178,'LISTA - Setembro2024'!$B$3:$K$539,7,0),"Campo eliminado")</f>
        <v>N</v>
      </c>
      <c r="Q178" s="6" t="str">
        <f t="shared" si="13"/>
        <v>Igual</v>
      </c>
      <c r="R178" s="6" t="str">
        <f>IFERROR(VLOOKUP($B178,'LISTA - Setembro2024'!$B$3:$K$539,9,0),"Campo eliminado")</f>
        <v>N</v>
      </c>
      <c r="S178" s="6" t="str">
        <f t="shared" si="14"/>
        <v>Igual</v>
      </c>
      <c r="U178" s="6" t="str">
        <f>VLOOKUP(B178,DataLake!$A$4:$A$429,1,0)</f>
        <v>INSTRUMENT_LND_DRGTN</v>
      </c>
    </row>
    <row r="179" spans="1:21" ht="15" hidden="1" customHeight="1" x14ac:dyDescent="0.25">
      <c r="A179" s="7" t="s">
        <v>524</v>
      </c>
      <c r="B179" s="47" t="str">
        <f t="shared" si="10"/>
        <v>INSTRUMENT_POCI</v>
      </c>
      <c r="C179" s="8" t="s">
        <v>414</v>
      </c>
      <c r="D179" s="9" t="s">
        <v>525</v>
      </c>
      <c r="E179" s="11" t="s">
        <v>526</v>
      </c>
      <c r="F179" s="10" t="s">
        <v>13</v>
      </c>
      <c r="G179" s="10" t="s">
        <v>11</v>
      </c>
      <c r="H179" s="10" t="s">
        <v>11</v>
      </c>
      <c r="I179" s="10" t="s">
        <v>11</v>
      </c>
      <c r="J179" s="10" t="s">
        <v>11</v>
      </c>
      <c r="L179" s="6" t="str">
        <f>IFERROR(VLOOKUP($B179,'LISTA - Setembro2024'!$B$3:$F$539,5,0),"Campo eliminado")</f>
        <v>Y</v>
      </c>
      <c r="M179" s="6" t="str">
        <f t="shared" si="11"/>
        <v>Igual</v>
      </c>
      <c r="N179" s="6" t="str">
        <f>IFERROR(VLOOKUP($B179,'LISTA - Setembro2024'!$B$3:$K$539,6,0),"Campo eliminado")</f>
        <v>N</v>
      </c>
      <c r="O179" s="6" t="str">
        <f t="shared" si="12"/>
        <v>Igual</v>
      </c>
      <c r="P179" s="6" t="str">
        <f>IFERROR(VLOOKUP($B179,'LISTA - Setembro2024'!$B$3:$K$539,7,0),"Campo eliminado")</f>
        <v>N</v>
      </c>
      <c r="Q179" s="6" t="str">
        <f t="shared" si="13"/>
        <v>Igual</v>
      </c>
      <c r="R179" s="6" t="str">
        <f>IFERROR(VLOOKUP($B179,'LISTA - Setembro2024'!$B$3:$K$539,9,0),"Campo eliminado")</f>
        <v>N</v>
      </c>
      <c r="S179" s="6" t="str">
        <f t="shared" si="14"/>
        <v>Igual</v>
      </c>
      <c r="U179" s="6" t="str">
        <f>VLOOKUP(B179,DataLake!$A$4:$A$429,1,0)</f>
        <v>INSTRUMENT_POCI</v>
      </c>
    </row>
    <row r="180" spans="1:21" ht="15" hidden="1" customHeight="1" x14ac:dyDescent="0.25">
      <c r="A180" s="7" t="s">
        <v>527</v>
      </c>
      <c r="B180" s="47" t="str">
        <f t="shared" si="10"/>
        <v>INSTRUMENT_PRFRMNG_STTS</v>
      </c>
      <c r="C180" s="8" t="s">
        <v>414</v>
      </c>
      <c r="D180" s="9" t="s">
        <v>528</v>
      </c>
      <c r="E180" s="11" t="s">
        <v>141</v>
      </c>
      <c r="F180" s="10" t="s">
        <v>13</v>
      </c>
      <c r="G180" s="10" t="s">
        <v>13</v>
      </c>
      <c r="H180" s="10" t="s">
        <v>13</v>
      </c>
      <c r="I180" s="10" t="s">
        <v>11</v>
      </c>
      <c r="J180" s="10" t="s">
        <v>11</v>
      </c>
      <c r="L180" s="6" t="str">
        <f>IFERROR(VLOOKUP($B180,'LISTA - Setembro2024'!$B$3:$F$539,5,0),"Campo eliminado")</f>
        <v>Y</v>
      </c>
      <c r="M180" s="6" t="str">
        <f t="shared" si="11"/>
        <v>Igual</v>
      </c>
      <c r="N180" s="6" t="str">
        <f>IFERROR(VLOOKUP($B180,'LISTA - Setembro2024'!$B$3:$K$539,6,0),"Campo eliminado")</f>
        <v>Y</v>
      </c>
      <c r="O180" s="6" t="str">
        <f t="shared" si="12"/>
        <v>Igual</v>
      </c>
      <c r="P180" s="6" t="str">
        <f>IFERROR(VLOOKUP($B180,'LISTA - Setembro2024'!$B$3:$K$539,7,0),"Campo eliminado")</f>
        <v>Y</v>
      </c>
      <c r="Q180" s="6" t="str">
        <f t="shared" si="13"/>
        <v>Igual</v>
      </c>
      <c r="R180" s="6" t="str">
        <f>IFERROR(VLOOKUP($B180,'LISTA - Setembro2024'!$B$3:$K$539,9,0),"Campo eliminado")</f>
        <v>N</v>
      </c>
      <c r="S180" s="6" t="str">
        <f t="shared" si="14"/>
        <v>Igual</v>
      </c>
      <c r="U180" s="6" t="str">
        <f>VLOOKUP(B180,DataLake!$A$4:$A$429,1,0)</f>
        <v>INSTRUMENT_PRFRMNG_STTS</v>
      </c>
    </row>
    <row r="181" spans="1:21" ht="15" hidden="1" customHeight="1" x14ac:dyDescent="0.25">
      <c r="A181" s="7" t="s">
        <v>529</v>
      </c>
      <c r="B181" s="47" t="str">
        <f t="shared" si="10"/>
        <v>INSTRUMENT_PRFRMNG_STTS_PRVS</v>
      </c>
      <c r="C181" s="8" t="s">
        <v>414</v>
      </c>
      <c r="D181" s="9" t="s">
        <v>530</v>
      </c>
      <c r="E181" s="11" t="s">
        <v>531</v>
      </c>
      <c r="F181" s="10" t="s">
        <v>13</v>
      </c>
      <c r="G181" s="10" t="s">
        <v>11</v>
      </c>
      <c r="H181" s="10" t="s">
        <v>11</v>
      </c>
      <c r="I181" s="10" t="s">
        <v>11</v>
      </c>
      <c r="J181" s="10" t="s">
        <v>11</v>
      </c>
      <c r="L181" s="6" t="str">
        <f>IFERROR(VLOOKUP($B181,'LISTA - Setembro2024'!$B$3:$F$539,5,0),"Campo eliminado")</f>
        <v>Y</v>
      </c>
      <c r="M181" s="6" t="str">
        <f t="shared" si="11"/>
        <v>Igual</v>
      </c>
      <c r="N181" s="6" t="str">
        <f>IFERROR(VLOOKUP($B181,'LISTA - Setembro2024'!$B$3:$K$539,6,0),"Campo eliminado")</f>
        <v>N</v>
      </c>
      <c r="O181" s="6" t="str">
        <f t="shared" si="12"/>
        <v>Igual</v>
      </c>
      <c r="P181" s="6" t="str">
        <f>IFERROR(VLOOKUP($B181,'LISTA - Setembro2024'!$B$3:$K$539,7,0),"Campo eliminado")</f>
        <v>N</v>
      </c>
      <c r="Q181" s="6" t="str">
        <f t="shared" si="13"/>
        <v>Igual</v>
      </c>
      <c r="R181" s="6" t="str">
        <f>IFERROR(VLOOKUP($B181,'LISTA - Setembro2024'!$B$3:$K$539,9,0),"Campo eliminado")</f>
        <v>N</v>
      </c>
      <c r="S181" s="6" t="str">
        <f t="shared" si="14"/>
        <v>Igual</v>
      </c>
      <c r="U181" s="6" t="str">
        <f>VLOOKUP(B181,DataLake!$A$4:$A$429,1,0)</f>
        <v>INSTRUMENT_PRFRMNG_STTS_PRVS</v>
      </c>
    </row>
    <row r="182" spans="1:21" ht="15" hidden="1" customHeight="1" x14ac:dyDescent="0.25">
      <c r="A182" s="7" t="s">
        <v>532</v>
      </c>
      <c r="B182" s="47" t="str">
        <f t="shared" si="10"/>
        <v>INSTRUMENT_PRJCT_FNNC_LN</v>
      </c>
      <c r="C182" s="8" t="s">
        <v>414</v>
      </c>
      <c r="D182" s="9" t="s">
        <v>533</v>
      </c>
      <c r="E182" s="11" t="s">
        <v>534</v>
      </c>
      <c r="F182" s="10" t="s">
        <v>13</v>
      </c>
      <c r="G182" s="10" t="s">
        <v>11</v>
      </c>
      <c r="H182" s="10" t="s">
        <v>13</v>
      </c>
      <c r="I182" s="10" t="s">
        <v>11</v>
      </c>
      <c r="J182" s="10" t="s">
        <v>11</v>
      </c>
      <c r="L182" s="6" t="str">
        <f>IFERROR(VLOOKUP($B182,'LISTA - Setembro2024'!$B$3:$F$539,5,0),"Campo eliminado")</f>
        <v>Y</v>
      </c>
      <c r="M182" s="6" t="str">
        <f t="shared" si="11"/>
        <v>Igual</v>
      </c>
      <c r="N182" s="6" t="str">
        <f>IFERROR(VLOOKUP($B182,'LISTA - Setembro2024'!$B$3:$K$539,6,0),"Campo eliminado")</f>
        <v>N</v>
      </c>
      <c r="O182" s="6" t="str">
        <f t="shared" si="12"/>
        <v>Igual</v>
      </c>
      <c r="P182" s="6" t="str">
        <f>IFERROR(VLOOKUP($B182,'LISTA - Setembro2024'!$B$3:$K$539,7,0),"Campo eliminado")</f>
        <v>Y</v>
      </c>
      <c r="Q182" s="6" t="str">
        <f t="shared" si="13"/>
        <v>Igual</v>
      </c>
      <c r="R182" s="6" t="str">
        <f>IFERROR(VLOOKUP($B182,'LISTA - Setembro2024'!$B$3:$K$539,9,0),"Campo eliminado")</f>
        <v>N</v>
      </c>
      <c r="S182" s="6" t="str">
        <f t="shared" si="14"/>
        <v>Igual</v>
      </c>
      <c r="U182" s="6" t="str">
        <f>VLOOKUP(B182,DataLake!$A$4:$A$429,1,0)</f>
        <v>INSTRUMENT_PRJCT_FNNC_LN</v>
      </c>
    </row>
    <row r="183" spans="1:21" ht="15" hidden="1" customHeight="1" x14ac:dyDescent="0.25">
      <c r="A183" s="7" t="s">
        <v>535</v>
      </c>
      <c r="B183" s="47" t="str">
        <f t="shared" si="10"/>
        <v>INSTRUMENT_PRPS</v>
      </c>
      <c r="C183" s="8" t="s">
        <v>414</v>
      </c>
      <c r="D183" s="9" t="s">
        <v>536</v>
      </c>
      <c r="E183" s="11" t="s">
        <v>537</v>
      </c>
      <c r="F183" s="10" t="s">
        <v>13</v>
      </c>
      <c r="G183" s="10" t="s">
        <v>11</v>
      </c>
      <c r="H183" s="10" t="s">
        <v>11</v>
      </c>
      <c r="I183" s="10" t="s">
        <v>11</v>
      </c>
      <c r="J183" s="10" t="s">
        <v>11</v>
      </c>
      <c r="L183" s="6" t="str">
        <f>IFERROR(VLOOKUP($B183,'LISTA - Setembro2024'!$B$3:$F$539,5,0),"Campo eliminado")</f>
        <v>Y</v>
      </c>
      <c r="M183" s="6" t="str">
        <f t="shared" si="11"/>
        <v>Igual</v>
      </c>
      <c r="N183" s="6" t="str">
        <f>IFERROR(VLOOKUP($B183,'LISTA - Setembro2024'!$B$3:$K$539,6,0),"Campo eliminado")</f>
        <v>N</v>
      </c>
      <c r="O183" s="6" t="str">
        <f t="shared" si="12"/>
        <v>Igual</v>
      </c>
      <c r="P183" s="6" t="str">
        <f>IFERROR(VLOOKUP($B183,'LISTA - Setembro2024'!$B$3:$K$539,7,0),"Campo eliminado")</f>
        <v>N</v>
      </c>
      <c r="Q183" s="6" t="str">
        <f t="shared" si="13"/>
        <v>Igual</v>
      </c>
      <c r="R183" s="6" t="str">
        <f>IFERROR(VLOOKUP($B183,'LISTA - Setembro2024'!$B$3:$K$539,9,0),"Campo eliminado")</f>
        <v>N</v>
      </c>
      <c r="S183" s="6" t="str">
        <f t="shared" si="14"/>
        <v>Igual</v>
      </c>
      <c r="U183" s="6" t="str">
        <f>VLOOKUP(B183,DataLake!$A$4:$A$429,1,0)</f>
        <v>INSTRUMENT_PRPS</v>
      </c>
    </row>
    <row r="184" spans="1:21" ht="15" hidden="1" customHeight="1" x14ac:dyDescent="0.25">
      <c r="A184" s="7" t="s">
        <v>538</v>
      </c>
      <c r="B184" s="47" t="str">
        <f t="shared" si="10"/>
        <v>INSTRUMENT_PYMNT_INTRST_ONLY</v>
      </c>
      <c r="C184" s="8" t="s">
        <v>414</v>
      </c>
      <c r="D184" s="9" t="s">
        <v>539</v>
      </c>
      <c r="E184" s="11" t="s">
        <v>540</v>
      </c>
      <c r="F184" s="10" t="s">
        <v>13</v>
      </c>
      <c r="G184" s="10" t="s">
        <v>11</v>
      </c>
      <c r="H184" s="10" t="s">
        <v>11</v>
      </c>
      <c r="I184" s="10" t="s">
        <v>11</v>
      </c>
      <c r="J184" s="10" t="s">
        <v>11</v>
      </c>
      <c r="L184" s="6" t="str">
        <f>IFERROR(VLOOKUP($B184,'LISTA - Setembro2024'!$B$3:$F$539,5,0),"Campo eliminado")</f>
        <v>Y</v>
      </c>
      <c r="M184" s="6" t="str">
        <f t="shared" si="11"/>
        <v>Igual</v>
      </c>
      <c r="N184" s="6" t="str">
        <f>IFERROR(VLOOKUP($B184,'LISTA - Setembro2024'!$B$3:$K$539,6,0),"Campo eliminado")</f>
        <v>N</v>
      </c>
      <c r="O184" s="6" t="str">
        <f t="shared" si="12"/>
        <v>Igual</v>
      </c>
      <c r="P184" s="6" t="str">
        <f>IFERROR(VLOOKUP($B184,'LISTA - Setembro2024'!$B$3:$K$539,7,0),"Campo eliminado")</f>
        <v>N</v>
      </c>
      <c r="Q184" s="6" t="str">
        <f t="shared" si="13"/>
        <v>Igual</v>
      </c>
      <c r="R184" s="6" t="str">
        <f>IFERROR(VLOOKUP($B184,'LISTA - Setembro2024'!$B$3:$K$539,9,0),"Campo eliminado")</f>
        <v>N</v>
      </c>
      <c r="S184" s="6" t="str">
        <f t="shared" si="14"/>
        <v>Igual</v>
      </c>
      <c r="U184" s="6" t="str">
        <f>VLOOKUP(B184,DataLake!$A$4:$A$429,1,0)</f>
        <v>INSTRUMENT_PYMNT_INTRST_ONLY</v>
      </c>
    </row>
    <row r="185" spans="1:21" ht="15" hidden="1" customHeight="1" x14ac:dyDescent="0.25">
      <c r="A185" s="7" t="s">
        <v>541</v>
      </c>
      <c r="B185" s="47" t="str">
        <f t="shared" si="10"/>
        <v>INSTRUMENT_RCRS</v>
      </c>
      <c r="C185" s="8" t="s">
        <v>414</v>
      </c>
      <c r="D185" s="9" t="s">
        <v>542</v>
      </c>
      <c r="E185" s="11" t="s">
        <v>543</v>
      </c>
      <c r="F185" s="10" t="s">
        <v>13</v>
      </c>
      <c r="G185" s="10" t="s">
        <v>11</v>
      </c>
      <c r="H185" s="10" t="s">
        <v>11</v>
      </c>
      <c r="I185" s="10" t="s">
        <v>11</v>
      </c>
      <c r="J185" s="10" t="s">
        <v>11</v>
      </c>
      <c r="L185" s="6" t="str">
        <f>IFERROR(VLOOKUP($B185,'LISTA - Setembro2024'!$B$3:$F$539,5,0),"Campo eliminado")</f>
        <v>Y</v>
      </c>
      <c r="M185" s="6" t="str">
        <f t="shared" si="11"/>
        <v>Igual</v>
      </c>
      <c r="N185" s="6" t="str">
        <f>IFERROR(VLOOKUP($B185,'LISTA - Setembro2024'!$B$3:$K$539,6,0),"Campo eliminado")</f>
        <v>N</v>
      </c>
      <c r="O185" s="6" t="str">
        <f t="shared" si="12"/>
        <v>Igual</v>
      </c>
      <c r="P185" s="6" t="str">
        <f>IFERROR(VLOOKUP($B185,'LISTA - Setembro2024'!$B$3:$K$539,7,0),"Campo eliminado")</f>
        <v>N</v>
      </c>
      <c r="Q185" s="6" t="str">
        <f t="shared" si="13"/>
        <v>Igual</v>
      </c>
      <c r="R185" s="6" t="str">
        <f>IFERROR(VLOOKUP($B185,'LISTA - Setembro2024'!$B$3:$K$539,9,0),"Campo eliminado")</f>
        <v>N</v>
      </c>
      <c r="S185" s="6" t="str">
        <f t="shared" si="14"/>
        <v>Igual</v>
      </c>
      <c r="U185" s="6" t="str">
        <f>VLOOKUP(B185,DataLake!$A$4:$A$429,1,0)</f>
        <v>INSTRUMENT_RCRS</v>
      </c>
    </row>
    <row r="186" spans="1:21" ht="15" hidden="1" customHeight="1" x14ac:dyDescent="0.25">
      <c r="A186" s="7" t="s">
        <v>544</v>
      </c>
      <c r="B186" s="47" t="str">
        <f t="shared" si="10"/>
        <v>INSTRUMENT_RFNNC_PRPS</v>
      </c>
      <c r="C186" s="8" t="s">
        <v>414</v>
      </c>
      <c r="D186" s="9" t="s">
        <v>545</v>
      </c>
      <c r="E186" s="11" t="s">
        <v>546</v>
      </c>
      <c r="F186" s="10" t="s">
        <v>13</v>
      </c>
      <c r="G186" s="10" t="s">
        <v>11</v>
      </c>
      <c r="H186" s="10" t="s">
        <v>11</v>
      </c>
      <c r="I186" s="10" t="s">
        <v>11</v>
      </c>
      <c r="J186" s="10" t="s">
        <v>11</v>
      </c>
      <c r="L186" s="6" t="str">
        <f>IFERROR(VLOOKUP($B186,'LISTA - Setembro2024'!$B$3:$F$539,5,0),"Campo eliminado")</f>
        <v>Y</v>
      </c>
      <c r="M186" s="6" t="str">
        <f t="shared" si="11"/>
        <v>Igual</v>
      </c>
      <c r="N186" s="6" t="str">
        <f>IFERROR(VLOOKUP($B186,'LISTA - Setembro2024'!$B$3:$K$539,6,0),"Campo eliminado")</f>
        <v>N</v>
      </c>
      <c r="O186" s="6" t="str">
        <f t="shared" si="12"/>
        <v>Igual</v>
      </c>
      <c r="P186" s="6" t="str">
        <f>IFERROR(VLOOKUP($B186,'LISTA - Setembro2024'!$B$3:$K$539,7,0),"Campo eliminado")</f>
        <v>N</v>
      </c>
      <c r="Q186" s="6" t="str">
        <f t="shared" si="13"/>
        <v>Igual</v>
      </c>
      <c r="R186" s="6" t="str">
        <f>IFERROR(VLOOKUP($B186,'LISTA - Setembro2024'!$B$3:$K$539,9,0),"Campo eliminado")</f>
        <v>N</v>
      </c>
      <c r="S186" s="6" t="str">
        <f t="shared" si="14"/>
        <v>Igual</v>
      </c>
      <c r="U186" s="6" t="str">
        <f>VLOOKUP(B186,DataLake!$A$4:$A$429,1,0)</f>
        <v>INSTRUMENT_RFNNC_PRPS</v>
      </c>
    </row>
    <row r="187" spans="1:21" ht="15" hidden="1" customHeight="1" x14ac:dyDescent="0.25">
      <c r="A187" s="7" t="s">
        <v>547</v>
      </c>
      <c r="B187" s="47" t="str">
        <f t="shared" si="10"/>
        <v>INSTRUMENT_SPCLTV_LNDNG</v>
      </c>
      <c r="C187" s="8" t="s">
        <v>414</v>
      </c>
      <c r="D187" s="9" t="s">
        <v>548</v>
      </c>
      <c r="E187" s="11" t="s">
        <v>549</v>
      </c>
      <c r="F187" s="10" t="s">
        <v>13</v>
      </c>
      <c r="G187" s="10" t="s">
        <v>11</v>
      </c>
      <c r="H187" s="10" t="s">
        <v>11</v>
      </c>
      <c r="I187" s="10" t="s">
        <v>11</v>
      </c>
      <c r="J187" s="10" t="s">
        <v>11</v>
      </c>
      <c r="L187" s="6" t="str">
        <f>IFERROR(VLOOKUP($B187,'LISTA - Setembro2024'!$B$3:$F$539,5,0),"Campo eliminado")</f>
        <v>Y</v>
      </c>
      <c r="M187" s="6" t="str">
        <f t="shared" si="11"/>
        <v>Igual</v>
      </c>
      <c r="N187" s="6" t="str">
        <f>IFERROR(VLOOKUP($B187,'LISTA - Setembro2024'!$B$3:$K$539,6,0),"Campo eliminado")</f>
        <v>N</v>
      </c>
      <c r="O187" s="6" t="str">
        <f t="shared" si="12"/>
        <v>Igual</v>
      </c>
      <c r="P187" s="6" t="str">
        <f>IFERROR(VLOOKUP($B187,'LISTA - Setembro2024'!$B$3:$K$539,7,0),"Campo eliminado")</f>
        <v>N</v>
      </c>
      <c r="Q187" s="6" t="str">
        <f t="shared" si="13"/>
        <v>Igual</v>
      </c>
      <c r="R187" s="6" t="str">
        <f>IFERROR(VLOOKUP($B187,'LISTA - Setembro2024'!$B$3:$K$539,9,0),"Campo eliminado")</f>
        <v>N</v>
      </c>
      <c r="S187" s="6" t="str">
        <f t="shared" si="14"/>
        <v>Igual</v>
      </c>
      <c r="U187" s="6" t="str">
        <f>VLOOKUP(B187,DataLake!$A$4:$A$429,1,0)</f>
        <v>INSTRUMENT_SPCLTV_LNDNG</v>
      </c>
    </row>
    <row r="188" spans="1:21" ht="15" hidden="1" customHeight="1" x14ac:dyDescent="0.25">
      <c r="A188" s="7" t="s">
        <v>550</v>
      </c>
      <c r="B188" s="47" t="str">
        <f t="shared" si="10"/>
        <v>INSTRUMENT_STTS_UNDRWRTTN_TRNSCTN</v>
      </c>
      <c r="C188" s="8" t="s">
        <v>414</v>
      </c>
      <c r="D188" s="9" t="s">
        <v>551</v>
      </c>
      <c r="E188" s="11" t="s">
        <v>552</v>
      </c>
      <c r="F188" s="10" t="s">
        <v>13</v>
      </c>
      <c r="G188" s="10" t="s">
        <v>11</v>
      </c>
      <c r="H188" s="10" t="s">
        <v>11</v>
      </c>
      <c r="I188" s="10" t="s">
        <v>11</v>
      </c>
      <c r="J188" s="10" t="s">
        <v>11</v>
      </c>
      <c r="L188" s="6" t="str">
        <f>IFERROR(VLOOKUP($B188,'LISTA - Setembro2024'!$B$3:$F$539,5,0),"Campo eliminado")</f>
        <v>Y</v>
      </c>
      <c r="M188" s="6" t="str">
        <f t="shared" si="11"/>
        <v>Igual</v>
      </c>
      <c r="N188" s="6" t="str">
        <f>IFERROR(VLOOKUP($B188,'LISTA - Setembro2024'!$B$3:$K$539,6,0),"Campo eliminado")</f>
        <v>N</v>
      </c>
      <c r="O188" s="6" t="str">
        <f t="shared" si="12"/>
        <v>Igual</v>
      </c>
      <c r="P188" s="6" t="str">
        <f>IFERROR(VLOOKUP($B188,'LISTA - Setembro2024'!$B$3:$K$539,7,0),"Campo eliminado")</f>
        <v>N</v>
      </c>
      <c r="Q188" s="6" t="str">
        <f t="shared" si="13"/>
        <v>Igual</v>
      </c>
      <c r="R188" s="6" t="str">
        <f>IFERROR(VLOOKUP($B188,'LISTA - Setembro2024'!$B$3:$K$539,9,0),"Campo eliminado")</f>
        <v>N</v>
      </c>
      <c r="S188" s="6" t="str">
        <f t="shared" si="14"/>
        <v>Igual</v>
      </c>
      <c r="U188" s="6" t="str">
        <f>VLOOKUP(B188,DataLake!$A$4:$A$429,1,0)</f>
        <v>INSTRUMENT_STTS_UNDRWRTTN_TRNSCTN</v>
      </c>
    </row>
    <row r="189" spans="1:21" ht="15" hidden="1" customHeight="1" x14ac:dyDescent="0.25">
      <c r="A189" s="7" t="s">
        <v>553</v>
      </c>
      <c r="B189" s="47" t="str">
        <f t="shared" si="10"/>
        <v>INSTRUMENT_TRNCH</v>
      </c>
      <c r="C189" s="8" t="s">
        <v>414</v>
      </c>
      <c r="D189" s="9" t="s">
        <v>554</v>
      </c>
      <c r="E189" s="11" t="s">
        <v>555</v>
      </c>
      <c r="F189" s="10" t="s">
        <v>13</v>
      </c>
      <c r="G189" s="10" t="s">
        <v>11</v>
      </c>
      <c r="H189" s="10" t="s">
        <v>11</v>
      </c>
      <c r="I189" s="10" t="s">
        <v>11</v>
      </c>
      <c r="J189" s="10" t="s">
        <v>11</v>
      </c>
      <c r="L189" s="6" t="str">
        <f>IFERROR(VLOOKUP($B189,'LISTA - Setembro2024'!$B$3:$F$539,5,0),"Campo eliminado")</f>
        <v>Y</v>
      </c>
      <c r="M189" s="6" t="str">
        <f t="shared" si="11"/>
        <v>Igual</v>
      </c>
      <c r="N189" s="6" t="str">
        <f>IFERROR(VLOOKUP($B189,'LISTA - Setembro2024'!$B$3:$K$539,6,0),"Campo eliminado")</f>
        <v>N</v>
      </c>
      <c r="O189" s="6" t="str">
        <f t="shared" si="12"/>
        <v>Igual</v>
      </c>
      <c r="P189" s="6" t="str">
        <f>IFERROR(VLOOKUP($B189,'LISTA - Setembro2024'!$B$3:$K$539,7,0),"Campo eliminado")</f>
        <v>N</v>
      </c>
      <c r="Q189" s="6" t="str">
        <f t="shared" si="13"/>
        <v>Igual</v>
      </c>
      <c r="R189" s="6" t="str">
        <f>IFERROR(VLOOKUP($B189,'LISTA - Setembro2024'!$B$3:$K$539,9,0),"Campo eliminado")</f>
        <v>N</v>
      </c>
      <c r="S189" s="6" t="str">
        <f t="shared" si="14"/>
        <v>Igual</v>
      </c>
      <c r="U189" s="6" t="str">
        <f>VLOOKUP(B189,DataLake!$A$4:$A$429,1,0)</f>
        <v>INSTRUMENT_TRNCH</v>
      </c>
    </row>
    <row r="190" spans="1:21" s="20" customFormat="1" ht="15" hidden="1" customHeight="1" x14ac:dyDescent="0.25">
      <c r="A190" s="7" t="s">
        <v>556</v>
      </c>
      <c r="B190" s="47" t="str">
        <f t="shared" si="10"/>
        <v>INSTRUMENT_TYP_AMRTSTN</v>
      </c>
      <c r="C190" s="8" t="s">
        <v>414</v>
      </c>
      <c r="D190" s="9" t="s">
        <v>557</v>
      </c>
      <c r="E190" s="11" t="s">
        <v>558</v>
      </c>
      <c r="F190" s="10" t="s">
        <v>13</v>
      </c>
      <c r="G190" s="10" t="s">
        <v>11</v>
      </c>
      <c r="H190" s="10" t="s">
        <v>11</v>
      </c>
      <c r="I190" s="10" t="s">
        <v>11</v>
      </c>
      <c r="J190" s="10" t="s">
        <v>11</v>
      </c>
      <c r="L190" s="6" t="str">
        <f>IFERROR(VLOOKUP($B190,'LISTA - Setembro2024'!$B$3:$F$539,5,0),"Campo eliminado")</f>
        <v>Y</v>
      </c>
      <c r="M190" s="6" t="str">
        <f t="shared" si="11"/>
        <v>Igual</v>
      </c>
      <c r="N190" s="6" t="str">
        <f>IFERROR(VLOOKUP($B190,'LISTA - Setembro2024'!$B$3:$K$539,6,0),"Campo eliminado")</f>
        <v>N</v>
      </c>
      <c r="O190" s="6" t="str">
        <f t="shared" si="12"/>
        <v>Igual</v>
      </c>
      <c r="P190" s="6" t="str">
        <f>IFERROR(VLOOKUP($B190,'LISTA - Setembro2024'!$B$3:$K$539,7,0),"Campo eliminado")</f>
        <v>N</v>
      </c>
      <c r="Q190" s="6" t="str">
        <f t="shared" si="13"/>
        <v>Igual</v>
      </c>
      <c r="R190" s="6" t="str">
        <f>IFERROR(VLOOKUP($B190,'LISTA - Setembro2024'!$B$3:$K$539,9,0),"Campo eliminado")</f>
        <v>N</v>
      </c>
      <c r="S190" s="6" t="str">
        <f t="shared" si="14"/>
        <v>Igual</v>
      </c>
      <c r="U190" s="6" t="str">
        <f>VLOOKUP(B190,DataLake!$A$4:$A$429,1,0)</f>
        <v>INSTRUMENT_TYP_AMRTSTN</v>
      </c>
    </row>
    <row r="191" spans="1:21" ht="15" hidden="1" customHeight="1" x14ac:dyDescent="0.25">
      <c r="A191" s="21" t="s">
        <v>559</v>
      </c>
      <c r="B191" s="47" t="str">
        <f t="shared" si="10"/>
        <v>INSTRUMENT_TYP_INSTRMNT</v>
      </c>
      <c r="C191" s="8" t="s">
        <v>414</v>
      </c>
      <c r="D191" s="22" t="s">
        <v>560</v>
      </c>
      <c r="E191" s="23" t="s">
        <v>561</v>
      </c>
      <c r="F191" s="10" t="s">
        <v>13</v>
      </c>
      <c r="G191" s="10" t="s">
        <v>13</v>
      </c>
      <c r="H191" s="10" t="s">
        <v>13</v>
      </c>
      <c r="I191" s="10" t="s">
        <v>11</v>
      </c>
      <c r="J191" s="10" t="s">
        <v>11</v>
      </c>
      <c r="L191" s="6" t="str">
        <f>IFERROR(VLOOKUP($B191,'LISTA - Setembro2024'!$B$3:$F$539,5,0),"Campo eliminado")</f>
        <v>Y</v>
      </c>
      <c r="M191" s="6" t="str">
        <f t="shared" si="11"/>
        <v>Igual</v>
      </c>
      <c r="N191" s="6" t="str">
        <f>IFERROR(VLOOKUP($B191,'LISTA - Setembro2024'!$B$3:$K$539,6,0),"Campo eliminado")</f>
        <v>Y</v>
      </c>
      <c r="O191" s="6" t="str">
        <f t="shared" si="12"/>
        <v>Igual</v>
      </c>
      <c r="P191" s="6" t="str">
        <f>IFERROR(VLOOKUP($B191,'LISTA - Setembro2024'!$B$3:$K$539,7,0),"Campo eliminado")</f>
        <v>Y</v>
      </c>
      <c r="Q191" s="6" t="str">
        <f t="shared" si="13"/>
        <v>Igual</v>
      </c>
      <c r="R191" s="6" t="str">
        <f>IFERROR(VLOOKUP($B191,'LISTA - Setembro2024'!$B$3:$K$539,9,0),"Campo eliminado")</f>
        <v>N</v>
      </c>
      <c r="S191" s="6" t="str">
        <f t="shared" si="14"/>
        <v>Igual</v>
      </c>
      <c r="U191" s="6" t="str">
        <f>VLOOKUP(B191,DataLake!$A$4:$A$429,1,0)</f>
        <v>INSTRUMENT_TYP_INSTRMNT</v>
      </c>
    </row>
    <row r="192" spans="1:21" ht="15" hidden="1" customHeight="1" x14ac:dyDescent="0.25">
      <c r="A192" s="7" t="s">
        <v>562</v>
      </c>
      <c r="B192" s="47" t="str">
        <f t="shared" si="10"/>
        <v>INSTRUMENT_TYP_INTRST_RT</v>
      </c>
      <c r="C192" s="8" t="s">
        <v>414</v>
      </c>
      <c r="D192" s="9" t="s">
        <v>563</v>
      </c>
      <c r="E192" s="11" t="s">
        <v>564</v>
      </c>
      <c r="F192" s="10" t="s">
        <v>13</v>
      </c>
      <c r="G192" s="10" t="s">
        <v>11</v>
      </c>
      <c r="H192" s="10" t="s">
        <v>11</v>
      </c>
      <c r="I192" s="10" t="s">
        <v>11</v>
      </c>
      <c r="J192" s="10" t="s">
        <v>11</v>
      </c>
      <c r="L192" s="6" t="str">
        <f>IFERROR(VLOOKUP($B192,'LISTA - Setembro2024'!$B$3:$F$539,5,0),"Campo eliminado")</f>
        <v>Y</v>
      </c>
      <c r="M192" s="6" t="str">
        <f t="shared" si="11"/>
        <v>Igual</v>
      </c>
      <c r="N192" s="6" t="str">
        <f>IFERROR(VLOOKUP($B192,'LISTA - Setembro2024'!$B$3:$K$539,6,0),"Campo eliminado")</f>
        <v>N</v>
      </c>
      <c r="O192" s="6" t="str">
        <f t="shared" si="12"/>
        <v>Igual</v>
      </c>
      <c r="P192" s="6" t="str">
        <f>IFERROR(VLOOKUP($B192,'LISTA - Setembro2024'!$B$3:$K$539,7,0),"Campo eliminado")</f>
        <v>N</v>
      </c>
      <c r="Q192" s="6" t="str">
        <f t="shared" si="13"/>
        <v>Igual</v>
      </c>
      <c r="R192" s="6" t="str">
        <f>IFERROR(VLOOKUP($B192,'LISTA - Setembro2024'!$B$3:$K$539,9,0),"Campo eliminado")</f>
        <v>N</v>
      </c>
      <c r="S192" s="6" t="str">
        <f t="shared" si="14"/>
        <v>Igual</v>
      </c>
      <c r="U192" s="6" t="str">
        <f>VLOOKUP(B192,DataLake!$A$4:$A$429,1,0)</f>
        <v>INSTRUMENT_TYP_INTRST_RT</v>
      </c>
    </row>
    <row r="193" spans="1:21" ht="15" hidden="1" customHeight="1" x14ac:dyDescent="0.25">
      <c r="A193" s="7" t="s">
        <v>565</v>
      </c>
      <c r="B193" s="47" t="str">
        <f t="shared" si="10"/>
        <v>INSTRUMENT_TYP_MRTGG</v>
      </c>
      <c r="C193" s="8" t="s">
        <v>414</v>
      </c>
      <c r="D193" s="9" t="s">
        <v>566</v>
      </c>
      <c r="E193" s="11" t="s">
        <v>567</v>
      </c>
      <c r="F193" s="10" t="s">
        <v>13</v>
      </c>
      <c r="G193" s="10" t="s">
        <v>11</v>
      </c>
      <c r="H193" s="10" t="s">
        <v>11</v>
      </c>
      <c r="I193" s="10" t="s">
        <v>11</v>
      </c>
      <c r="J193" s="10" t="s">
        <v>11</v>
      </c>
      <c r="L193" s="6" t="str">
        <f>IFERROR(VLOOKUP($B193,'LISTA - Setembro2024'!$B$3:$F$539,5,0),"Campo eliminado")</f>
        <v>Y</v>
      </c>
      <c r="M193" s="6" t="str">
        <f t="shared" si="11"/>
        <v>Igual</v>
      </c>
      <c r="N193" s="6" t="str">
        <f>IFERROR(VLOOKUP($B193,'LISTA - Setembro2024'!$B$3:$K$539,6,0),"Campo eliminado")</f>
        <v>N</v>
      </c>
      <c r="O193" s="6" t="str">
        <f t="shared" si="12"/>
        <v>Igual</v>
      </c>
      <c r="P193" s="6" t="str">
        <f>IFERROR(VLOOKUP($B193,'LISTA - Setembro2024'!$B$3:$K$539,7,0),"Campo eliminado")</f>
        <v>N</v>
      </c>
      <c r="Q193" s="6" t="str">
        <f t="shared" si="13"/>
        <v>Igual</v>
      </c>
      <c r="R193" s="6" t="str">
        <f>IFERROR(VLOOKUP($B193,'LISTA - Setembro2024'!$B$3:$K$539,9,0),"Campo eliminado")</f>
        <v>N</v>
      </c>
      <c r="S193" s="6" t="str">
        <f t="shared" si="14"/>
        <v>Igual</v>
      </c>
      <c r="U193" s="6" t="str">
        <f>VLOOKUP(B193,DataLake!$A$4:$A$429,1,0)</f>
        <v>INSTRUMENT_TYP_MRTGG</v>
      </c>
    </row>
    <row r="194" spans="1:21" ht="15" hidden="1" customHeight="1" x14ac:dyDescent="0.25">
      <c r="A194" s="7" t="s">
        <v>568</v>
      </c>
      <c r="B194" s="47" t="str">
        <f t="shared" si="10"/>
        <v>INSTRUMENT_TYP_CRE_OPRTN</v>
      </c>
      <c r="C194" s="8" t="s">
        <v>414</v>
      </c>
      <c r="D194" s="9" t="s">
        <v>569</v>
      </c>
      <c r="E194" s="11" t="s">
        <v>570</v>
      </c>
      <c r="F194" s="10" t="s">
        <v>13</v>
      </c>
      <c r="G194" s="10" t="s">
        <v>11</v>
      </c>
      <c r="H194" s="10" t="s">
        <v>11</v>
      </c>
      <c r="I194" s="10" t="s">
        <v>11</v>
      </c>
      <c r="J194" s="10" t="s">
        <v>11</v>
      </c>
      <c r="L194" s="6" t="str">
        <f>IFERROR(VLOOKUP($B194,'LISTA - Setembro2024'!$B$3:$F$539,5,0),"Campo eliminado")</f>
        <v>Y</v>
      </c>
      <c r="M194" s="6" t="str">
        <f t="shared" si="11"/>
        <v>Igual</v>
      </c>
      <c r="N194" s="6" t="str">
        <f>IFERROR(VLOOKUP($B194,'LISTA - Setembro2024'!$B$3:$K$539,6,0),"Campo eliminado")</f>
        <v>N</v>
      </c>
      <c r="O194" s="6" t="str">
        <f t="shared" si="12"/>
        <v>Igual</v>
      </c>
      <c r="P194" s="6" t="str">
        <f>IFERROR(VLOOKUP($B194,'LISTA - Setembro2024'!$B$3:$K$539,7,0),"Campo eliminado")</f>
        <v>N</v>
      </c>
      <c r="Q194" s="6" t="str">
        <f t="shared" si="13"/>
        <v>Igual</v>
      </c>
      <c r="R194" s="6" t="str">
        <f>IFERROR(VLOOKUP($B194,'LISTA - Setembro2024'!$B$3:$K$539,9,0),"Campo eliminado")</f>
        <v>N</v>
      </c>
      <c r="S194" s="6" t="str">
        <f t="shared" si="14"/>
        <v>Igual</v>
      </c>
      <c r="U194" s="6" t="str">
        <f>VLOOKUP(B194,DataLake!$A$4:$A$429,1,0)</f>
        <v>INSTRUMENT_TYP_CRE_OPRTN</v>
      </c>
    </row>
    <row r="195" spans="1:21" ht="15" hidden="1" customHeight="1" x14ac:dyDescent="0.25">
      <c r="A195" s="7" t="s">
        <v>571</v>
      </c>
      <c r="B195" s="47" t="str">
        <f t="shared" ref="B195:B258" si="15">C195&amp;"_"&amp;D195</f>
        <v>INSTRUMENT_DT_STRT_GP_PPAL</v>
      </c>
      <c r="C195" s="8" t="s">
        <v>414</v>
      </c>
      <c r="D195" s="9" t="s">
        <v>572</v>
      </c>
      <c r="E195" s="11" t="s">
        <v>573</v>
      </c>
      <c r="F195" s="10" t="s">
        <v>13</v>
      </c>
      <c r="G195" s="10" t="s">
        <v>11</v>
      </c>
      <c r="H195" s="10" t="s">
        <v>11</v>
      </c>
      <c r="I195" s="10" t="s">
        <v>11</v>
      </c>
      <c r="J195" s="10" t="s">
        <v>11</v>
      </c>
      <c r="L195" s="6" t="str">
        <f>IFERROR(VLOOKUP($B195,'LISTA - Setembro2024'!$B$3:$F$539,5,0),"Campo eliminado")</f>
        <v>Y</v>
      </c>
      <c r="M195" s="6" t="str">
        <f t="shared" ref="M195:M258" si="16">IF(L195="Campo eliminado","Campo eliminado",IF(L195=F195,"Igual","Diferente"))</f>
        <v>Igual</v>
      </c>
      <c r="N195" s="6" t="str">
        <f>IFERROR(VLOOKUP($B195,'LISTA - Setembro2024'!$B$3:$K$539,6,0),"Campo eliminado")</f>
        <v>N</v>
      </c>
      <c r="O195" s="6" t="str">
        <f t="shared" ref="O195:O258" si="17">IF(N195="Campo eliminado","Campo eliminado",IF(N195=G195,"Igual","Diferente"))</f>
        <v>Igual</v>
      </c>
      <c r="P195" s="6" t="str">
        <f>IFERROR(VLOOKUP($B195,'LISTA - Setembro2024'!$B$3:$K$539,7,0),"Campo eliminado")</f>
        <v>N</v>
      </c>
      <c r="Q195" s="6" t="str">
        <f t="shared" ref="Q195:Q258" si="18">IF(P195="Campo eliminado","Campo eliminado",IF(P195=H195,"Igual","Diferente"))</f>
        <v>Igual</v>
      </c>
      <c r="R195" s="6" t="str">
        <f>IFERROR(VLOOKUP($B195,'LISTA - Setembro2024'!$B$3:$K$539,9,0),"Campo eliminado")</f>
        <v>N</v>
      </c>
      <c r="S195" s="6" t="str">
        <f t="shared" ref="S195:S258" si="19">IF(R195="Campo eliminado","Campo eliminado",IF(R195=I195,"Igual","Diferente"))</f>
        <v>Igual</v>
      </c>
      <c r="U195" s="6" t="str">
        <f>VLOOKUP(B195,DataLake!$A$4:$A$429,1,0)</f>
        <v>INSTRUMENT_DT_STRT_GP_PPAL</v>
      </c>
    </row>
    <row r="196" spans="1:21" ht="15" hidden="1" customHeight="1" x14ac:dyDescent="0.25">
      <c r="A196" s="7" t="s">
        <v>574</v>
      </c>
      <c r="B196" s="47" t="str">
        <f t="shared" si="15"/>
        <v>INSTRUMENT_GRSS_CRRYNG_AMNT_INSTRMNT</v>
      </c>
      <c r="C196" s="8" t="s">
        <v>414</v>
      </c>
      <c r="D196" s="9" t="s">
        <v>575</v>
      </c>
      <c r="E196" s="11" t="s">
        <v>576</v>
      </c>
      <c r="F196" s="10" t="s">
        <v>13</v>
      </c>
      <c r="G196" s="10" t="s">
        <v>13</v>
      </c>
      <c r="H196" s="10" t="s">
        <v>13</v>
      </c>
      <c r="I196" s="10" t="s">
        <v>13</v>
      </c>
      <c r="J196" s="10" t="s">
        <v>11</v>
      </c>
      <c r="L196" s="6" t="str">
        <f>IFERROR(VLOOKUP($B196,'LISTA - Setembro2024'!$B$3:$F$539,5,0),"Campo eliminado")</f>
        <v>Y</v>
      </c>
      <c r="M196" s="6" t="str">
        <f t="shared" si="16"/>
        <v>Igual</v>
      </c>
      <c r="N196" s="6" t="str">
        <f>IFERROR(VLOOKUP($B196,'LISTA - Setembro2024'!$B$3:$K$539,6,0),"Campo eliminado")</f>
        <v>Y</v>
      </c>
      <c r="O196" s="6" t="str">
        <f t="shared" si="17"/>
        <v>Igual</v>
      </c>
      <c r="P196" s="6" t="str">
        <f>IFERROR(VLOOKUP($B196,'LISTA - Setembro2024'!$B$3:$K$539,7,0),"Campo eliminado")</f>
        <v>Y</v>
      </c>
      <c r="Q196" s="6" t="str">
        <f t="shared" si="18"/>
        <v>Igual</v>
      </c>
      <c r="R196" s="6" t="str">
        <f>IFERROR(VLOOKUP($B196,'LISTA - Setembro2024'!$B$3:$K$539,9,0),"Campo eliminado")</f>
        <v>Y</v>
      </c>
      <c r="S196" s="6" t="str">
        <f t="shared" si="19"/>
        <v>Igual</v>
      </c>
      <c r="U196" s="6" t="str">
        <f>VLOOKUP(B196,DataLake!$A$4:$A$429,1,0)</f>
        <v>INSTRUMENT_GRSS_CRRYNG_AMNT_INSTRMNT</v>
      </c>
    </row>
    <row r="197" spans="1:21" s="20" customFormat="1" ht="15" hidden="1" customHeight="1" x14ac:dyDescent="0.25">
      <c r="A197" s="7" t="s">
        <v>577</v>
      </c>
      <c r="B197" s="47" t="str">
        <f t="shared" si="15"/>
        <v>INSTRUMENT_ACCMLTD_CHNGS_FV_CR_INSTRMNT</v>
      </c>
      <c r="C197" s="8" t="s">
        <v>414</v>
      </c>
      <c r="D197" s="9" t="s">
        <v>578</v>
      </c>
      <c r="E197" s="11" t="s">
        <v>579</v>
      </c>
      <c r="F197" s="10" t="s">
        <v>13</v>
      </c>
      <c r="G197" s="10" t="s">
        <v>13</v>
      </c>
      <c r="H197" s="10" t="s">
        <v>13</v>
      </c>
      <c r="I197" s="10" t="s">
        <v>11</v>
      </c>
      <c r="J197" s="10" t="s">
        <v>11</v>
      </c>
      <c r="L197" s="6" t="str">
        <f>IFERROR(VLOOKUP($B197,'LISTA - Setembro2024'!$B$3:$F$539,5,0),"Campo eliminado")</f>
        <v>Y</v>
      </c>
      <c r="M197" s="6" t="str">
        <f t="shared" si="16"/>
        <v>Igual</v>
      </c>
      <c r="N197" s="6" t="str">
        <f>IFERROR(VLOOKUP($B197,'LISTA - Setembro2024'!$B$3:$K$539,6,0),"Campo eliminado")</f>
        <v>Y</v>
      </c>
      <c r="O197" s="6" t="str">
        <f t="shared" si="17"/>
        <v>Igual</v>
      </c>
      <c r="P197" s="6" t="str">
        <f>IFERROR(VLOOKUP($B197,'LISTA - Setembro2024'!$B$3:$K$539,7,0),"Campo eliminado")</f>
        <v>Y</v>
      </c>
      <c r="Q197" s="6" t="str">
        <f t="shared" si="18"/>
        <v>Igual</v>
      </c>
      <c r="R197" s="6" t="str">
        <f>IFERROR(VLOOKUP($B197,'LISTA - Setembro2024'!$B$3:$K$539,9,0),"Campo eliminado")</f>
        <v>N</v>
      </c>
      <c r="S197" s="6" t="str">
        <f t="shared" si="19"/>
        <v>Igual</v>
      </c>
      <c r="U197" s="6" t="str">
        <f>VLOOKUP(B197,DataLake!$A$4:$A$429,1,0)</f>
        <v>INSTRUMENT_ACCMLTD_CHNGS_FV_CR_INSTRMNT</v>
      </c>
    </row>
    <row r="198" spans="1:21" ht="15" hidden="1" customHeight="1" x14ac:dyDescent="0.25">
      <c r="A198" s="21" t="s">
        <v>580</v>
      </c>
      <c r="B198" s="47" t="str">
        <f t="shared" si="15"/>
        <v>INSTRUMENT_ACCNTNG_CLSSFCTN</v>
      </c>
      <c r="C198" s="8" t="s">
        <v>414</v>
      </c>
      <c r="D198" s="22" t="s">
        <v>581</v>
      </c>
      <c r="E198" s="23" t="s">
        <v>582</v>
      </c>
      <c r="F198" s="10" t="s">
        <v>13</v>
      </c>
      <c r="G198" s="10" t="s">
        <v>13</v>
      </c>
      <c r="H198" s="10" t="s">
        <v>13</v>
      </c>
      <c r="I198" s="10" t="s">
        <v>11</v>
      </c>
      <c r="J198" s="10" t="s">
        <v>11</v>
      </c>
      <c r="L198" s="6" t="str">
        <f>IFERROR(VLOOKUP($B198,'LISTA - Setembro2024'!$B$3:$F$539,5,0),"Campo eliminado")</f>
        <v>Y</v>
      </c>
      <c r="M198" s="6" t="str">
        <f t="shared" si="16"/>
        <v>Igual</v>
      </c>
      <c r="N198" s="6" t="str">
        <f>IFERROR(VLOOKUP($B198,'LISTA - Setembro2024'!$B$3:$K$539,6,0),"Campo eliminado")</f>
        <v>Y</v>
      </c>
      <c r="O198" s="6" t="str">
        <f t="shared" si="17"/>
        <v>Igual</v>
      </c>
      <c r="P198" s="6" t="str">
        <f>IFERROR(VLOOKUP($B198,'LISTA - Setembro2024'!$B$3:$K$539,7,0),"Campo eliminado")</f>
        <v>Y</v>
      </c>
      <c r="Q198" s="6" t="str">
        <f t="shared" si="18"/>
        <v>Igual</v>
      </c>
      <c r="R198" s="6" t="str">
        <f>IFERROR(VLOOKUP($B198,'LISTA - Setembro2024'!$B$3:$K$539,9,0),"Campo eliminado")</f>
        <v>N</v>
      </c>
      <c r="S198" s="6" t="str">
        <f t="shared" si="19"/>
        <v>Igual</v>
      </c>
      <c r="U198" s="6" t="str">
        <f>VLOOKUP(B198,DataLake!$A$4:$A$429,1,0)</f>
        <v>INSTRUMENT_ACCNTNG_CLSSFCTN</v>
      </c>
    </row>
    <row r="199" spans="1:21" ht="15" hidden="1" customHeight="1" x14ac:dyDescent="0.25">
      <c r="A199" s="7" t="s">
        <v>583</v>
      </c>
      <c r="B199" s="47" t="str">
        <f t="shared" si="15"/>
        <v>INSTRUMENT_ACCRD_INTRST_INSTRMNT</v>
      </c>
      <c r="C199" s="8" t="s">
        <v>414</v>
      </c>
      <c r="D199" s="9" t="s">
        <v>584</v>
      </c>
      <c r="E199" s="11" t="s">
        <v>585</v>
      </c>
      <c r="F199" s="10" t="s">
        <v>13</v>
      </c>
      <c r="G199" s="10" t="s">
        <v>11</v>
      </c>
      <c r="H199" s="10" t="s">
        <v>11</v>
      </c>
      <c r="I199" s="10" t="s">
        <v>11</v>
      </c>
      <c r="J199" s="10" t="s">
        <v>11</v>
      </c>
      <c r="L199" s="6" t="str">
        <f>IFERROR(VLOOKUP($B199,'LISTA - Setembro2024'!$B$3:$F$539,5,0),"Campo eliminado")</f>
        <v>Y</v>
      </c>
      <c r="M199" s="6" t="str">
        <f t="shared" si="16"/>
        <v>Igual</v>
      </c>
      <c r="N199" s="6" t="str">
        <f>IFERROR(VLOOKUP($B199,'LISTA - Setembro2024'!$B$3:$K$539,6,0),"Campo eliminado")</f>
        <v>N</v>
      </c>
      <c r="O199" s="6" t="str">
        <f t="shared" si="17"/>
        <v>Igual</v>
      </c>
      <c r="P199" s="6" t="str">
        <f>IFERROR(VLOOKUP($B199,'LISTA - Setembro2024'!$B$3:$K$539,7,0),"Campo eliminado")</f>
        <v>N</v>
      </c>
      <c r="Q199" s="6" t="str">
        <f t="shared" si="18"/>
        <v>Igual</v>
      </c>
      <c r="R199" s="6" t="str">
        <f>IFERROR(VLOOKUP($B199,'LISTA - Setembro2024'!$B$3:$K$539,9,0),"Campo eliminado")</f>
        <v>N</v>
      </c>
      <c r="S199" s="6" t="str">
        <f t="shared" si="19"/>
        <v>Igual</v>
      </c>
      <c r="U199" s="6" t="str">
        <f>VLOOKUP(B199,DataLake!$A$4:$A$429,1,0)</f>
        <v>INSTRUMENT_ACCRD_INTRST_INSTRMNT</v>
      </c>
    </row>
    <row r="200" spans="1:21" ht="15" hidden="1" customHeight="1" x14ac:dyDescent="0.25">
      <c r="A200" s="7" t="s">
        <v>586</v>
      </c>
      <c r="B200" s="47" t="str">
        <f t="shared" si="15"/>
        <v>INSTRUMENT_AMNT_D_AT_MTRTY</v>
      </c>
      <c r="C200" s="8" t="s">
        <v>414</v>
      </c>
      <c r="D200" s="9" t="s">
        <v>587</v>
      </c>
      <c r="E200" s="11" t="s">
        <v>588</v>
      </c>
      <c r="F200" s="10" t="s">
        <v>13</v>
      </c>
      <c r="G200" s="10" t="s">
        <v>11</v>
      </c>
      <c r="H200" s="10" t="s">
        <v>11</v>
      </c>
      <c r="I200" s="10" t="s">
        <v>11</v>
      </c>
      <c r="J200" s="10" t="s">
        <v>11</v>
      </c>
      <c r="L200" s="6" t="str">
        <f>IFERROR(VLOOKUP($B200,'LISTA - Setembro2024'!$B$3:$F$539,5,0),"Campo eliminado")</f>
        <v>Y</v>
      </c>
      <c r="M200" s="6" t="str">
        <f t="shared" si="16"/>
        <v>Igual</v>
      </c>
      <c r="N200" s="6" t="str">
        <f>IFERROR(VLOOKUP($B200,'LISTA - Setembro2024'!$B$3:$K$539,6,0),"Campo eliminado")</f>
        <v>N</v>
      </c>
      <c r="O200" s="6" t="str">
        <f t="shared" si="17"/>
        <v>Igual</v>
      </c>
      <c r="P200" s="6" t="str">
        <f>IFERROR(VLOOKUP($B200,'LISTA - Setembro2024'!$B$3:$K$539,7,0),"Campo eliminado")</f>
        <v>N</v>
      </c>
      <c r="Q200" s="6" t="str">
        <f t="shared" si="18"/>
        <v>Igual</v>
      </c>
      <c r="R200" s="6" t="str">
        <f>IFERROR(VLOOKUP($B200,'LISTA - Setembro2024'!$B$3:$K$539,9,0),"Campo eliminado")</f>
        <v>N</v>
      </c>
      <c r="S200" s="6" t="str">
        <f t="shared" si="19"/>
        <v>Igual</v>
      </c>
      <c r="U200" s="6" t="str">
        <f>VLOOKUP(B200,DataLake!$A$4:$A$429,1,0)</f>
        <v>INSTRUMENT_AMNT_D_AT_MTRTY</v>
      </c>
    </row>
    <row r="201" spans="1:21" ht="15" hidden="1" customHeight="1" x14ac:dyDescent="0.25">
      <c r="A201" s="7" t="s">
        <v>589</v>
      </c>
      <c r="B201" s="47" t="str">
        <f t="shared" si="15"/>
        <v>INSTRUMENT_CCF</v>
      </c>
      <c r="C201" s="8" t="s">
        <v>414</v>
      </c>
      <c r="D201" s="9" t="s">
        <v>590</v>
      </c>
      <c r="E201" s="11" t="s">
        <v>591</v>
      </c>
      <c r="F201" s="10" t="s">
        <v>13</v>
      </c>
      <c r="G201" s="10" t="s">
        <v>11</v>
      </c>
      <c r="H201" s="10" t="s">
        <v>11</v>
      </c>
      <c r="I201" s="10" t="s">
        <v>11</v>
      </c>
      <c r="J201" s="10" t="s">
        <v>11</v>
      </c>
      <c r="L201" s="6" t="str">
        <f>IFERROR(VLOOKUP($B201,'LISTA - Setembro2024'!$B$3:$F$539,5,0),"Campo eliminado")</f>
        <v>Y</v>
      </c>
      <c r="M201" s="6" t="str">
        <f t="shared" si="16"/>
        <v>Igual</v>
      </c>
      <c r="N201" s="6" t="str">
        <f>IFERROR(VLOOKUP($B201,'LISTA - Setembro2024'!$B$3:$K$539,6,0),"Campo eliminado")</f>
        <v>Y</v>
      </c>
      <c r="O201" s="6" t="str">
        <f t="shared" si="17"/>
        <v>Diferente</v>
      </c>
      <c r="P201" s="6" t="str">
        <f>IFERROR(VLOOKUP($B201,'LISTA - Setembro2024'!$B$3:$K$539,7,0),"Campo eliminado")</f>
        <v>N</v>
      </c>
      <c r="Q201" s="6" t="str">
        <f t="shared" si="18"/>
        <v>Igual</v>
      </c>
      <c r="R201" s="6" t="str">
        <f>IFERROR(VLOOKUP($B201,'LISTA - Setembro2024'!$B$3:$K$539,9,0),"Campo eliminado")</f>
        <v>N</v>
      </c>
      <c r="S201" s="6" t="str">
        <f t="shared" si="19"/>
        <v>Igual</v>
      </c>
      <c r="U201" s="6" t="str">
        <f>VLOOKUP(B201,DataLake!$A$4:$A$429,1,0)</f>
        <v>INSTRUMENT_CCF</v>
      </c>
    </row>
    <row r="202" spans="1:21" ht="15" hidden="1" customHeight="1" x14ac:dyDescent="0.25">
      <c r="A202" s="7" t="s">
        <v>592</v>
      </c>
      <c r="B202" s="47" t="str">
        <f t="shared" si="15"/>
        <v>INSTRUMENT_CMMTMNT_INCPTN_INSTRMNT</v>
      </c>
      <c r="C202" s="8" t="s">
        <v>414</v>
      </c>
      <c r="D202" s="9" t="s">
        <v>593</v>
      </c>
      <c r="E202" s="11" t="s">
        <v>594</v>
      </c>
      <c r="F202" s="10" t="s">
        <v>13</v>
      </c>
      <c r="G202" s="10" t="s">
        <v>11</v>
      </c>
      <c r="H202" s="10" t="s">
        <v>11</v>
      </c>
      <c r="I202" s="10" t="s">
        <v>11</v>
      </c>
      <c r="J202" s="10" t="s">
        <v>11</v>
      </c>
      <c r="L202" s="6" t="str">
        <f>IFERROR(VLOOKUP($B202,'LISTA - Setembro2024'!$B$3:$F$539,5,0),"Campo eliminado")</f>
        <v>Y</v>
      </c>
      <c r="M202" s="6" t="str">
        <f t="shared" si="16"/>
        <v>Igual</v>
      </c>
      <c r="N202" s="6" t="str">
        <f>IFERROR(VLOOKUP($B202,'LISTA - Setembro2024'!$B$3:$K$539,6,0),"Campo eliminado")</f>
        <v>N</v>
      </c>
      <c r="O202" s="6" t="str">
        <f t="shared" si="17"/>
        <v>Igual</v>
      </c>
      <c r="P202" s="6" t="str">
        <f>IFERROR(VLOOKUP($B202,'LISTA - Setembro2024'!$B$3:$K$539,7,0),"Campo eliminado")</f>
        <v>N</v>
      </c>
      <c r="Q202" s="6" t="str">
        <f t="shared" si="18"/>
        <v>Igual</v>
      </c>
      <c r="R202" s="6" t="str">
        <f>IFERROR(VLOOKUP($B202,'LISTA - Setembro2024'!$B$3:$K$539,9,0),"Campo eliminado")</f>
        <v>N</v>
      </c>
      <c r="S202" s="6" t="str">
        <f t="shared" si="19"/>
        <v>Igual</v>
      </c>
      <c r="U202" s="6" t="str">
        <f>VLOOKUP(B202,DataLake!$A$4:$A$429,1,0)</f>
        <v>INSTRUMENT_CMMTMNT_INCPTN_INSTRMNT</v>
      </c>
    </row>
    <row r="203" spans="1:21" ht="15" hidden="1" customHeight="1" x14ac:dyDescent="0.25">
      <c r="A203" s="7" t="s">
        <v>595</v>
      </c>
      <c r="B203" s="47" t="str">
        <f t="shared" si="15"/>
        <v>INSTRUMENT_CMMTMNT_INSTRMNT</v>
      </c>
      <c r="C203" s="8" t="s">
        <v>414</v>
      </c>
      <c r="D203" s="9" t="s">
        <v>596</v>
      </c>
      <c r="E203" s="11" t="s">
        <v>597</v>
      </c>
      <c r="F203" s="10" t="s">
        <v>13</v>
      </c>
      <c r="G203" s="10" t="s">
        <v>11</v>
      </c>
      <c r="H203" s="10" t="s">
        <v>11</v>
      </c>
      <c r="I203" s="10" t="s">
        <v>11</v>
      </c>
      <c r="J203" s="10" t="s">
        <v>11</v>
      </c>
      <c r="L203" s="6" t="str">
        <f>IFERROR(VLOOKUP($B203,'LISTA - Setembro2024'!$B$3:$F$539,5,0),"Campo eliminado")</f>
        <v>Y</v>
      </c>
      <c r="M203" s="6" t="str">
        <f t="shared" si="16"/>
        <v>Igual</v>
      </c>
      <c r="N203" s="6" t="str">
        <f>IFERROR(VLOOKUP($B203,'LISTA - Setembro2024'!$B$3:$K$539,6,0),"Campo eliminado")</f>
        <v>N</v>
      </c>
      <c r="O203" s="6" t="str">
        <f t="shared" si="17"/>
        <v>Igual</v>
      </c>
      <c r="P203" s="6" t="str">
        <f>IFERROR(VLOOKUP($B203,'LISTA - Setembro2024'!$B$3:$K$539,7,0),"Campo eliminado")</f>
        <v>N</v>
      </c>
      <c r="Q203" s="6" t="str">
        <f t="shared" si="18"/>
        <v>Igual</v>
      </c>
      <c r="R203" s="6" t="str">
        <f>IFERROR(VLOOKUP($B203,'LISTA - Setembro2024'!$B$3:$K$539,9,0),"Campo eliminado")</f>
        <v>N</v>
      </c>
      <c r="S203" s="6" t="str">
        <f t="shared" si="19"/>
        <v>Igual</v>
      </c>
      <c r="U203" s="6" t="str">
        <f>VLOOKUP(B203,DataLake!$A$4:$A$429,1,0)</f>
        <v>INSTRUMENT_CMMTMNT_INSTRMNT</v>
      </c>
    </row>
    <row r="204" spans="1:21" ht="15" hidden="1" customHeight="1" x14ac:dyDescent="0.25">
      <c r="A204" s="7" t="s">
        <v>598</v>
      </c>
      <c r="B204" s="47" t="str">
        <f t="shared" si="15"/>
        <v>INSTRUMENT_CRRYNG_AMNT_INSTRMNT</v>
      </c>
      <c r="C204" s="8" t="s">
        <v>414</v>
      </c>
      <c r="D204" s="9" t="s">
        <v>599</v>
      </c>
      <c r="E204" s="11" t="s">
        <v>600</v>
      </c>
      <c r="F204" s="10" t="s">
        <v>13</v>
      </c>
      <c r="G204" s="10" t="s">
        <v>11</v>
      </c>
      <c r="H204" s="10" t="s">
        <v>11</v>
      </c>
      <c r="I204" s="10" t="s">
        <v>11</v>
      </c>
      <c r="J204" s="10" t="s">
        <v>11</v>
      </c>
      <c r="L204" s="6" t="str">
        <f>IFERROR(VLOOKUP($B204,'LISTA - Setembro2024'!$B$3:$F$539,5,0),"Campo eliminado")</f>
        <v>Y</v>
      </c>
      <c r="M204" s="6" t="str">
        <f t="shared" si="16"/>
        <v>Igual</v>
      </c>
      <c r="N204" s="6" t="str">
        <f>IFERROR(VLOOKUP($B204,'LISTA - Setembro2024'!$B$3:$K$539,6,0),"Campo eliminado")</f>
        <v>N</v>
      </c>
      <c r="O204" s="6" t="str">
        <f t="shared" si="17"/>
        <v>Igual</v>
      </c>
      <c r="P204" s="6" t="str">
        <f>IFERROR(VLOOKUP($B204,'LISTA - Setembro2024'!$B$3:$K$539,7,0),"Campo eliminado")</f>
        <v>N</v>
      </c>
      <c r="Q204" s="6" t="str">
        <f t="shared" si="18"/>
        <v>Igual</v>
      </c>
      <c r="R204" s="6" t="str">
        <f>IFERROR(VLOOKUP($B204,'LISTA - Setembro2024'!$B$3:$K$539,9,0),"Campo eliminado")</f>
        <v>N</v>
      </c>
      <c r="S204" s="6" t="str">
        <f t="shared" si="19"/>
        <v>Igual</v>
      </c>
      <c r="U204" s="6" t="str">
        <f>VLOOKUP(B204,DataLake!$A$4:$A$429,1,0)</f>
        <v>INSTRUMENT_CRRYNG_AMNT_INSTRMNT</v>
      </c>
    </row>
    <row r="205" spans="1:21" ht="15" hidden="1" customHeight="1" x14ac:dyDescent="0.25">
      <c r="A205" s="7" t="s">
        <v>601</v>
      </c>
      <c r="B205" s="47" t="str">
        <f t="shared" si="15"/>
        <v>INSTRUMENT_DBT_YLD</v>
      </c>
      <c r="C205" s="8" t="s">
        <v>414</v>
      </c>
      <c r="D205" s="9" t="s">
        <v>602</v>
      </c>
      <c r="E205" s="11" t="s">
        <v>603</v>
      </c>
      <c r="F205" s="10" t="s">
        <v>13</v>
      </c>
      <c r="G205" s="10" t="s">
        <v>11</v>
      </c>
      <c r="H205" s="10" t="s">
        <v>11</v>
      </c>
      <c r="I205" s="10" t="s">
        <v>11</v>
      </c>
      <c r="J205" s="10" t="s">
        <v>11</v>
      </c>
      <c r="L205" s="6" t="str">
        <f>IFERROR(VLOOKUP($B205,'LISTA - Setembro2024'!$B$3:$F$539,5,0),"Campo eliminado")</f>
        <v>Y</v>
      </c>
      <c r="M205" s="6" t="str">
        <f t="shared" si="16"/>
        <v>Igual</v>
      </c>
      <c r="N205" s="6" t="str">
        <f>IFERROR(VLOOKUP($B205,'LISTA - Setembro2024'!$B$3:$K$539,6,0),"Campo eliminado")</f>
        <v>N</v>
      </c>
      <c r="O205" s="6" t="str">
        <f t="shared" si="17"/>
        <v>Igual</v>
      </c>
      <c r="P205" s="6" t="str">
        <f>IFERROR(VLOOKUP($B205,'LISTA - Setembro2024'!$B$3:$K$539,7,0),"Campo eliminado")</f>
        <v>N</v>
      </c>
      <c r="Q205" s="6" t="str">
        <f t="shared" si="18"/>
        <v>Igual</v>
      </c>
      <c r="R205" s="6" t="str">
        <f>IFERROR(VLOOKUP($B205,'LISTA - Setembro2024'!$B$3:$K$539,9,0),"Campo eliminado")</f>
        <v>N</v>
      </c>
      <c r="S205" s="6" t="str">
        <f t="shared" si="19"/>
        <v>Igual</v>
      </c>
      <c r="U205" s="6" t="str">
        <f>VLOOKUP(B205,DataLake!$A$4:$A$429,1,0)</f>
        <v>INSTRUMENT_DBT_YLD</v>
      </c>
    </row>
    <row r="206" spans="1:21" ht="15" hidden="1" customHeight="1" x14ac:dyDescent="0.25">
      <c r="A206" s="7" t="s">
        <v>604</v>
      </c>
      <c r="B206" s="47" t="str">
        <f t="shared" si="15"/>
        <v>INSTRUMENT_DT_LGL_FNL_MTRTY</v>
      </c>
      <c r="C206" s="8" t="s">
        <v>414</v>
      </c>
      <c r="D206" s="9" t="s">
        <v>605</v>
      </c>
      <c r="E206" s="11" t="s">
        <v>606</v>
      </c>
      <c r="F206" s="10" t="s">
        <v>13</v>
      </c>
      <c r="G206" s="10" t="s">
        <v>11</v>
      </c>
      <c r="H206" s="10" t="s">
        <v>13</v>
      </c>
      <c r="I206" s="10" t="s">
        <v>11</v>
      </c>
      <c r="J206" s="10" t="s">
        <v>11</v>
      </c>
      <c r="L206" s="6" t="str">
        <f>IFERROR(VLOOKUP($B206,'LISTA - Setembro2024'!$B$3:$F$539,5,0),"Campo eliminado")</f>
        <v>Y</v>
      </c>
      <c r="M206" s="6" t="str">
        <f t="shared" si="16"/>
        <v>Igual</v>
      </c>
      <c r="N206" s="6" t="str">
        <f>IFERROR(VLOOKUP($B206,'LISTA - Setembro2024'!$B$3:$K$539,6,0),"Campo eliminado")</f>
        <v>N</v>
      </c>
      <c r="O206" s="6" t="str">
        <f t="shared" si="17"/>
        <v>Igual</v>
      </c>
      <c r="P206" s="6" t="str">
        <f>IFERROR(VLOOKUP($B206,'LISTA - Setembro2024'!$B$3:$K$539,7,0),"Campo eliminado")</f>
        <v>Y</v>
      </c>
      <c r="Q206" s="6" t="str">
        <f t="shared" si="18"/>
        <v>Igual</v>
      </c>
      <c r="R206" s="6" t="str">
        <f>IFERROR(VLOOKUP($B206,'LISTA - Setembro2024'!$B$3:$K$539,9,0),"Campo eliminado")</f>
        <v>N</v>
      </c>
      <c r="S206" s="6" t="str">
        <f t="shared" si="19"/>
        <v>Igual</v>
      </c>
      <c r="U206" s="6" t="str">
        <f>VLOOKUP(B206,DataLake!$A$4:$A$429,1,0)</f>
        <v>INSTRUMENT_DT_LGL_FNL_MTRTY</v>
      </c>
    </row>
    <row r="207" spans="1:21" ht="15" hidden="1" customHeight="1" x14ac:dyDescent="0.25">
      <c r="A207" s="7" t="s">
        <v>607</v>
      </c>
      <c r="B207" s="47" t="str">
        <f t="shared" si="15"/>
        <v>INSTRUMENT_DT_NXT_INTRST_RT_RST</v>
      </c>
      <c r="C207" s="8" t="s">
        <v>414</v>
      </c>
      <c r="D207" s="9" t="s">
        <v>608</v>
      </c>
      <c r="E207" s="11" t="s">
        <v>609</v>
      </c>
      <c r="F207" s="10" t="s">
        <v>13</v>
      </c>
      <c r="G207" s="10" t="s">
        <v>11</v>
      </c>
      <c r="H207" s="10" t="s">
        <v>11</v>
      </c>
      <c r="I207" s="10" t="s">
        <v>11</v>
      </c>
      <c r="J207" s="10" t="s">
        <v>11</v>
      </c>
      <c r="L207" s="6" t="str">
        <f>IFERROR(VLOOKUP($B207,'LISTA - Setembro2024'!$B$3:$F$539,5,0),"Campo eliminado")</f>
        <v>Y</v>
      </c>
      <c r="M207" s="6" t="str">
        <f t="shared" si="16"/>
        <v>Igual</v>
      </c>
      <c r="N207" s="6" t="str">
        <f>IFERROR(VLOOKUP($B207,'LISTA - Setembro2024'!$B$3:$K$539,6,0),"Campo eliminado")</f>
        <v>N</v>
      </c>
      <c r="O207" s="6" t="str">
        <f t="shared" si="17"/>
        <v>Igual</v>
      </c>
      <c r="P207" s="6" t="str">
        <f>IFERROR(VLOOKUP($B207,'LISTA - Setembro2024'!$B$3:$K$539,7,0),"Campo eliminado")</f>
        <v>N</v>
      </c>
      <c r="Q207" s="6" t="str">
        <f t="shared" si="18"/>
        <v>Igual</v>
      </c>
      <c r="R207" s="6" t="str">
        <f>IFERROR(VLOOKUP($B207,'LISTA - Setembro2024'!$B$3:$K$539,9,0),"Campo eliminado")</f>
        <v>N</v>
      </c>
      <c r="S207" s="6" t="str">
        <f t="shared" si="19"/>
        <v>Igual</v>
      </c>
      <c r="U207" s="6" t="str">
        <f>VLOOKUP(B207,DataLake!$A$4:$A$429,1,0)</f>
        <v>INSTRUMENT_DT_NXT_INTRST_RT_RST</v>
      </c>
    </row>
    <row r="208" spans="1:21" ht="15" hidden="1" customHeight="1" x14ac:dyDescent="0.25">
      <c r="A208" s="7" t="s">
        <v>610</v>
      </c>
      <c r="B208" s="47" t="str">
        <f t="shared" si="15"/>
        <v>INSTRUMENT_DT_ORGNL_MTRTY</v>
      </c>
      <c r="C208" s="8" t="s">
        <v>414</v>
      </c>
      <c r="D208" s="9" t="s">
        <v>611</v>
      </c>
      <c r="E208" s="11" t="s">
        <v>612</v>
      </c>
      <c r="F208" s="10" t="s">
        <v>13</v>
      </c>
      <c r="G208" s="10" t="s">
        <v>11</v>
      </c>
      <c r="H208" s="10" t="s">
        <v>11</v>
      </c>
      <c r="I208" s="10" t="s">
        <v>11</v>
      </c>
      <c r="J208" s="10" t="s">
        <v>11</v>
      </c>
      <c r="L208" s="6" t="str">
        <f>IFERROR(VLOOKUP($B208,'LISTA - Setembro2024'!$B$3:$F$539,5,0),"Campo eliminado")</f>
        <v>Y</v>
      </c>
      <c r="M208" s="6" t="str">
        <f t="shared" si="16"/>
        <v>Igual</v>
      </c>
      <c r="N208" s="6" t="str">
        <f>IFERROR(VLOOKUP($B208,'LISTA - Setembro2024'!$B$3:$K$539,6,0),"Campo eliminado")</f>
        <v>N</v>
      </c>
      <c r="O208" s="6" t="str">
        <f t="shared" si="17"/>
        <v>Igual</v>
      </c>
      <c r="P208" s="6" t="str">
        <f>IFERROR(VLOOKUP($B208,'LISTA - Setembro2024'!$B$3:$K$539,7,0),"Campo eliminado")</f>
        <v>N</v>
      </c>
      <c r="Q208" s="6" t="str">
        <f t="shared" si="18"/>
        <v>Igual</v>
      </c>
      <c r="R208" s="6" t="str">
        <f>IFERROR(VLOOKUP($B208,'LISTA - Setembro2024'!$B$3:$K$539,9,0),"Campo eliminado")</f>
        <v>N</v>
      </c>
      <c r="S208" s="6" t="str">
        <f t="shared" si="19"/>
        <v>Igual</v>
      </c>
      <c r="U208" s="6" t="str">
        <f>VLOOKUP(B208,DataLake!$A$4:$A$429,1,0)</f>
        <v>INSTRUMENT_DT_ORGNL_MTRTY</v>
      </c>
    </row>
    <row r="209" spans="1:21" ht="15" hidden="1" customHeight="1" x14ac:dyDescent="0.25">
      <c r="A209" s="7" t="s">
        <v>613</v>
      </c>
      <c r="B209" s="47" t="str">
        <f t="shared" si="15"/>
        <v>INSTRUMENT_IFRS9_BHVRL_MTRTY</v>
      </c>
      <c r="C209" s="8" t="s">
        <v>414</v>
      </c>
      <c r="D209" s="9" t="s">
        <v>614</v>
      </c>
      <c r="E209" s="11" t="s">
        <v>615</v>
      </c>
      <c r="F209" s="10" t="s">
        <v>13</v>
      </c>
      <c r="G209" s="10" t="s">
        <v>11</v>
      </c>
      <c r="H209" s="10" t="s">
        <v>11</v>
      </c>
      <c r="I209" s="10" t="s">
        <v>11</v>
      </c>
      <c r="J209" s="10" t="s">
        <v>11</v>
      </c>
      <c r="L209" s="6" t="str">
        <f>IFERROR(VLOOKUP($B209,'LISTA - Setembro2024'!$B$3:$F$539,5,0),"Campo eliminado")</f>
        <v>Y</v>
      </c>
      <c r="M209" s="6" t="str">
        <f t="shared" si="16"/>
        <v>Igual</v>
      </c>
      <c r="N209" s="6" t="str">
        <f>IFERROR(VLOOKUP($B209,'LISTA - Setembro2024'!$B$3:$K$539,6,0),"Campo eliminado")</f>
        <v>N</v>
      </c>
      <c r="O209" s="6" t="str">
        <f t="shared" si="17"/>
        <v>Igual</v>
      </c>
      <c r="P209" s="6" t="str">
        <f>IFERROR(VLOOKUP($B209,'LISTA - Setembro2024'!$B$3:$K$539,7,0),"Campo eliminado")</f>
        <v>Y</v>
      </c>
      <c r="Q209" s="6" t="str">
        <f t="shared" si="18"/>
        <v>Diferente</v>
      </c>
      <c r="R209" s="6" t="str">
        <f>IFERROR(VLOOKUP($B209,'LISTA - Setembro2024'!$B$3:$K$539,9,0),"Campo eliminado")</f>
        <v>N</v>
      </c>
      <c r="S209" s="6" t="str">
        <f t="shared" si="19"/>
        <v>Igual</v>
      </c>
      <c r="U209" s="6" t="str">
        <f>VLOOKUP(B209,DataLake!$A$4:$A$429,1,0)</f>
        <v>INSTRUMENT_IFRS9_BHVRL_MTRTY</v>
      </c>
    </row>
    <row r="210" spans="1:21" ht="15" hidden="1" customHeight="1" x14ac:dyDescent="0.25">
      <c r="A210" s="7" t="s">
        <v>616</v>
      </c>
      <c r="B210" s="47" t="str">
        <f t="shared" si="15"/>
        <v>INSTRUMENT_EAD</v>
      </c>
      <c r="C210" s="8" t="s">
        <v>414</v>
      </c>
      <c r="D210" s="9" t="s">
        <v>617</v>
      </c>
      <c r="E210" s="11" t="s">
        <v>618</v>
      </c>
      <c r="F210" s="10" t="s">
        <v>13</v>
      </c>
      <c r="G210" s="10" t="s">
        <v>11</v>
      </c>
      <c r="H210" s="10" t="s">
        <v>11</v>
      </c>
      <c r="I210" s="10" t="s">
        <v>13</v>
      </c>
      <c r="J210" s="10" t="s">
        <v>11</v>
      </c>
      <c r="L210" s="6" t="str">
        <f>IFERROR(VLOOKUP($B210,'LISTA - Setembro2024'!$B$3:$F$539,5,0),"Campo eliminado")</f>
        <v>Y</v>
      </c>
      <c r="M210" s="6" t="str">
        <f t="shared" si="16"/>
        <v>Igual</v>
      </c>
      <c r="N210" s="6" t="str">
        <f>IFERROR(VLOOKUP($B210,'LISTA - Setembro2024'!$B$3:$K$539,6,0),"Campo eliminado")</f>
        <v>Y</v>
      </c>
      <c r="O210" s="6" t="str">
        <f t="shared" si="17"/>
        <v>Diferente</v>
      </c>
      <c r="P210" s="6" t="str">
        <f>IFERROR(VLOOKUP($B210,'LISTA - Setembro2024'!$B$3:$K$539,7,0),"Campo eliminado")</f>
        <v>N</v>
      </c>
      <c r="Q210" s="6" t="str">
        <f t="shared" si="18"/>
        <v>Igual</v>
      </c>
      <c r="R210" s="6" t="str">
        <f>IFERROR(VLOOKUP($B210,'LISTA - Setembro2024'!$B$3:$K$539,9,0),"Campo eliminado")</f>
        <v>Y</v>
      </c>
      <c r="S210" s="6" t="str">
        <f t="shared" si="19"/>
        <v>Igual</v>
      </c>
      <c r="U210" s="6" t="str">
        <f>VLOOKUP(B210,DataLake!$A$4:$A$429,1,0)</f>
        <v>INSTRUMENT_EAD</v>
      </c>
    </row>
    <row r="211" spans="1:21" ht="15" hidden="1" customHeight="1" x14ac:dyDescent="0.25">
      <c r="A211" s="7" t="s">
        <v>619</v>
      </c>
      <c r="B211" s="47" t="str">
        <f t="shared" si="15"/>
        <v>INSTRUMENT_IFRS9_CCF</v>
      </c>
      <c r="C211" s="8" t="s">
        <v>414</v>
      </c>
      <c r="D211" s="9" t="s">
        <v>620</v>
      </c>
      <c r="E211" s="11" t="s">
        <v>621</v>
      </c>
      <c r="F211" s="10" t="s">
        <v>13</v>
      </c>
      <c r="G211" s="10" t="s">
        <v>11</v>
      </c>
      <c r="H211" s="10" t="s">
        <v>11</v>
      </c>
      <c r="I211" s="10" t="s">
        <v>11</v>
      </c>
      <c r="J211" s="10" t="s">
        <v>11</v>
      </c>
      <c r="L211" s="6" t="str">
        <f>IFERROR(VLOOKUP($B211,'LISTA - Setembro2024'!$B$3:$F$539,5,0),"Campo eliminado")</f>
        <v>Y</v>
      </c>
      <c r="M211" s="6" t="str">
        <f t="shared" si="16"/>
        <v>Igual</v>
      </c>
      <c r="N211" s="6" t="str">
        <f>IFERROR(VLOOKUP($B211,'LISTA - Setembro2024'!$B$3:$K$539,6,0),"Campo eliminado")</f>
        <v>N</v>
      </c>
      <c r="O211" s="6" t="str">
        <f t="shared" si="17"/>
        <v>Igual</v>
      </c>
      <c r="P211" s="6" t="str">
        <f>IFERROR(VLOOKUP($B211,'LISTA - Setembro2024'!$B$3:$K$539,7,0),"Campo eliminado")</f>
        <v>N</v>
      </c>
      <c r="Q211" s="6" t="str">
        <f t="shared" si="18"/>
        <v>Igual</v>
      </c>
      <c r="R211" s="6" t="str">
        <f>IFERROR(VLOOKUP($B211,'LISTA - Setembro2024'!$B$3:$K$539,9,0),"Campo eliminado")</f>
        <v>N</v>
      </c>
      <c r="S211" s="6" t="str">
        <f t="shared" si="19"/>
        <v>Igual</v>
      </c>
      <c r="U211" s="6" t="str">
        <f>VLOOKUP(B211,DataLake!$A$4:$A$429,1,0)</f>
        <v>INSTRUMENT_IFRS9_CCF</v>
      </c>
    </row>
    <row r="212" spans="1:21" ht="15" hidden="1" customHeight="1" x14ac:dyDescent="0.25">
      <c r="A212" s="7" t="s">
        <v>622</v>
      </c>
      <c r="B212" s="47" t="str">
        <f t="shared" si="15"/>
        <v>INSTRUMENT_IFRS9_EAD</v>
      </c>
      <c r="C212" s="8" t="s">
        <v>414</v>
      </c>
      <c r="D212" s="9" t="s">
        <v>623</v>
      </c>
      <c r="E212" s="11" t="s">
        <v>624</v>
      </c>
      <c r="F212" s="10" t="s">
        <v>13</v>
      </c>
      <c r="G212" s="10" t="s">
        <v>11</v>
      </c>
      <c r="H212" s="10" t="s">
        <v>11</v>
      </c>
      <c r="I212" s="10" t="s">
        <v>11</v>
      </c>
      <c r="J212" s="10" t="s">
        <v>11</v>
      </c>
      <c r="L212" s="6" t="str">
        <f>IFERROR(VLOOKUP($B212,'LISTA - Setembro2024'!$B$3:$F$539,5,0),"Campo eliminado")</f>
        <v>Y</v>
      </c>
      <c r="M212" s="6" t="str">
        <f t="shared" si="16"/>
        <v>Igual</v>
      </c>
      <c r="N212" s="6" t="str">
        <f>IFERROR(VLOOKUP($B212,'LISTA - Setembro2024'!$B$3:$K$539,6,0),"Campo eliminado")</f>
        <v>N</v>
      </c>
      <c r="O212" s="6" t="str">
        <f t="shared" si="17"/>
        <v>Igual</v>
      </c>
      <c r="P212" s="6" t="str">
        <f>IFERROR(VLOOKUP($B212,'LISTA - Setembro2024'!$B$3:$K$539,7,0),"Campo eliminado")</f>
        <v>N</v>
      </c>
      <c r="Q212" s="6" t="str">
        <f t="shared" si="18"/>
        <v>Igual</v>
      </c>
      <c r="R212" s="6" t="str">
        <f>IFERROR(VLOOKUP($B212,'LISTA - Setembro2024'!$B$3:$K$539,9,0),"Campo eliminado")</f>
        <v>N</v>
      </c>
      <c r="S212" s="6" t="str">
        <f t="shared" si="19"/>
        <v>Igual</v>
      </c>
      <c r="U212" s="6" t="str">
        <f>VLOOKUP(B212,DataLake!$A$4:$A$429,1,0)</f>
        <v>INSTRUMENT_IFRS9_EAD</v>
      </c>
    </row>
    <row r="213" spans="1:21" ht="15" hidden="1" customHeight="1" x14ac:dyDescent="0.25">
      <c r="A213" s="7" t="s">
        <v>625</v>
      </c>
      <c r="B213" s="47" t="str">
        <f t="shared" si="15"/>
        <v>INSTRUMENT_INSTLMNT_PAY</v>
      </c>
      <c r="C213" s="8" t="s">
        <v>414</v>
      </c>
      <c r="D213" s="9" t="s">
        <v>626</v>
      </c>
      <c r="E213" s="11" t="s">
        <v>627</v>
      </c>
      <c r="F213" s="10" t="s">
        <v>13</v>
      </c>
      <c r="G213" s="10" t="s">
        <v>11</v>
      </c>
      <c r="H213" s="10" t="s">
        <v>11</v>
      </c>
      <c r="I213" s="10" t="s">
        <v>11</v>
      </c>
      <c r="J213" s="10" t="s">
        <v>11</v>
      </c>
      <c r="L213" s="6" t="str">
        <f>IFERROR(VLOOKUP($B213,'LISTA - Setembro2024'!$B$3:$F$539,5,0),"Campo eliminado")</f>
        <v>Y</v>
      </c>
      <c r="M213" s="6" t="str">
        <f t="shared" si="16"/>
        <v>Igual</v>
      </c>
      <c r="N213" s="6" t="str">
        <f>IFERROR(VLOOKUP($B213,'LISTA - Setembro2024'!$B$3:$K$539,6,0),"Campo eliminado")</f>
        <v>N</v>
      </c>
      <c r="O213" s="6" t="str">
        <f t="shared" si="17"/>
        <v>Igual</v>
      </c>
      <c r="P213" s="6" t="str">
        <f>IFERROR(VLOOKUP($B213,'LISTA - Setembro2024'!$B$3:$K$539,7,0),"Campo eliminado")</f>
        <v>N</v>
      </c>
      <c r="Q213" s="6" t="str">
        <f t="shared" si="18"/>
        <v>Igual</v>
      </c>
      <c r="R213" s="6" t="str">
        <f>IFERROR(VLOOKUP($B213,'LISTA - Setembro2024'!$B$3:$K$539,9,0),"Campo eliminado")</f>
        <v>N</v>
      </c>
      <c r="S213" s="6" t="str">
        <f t="shared" si="19"/>
        <v>Igual</v>
      </c>
      <c r="U213" s="6" t="str">
        <f>VLOOKUP(B213,DataLake!$A$4:$A$429,1,0)</f>
        <v>INSTRUMENT_INSTLMNT_PAY</v>
      </c>
    </row>
    <row r="214" spans="1:21" ht="15" hidden="1" customHeight="1" x14ac:dyDescent="0.25">
      <c r="A214" s="7" t="s">
        <v>628</v>
      </c>
      <c r="B214" s="47" t="str">
        <f t="shared" si="15"/>
        <v>INSTRUMENT_OFF_BLNC_SHT_AMNT_INSTRMNT</v>
      </c>
      <c r="C214" s="8" t="s">
        <v>414</v>
      </c>
      <c r="D214" s="9" t="s">
        <v>629</v>
      </c>
      <c r="E214" s="11" t="s">
        <v>630</v>
      </c>
      <c r="F214" s="10" t="s">
        <v>13</v>
      </c>
      <c r="G214" s="10" t="s">
        <v>13</v>
      </c>
      <c r="H214" s="10" t="s">
        <v>11</v>
      </c>
      <c r="I214" s="10" t="s">
        <v>13</v>
      </c>
      <c r="J214" s="10" t="s">
        <v>11</v>
      </c>
      <c r="L214" s="6" t="str">
        <f>IFERROR(VLOOKUP($B214,'LISTA - Setembro2024'!$B$3:$F$539,5,0),"Campo eliminado")</f>
        <v>Y</v>
      </c>
      <c r="M214" s="6" t="str">
        <f t="shared" si="16"/>
        <v>Igual</v>
      </c>
      <c r="N214" s="6" t="str">
        <f>IFERROR(VLOOKUP($B214,'LISTA - Setembro2024'!$B$3:$K$539,6,0),"Campo eliminado")</f>
        <v>Y</v>
      </c>
      <c r="O214" s="6" t="str">
        <f t="shared" si="17"/>
        <v>Igual</v>
      </c>
      <c r="P214" s="6" t="str">
        <f>IFERROR(VLOOKUP($B214,'LISTA - Setembro2024'!$B$3:$K$539,7,0),"Campo eliminado")</f>
        <v>N</v>
      </c>
      <c r="Q214" s="6" t="str">
        <f t="shared" si="18"/>
        <v>Igual</v>
      </c>
      <c r="R214" s="6" t="str">
        <f>IFERROR(VLOOKUP($B214,'LISTA - Setembro2024'!$B$3:$K$539,9,0),"Campo eliminado")</f>
        <v>Y</v>
      </c>
      <c r="S214" s="6" t="str">
        <f t="shared" si="19"/>
        <v>Igual</v>
      </c>
      <c r="U214" s="6" t="str">
        <f>VLOOKUP(B214,DataLake!$A$4:$A$429,1,0)</f>
        <v>INSTRUMENT_OFF_BLNC_SHT_AMNT_INSTRMNT</v>
      </c>
    </row>
    <row r="215" spans="1:21" ht="15" hidden="1" customHeight="1" x14ac:dyDescent="0.25">
      <c r="A215" s="7" t="s">
        <v>631</v>
      </c>
      <c r="B215" s="47" t="str">
        <f t="shared" si="15"/>
        <v>INSTRUMENT_OFF_BLNC_SHT_AMNT_INSTRMNT_PRVS</v>
      </c>
      <c r="C215" s="8" t="s">
        <v>414</v>
      </c>
      <c r="D215" s="9" t="s">
        <v>632</v>
      </c>
      <c r="E215" s="11" t="s">
        <v>633</v>
      </c>
      <c r="F215" s="10" t="s">
        <v>13</v>
      </c>
      <c r="G215" s="10" t="s">
        <v>11</v>
      </c>
      <c r="H215" s="10" t="s">
        <v>11</v>
      </c>
      <c r="I215" s="10" t="s">
        <v>11</v>
      </c>
      <c r="J215" s="10" t="s">
        <v>11</v>
      </c>
      <c r="L215" s="6" t="str">
        <f>IFERROR(VLOOKUP($B215,'LISTA - Setembro2024'!$B$3:$F$539,5,0),"Campo eliminado")</f>
        <v>Y</v>
      </c>
      <c r="M215" s="6" t="str">
        <f t="shared" si="16"/>
        <v>Igual</v>
      </c>
      <c r="N215" s="6" t="str">
        <f>IFERROR(VLOOKUP($B215,'LISTA - Setembro2024'!$B$3:$K$539,6,0),"Campo eliminado")</f>
        <v>N</v>
      </c>
      <c r="O215" s="6" t="str">
        <f t="shared" si="17"/>
        <v>Igual</v>
      </c>
      <c r="P215" s="6" t="str">
        <f>IFERROR(VLOOKUP($B215,'LISTA - Setembro2024'!$B$3:$K$539,7,0),"Campo eliminado")</f>
        <v>N</v>
      </c>
      <c r="Q215" s="6" t="str">
        <f t="shared" si="18"/>
        <v>Igual</v>
      </c>
      <c r="R215" s="6" t="str">
        <f>IFERROR(VLOOKUP($B215,'LISTA - Setembro2024'!$B$3:$K$539,9,0),"Campo eliminado")</f>
        <v>N</v>
      </c>
      <c r="S215" s="6" t="str">
        <f t="shared" si="19"/>
        <v>Igual</v>
      </c>
      <c r="U215" s="6" t="str">
        <f>VLOOKUP(B215,DataLake!$A$4:$A$429,1,0)</f>
        <v>INSTRUMENT_OFF_BLNC_SHT_AMNT_INSTRMNT_PRVS</v>
      </c>
    </row>
    <row r="216" spans="1:21" ht="15" hidden="1" customHeight="1" x14ac:dyDescent="0.25">
      <c r="A216" s="7" t="s">
        <v>634</v>
      </c>
      <c r="B216" s="47" t="str">
        <f t="shared" si="15"/>
        <v>INSTRUMENT_OTSTNDNG_NMNL_AMNT_INSTRMNT</v>
      </c>
      <c r="C216" s="8" t="s">
        <v>414</v>
      </c>
      <c r="D216" s="9" t="s">
        <v>635</v>
      </c>
      <c r="E216" s="11" t="s">
        <v>636</v>
      </c>
      <c r="F216" s="10" t="s">
        <v>13</v>
      </c>
      <c r="G216" s="10" t="s">
        <v>11</v>
      </c>
      <c r="H216" s="10" t="s">
        <v>11</v>
      </c>
      <c r="I216" s="10" t="s">
        <v>11</v>
      </c>
      <c r="J216" s="10" t="s">
        <v>11</v>
      </c>
      <c r="L216" s="6" t="str">
        <f>IFERROR(VLOOKUP($B216,'LISTA - Setembro2024'!$B$3:$F$539,5,0),"Campo eliminado")</f>
        <v>Y</v>
      </c>
      <c r="M216" s="6" t="str">
        <f t="shared" si="16"/>
        <v>Igual</v>
      </c>
      <c r="N216" s="6" t="str">
        <f>IFERROR(VLOOKUP($B216,'LISTA - Setembro2024'!$B$3:$K$539,6,0),"Campo eliminado")</f>
        <v>N</v>
      </c>
      <c r="O216" s="6" t="str">
        <f t="shared" si="17"/>
        <v>Igual</v>
      </c>
      <c r="P216" s="6" t="str">
        <f>IFERROR(VLOOKUP($B216,'LISTA - Setembro2024'!$B$3:$K$539,7,0),"Campo eliminado")</f>
        <v>N</v>
      </c>
      <c r="Q216" s="6" t="str">
        <f t="shared" si="18"/>
        <v>Igual</v>
      </c>
      <c r="R216" s="6" t="str">
        <f>IFERROR(VLOOKUP($B216,'LISTA - Setembro2024'!$B$3:$K$539,9,0),"Campo eliminado")</f>
        <v>N</v>
      </c>
      <c r="S216" s="6" t="str">
        <f t="shared" si="19"/>
        <v>Igual</v>
      </c>
      <c r="U216" s="6" t="str">
        <f>VLOOKUP(B216,DataLake!$A$4:$A$429,1,0)</f>
        <v>INSTRUMENT_OTSTNDNG_NMNL_AMNT_INSTRMNT</v>
      </c>
    </row>
    <row r="217" spans="1:21" ht="15" hidden="1" customHeight="1" x14ac:dyDescent="0.25">
      <c r="A217" s="7" t="s">
        <v>637</v>
      </c>
      <c r="B217" s="47" t="str">
        <f t="shared" si="15"/>
        <v>INSTRUMENT_OTSTNDNG_NMNL_AMNT_INSTRMNT_PRVS</v>
      </c>
      <c r="C217" s="8" t="s">
        <v>414</v>
      </c>
      <c r="D217" s="9" t="s">
        <v>638</v>
      </c>
      <c r="E217" s="11" t="s">
        <v>639</v>
      </c>
      <c r="F217" s="10" t="s">
        <v>13</v>
      </c>
      <c r="G217" s="10" t="s">
        <v>11</v>
      </c>
      <c r="H217" s="10" t="s">
        <v>11</v>
      </c>
      <c r="I217" s="10" t="s">
        <v>11</v>
      </c>
      <c r="J217" s="10" t="s">
        <v>11</v>
      </c>
      <c r="L217" s="6" t="str">
        <f>IFERROR(VLOOKUP($B217,'LISTA - Setembro2024'!$B$3:$F$539,5,0),"Campo eliminado")</f>
        <v>Y</v>
      </c>
      <c r="M217" s="6" t="str">
        <f t="shared" si="16"/>
        <v>Igual</v>
      </c>
      <c r="N217" s="6" t="str">
        <f>IFERROR(VLOOKUP($B217,'LISTA - Setembro2024'!$B$3:$K$539,6,0),"Campo eliminado")</f>
        <v>N</v>
      </c>
      <c r="O217" s="6" t="str">
        <f t="shared" si="17"/>
        <v>Igual</v>
      </c>
      <c r="P217" s="6" t="str">
        <f>IFERROR(VLOOKUP($B217,'LISTA - Setembro2024'!$B$3:$K$539,7,0),"Campo eliminado")</f>
        <v>N</v>
      </c>
      <c r="Q217" s="6" t="str">
        <f t="shared" si="18"/>
        <v>Igual</v>
      </c>
      <c r="R217" s="6" t="str">
        <f>IFERROR(VLOOKUP($B217,'LISTA - Setembro2024'!$B$3:$K$539,9,0),"Campo eliminado")</f>
        <v>N</v>
      </c>
      <c r="S217" s="6" t="str">
        <f t="shared" si="19"/>
        <v>Igual</v>
      </c>
      <c r="U217" s="6" t="str">
        <f>VLOOKUP(B217,DataLake!$A$4:$A$429,1,0)</f>
        <v>INSTRUMENT_OTSTNDNG_NMNL_AMNT_INSTRMNT_PRVS</v>
      </c>
    </row>
    <row r="218" spans="1:21" ht="15" hidden="1" customHeight="1" x14ac:dyDescent="0.25">
      <c r="A218" s="7" t="s">
        <v>640</v>
      </c>
      <c r="B218" s="47" t="str">
        <f t="shared" si="15"/>
        <v>INSTRUMENT_PRVSNS_OFF_BLNC_SHT</v>
      </c>
      <c r="C218" s="8" t="s">
        <v>414</v>
      </c>
      <c r="D218" s="9" t="s">
        <v>641</v>
      </c>
      <c r="E218" s="11" t="s">
        <v>642</v>
      </c>
      <c r="F218" s="10" t="s">
        <v>13</v>
      </c>
      <c r="G218" s="10" t="s">
        <v>13</v>
      </c>
      <c r="H218" s="10" t="s">
        <v>11</v>
      </c>
      <c r="I218" s="10" t="s">
        <v>11</v>
      </c>
      <c r="J218" s="10" t="s">
        <v>11</v>
      </c>
      <c r="L218" s="6" t="str">
        <f>IFERROR(VLOOKUP($B218,'LISTA - Setembro2024'!$B$3:$F$539,5,0),"Campo eliminado")</f>
        <v>Y</v>
      </c>
      <c r="M218" s="6" t="str">
        <f t="shared" si="16"/>
        <v>Igual</v>
      </c>
      <c r="N218" s="6" t="str">
        <f>IFERROR(VLOOKUP($B218,'LISTA - Setembro2024'!$B$3:$K$539,6,0),"Campo eliminado")</f>
        <v>Y</v>
      </c>
      <c r="O218" s="6" t="str">
        <f t="shared" si="17"/>
        <v>Igual</v>
      </c>
      <c r="P218" s="6" t="str">
        <f>IFERROR(VLOOKUP($B218,'LISTA - Setembro2024'!$B$3:$K$539,7,0),"Campo eliminado")</f>
        <v>N</v>
      </c>
      <c r="Q218" s="6" t="str">
        <f t="shared" si="18"/>
        <v>Igual</v>
      </c>
      <c r="R218" s="6" t="str">
        <f>IFERROR(VLOOKUP($B218,'LISTA - Setembro2024'!$B$3:$K$539,9,0),"Campo eliminado")</f>
        <v>N</v>
      </c>
      <c r="S218" s="6" t="str">
        <f t="shared" si="19"/>
        <v>Igual</v>
      </c>
      <c r="U218" s="6" t="str">
        <f>VLOOKUP(B218,DataLake!$A$4:$A$429,1,0)</f>
        <v>INSTRUMENT_PRVSNS_OFF_BLNC_SHT</v>
      </c>
    </row>
    <row r="219" spans="1:21" ht="15" hidden="1" customHeight="1" x14ac:dyDescent="0.25">
      <c r="A219" s="7" t="s">
        <v>643</v>
      </c>
      <c r="B219" s="47" t="str">
        <f t="shared" si="15"/>
        <v>INSTRUMENT_PYMNT_FRQNCY</v>
      </c>
      <c r="C219" s="8" t="s">
        <v>414</v>
      </c>
      <c r="D219" s="9" t="s">
        <v>644</v>
      </c>
      <c r="E219" s="11" t="s">
        <v>645</v>
      </c>
      <c r="F219" s="10" t="s">
        <v>13</v>
      </c>
      <c r="G219" s="10" t="s">
        <v>11</v>
      </c>
      <c r="H219" s="10" t="s">
        <v>11</v>
      </c>
      <c r="I219" s="10" t="s">
        <v>11</v>
      </c>
      <c r="J219" s="10" t="s">
        <v>11</v>
      </c>
      <c r="L219" s="6" t="str">
        <f>IFERROR(VLOOKUP($B219,'LISTA - Setembro2024'!$B$3:$F$539,5,0),"Campo eliminado")</f>
        <v>Y</v>
      </c>
      <c r="M219" s="6" t="str">
        <f t="shared" si="16"/>
        <v>Igual</v>
      </c>
      <c r="N219" s="6" t="str">
        <f>IFERROR(VLOOKUP($B219,'LISTA - Setembro2024'!$B$3:$K$539,6,0),"Campo eliminado")</f>
        <v>N</v>
      </c>
      <c r="O219" s="6" t="str">
        <f t="shared" si="17"/>
        <v>Igual</v>
      </c>
      <c r="P219" s="6" t="str">
        <f>IFERROR(VLOOKUP($B219,'LISTA - Setembro2024'!$B$3:$K$539,7,0),"Campo eliminado")</f>
        <v>N</v>
      </c>
      <c r="Q219" s="6" t="str">
        <f t="shared" si="18"/>
        <v>Igual</v>
      </c>
      <c r="R219" s="6" t="str">
        <f>IFERROR(VLOOKUP($B219,'LISTA - Setembro2024'!$B$3:$K$539,9,0),"Campo eliminado")</f>
        <v>N</v>
      </c>
      <c r="S219" s="6" t="str">
        <f t="shared" si="19"/>
        <v>Igual</v>
      </c>
      <c r="U219" s="6" t="str">
        <f>VLOOKUP(B219,DataLake!$A$4:$A$429,1,0)</f>
        <v>INSTRUMENT_PYMNT_FRQNCY</v>
      </c>
    </row>
    <row r="220" spans="1:21" ht="15" hidden="1" customHeight="1" x14ac:dyDescent="0.25">
      <c r="A220" s="7" t="s">
        <v>646</v>
      </c>
      <c r="B220" s="47" t="str">
        <f t="shared" si="15"/>
        <v>INSTRUMENT_RTNTN_SHR</v>
      </c>
      <c r="C220" s="8" t="s">
        <v>414</v>
      </c>
      <c r="D220" s="9" t="s">
        <v>647</v>
      </c>
      <c r="E220" s="11" t="s">
        <v>648</v>
      </c>
      <c r="F220" s="10" t="s">
        <v>13</v>
      </c>
      <c r="G220" s="10" t="s">
        <v>11</v>
      </c>
      <c r="H220" s="10" t="s">
        <v>11</v>
      </c>
      <c r="I220" s="10" t="s">
        <v>11</v>
      </c>
      <c r="J220" s="10" t="s">
        <v>11</v>
      </c>
      <c r="L220" s="6" t="str">
        <f>IFERROR(VLOOKUP($B220,'LISTA - Setembro2024'!$B$3:$F$539,5,0),"Campo eliminado")</f>
        <v>Y</v>
      </c>
      <c r="M220" s="6" t="str">
        <f t="shared" si="16"/>
        <v>Igual</v>
      </c>
      <c r="N220" s="6" t="str">
        <f>IFERROR(VLOOKUP($B220,'LISTA - Setembro2024'!$B$3:$K$539,6,0),"Campo eliminado")</f>
        <v>N</v>
      </c>
      <c r="O220" s="6" t="str">
        <f t="shared" si="17"/>
        <v>Igual</v>
      </c>
      <c r="P220" s="6" t="str">
        <f>IFERROR(VLOOKUP($B220,'LISTA - Setembro2024'!$B$3:$K$539,7,0),"Campo eliminado")</f>
        <v>N</v>
      </c>
      <c r="Q220" s="6" t="str">
        <f t="shared" si="18"/>
        <v>Igual</v>
      </c>
      <c r="R220" s="6" t="str">
        <f>IFERROR(VLOOKUP($B220,'LISTA - Setembro2024'!$B$3:$K$539,9,0),"Campo eliminado")</f>
        <v>N</v>
      </c>
      <c r="S220" s="6" t="str">
        <f t="shared" si="19"/>
        <v>Igual</v>
      </c>
      <c r="U220" s="6" t="str">
        <f>VLOOKUP(B220,DataLake!$A$4:$A$429,1,0)</f>
        <v>INSTRUMENT_RTNTN_SHR</v>
      </c>
    </row>
    <row r="221" spans="1:21" ht="15" hidden="1" customHeight="1" x14ac:dyDescent="0.25">
      <c r="A221" s="7" t="s">
        <v>649</v>
      </c>
      <c r="B221" s="47" t="str">
        <f t="shared" si="15"/>
        <v>INSTRUMENT_RWA</v>
      </c>
      <c r="C221" s="8" t="s">
        <v>414</v>
      </c>
      <c r="D221" s="9" t="s">
        <v>650</v>
      </c>
      <c r="E221" s="11" t="s">
        <v>650</v>
      </c>
      <c r="F221" s="10" t="s">
        <v>13</v>
      </c>
      <c r="G221" s="10" t="s">
        <v>13</v>
      </c>
      <c r="H221" s="10" t="s">
        <v>11</v>
      </c>
      <c r="I221" s="10" t="s">
        <v>11</v>
      </c>
      <c r="J221" s="10" t="s">
        <v>11</v>
      </c>
      <c r="L221" s="6" t="str">
        <f>IFERROR(VLOOKUP($B221,'LISTA - Setembro2024'!$B$3:$F$539,5,0),"Campo eliminado")</f>
        <v>Y</v>
      </c>
      <c r="M221" s="6" t="str">
        <f t="shared" si="16"/>
        <v>Igual</v>
      </c>
      <c r="N221" s="6" t="str">
        <f>IFERROR(VLOOKUP($B221,'LISTA - Setembro2024'!$B$3:$K$539,6,0),"Campo eliminado")</f>
        <v>Y</v>
      </c>
      <c r="O221" s="6" t="str">
        <f t="shared" si="17"/>
        <v>Igual</v>
      </c>
      <c r="P221" s="6" t="str">
        <f>IFERROR(VLOOKUP($B221,'LISTA - Setembro2024'!$B$3:$K$539,7,0),"Campo eliminado")</f>
        <v>N</v>
      </c>
      <c r="Q221" s="6" t="str">
        <f t="shared" si="18"/>
        <v>Igual</v>
      </c>
      <c r="R221" s="6" t="str">
        <f>IFERROR(VLOOKUP($B221,'LISTA - Setembro2024'!$B$3:$K$539,9,0),"Campo eliminado")</f>
        <v>N</v>
      </c>
      <c r="S221" s="6" t="str">
        <f t="shared" si="19"/>
        <v>Igual</v>
      </c>
      <c r="U221" s="6" t="str">
        <f>VLOOKUP(B221,DataLake!$A$4:$A$429,1,0)</f>
        <v>INSTRUMENT_RWA</v>
      </c>
    </row>
    <row r="222" spans="1:21" ht="15" hidden="1" customHeight="1" x14ac:dyDescent="0.25">
      <c r="A222" s="7" t="s">
        <v>651</v>
      </c>
      <c r="B222" s="47" t="str">
        <f t="shared" si="15"/>
        <v>INSTRUMENT_RWA_MTHD</v>
      </c>
      <c r="C222" s="8" t="s">
        <v>414</v>
      </c>
      <c r="D222" s="9" t="s">
        <v>652</v>
      </c>
      <c r="E222" s="11" t="s">
        <v>653</v>
      </c>
      <c r="F222" s="10" t="s">
        <v>13</v>
      </c>
      <c r="G222" s="10" t="s">
        <v>11</v>
      </c>
      <c r="H222" s="10" t="s">
        <v>11</v>
      </c>
      <c r="I222" s="10" t="s">
        <v>11</v>
      </c>
      <c r="J222" s="10" t="s">
        <v>11</v>
      </c>
      <c r="L222" s="6" t="str">
        <f>IFERROR(VLOOKUP($B222,'LISTA - Setembro2024'!$B$3:$F$539,5,0),"Campo eliminado")</f>
        <v>Y</v>
      </c>
      <c r="M222" s="6" t="str">
        <f t="shared" si="16"/>
        <v>Igual</v>
      </c>
      <c r="N222" s="6" t="str">
        <f>IFERROR(VLOOKUP($B222,'LISTA - Setembro2024'!$B$3:$K$539,6,0),"Campo eliminado")</f>
        <v>N</v>
      </c>
      <c r="O222" s="6" t="str">
        <f t="shared" si="17"/>
        <v>Igual</v>
      </c>
      <c r="P222" s="6" t="str">
        <f>IFERROR(VLOOKUP($B222,'LISTA - Setembro2024'!$B$3:$K$539,7,0),"Campo eliminado")</f>
        <v>N</v>
      </c>
      <c r="Q222" s="6" t="str">
        <f t="shared" si="18"/>
        <v>Igual</v>
      </c>
      <c r="R222" s="6" t="str">
        <f>IFERROR(VLOOKUP($B222,'LISTA - Setembro2024'!$B$3:$K$539,9,0),"Campo eliminado")</f>
        <v>N</v>
      </c>
      <c r="S222" s="6" t="str">
        <f t="shared" si="19"/>
        <v>Igual</v>
      </c>
      <c r="U222" s="6" t="str">
        <f>VLOOKUP(B222,DataLake!$A$4:$A$429,1,0)</f>
        <v>INSTRUMENT_RWA_MTHD</v>
      </c>
    </row>
    <row r="223" spans="1:21" ht="15" hidden="1" customHeight="1" x14ac:dyDescent="0.25">
      <c r="A223" s="7" t="s">
        <v>654</v>
      </c>
      <c r="B223" s="47" t="str">
        <f t="shared" si="15"/>
        <v>INSTRUMENT_SPNSR_NM</v>
      </c>
      <c r="C223" s="8" t="s">
        <v>414</v>
      </c>
      <c r="D223" s="9" t="s">
        <v>655</v>
      </c>
      <c r="E223" s="11" t="s">
        <v>656</v>
      </c>
      <c r="F223" s="10" t="s">
        <v>13</v>
      </c>
      <c r="G223" s="10" t="s">
        <v>11</v>
      </c>
      <c r="H223" s="10" t="s">
        <v>11</v>
      </c>
      <c r="I223" s="10" t="s">
        <v>11</v>
      </c>
      <c r="J223" s="10" t="s">
        <v>11</v>
      </c>
      <c r="L223" s="6" t="str">
        <f>IFERROR(VLOOKUP($B223,'LISTA - Setembro2024'!$B$3:$F$539,5,0),"Campo eliminado")</f>
        <v>Y</v>
      </c>
      <c r="M223" s="6" t="str">
        <f t="shared" si="16"/>
        <v>Igual</v>
      </c>
      <c r="N223" s="6" t="str">
        <f>IFERROR(VLOOKUP($B223,'LISTA - Setembro2024'!$B$3:$K$539,6,0),"Campo eliminado")</f>
        <v>N</v>
      </c>
      <c r="O223" s="6" t="str">
        <f t="shared" si="17"/>
        <v>Igual</v>
      </c>
      <c r="P223" s="6" t="str">
        <f>IFERROR(VLOOKUP($B223,'LISTA - Setembro2024'!$B$3:$K$539,7,0),"Campo eliminado")</f>
        <v>N</v>
      </c>
      <c r="Q223" s="6" t="str">
        <f t="shared" si="18"/>
        <v>Igual</v>
      </c>
      <c r="R223" s="6" t="str">
        <f>IFERROR(VLOOKUP($B223,'LISTA - Setembro2024'!$B$3:$K$539,9,0),"Campo eliminado")</f>
        <v>N</v>
      </c>
      <c r="S223" s="6" t="str">
        <f t="shared" si="19"/>
        <v>Igual</v>
      </c>
      <c r="U223" s="6" t="str">
        <f>VLOOKUP(B223,DataLake!$A$4:$A$429,1,0)</f>
        <v>INSTRUMENT_SPNSR_NM</v>
      </c>
    </row>
    <row r="224" spans="1:21" ht="15" hidden="1" customHeight="1" x14ac:dyDescent="0.25">
      <c r="A224" s="7" t="s">
        <v>657</v>
      </c>
      <c r="B224" s="47" t="str">
        <f t="shared" si="15"/>
        <v>INSTRUMENT_ACCMLTD_IMPRMNT_INSTRMNT</v>
      </c>
      <c r="C224" s="8" t="s">
        <v>414</v>
      </c>
      <c r="D224" s="9" t="s">
        <v>658</v>
      </c>
      <c r="E224" s="11" t="s">
        <v>659</v>
      </c>
      <c r="F224" s="10" t="s">
        <v>13</v>
      </c>
      <c r="G224" s="10" t="s">
        <v>13</v>
      </c>
      <c r="H224" s="10" t="s">
        <v>13</v>
      </c>
      <c r="I224" s="10" t="s">
        <v>11</v>
      </c>
      <c r="J224" s="10" t="s">
        <v>11</v>
      </c>
      <c r="L224" s="6" t="str">
        <f>IFERROR(VLOOKUP($B224,'LISTA - Setembro2024'!$B$3:$F$539,5,0),"Campo eliminado")</f>
        <v>Y</v>
      </c>
      <c r="M224" s="6" t="str">
        <f t="shared" si="16"/>
        <v>Igual</v>
      </c>
      <c r="N224" s="6" t="str">
        <f>IFERROR(VLOOKUP($B224,'LISTA - Setembro2024'!$B$3:$K$539,6,0),"Campo eliminado")</f>
        <v>Y</v>
      </c>
      <c r="O224" s="6" t="str">
        <f t="shared" si="17"/>
        <v>Igual</v>
      </c>
      <c r="P224" s="6" t="str">
        <f>IFERROR(VLOOKUP($B224,'LISTA - Setembro2024'!$B$3:$K$539,7,0),"Campo eliminado")</f>
        <v>Y</v>
      </c>
      <c r="Q224" s="6" t="str">
        <f t="shared" si="18"/>
        <v>Igual</v>
      </c>
      <c r="R224" s="6" t="str">
        <f>IFERROR(VLOOKUP($B224,'LISTA - Setembro2024'!$B$3:$K$539,9,0),"Campo eliminado")</f>
        <v>N</v>
      </c>
      <c r="S224" s="6" t="str">
        <f t="shared" si="19"/>
        <v>Igual</v>
      </c>
      <c r="U224" s="6" t="str">
        <f>VLOOKUP(B224,DataLake!$A$4:$A$429,1,0)</f>
        <v>INSTRUMENT_ACCMLTD_IMPRMNT_INSTRMNT</v>
      </c>
    </row>
    <row r="225" spans="1:21" ht="15" hidden="1" customHeight="1" x14ac:dyDescent="0.25">
      <c r="A225" s="7" t="s">
        <v>660</v>
      </c>
      <c r="B225" s="47" t="str">
        <f t="shared" si="15"/>
        <v>INSTRUMENT_ACCMLTD_IMPRMNT_INSTRMNT_PRVS</v>
      </c>
      <c r="C225" s="8" t="s">
        <v>414</v>
      </c>
      <c r="D225" s="9" t="s">
        <v>661</v>
      </c>
      <c r="E225" s="11" t="s">
        <v>662</v>
      </c>
      <c r="F225" s="10" t="s">
        <v>13</v>
      </c>
      <c r="G225" s="10" t="s">
        <v>11</v>
      </c>
      <c r="H225" s="10" t="s">
        <v>11</v>
      </c>
      <c r="I225" s="10" t="s">
        <v>11</v>
      </c>
      <c r="J225" s="10" t="s">
        <v>11</v>
      </c>
      <c r="L225" s="6" t="str">
        <f>IFERROR(VLOOKUP($B225,'LISTA - Setembro2024'!$B$3:$F$539,5,0),"Campo eliminado")</f>
        <v>Y</v>
      </c>
      <c r="M225" s="6" t="str">
        <f t="shared" si="16"/>
        <v>Igual</v>
      </c>
      <c r="N225" s="6" t="str">
        <f>IFERROR(VLOOKUP($B225,'LISTA - Setembro2024'!$B$3:$K$539,6,0),"Campo eliminado")</f>
        <v>N</v>
      </c>
      <c r="O225" s="6" t="str">
        <f t="shared" si="17"/>
        <v>Igual</v>
      </c>
      <c r="P225" s="6" t="str">
        <f>IFERROR(VLOOKUP($B225,'LISTA - Setembro2024'!$B$3:$K$539,7,0),"Campo eliminado")</f>
        <v>N</v>
      </c>
      <c r="Q225" s="6" t="str">
        <f t="shared" si="18"/>
        <v>Igual</v>
      </c>
      <c r="R225" s="6" t="str">
        <f>IFERROR(VLOOKUP($B225,'LISTA - Setembro2024'!$B$3:$K$539,9,0),"Campo eliminado")</f>
        <v>N</v>
      </c>
      <c r="S225" s="6" t="str">
        <f t="shared" si="19"/>
        <v>Igual</v>
      </c>
      <c r="U225" s="6" t="str">
        <f>VLOOKUP(B225,DataLake!$A$4:$A$429,1,0)</f>
        <v>INSTRUMENT_ACCMLTD_IMPRMNT_INSTRMNT_PRVS</v>
      </c>
    </row>
    <row r="226" spans="1:21" ht="15" hidden="1" customHeight="1" x14ac:dyDescent="0.25">
      <c r="A226" s="7" t="s">
        <v>663</v>
      </c>
      <c r="B226" s="47" t="str">
        <f t="shared" si="15"/>
        <v>INSTRUMENT_ACCMLTD_WRTFFS_INSTRMNT</v>
      </c>
      <c r="C226" s="8" t="s">
        <v>414</v>
      </c>
      <c r="D226" s="9" t="s">
        <v>664</v>
      </c>
      <c r="E226" s="11" t="s">
        <v>665</v>
      </c>
      <c r="F226" s="10" t="s">
        <v>13</v>
      </c>
      <c r="G226" s="10" t="s">
        <v>11</v>
      </c>
      <c r="H226" s="10" t="s">
        <v>11</v>
      </c>
      <c r="I226" s="10" t="s">
        <v>11</v>
      </c>
      <c r="J226" s="10" t="s">
        <v>11</v>
      </c>
      <c r="L226" s="6" t="str">
        <f>IFERROR(VLOOKUP($B226,'LISTA - Setembro2024'!$B$3:$F$539,5,0),"Campo eliminado")</f>
        <v>Y</v>
      </c>
      <c r="M226" s="6" t="str">
        <f t="shared" si="16"/>
        <v>Igual</v>
      </c>
      <c r="N226" s="6" t="str">
        <f>IFERROR(VLOOKUP($B226,'LISTA - Setembro2024'!$B$3:$K$539,6,0),"Campo eliminado")</f>
        <v>N</v>
      </c>
      <c r="O226" s="6" t="str">
        <f t="shared" si="17"/>
        <v>Igual</v>
      </c>
      <c r="P226" s="6" t="str">
        <f>IFERROR(VLOOKUP($B226,'LISTA - Setembro2024'!$B$3:$K$539,7,0),"Campo eliminado")</f>
        <v>N</v>
      </c>
      <c r="Q226" s="6" t="str">
        <f t="shared" si="18"/>
        <v>Igual</v>
      </c>
      <c r="R226" s="6" t="str">
        <f>IFERROR(VLOOKUP($B226,'LISTA - Setembro2024'!$B$3:$K$539,9,0),"Campo eliminado")</f>
        <v>N</v>
      </c>
      <c r="S226" s="6" t="str">
        <f t="shared" si="19"/>
        <v>Igual</v>
      </c>
      <c r="U226" s="6" t="str">
        <f>VLOOKUP(B226,DataLake!$A$4:$A$429,1,0)</f>
        <v>INSTRUMENT_ACCMLTD_WRTFFS_INSTRMNT</v>
      </c>
    </row>
    <row r="227" spans="1:21" ht="15" hidden="1" customHeight="1" x14ac:dyDescent="0.25">
      <c r="A227" s="7" t="s">
        <v>666</v>
      </c>
      <c r="B227" s="47" t="str">
        <f t="shared" si="15"/>
        <v>INSTRUMENT_ARRRS_INSTRMNT</v>
      </c>
      <c r="C227" s="8" t="s">
        <v>414</v>
      </c>
      <c r="D227" s="9" t="s">
        <v>667</v>
      </c>
      <c r="E227" s="11" t="s">
        <v>668</v>
      </c>
      <c r="F227" s="10" t="s">
        <v>13</v>
      </c>
      <c r="G227" s="10" t="s">
        <v>11</v>
      </c>
      <c r="H227" s="10" t="s">
        <v>11</v>
      </c>
      <c r="I227" s="10" t="s">
        <v>11</v>
      </c>
      <c r="J227" s="10" t="s">
        <v>11</v>
      </c>
      <c r="L227" s="6" t="str">
        <f>IFERROR(VLOOKUP($B227,'LISTA - Setembro2024'!$B$3:$F$539,5,0),"Campo eliminado")</f>
        <v>Y</v>
      </c>
      <c r="M227" s="6" t="str">
        <f t="shared" si="16"/>
        <v>Igual</v>
      </c>
      <c r="N227" s="6" t="str">
        <f>IFERROR(VLOOKUP($B227,'LISTA - Setembro2024'!$B$3:$K$539,6,0),"Campo eliminado")</f>
        <v>N</v>
      </c>
      <c r="O227" s="6" t="str">
        <f t="shared" si="17"/>
        <v>Igual</v>
      </c>
      <c r="P227" s="6" t="str">
        <f>IFERROR(VLOOKUP($B227,'LISTA - Setembro2024'!$B$3:$K$539,7,0),"Campo eliminado")</f>
        <v>N</v>
      </c>
      <c r="Q227" s="6" t="str">
        <f t="shared" si="18"/>
        <v>Igual</v>
      </c>
      <c r="R227" s="6" t="str">
        <f>IFERROR(VLOOKUP($B227,'LISTA - Setembro2024'!$B$3:$K$539,9,0),"Campo eliminado")</f>
        <v>N</v>
      </c>
      <c r="S227" s="6" t="str">
        <f t="shared" si="19"/>
        <v>Igual</v>
      </c>
      <c r="U227" s="6" t="str">
        <f>VLOOKUP(B227,DataLake!$A$4:$A$429,1,0)</f>
        <v>INSTRUMENT_ARRRS_INSTRMNT</v>
      </c>
    </row>
    <row r="228" spans="1:21" ht="15" hidden="1" customHeight="1" x14ac:dyDescent="0.25">
      <c r="A228" s="7" t="s">
        <v>669</v>
      </c>
      <c r="B228" s="47" t="str">
        <f t="shared" si="15"/>
        <v>INSTRUMENT_ARRRS_INSTRMNT_12M</v>
      </c>
      <c r="C228" s="8" t="s">
        <v>414</v>
      </c>
      <c r="D228" s="9" t="s">
        <v>670</v>
      </c>
      <c r="E228" s="11" t="s">
        <v>671</v>
      </c>
      <c r="F228" s="10" t="s">
        <v>13</v>
      </c>
      <c r="G228" s="10" t="s">
        <v>11</v>
      </c>
      <c r="H228" s="10" t="s">
        <v>11</v>
      </c>
      <c r="I228" s="10" t="s">
        <v>11</v>
      </c>
      <c r="J228" s="10" t="s">
        <v>11</v>
      </c>
      <c r="L228" s="6" t="str">
        <f>IFERROR(VLOOKUP($B228,'LISTA - Setembro2024'!$B$3:$F$539,5,0),"Campo eliminado")</f>
        <v>Y</v>
      </c>
      <c r="M228" s="6" t="str">
        <f t="shared" si="16"/>
        <v>Igual</v>
      </c>
      <c r="N228" s="6" t="str">
        <f>IFERROR(VLOOKUP($B228,'LISTA - Setembro2024'!$B$3:$K$539,6,0),"Campo eliminado")</f>
        <v>N</v>
      </c>
      <c r="O228" s="6" t="str">
        <f t="shared" si="17"/>
        <v>Igual</v>
      </c>
      <c r="P228" s="6" t="str">
        <f>IFERROR(VLOOKUP($B228,'LISTA - Setembro2024'!$B$3:$K$539,7,0),"Campo eliminado")</f>
        <v>N</v>
      </c>
      <c r="Q228" s="6" t="str">
        <f t="shared" si="18"/>
        <v>Igual</v>
      </c>
      <c r="R228" s="6" t="str">
        <f>IFERROR(VLOOKUP($B228,'LISTA - Setembro2024'!$B$3:$K$539,9,0),"Campo eliminado")</f>
        <v>N</v>
      </c>
      <c r="S228" s="6" t="str">
        <f t="shared" si="19"/>
        <v>Igual</v>
      </c>
      <c r="U228" s="6" t="str">
        <f>VLOOKUP(B228,DataLake!$A$4:$A$429,1,0)</f>
        <v>INSTRUMENT_ARRRS_INSTRMNT_12M</v>
      </c>
    </row>
    <row r="229" spans="1:21" ht="15" hidden="1" customHeight="1" x14ac:dyDescent="0.25">
      <c r="A229" s="7" t="s">
        <v>672</v>
      </c>
      <c r="B229" s="47" t="str">
        <f t="shared" si="15"/>
        <v>INSTRUMENT_CMLTV_RCVRS_SNC_DFLT_INSTRMNT</v>
      </c>
      <c r="C229" s="8" t="s">
        <v>414</v>
      </c>
      <c r="D229" s="9" t="s">
        <v>673</v>
      </c>
      <c r="E229" s="11" t="s">
        <v>674</v>
      </c>
      <c r="F229" s="10" t="s">
        <v>13</v>
      </c>
      <c r="G229" s="10" t="s">
        <v>11</v>
      </c>
      <c r="H229" s="10" t="s">
        <v>11</v>
      </c>
      <c r="I229" s="10" t="s">
        <v>11</v>
      </c>
      <c r="J229" s="10" t="s">
        <v>11</v>
      </c>
      <c r="L229" s="6" t="str">
        <f>IFERROR(VLOOKUP($B229,'LISTA - Setembro2024'!$B$3:$F$539,5,0),"Campo eliminado")</f>
        <v>Y</v>
      </c>
      <c r="M229" s="6" t="str">
        <f t="shared" si="16"/>
        <v>Igual</v>
      </c>
      <c r="N229" s="6" t="str">
        <f>IFERROR(VLOOKUP($B229,'LISTA - Setembro2024'!$B$3:$K$539,6,0),"Campo eliminado")</f>
        <v>N</v>
      </c>
      <c r="O229" s="6" t="str">
        <f t="shared" si="17"/>
        <v>Igual</v>
      </c>
      <c r="P229" s="6" t="str">
        <f>IFERROR(VLOOKUP($B229,'LISTA - Setembro2024'!$B$3:$K$539,7,0),"Campo eliminado")</f>
        <v>N</v>
      </c>
      <c r="Q229" s="6" t="str">
        <f t="shared" si="18"/>
        <v>Igual</v>
      </c>
      <c r="R229" s="6" t="str">
        <f>IFERROR(VLOOKUP($B229,'LISTA - Setembro2024'!$B$3:$K$539,9,0),"Campo eliminado")</f>
        <v>N</v>
      </c>
      <c r="S229" s="6" t="str">
        <f t="shared" si="19"/>
        <v>Igual</v>
      </c>
      <c r="U229" s="6" t="str">
        <f>VLOOKUP(B229,DataLake!$A$4:$A$429,1,0)</f>
        <v>INSTRUMENT_CMLTV_RCVRS_SNC_DFLT_INSTRMNT</v>
      </c>
    </row>
    <row r="230" spans="1:21" ht="15" hidden="1" customHeight="1" x14ac:dyDescent="0.25">
      <c r="A230" s="7" t="s">
        <v>675</v>
      </c>
      <c r="B230" s="47" t="str">
        <f t="shared" si="15"/>
        <v>INSTRUMENT_DPD</v>
      </c>
      <c r="C230" s="8" t="s">
        <v>414</v>
      </c>
      <c r="D230" s="9" t="s">
        <v>676</v>
      </c>
      <c r="E230" s="11" t="s">
        <v>677</v>
      </c>
      <c r="F230" s="10" t="s">
        <v>13</v>
      </c>
      <c r="G230" s="10" t="s">
        <v>11</v>
      </c>
      <c r="H230" s="10" t="s">
        <v>11</v>
      </c>
      <c r="I230" s="10" t="s">
        <v>11</v>
      </c>
      <c r="J230" s="10" t="s">
        <v>11</v>
      </c>
      <c r="L230" s="6" t="str">
        <f>IFERROR(VLOOKUP($B230,'LISTA - Setembro2024'!$B$3:$F$539,5,0),"Campo eliminado")</f>
        <v>Y</v>
      </c>
      <c r="M230" s="6" t="str">
        <f t="shared" si="16"/>
        <v>Igual</v>
      </c>
      <c r="N230" s="6" t="str">
        <f>IFERROR(VLOOKUP($B230,'LISTA - Setembro2024'!$B$3:$K$539,6,0),"Campo eliminado")</f>
        <v>N</v>
      </c>
      <c r="O230" s="6" t="str">
        <f t="shared" si="17"/>
        <v>Igual</v>
      </c>
      <c r="P230" s="6" t="str">
        <f>IFERROR(VLOOKUP($B230,'LISTA - Setembro2024'!$B$3:$K$539,7,0),"Campo eliminado")</f>
        <v>N</v>
      </c>
      <c r="Q230" s="6" t="str">
        <f t="shared" si="18"/>
        <v>Igual</v>
      </c>
      <c r="R230" s="6" t="str">
        <f>IFERROR(VLOOKUP($B230,'LISTA - Setembro2024'!$B$3:$K$539,9,0),"Campo eliminado")</f>
        <v>N</v>
      </c>
      <c r="S230" s="6" t="str">
        <f t="shared" si="19"/>
        <v>Igual</v>
      </c>
      <c r="U230" s="6" t="str">
        <f>VLOOKUP(B230,DataLake!$A$4:$A$429,1,0)</f>
        <v>INSTRUMENT_DPD</v>
      </c>
    </row>
    <row r="231" spans="1:21" ht="15" hidden="1" customHeight="1" x14ac:dyDescent="0.25">
      <c r="A231" s="7" t="s">
        <v>678</v>
      </c>
      <c r="B231" s="47" t="str">
        <f t="shared" si="15"/>
        <v>INSTRUMENT_DPD_12M</v>
      </c>
      <c r="C231" s="8" t="s">
        <v>414</v>
      </c>
      <c r="D231" s="9" t="s">
        <v>679</v>
      </c>
      <c r="E231" s="11" t="s">
        <v>680</v>
      </c>
      <c r="F231" s="10" t="s">
        <v>13</v>
      </c>
      <c r="G231" s="10" t="s">
        <v>11</v>
      </c>
      <c r="H231" s="10" t="s">
        <v>11</v>
      </c>
      <c r="I231" s="10" t="s">
        <v>11</v>
      </c>
      <c r="J231" s="10" t="s">
        <v>11</v>
      </c>
      <c r="L231" s="6" t="str">
        <f>IFERROR(VLOOKUP($B231,'LISTA - Setembro2024'!$B$3:$F$539,5,0),"Campo eliminado")</f>
        <v>Y</v>
      </c>
      <c r="M231" s="6" t="str">
        <f t="shared" si="16"/>
        <v>Igual</v>
      </c>
      <c r="N231" s="6" t="str">
        <f>IFERROR(VLOOKUP($B231,'LISTA - Setembro2024'!$B$3:$K$539,6,0),"Campo eliminado")</f>
        <v>N</v>
      </c>
      <c r="O231" s="6" t="str">
        <f t="shared" si="17"/>
        <v>Igual</v>
      </c>
      <c r="P231" s="6" t="str">
        <f>IFERROR(VLOOKUP($B231,'LISTA - Setembro2024'!$B$3:$K$539,7,0),"Campo eliminado")</f>
        <v>N</v>
      </c>
      <c r="Q231" s="6" t="str">
        <f t="shared" si="18"/>
        <v>Igual</v>
      </c>
      <c r="R231" s="6" t="str">
        <f>IFERROR(VLOOKUP($B231,'LISTA - Setembro2024'!$B$3:$K$539,9,0),"Campo eliminado")</f>
        <v>N</v>
      </c>
      <c r="S231" s="6" t="str">
        <f t="shared" si="19"/>
        <v>Igual</v>
      </c>
      <c r="U231" s="6" t="str">
        <f>VLOOKUP(B231,DataLake!$A$4:$A$429,1,0)</f>
        <v>INSTRUMENT_DPD_12M</v>
      </c>
    </row>
    <row r="232" spans="1:21" ht="15" hidden="1" customHeight="1" x14ac:dyDescent="0.25">
      <c r="A232" s="7" t="s">
        <v>681</v>
      </c>
      <c r="B232" s="47" t="str">
        <f t="shared" si="15"/>
        <v>INSTRUMENT_DPD_12M_FRBRNC_STTS</v>
      </c>
      <c r="C232" s="8" t="s">
        <v>414</v>
      </c>
      <c r="D232" s="9" t="s">
        <v>682</v>
      </c>
      <c r="E232" s="11" t="s">
        <v>683</v>
      </c>
      <c r="F232" s="10" t="s">
        <v>13</v>
      </c>
      <c r="G232" s="10" t="s">
        <v>11</v>
      </c>
      <c r="H232" s="10" t="s">
        <v>11</v>
      </c>
      <c r="I232" s="10" t="s">
        <v>11</v>
      </c>
      <c r="J232" s="10" t="s">
        <v>11</v>
      </c>
      <c r="L232" s="6" t="str">
        <f>IFERROR(VLOOKUP($B232,'LISTA - Setembro2024'!$B$3:$F$539,5,0),"Campo eliminado")</f>
        <v>Y</v>
      </c>
      <c r="M232" s="6" t="str">
        <f t="shared" si="16"/>
        <v>Igual</v>
      </c>
      <c r="N232" s="6" t="str">
        <f>IFERROR(VLOOKUP($B232,'LISTA - Setembro2024'!$B$3:$K$539,6,0),"Campo eliminado")</f>
        <v>N</v>
      </c>
      <c r="O232" s="6" t="str">
        <f t="shared" si="17"/>
        <v>Igual</v>
      </c>
      <c r="P232" s="6" t="str">
        <f>IFERROR(VLOOKUP($B232,'LISTA - Setembro2024'!$B$3:$K$539,7,0),"Campo eliminado")</f>
        <v>N</v>
      </c>
      <c r="Q232" s="6" t="str">
        <f t="shared" si="18"/>
        <v>Igual</v>
      </c>
      <c r="R232" s="6" t="str">
        <f>IFERROR(VLOOKUP($B232,'LISTA - Setembro2024'!$B$3:$K$539,9,0),"Campo eliminado")</f>
        <v>N</v>
      </c>
      <c r="S232" s="6" t="str">
        <f t="shared" si="19"/>
        <v>Igual</v>
      </c>
      <c r="U232" s="6" t="str">
        <f>VLOOKUP(B232,DataLake!$A$4:$A$429,1,0)</f>
        <v>INSTRUMENT_DPD_12M_FRBRNC_STTS</v>
      </c>
    </row>
    <row r="233" spans="1:21" ht="15" hidden="1" customHeight="1" x14ac:dyDescent="0.25">
      <c r="A233" s="7" t="s">
        <v>684</v>
      </c>
      <c r="B233" s="47" t="str">
        <f t="shared" si="15"/>
        <v>INSTRUMENT_DPD_12M_PRFRMNG_STTS</v>
      </c>
      <c r="C233" s="8" t="s">
        <v>414</v>
      </c>
      <c r="D233" s="9" t="s">
        <v>685</v>
      </c>
      <c r="E233" s="11" t="s">
        <v>686</v>
      </c>
      <c r="F233" s="10" t="s">
        <v>13</v>
      </c>
      <c r="G233" s="10" t="s">
        <v>11</v>
      </c>
      <c r="H233" s="10" t="s">
        <v>11</v>
      </c>
      <c r="I233" s="10" t="s">
        <v>11</v>
      </c>
      <c r="J233" s="10" t="s">
        <v>11</v>
      </c>
      <c r="L233" s="6" t="str">
        <f>IFERROR(VLOOKUP($B233,'LISTA - Setembro2024'!$B$3:$F$539,5,0),"Campo eliminado")</f>
        <v>Y</v>
      </c>
      <c r="M233" s="6" t="str">
        <f t="shared" si="16"/>
        <v>Igual</v>
      </c>
      <c r="N233" s="6" t="str">
        <f>IFERROR(VLOOKUP($B233,'LISTA - Setembro2024'!$B$3:$K$539,6,0),"Campo eliminado")</f>
        <v>N</v>
      </c>
      <c r="O233" s="6" t="str">
        <f t="shared" si="17"/>
        <v>Igual</v>
      </c>
      <c r="P233" s="6" t="str">
        <f>IFERROR(VLOOKUP($B233,'LISTA - Setembro2024'!$B$3:$K$539,7,0),"Campo eliminado")</f>
        <v>N</v>
      </c>
      <c r="Q233" s="6" t="str">
        <f t="shared" si="18"/>
        <v>Igual</v>
      </c>
      <c r="R233" s="6" t="str">
        <f>IFERROR(VLOOKUP($B233,'LISTA - Setembro2024'!$B$3:$K$539,9,0),"Campo eliminado")</f>
        <v>N</v>
      </c>
      <c r="S233" s="6" t="str">
        <f t="shared" si="19"/>
        <v>Igual</v>
      </c>
      <c r="U233" s="6" t="str">
        <f>VLOOKUP(B233,DataLake!$A$4:$A$429,1,0)</f>
        <v>INSTRUMENT_DPD_12M_PRFRMNG_STTS</v>
      </c>
    </row>
    <row r="234" spans="1:21" ht="15" hidden="1" customHeight="1" x14ac:dyDescent="0.25">
      <c r="A234" s="7" t="s">
        <v>687</v>
      </c>
      <c r="B234" s="47" t="str">
        <f t="shared" si="15"/>
        <v>INSTRUMENT_DPD_24M_FRBRNC_STTS</v>
      </c>
      <c r="C234" s="8" t="s">
        <v>414</v>
      </c>
      <c r="D234" s="9" t="s">
        <v>688</v>
      </c>
      <c r="E234" s="11" t="s">
        <v>689</v>
      </c>
      <c r="F234" s="10" t="s">
        <v>13</v>
      </c>
      <c r="G234" s="10" t="s">
        <v>11</v>
      </c>
      <c r="H234" s="10" t="s">
        <v>11</v>
      </c>
      <c r="I234" s="10" t="s">
        <v>11</v>
      </c>
      <c r="J234" s="10" t="s">
        <v>11</v>
      </c>
      <c r="L234" s="6" t="str">
        <f>IFERROR(VLOOKUP($B234,'LISTA - Setembro2024'!$B$3:$F$539,5,0),"Campo eliminado")</f>
        <v>Y</v>
      </c>
      <c r="M234" s="6" t="str">
        <f t="shared" si="16"/>
        <v>Igual</v>
      </c>
      <c r="N234" s="6" t="str">
        <f>IFERROR(VLOOKUP($B234,'LISTA - Setembro2024'!$B$3:$K$539,6,0),"Campo eliminado")</f>
        <v>N</v>
      </c>
      <c r="O234" s="6" t="str">
        <f t="shared" si="17"/>
        <v>Igual</v>
      </c>
      <c r="P234" s="6" t="str">
        <f>IFERROR(VLOOKUP($B234,'LISTA - Setembro2024'!$B$3:$K$539,7,0),"Campo eliminado")</f>
        <v>N</v>
      </c>
      <c r="Q234" s="6" t="str">
        <f t="shared" si="18"/>
        <v>Igual</v>
      </c>
      <c r="R234" s="6" t="str">
        <f>IFERROR(VLOOKUP($B234,'LISTA - Setembro2024'!$B$3:$K$539,9,0),"Campo eliminado")</f>
        <v>N</v>
      </c>
      <c r="S234" s="6" t="str">
        <f t="shared" si="19"/>
        <v>Igual</v>
      </c>
      <c r="U234" s="6" t="str">
        <f>VLOOKUP(B234,DataLake!$A$4:$A$429,1,0)</f>
        <v>INSTRUMENT_DPD_24M_FRBRNC_STTS</v>
      </c>
    </row>
    <row r="235" spans="1:21" ht="15" hidden="1" customHeight="1" x14ac:dyDescent="0.25">
      <c r="A235" s="7" t="s">
        <v>690</v>
      </c>
      <c r="B235" s="47" t="str">
        <f t="shared" si="15"/>
        <v>INSTRUMENT_DPD_24M_PRFRMNG_STTS</v>
      </c>
      <c r="C235" s="8" t="s">
        <v>414</v>
      </c>
      <c r="D235" s="9" t="s">
        <v>691</v>
      </c>
      <c r="E235" s="11" t="s">
        <v>692</v>
      </c>
      <c r="F235" s="10" t="s">
        <v>13</v>
      </c>
      <c r="G235" s="10" t="s">
        <v>11</v>
      </c>
      <c r="H235" s="10" t="s">
        <v>11</v>
      </c>
      <c r="I235" s="10" t="s">
        <v>11</v>
      </c>
      <c r="J235" s="10" t="s">
        <v>11</v>
      </c>
      <c r="L235" s="6" t="str">
        <f>IFERROR(VLOOKUP($B235,'LISTA - Setembro2024'!$B$3:$F$539,5,0),"Campo eliminado")</f>
        <v>Y</v>
      </c>
      <c r="M235" s="6" t="str">
        <f t="shared" si="16"/>
        <v>Igual</v>
      </c>
      <c r="N235" s="6" t="str">
        <f>IFERROR(VLOOKUP($B235,'LISTA - Setembro2024'!$B$3:$K$539,6,0),"Campo eliminado")</f>
        <v>N</v>
      </c>
      <c r="O235" s="6" t="str">
        <f t="shared" si="17"/>
        <v>Igual</v>
      </c>
      <c r="P235" s="6" t="str">
        <f>IFERROR(VLOOKUP($B235,'LISTA - Setembro2024'!$B$3:$K$539,7,0),"Campo eliminado")</f>
        <v>N</v>
      </c>
      <c r="Q235" s="6" t="str">
        <f t="shared" si="18"/>
        <v>Igual</v>
      </c>
      <c r="R235" s="6" t="str">
        <f>IFERROR(VLOOKUP($B235,'LISTA - Setembro2024'!$B$3:$K$539,9,0),"Campo eliminado")</f>
        <v>N</v>
      </c>
      <c r="S235" s="6" t="str">
        <f t="shared" si="19"/>
        <v>Igual</v>
      </c>
      <c r="U235" s="6" t="str">
        <f>VLOOKUP(B235,DataLake!$A$4:$A$429,1,0)</f>
        <v>INSTRUMENT_DPD_24M_PRFRMNG_STTS</v>
      </c>
    </row>
    <row r="236" spans="1:21" ht="15" hidden="1" customHeight="1" x14ac:dyDescent="0.25">
      <c r="A236" s="7" t="s">
        <v>693</v>
      </c>
      <c r="B236" s="47" t="str">
        <f t="shared" si="15"/>
        <v>INSTRUMENT_DPD_FRBRNC_STTS</v>
      </c>
      <c r="C236" s="8" t="s">
        <v>414</v>
      </c>
      <c r="D236" s="9" t="s">
        <v>694</v>
      </c>
      <c r="E236" s="11" t="s">
        <v>695</v>
      </c>
      <c r="F236" s="10" t="s">
        <v>13</v>
      </c>
      <c r="G236" s="10" t="s">
        <v>11</v>
      </c>
      <c r="H236" s="10" t="s">
        <v>11</v>
      </c>
      <c r="I236" s="10" t="s">
        <v>11</v>
      </c>
      <c r="J236" s="10" t="s">
        <v>11</v>
      </c>
      <c r="L236" s="6" t="str">
        <f>IFERROR(VLOOKUP($B236,'LISTA - Setembro2024'!$B$3:$F$539,5,0),"Campo eliminado")</f>
        <v>Y</v>
      </c>
      <c r="M236" s="6" t="str">
        <f t="shared" si="16"/>
        <v>Igual</v>
      </c>
      <c r="N236" s="6" t="str">
        <f>IFERROR(VLOOKUP($B236,'LISTA - Setembro2024'!$B$3:$K$539,6,0),"Campo eliminado")</f>
        <v>N</v>
      </c>
      <c r="O236" s="6" t="str">
        <f t="shared" si="17"/>
        <v>Igual</v>
      </c>
      <c r="P236" s="6" t="str">
        <f>IFERROR(VLOOKUP($B236,'LISTA - Setembro2024'!$B$3:$K$539,7,0),"Campo eliminado")</f>
        <v>N</v>
      </c>
      <c r="Q236" s="6" t="str">
        <f t="shared" si="18"/>
        <v>Igual</v>
      </c>
      <c r="R236" s="6" t="str">
        <f>IFERROR(VLOOKUP($B236,'LISTA - Setembro2024'!$B$3:$K$539,9,0),"Campo eliminado")</f>
        <v>N</v>
      </c>
      <c r="S236" s="6" t="str">
        <f t="shared" si="19"/>
        <v>Igual</v>
      </c>
      <c r="U236" s="6" t="str">
        <f>VLOOKUP(B236,DataLake!$A$4:$A$429,1,0)</f>
        <v>INSTRUMENT_DPD_FRBRNC_STTS</v>
      </c>
    </row>
    <row r="237" spans="1:21" ht="15" hidden="1" customHeight="1" x14ac:dyDescent="0.25">
      <c r="A237" s="7" t="s">
        <v>696</v>
      </c>
      <c r="B237" s="47" t="str">
        <f t="shared" si="15"/>
        <v>INSTRUMENT_DPD_PRFRMNG_STTS</v>
      </c>
      <c r="C237" s="8" t="s">
        <v>414</v>
      </c>
      <c r="D237" s="9" t="s">
        <v>697</v>
      </c>
      <c r="E237" s="11" t="s">
        <v>698</v>
      </c>
      <c r="F237" s="10" t="s">
        <v>13</v>
      </c>
      <c r="G237" s="10" t="s">
        <v>11</v>
      </c>
      <c r="H237" s="10" t="s">
        <v>11</v>
      </c>
      <c r="I237" s="10" t="s">
        <v>11</v>
      </c>
      <c r="J237" s="10" t="s">
        <v>11</v>
      </c>
      <c r="L237" s="6" t="str">
        <f>IFERROR(VLOOKUP($B237,'LISTA - Setembro2024'!$B$3:$F$539,5,0),"Campo eliminado")</f>
        <v>Y</v>
      </c>
      <c r="M237" s="6" t="str">
        <f t="shared" si="16"/>
        <v>Igual</v>
      </c>
      <c r="N237" s="6" t="str">
        <f>IFERROR(VLOOKUP($B237,'LISTA - Setembro2024'!$B$3:$K$539,6,0),"Campo eliminado")</f>
        <v>N</v>
      </c>
      <c r="O237" s="6" t="str">
        <f t="shared" si="17"/>
        <v>Igual</v>
      </c>
      <c r="P237" s="6" t="str">
        <f>IFERROR(VLOOKUP($B237,'LISTA - Setembro2024'!$B$3:$K$539,7,0),"Campo eliminado")</f>
        <v>N</v>
      </c>
      <c r="Q237" s="6" t="str">
        <f t="shared" si="18"/>
        <v>Igual</v>
      </c>
      <c r="R237" s="6" t="str">
        <f>IFERROR(VLOOKUP($B237,'LISTA - Setembro2024'!$B$3:$K$539,9,0),"Campo eliminado")</f>
        <v>N</v>
      </c>
      <c r="S237" s="6" t="str">
        <f t="shared" si="19"/>
        <v>Igual</v>
      </c>
      <c r="U237" s="6" t="str">
        <f>VLOOKUP(B237,DataLake!$A$4:$A$429,1,0)</f>
        <v>INSTRUMENT_DPD_PRFRMNG_STTS</v>
      </c>
    </row>
    <row r="238" spans="1:21" ht="15" hidden="1" customHeight="1" x14ac:dyDescent="0.25">
      <c r="A238" s="7" t="s">
        <v>699</v>
      </c>
      <c r="B238" s="47" t="str">
        <f t="shared" si="15"/>
        <v>INSTRUMENT_DT_IMPRMNT_STTS</v>
      </c>
      <c r="C238" s="8" t="s">
        <v>414</v>
      </c>
      <c r="D238" s="9" t="s">
        <v>700</v>
      </c>
      <c r="E238" s="11" t="s">
        <v>701</v>
      </c>
      <c r="F238" s="10" t="s">
        <v>13</v>
      </c>
      <c r="G238" s="10" t="s">
        <v>11</v>
      </c>
      <c r="H238" s="10" t="s">
        <v>11</v>
      </c>
      <c r="I238" s="10" t="s">
        <v>11</v>
      </c>
      <c r="J238" s="10" t="s">
        <v>11</v>
      </c>
      <c r="L238" s="6" t="str">
        <f>IFERROR(VLOOKUP($B238,'LISTA - Setembro2024'!$B$3:$F$539,5,0),"Campo eliminado")</f>
        <v>Y</v>
      </c>
      <c r="M238" s="6" t="str">
        <f t="shared" si="16"/>
        <v>Igual</v>
      </c>
      <c r="N238" s="6" t="str">
        <f>IFERROR(VLOOKUP($B238,'LISTA - Setembro2024'!$B$3:$K$539,6,0),"Campo eliminado")</f>
        <v>N</v>
      </c>
      <c r="O238" s="6" t="str">
        <f t="shared" si="17"/>
        <v>Igual</v>
      </c>
      <c r="P238" s="6" t="str">
        <f>IFERROR(VLOOKUP($B238,'LISTA - Setembro2024'!$B$3:$K$539,7,0),"Campo eliminado")</f>
        <v>N</v>
      </c>
      <c r="Q238" s="6" t="str">
        <f t="shared" si="18"/>
        <v>Igual</v>
      </c>
      <c r="R238" s="6" t="str">
        <f>IFERROR(VLOOKUP($B238,'LISTA - Setembro2024'!$B$3:$K$539,9,0),"Campo eliminado")</f>
        <v>N</v>
      </c>
      <c r="S238" s="6" t="str">
        <f t="shared" si="19"/>
        <v>Igual</v>
      </c>
      <c r="U238" s="6" t="str">
        <f>VLOOKUP(B238,DataLake!$A$4:$A$429,1,0)</f>
        <v>INSTRUMENT_DT_IMPRMNT_STTS</v>
      </c>
    </row>
    <row r="239" spans="1:21" ht="15" hidden="1" customHeight="1" x14ac:dyDescent="0.25">
      <c r="A239" s="7" t="s">
        <v>702</v>
      </c>
      <c r="B239" s="47" t="str">
        <f t="shared" si="15"/>
        <v>INSTRUMENT_DT_IMPRMNT_STTS_PRVS</v>
      </c>
      <c r="C239" s="8" t="s">
        <v>414</v>
      </c>
      <c r="D239" s="9" t="s">
        <v>703</v>
      </c>
      <c r="E239" s="11" t="s">
        <v>704</v>
      </c>
      <c r="F239" s="10" t="s">
        <v>13</v>
      </c>
      <c r="G239" s="10" t="s">
        <v>11</v>
      </c>
      <c r="H239" s="10" t="s">
        <v>11</v>
      </c>
      <c r="I239" s="10" t="s">
        <v>11</v>
      </c>
      <c r="J239" s="10" t="s">
        <v>11</v>
      </c>
      <c r="L239" s="6" t="str">
        <f>IFERROR(VLOOKUP($B239,'LISTA - Setembro2024'!$B$3:$F$539,5,0),"Campo eliminado")</f>
        <v>Y</v>
      </c>
      <c r="M239" s="6" t="str">
        <f t="shared" si="16"/>
        <v>Igual</v>
      </c>
      <c r="N239" s="6" t="str">
        <f>IFERROR(VLOOKUP($B239,'LISTA - Setembro2024'!$B$3:$K$539,6,0),"Campo eliminado")</f>
        <v>N</v>
      </c>
      <c r="O239" s="6" t="str">
        <f t="shared" si="17"/>
        <v>Igual</v>
      </c>
      <c r="P239" s="6" t="str">
        <f>IFERROR(VLOOKUP($B239,'LISTA - Setembro2024'!$B$3:$K$539,7,0),"Campo eliminado")</f>
        <v>N</v>
      </c>
      <c r="Q239" s="6" t="str">
        <f t="shared" si="18"/>
        <v>Igual</v>
      </c>
      <c r="R239" s="6" t="str">
        <f>IFERROR(VLOOKUP($B239,'LISTA - Setembro2024'!$B$3:$K$539,9,0),"Campo eliminado")</f>
        <v>N</v>
      </c>
      <c r="S239" s="6" t="str">
        <f t="shared" si="19"/>
        <v>Igual</v>
      </c>
      <c r="U239" s="6" t="str">
        <f>VLOOKUP(B239,DataLake!$A$4:$A$429,1,0)</f>
        <v>INSTRUMENT_DT_IMPRMNT_STTS_PRVS</v>
      </c>
    </row>
    <row r="240" spans="1:21" ht="15" hidden="1" customHeight="1" x14ac:dyDescent="0.25">
      <c r="A240" s="7" t="s">
        <v>705</v>
      </c>
      <c r="B240" s="47" t="str">
        <f t="shared" si="15"/>
        <v>INSTRUMENT_DT_PST_D</v>
      </c>
      <c r="C240" s="8" t="s">
        <v>414</v>
      </c>
      <c r="D240" s="9" t="s">
        <v>706</v>
      </c>
      <c r="E240" s="11" t="s">
        <v>707</v>
      </c>
      <c r="F240" s="10" t="s">
        <v>13</v>
      </c>
      <c r="G240" s="10" t="s">
        <v>11</v>
      </c>
      <c r="H240" s="10" t="s">
        <v>11</v>
      </c>
      <c r="I240" s="10" t="s">
        <v>11</v>
      </c>
      <c r="J240" s="10" t="s">
        <v>11</v>
      </c>
      <c r="L240" s="6" t="str">
        <f>IFERROR(VLOOKUP($B240,'LISTA - Setembro2024'!$B$3:$F$539,5,0),"Campo eliminado")</f>
        <v>Y</v>
      </c>
      <c r="M240" s="6" t="str">
        <f t="shared" si="16"/>
        <v>Igual</v>
      </c>
      <c r="N240" s="6" t="str">
        <f>IFERROR(VLOOKUP($B240,'LISTA - Setembro2024'!$B$3:$K$539,6,0),"Campo eliminado")</f>
        <v>N</v>
      </c>
      <c r="O240" s="6" t="str">
        <f t="shared" si="17"/>
        <v>Igual</v>
      </c>
      <c r="P240" s="6" t="str">
        <f>IFERROR(VLOOKUP($B240,'LISTA - Setembro2024'!$B$3:$K$539,7,0),"Campo eliminado")</f>
        <v>N</v>
      </c>
      <c r="Q240" s="6" t="str">
        <f t="shared" si="18"/>
        <v>Igual</v>
      </c>
      <c r="R240" s="6" t="str">
        <f>IFERROR(VLOOKUP($B240,'LISTA - Setembro2024'!$B$3:$K$539,9,0),"Campo eliminado")</f>
        <v>N</v>
      </c>
      <c r="S240" s="6" t="str">
        <f t="shared" si="19"/>
        <v>Igual</v>
      </c>
      <c r="U240" s="6" t="str">
        <f>VLOOKUP(B240,DataLake!$A$4:$A$429,1,0)</f>
        <v>INSTRUMENT_DT_PST_D</v>
      </c>
    </row>
    <row r="241" spans="1:21" ht="15" hidden="1" customHeight="1" x14ac:dyDescent="0.25">
      <c r="A241" s="7" t="s">
        <v>708</v>
      </c>
      <c r="B241" s="47" t="str">
        <f t="shared" si="15"/>
        <v>INSTRUMENT_IMPRMNT_ASSSSMNT_MTHD</v>
      </c>
      <c r="C241" s="8" t="s">
        <v>414</v>
      </c>
      <c r="D241" s="9" t="s">
        <v>709</v>
      </c>
      <c r="E241" s="11" t="s">
        <v>710</v>
      </c>
      <c r="F241" s="10" t="s">
        <v>13</v>
      </c>
      <c r="G241" s="10" t="s">
        <v>11</v>
      </c>
      <c r="H241" s="10" t="s">
        <v>11</v>
      </c>
      <c r="I241" s="10" t="s">
        <v>11</v>
      </c>
      <c r="J241" s="10" t="s">
        <v>11</v>
      </c>
      <c r="L241" s="6" t="str">
        <f>IFERROR(VLOOKUP($B241,'LISTA - Setembro2024'!$B$3:$F$539,5,0),"Campo eliminado")</f>
        <v>Y</v>
      </c>
      <c r="M241" s="6" t="str">
        <f t="shared" si="16"/>
        <v>Igual</v>
      </c>
      <c r="N241" s="6" t="str">
        <f>IFERROR(VLOOKUP($B241,'LISTA - Setembro2024'!$B$3:$K$539,6,0),"Campo eliminado")</f>
        <v>N</v>
      </c>
      <c r="O241" s="6" t="str">
        <f t="shared" si="17"/>
        <v>Igual</v>
      </c>
      <c r="P241" s="6" t="str">
        <f>IFERROR(VLOOKUP($B241,'LISTA - Setembro2024'!$B$3:$K$539,7,0),"Campo eliminado")</f>
        <v>N</v>
      </c>
      <c r="Q241" s="6" t="str">
        <f t="shared" si="18"/>
        <v>Igual</v>
      </c>
      <c r="R241" s="6" t="str">
        <f>IFERROR(VLOOKUP($B241,'LISTA - Setembro2024'!$B$3:$K$539,9,0),"Campo eliminado")</f>
        <v>N</v>
      </c>
      <c r="S241" s="6" t="str">
        <f t="shared" si="19"/>
        <v>Igual</v>
      </c>
      <c r="U241" s="6" t="str">
        <f>VLOOKUP(B241,DataLake!$A$4:$A$429,1,0)</f>
        <v>INSTRUMENT_IMPRMNT_ASSSSMNT_MTHD</v>
      </c>
    </row>
    <row r="242" spans="1:21" ht="15" hidden="1" customHeight="1" x14ac:dyDescent="0.25">
      <c r="A242" s="7" t="s">
        <v>711</v>
      </c>
      <c r="B242" s="47" t="str">
        <f t="shared" si="15"/>
        <v>INSTRUMENT_IMPRMNT_CLCLTN_MTHD</v>
      </c>
      <c r="C242" s="8" t="s">
        <v>414</v>
      </c>
      <c r="D242" s="9" t="s">
        <v>712</v>
      </c>
      <c r="E242" s="11" t="s">
        <v>713</v>
      </c>
      <c r="F242" s="10" t="s">
        <v>13</v>
      </c>
      <c r="G242" s="10" t="s">
        <v>11</v>
      </c>
      <c r="H242" s="10" t="s">
        <v>11</v>
      </c>
      <c r="I242" s="10" t="s">
        <v>11</v>
      </c>
      <c r="J242" s="10" t="s">
        <v>11</v>
      </c>
      <c r="L242" s="6" t="str">
        <f>IFERROR(VLOOKUP($B242,'LISTA - Setembro2024'!$B$3:$F$539,5,0),"Campo eliminado")</f>
        <v>Y</v>
      </c>
      <c r="M242" s="6" t="str">
        <f t="shared" si="16"/>
        <v>Igual</v>
      </c>
      <c r="N242" s="6" t="str">
        <f>IFERROR(VLOOKUP($B242,'LISTA - Setembro2024'!$B$3:$K$539,6,0),"Campo eliminado")</f>
        <v>N</v>
      </c>
      <c r="O242" s="6" t="str">
        <f t="shared" si="17"/>
        <v>Igual</v>
      </c>
      <c r="P242" s="6" t="str">
        <f>IFERROR(VLOOKUP($B242,'LISTA - Setembro2024'!$B$3:$K$539,7,0),"Campo eliminado")</f>
        <v>N</v>
      </c>
      <c r="Q242" s="6" t="str">
        <f t="shared" si="18"/>
        <v>Igual</v>
      </c>
      <c r="R242" s="6" t="str">
        <f>IFERROR(VLOOKUP($B242,'LISTA - Setembro2024'!$B$3:$K$539,9,0),"Campo eliminado")</f>
        <v>N</v>
      </c>
      <c r="S242" s="6" t="str">
        <f t="shared" si="19"/>
        <v>Igual</v>
      </c>
      <c r="U242" s="6" t="str">
        <f>VLOOKUP(B242,DataLake!$A$4:$A$429,1,0)</f>
        <v>INSTRUMENT_IMPRMNT_CLCLTN_MTHD</v>
      </c>
    </row>
    <row r="243" spans="1:21" ht="15" hidden="1" customHeight="1" x14ac:dyDescent="0.25">
      <c r="A243" s="7" t="s">
        <v>714</v>
      </c>
      <c r="B243" s="47" t="str">
        <f t="shared" si="15"/>
        <v>INSTRUMENT_NMBR_FRBRNC_MSRS</v>
      </c>
      <c r="C243" s="8" t="s">
        <v>414</v>
      </c>
      <c r="D243" s="9" t="s">
        <v>715</v>
      </c>
      <c r="E243" s="11" t="s">
        <v>716</v>
      </c>
      <c r="F243" s="10" t="s">
        <v>13</v>
      </c>
      <c r="G243" s="10" t="s">
        <v>11</v>
      </c>
      <c r="H243" s="10" t="s">
        <v>11</v>
      </c>
      <c r="I243" s="10" t="s">
        <v>11</v>
      </c>
      <c r="J243" s="10" t="s">
        <v>11</v>
      </c>
      <c r="L243" s="6" t="str">
        <f>IFERROR(VLOOKUP($B243,'LISTA - Setembro2024'!$B$3:$F$539,5,0),"Campo eliminado")</f>
        <v>Y</v>
      </c>
      <c r="M243" s="6" t="str">
        <f t="shared" si="16"/>
        <v>Igual</v>
      </c>
      <c r="N243" s="6" t="str">
        <f>IFERROR(VLOOKUP($B243,'LISTA - Setembro2024'!$B$3:$K$539,6,0),"Campo eliminado")</f>
        <v>N</v>
      </c>
      <c r="O243" s="6" t="str">
        <f t="shared" si="17"/>
        <v>Igual</v>
      </c>
      <c r="P243" s="6" t="str">
        <f>IFERROR(VLOOKUP($B243,'LISTA - Setembro2024'!$B$3:$K$539,7,0),"Campo eliminado")</f>
        <v>N</v>
      </c>
      <c r="Q243" s="6" t="str">
        <f t="shared" si="18"/>
        <v>Igual</v>
      </c>
      <c r="R243" s="6" t="str">
        <f>IFERROR(VLOOKUP($B243,'LISTA - Setembro2024'!$B$3:$K$539,9,0),"Campo eliminado")</f>
        <v>N</v>
      </c>
      <c r="S243" s="6" t="str">
        <f t="shared" si="19"/>
        <v>Igual</v>
      </c>
      <c r="U243" s="6" t="str">
        <f>VLOOKUP(B243,DataLake!$A$4:$A$429,1,0)</f>
        <v>INSTRUMENT_NMBR_FRBRNC_MSRS</v>
      </c>
    </row>
    <row r="244" spans="1:21" ht="15" hidden="1" customHeight="1" x14ac:dyDescent="0.25">
      <c r="A244" s="7" t="s">
        <v>717</v>
      </c>
      <c r="B244" s="47" t="str">
        <f t="shared" si="15"/>
        <v>INSTRUMENT_IFRS9_LGD</v>
      </c>
      <c r="C244" s="8" t="s">
        <v>414</v>
      </c>
      <c r="D244" s="9" t="s">
        <v>718</v>
      </c>
      <c r="E244" s="11" t="s">
        <v>719</v>
      </c>
      <c r="F244" s="10" t="s">
        <v>13</v>
      </c>
      <c r="G244" s="10" t="s">
        <v>11</v>
      </c>
      <c r="H244" s="10" t="s">
        <v>11</v>
      </c>
      <c r="I244" s="10" t="s">
        <v>11</v>
      </c>
      <c r="J244" s="10" t="s">
        <v>11</v>
      </c>
      <c r="L244" s="6" t="str">
        <f>IFERROR(VLOOKUP($B244,'LISTA - Setembro2024'!$B$3:$F$539,5,0),"Campo eliminado")</f>
        <v>Y</v>
      </c>
      <c r="M244" s="6" t="str">
        <f t="shared" si="16"/>
        <v>Igual</v>
      </c>
      <c r="N244" s="6" t="str">
        <f>IFERROR(VLOOKUP($B244,'LISTA - Setembro2024'!$B$3:$K$539,6,0),"Campo eliminado")</f>
        <v>N</v>
      </c>
      <c r="O244" s="6" t="str">
        <f t="shared" si="17"/>
        <v>Igual</v>
      </c>
      <c r="P244" s="6" t="str">
        <f>IFERROR(VLOOKUP($B244,'LISTA - Setembro2024'!$B$3:$K$539,7,0),"Campo eliminado")</f>
        <v>N</v>
      </c>
      <c r="Q244" s="6" t="str">
        <f t="shared" si="18"/>
        <v>Igual</v>
      </c>
      <c r="R244" s="6" t="str">
        <f>IFERROR(VLOOKUP($B244,'LISTA - Setembro2024'!$B$3:$K$539,9,0),"Campo eliminado")</f>
        <v>N</v>
      </c>
      <c r="S244" s="6" t="str">
        <f t="shared" si="19"/>
        <v>Igual</v>
      </c>
      <c r="U244" s="6" t="str">
        <f>VLOOKUP(B244,DataLake!$A$4:$A$429,1,0)</f>
        <v>INSTRUMENT_IFRS9_LGD</v>
      </c>
    </row>
    <row r="245" spans="1:21" ht="15" hidden="1" customHeight="1" x14ac:dyDescent="0.25">
      <c r="A245" s="7" t="s">
        <v>720</v>
      </c>
      <c r="B245" s="47" t="str">
        <f t="shared" si="15"/>
        <v>INSTRUMENT_LGD</v>
      </c>
      <c r="C245" s="8" t="s">
        <v>414</v>
      </c>
      <c r="D245" s="9" t="s">
        <v>721</v>
      </c>
      <c r="E245" s="11" t="s">
        <v>722</v>
      </c>
      <c r="F245" s="10" t="s">
        <v>13</v>
      </c>
      <c r="G245" s="10" t="s">
        <v>11</v>
      </c>
      <c r="H245" s="10" t="s">
        <v>11</v>
      </c>
      <c r="I245" s="10" t="s">
        <v>11</v>
      </c>
      <c r="J245" s="10" t="s">
        <v>11</v>
      </c>
      <c r="L245" s="6" t="str">
        <f>IFERROR(VLOOKUP($B245,'LISTA - Setembro2024'!$B$3:$F$539,5,0),"Campo eliminado")</f>
        <v>Y</v>
      </c>
      <c r="M245" s="6" t="str">
        <f t="shared" si="16"/>
        <v>Igual</v>
      </c>
      <c r="N245" s="6" t="str">
        <f>IFERROR(VLOOKUP($B245,'LISTA - Setembro2024'!$B$3:$K$539,6,0),"Campo eliminado")</f>
        <v>N</v>
      </c>
      <c r="O245" s="6" t="str">
        <f t="shared" si="17"/>
        <v>Igual</v>
      </c>
      <c r="P245" s="6" t="str">
        <f>IFERROR(VLOOKUP($B245,'LISTA - Setembro2024'!$B$3:$K$539,7,0),"Campo eliminado")</f>
        <v>N</v>
      </c>
      <c r="Q245" s="6" t="str">
        <f t="shared" si="18"/>
        <v>Igual</v>
      </c>
      <c r="R245" s="6" t="str">
        <f>IFERROR(VLOOKUP($B245,'LISTA - Setembro2024'!$B$3:$K$539,9,0),"Campo eliminado")</f>
        <v>N</v>
      </c>
      <c r="S245" s="6" t="str">
        <f t="shared" si="19"/>
        <v>Igual</v>
      </c>
      <c r="U245" s="6" t="str">
        <f>VLOOKUP(B245,DataLake!$A$4:$A$429,1,0)</f>
        <v>INSTRUMENT_LGD</v>
      </c>
    </row>
    <row r="246" spans="1:21" ht="15" hidden="1" customHeight="1" x14ac:dyDescent="0.25">
      <c r="A246" s="7" t="s">
        <v>723</v>
      </c>
      <c r="B246" s="47" t="str">
        <f t="shared" si="15"/>
        <v>INSTRUMENT_LTV</v>
      </c>
      <c r="C246" s="8" t="s">
        <v>414</v>
      </c>
      <c r="D246" s="9" t="s">
        <v>724</v>
      </c>
      <c r="E246" s="11" t="s">
        <v>725</v>
      </c>
      <c r="F246" s="10" t="s">
        <v>13</v>
      </c>
      <c r="G246" s="10" t="s">
        <v>11</v>
      </c>
      <c r="H246" s="10" t="s">
        <v>11</v>
      </c>
      <c r="I246" s="10" t="s">
        <v>11</v>
      </c>
      <c r="J246" s="10" t="s">
        <v>11</v>
      </c>
      <c r="L246" s="6" t="str">
        <f>IFERROR(VLOOKUP($B246,'LISTA - Setembro2024'!$B$3:$F$539,5,0),"Campo eliminado")</f>
        <v>Y</v>
      </c>
      <c r="M246" s="6" t="str">
        <f t="shared" si="16"/>
        <v>Igual</v>
      </c>
      <c r="N246" s="6" t="str">
        <f>IFERROR(VLOOKUP($B246,'LISTA - Setembro2024'!$B$3:$K$539,6,0),"Campo eliminado")</f>
        <v>N</v>
      </c>
      <c r="O246" s="6" t="str">
        <f t="shared" si="17"/>
        <v>Igual</v>
      </c>
      <c r="P246" s="6" t="str">
        <f>IFERROR(VLOOKUP($B246,'LISTA - Setembro2024'!$B$3:$K$539,7,0),"Campo eliminado")</f>
        <v>Y</v>
      </c>
      <c r="Q246" s="6" t="str">
        <f t="shared" si="18"/>
        <v>Diferente</v>
      </c>
      <c r="R246" s="6" t="str">
        <f>IFERROR(VLOOKUP($B246,'LISTA - Setembro2024'!$B$3:$K$539,9,0),"Campo eliminado")</f>
        <v>N</v>
      </c>
      <c r="S246" s="6" t="str">
        <f t="shared" si="19"/>
        <v>Igual</v>
      </c>
      <c r="U246" s="6" t="str">
        <f>VLOOKUP(B246,DataLake!$A$4:$A$429,1,0)</f>
        <v>INSTRUMENT_LTV</v>
      </c>
    </row>
    <row r="247" spans="1:21" ht="15" hidden="1" customHeight="1" x14ac:dyDescent="0.25">
      <c r="A247" s="7" t="s">
        <v>726</v>
      </c>
      <c r="B247" s="47" t="str">
        <f t="shared" si="15"/>
        <v>INSTRUMENT_LTV_INCPTN</v>
      </c>
      <c r="C247" s="8" t="s">
        <v>414</v>
      </c>
      <c r="D247" s="9" t="s">
        <v>727</v>
      </c>
      <c r="E247" s="11" t="s">
        <v>728</v>
      </c>
      <c r="F247" s="10" t="s">
        <v>13</v>
      </c>
      <c r="G247" s="10" t="s">
        <v>11</v>
      </c>
      <c r="H247" s="10" t="s">
        <v>11</v>
      </c>
      <c r="I247" s="10" t="s">
        <v>11</v>
      </c>
      <c r="J247" s="10" t="s">
        <v>11</v>
      </c>
      <c r="L247" s="6" t="str">
        <f>IFERROR(VLOOKUP($B247,'LISTA - Setembro2024'!$B$3:$F$539,5,0),"Campo eliminado")</f>
        <v>Y</v>
      </c>
      <c r="M247" s="6" t="str">
        <f t="shared" si="16"/>
        <v>Igual</v>
      </c>
      <c r="N247" s="6" t="str">
        <f>IFERROR(VLOOKUP($B247,'LISTA - Setembro2024'!$B$3:$K$539,6,0),"Campo eliminado")</f>
        <v>N</v>
      </c>
      <c r="O247" s="6" t="str">
        <f t="shared" si="17"/>
        <v>Igual</v>
      </c>
      <c r="P247" s="6" t="str">
        <f>IFERROR(VLOOKUP($B247,'LISTA - Setembro2024'!$B$3:$K$539,7,0),"Campo eliminado")</f>
        <v>Y</v>
      </c>
      <c r="Q247" s="6" t="str">
        <f t="shared" si="18"/>
        <v>Diferente</v>
      </c>
      <c r="R247" s="6" t="str">
        <f>IFERROR(VLOOKUP($B247,'LISTA - Setembro2024'!$B$3:$K$539,9,0),"Campo eliminado")</f>
        <v>N</v>
      </c>
      <c r="S247" s="6" t="str">
        <f t="shared" si="19"/>
        <v>Igual</v>
      </c>
      <c r="U247" s="6" t="str">
        <f>VLOOKUP(B247,DataLake!$A$4:$A$429,1,0)</f>
        <v>INSTRUMENT_LTV_INCPTN</v>
      </c>
    </row>
    <row r="248" spans="1:21" ht="15" hidden="1" customHeight="1" x14ac:dyDescent="0.25">
      <c r="A248" s="7" t="s">
        <v>729</v>
      </c>
      <c r="B248" s="47" t="str">
        <f t="shared" si="15"/>
        <v>INSTRUMENT_LTV_NPE</v>
      </c>
      <c r="C248" s="8" t="s">
        <v>414</v>
      </c>
      <c r="D248" s="9" t="s">
        <v>730</v>
      </c>
      <c r="E248" s="11" t="s">
        <v>731</v>
      </c>
      <c r="F248" s="10" t="s">
        <v>13</v>
      </c>
      <c r="G248" s="10" t="s">
        <v>11</v>
      </c>
      <c r="H248" s="10" t="s">
        <v>11</v>
      </c>
      <c r="I248" s="10" t="s">
        <v>11</v>
      </c>
      <c r="J248" s="10" t="s">
        <v>11</v>
      </c>
      <c r="L248" s="6" t="str">
        <f>IFERROR(VLOOKUP($B248,'LISTA - Setembro2024'!$B$3:$F$539,5,0),"Campo eliminado")</f>
        <v>Y</v>
      </c>
      <c r="M248" s="6" t="str">
        <f t="shared" si="16"/>
        <v>Igual</v>
      </c>
      <c r="N248" s="6" t="str">
        <f>IFERROR(VLOOKUP($B248,'LISTA - Setembro2024'!$B$3:$K$539,6,0),"Campo eliminado")</f>
        <v>N</v>
      </c>
      <c r="O248" s="6" t="str">
        <f t="shared" si="17"/>
        <v>Igual</v>
      </c>
      <c r="P248" s="6" t="str">
        <f>IFERROR(VLOOKUP($B248,'LISTA - Setembro2024'!$B$3:$K$539,7,0),"Campo eliminado")</f>
        <v>N</v>
      </c>
      <c r="Q248" s="6" t="str">
        <f t="shared" si="18"/>
        <v>Igual</v>
      </c>
      <c r="R248" s="6" t="str">
        <f>IFERROR(VLOOKUP($B248,'LISTA - Setembro2024'!$B$3:$K$539,9,0),"Campo eliminado")</f>
        <v>N</v>
      </c>
      <c r="S248" s="6" t="str">
        <f t="shared" si="19"/>
        <v>Igual</v>
      </c>
      <c r="U248" s="6" t="str">
        <f>VLOOKUP(B248,DataLake!$A$4:$A$429,1,0)</f>
        <v>INSTRUMENT_LTV_NPE</v>
      </c>
    </row>
    <row r="249" spans="1:21" ht="15" hidden="1" customHeight="1" x14ac:dyDescent="0.25">
      <c r="A249" s="7" t="s">
        <v>732</v>
      </c>
      <c r="B249" s="47" t="str">
        <f t="shared" si="15"/>
        <v>INSTRUMENT_PD_CRR_INCPTN</v>
      </c>
      <c r="C249" s="8" t="s">
        <v>414</v>
      </c>
      <c r="D249" s="9" t="s">
        <v>733</v>
      </c>
      <c r="E249" s="11" t="s">
        <v>734</v>
      </c>
      <c r="F249" s="10" t="s">
        <v>13</v>
      </c>
      <c r="G249" s="10" t="s">
        <v>11</v>
      </c>
      <c r="H249" s="10" t="s">
        <v>11</v>
      </c>
      <c r="I249" s="10" t="s">
        <v>11</v>
      </c>
      <c r="J249" s="10" t="s">
        <v>11</v>
      </c>
      <c r="L249" s="6" t="str">
        <f>IFERROR(VLOOKUP($B249,'LISTA - Setembro2024'!$B$3:$F$539,5,0),"Campo eliminado")</f>
        <v>Y</v>
      </c>
      <c r="M249" s="6" t="str">
        <f t="shared" si="16"/>
        <v>Igual</v>
      </c>
      <c r="N249" s="6" t="str">
        <f>IFERROR(VLOOKUP($B249,'LISTA - Setembro2024'!$B$3:$K$539,6,0),"Campo eliminado")</f>
        <v>N</v>
      </c>
      <c r="O249" s="6" t="str">
        <f t="shared" si="17"/>
        <v>Igual</v>
      </c>
      <c r="P249" s="6" t="str">
        <f>IFERROR(VLOOKUP($B249,'LISTA - Setembro2024'!$B$3:$K$539,7,0),"Campo eliminado")</f>
        <v>N</v>
      </c>
      <c r="Q249" s="6" t="str">
        <f t="shared" si="18"/>
        <v>Igual</v>
      </c>
      <c r="R249" s="6" t="str">
        <f>IFERROR(VLOOKUP($B249,'LISTA - Setembro2024'!$B$3:$K$539,9,0),"Campo eliminado")</f>
        <v>N</v>
      </c>
      <c r="S249" s="6" t="str">
        <f t="shared" si="19"/>
        <v>Igual</v>
      </c>
      <c r="U249" s="6" t="str">
        <f>VLOOKUP(B249,DataLake!$A$4:$A$429,1,0)</f>
        <v>INSTRUMENT_PD_CRR_INCPTN</v>
      </c>
    </row>
    <row r="250" spans="1:21" ht="15" hidden="1" customHeight="1" x14ac:dyDescent="0.25">
      <c r="A250" s="7" t="s">
        <v>735</v>
      </c>
      <c r="B250" s="47" t="str">
        <f t="shared" si="15"/>
        <v>INSTRUMENT_PD_CRR_RD</v>
      </c>
      <c r="C250" s="8" t="s">
        <v>414</v>
      </c>
      <c r="D250" s="9" t="s">
        <v>257</v>
      </c>
      <c r="E250" s="11" t="s">
        <v>258</v>
      </c>
      <c r="F250" s="10" t="s">
        <v>13</v>
      </c>
      <c r="G250" s="10" t="s">
        <v>11</v>
      </c>
      <c r="H250" s="10" t="s">
        <v>11</v>
      </c>
      <c r="I250" s="10" t="s">
        <v>11</v>
      </c>
      <c r="J250" s="10" t="s">
        <v>11</v>
      </c>
      <c r="L250" s="6" t="str">
        <f>IFERROR(VLOOKUP($B250,'LISTA - Setembro2024'!$B$3:$F$539,5,0),"Campo eliminado")</f>
        <v>Y</v>
      </c>
      <c r="M250" s="6" t="str">
        <f t="shared" si="16"/>
        <v>Igual</v>
      </c>
      <c r="N250" s="6" t="str">
        <f>IFERROR(VLOOKUP($B250,'LISTA - Setembro2024'!$B$3:$K$539,6,0),"Campo eliminado")</f>
        <v>N</v>
      </c>
      <c r="O250" s="6" t="str">
        <f t="shared" si="17"/>
        <v>Igual</v>
      </c>
      <c r="P250" s="6" t="str">
        <f>IFERROR(VLOOKUP($B250,'LISTA - Setembro2024'!$B$3:$K$539,7,0),"Campo eliminado")</f>
        <v>N</v>
      </c>
      <c r="Q250" s="6" t="str">
        <f t="shared" si="18"/>
        <v>Igual</v>
      </c>
      <c r="R250" s="6" t="str">
        <f>IFERROR(VLOOKUP($B250,'LISTA - Setembro2024'!$B$3:$K$539,9,0),"Campo eliminado")</f>
        <v>N</v>
      </c>
      <c r="S250" s="6" t="str">
        <f t="shared" si="19"/>
        <v>Igual</v>
      </c>
      <c r="U250" s="6" t="str">
        <f>VLOOKUP(B250,DataLake!$A$4:$A$429,1,0)</f>
        <v>INSTRUMENT_PD_CRR_RD</v>
      </c>
    </row>
    <row r="251" spans="1:21" ht="15" hidden="1" customHeight="1" x14ac:dyDescent="0.25">
      <c r="A251" s="7" t="s">
        <v>736</v>
      </c>
      <c r="B251" s="47" t="str">
        <f t="shared" si="15"/>
        <v>INSTRUMENT_PD_CRR_RD_T1</v>
      </c>
      <c r="C251" s="8" t="s">
        <v>414</v>
      </c>
      <c r="D251" s="9" t="s">
        <v>278</v>
      </c>
      <c r="E251" s="11" t="s">
        <v>279</v>
      </c>
      <c r="F251" s="10" t="s">
        <v>13</v>
      </c>
      <c r="G251" s="10" t="s">
        <v>11</v>
      </c>
      <c r="H251" s="10" t="s">
        <v>11</v>
      </c>
      <c r="I251" s="10" t="s">
        <v>11</v>
      </c>
      <c r="J251" s="10" t="s">
        <v>11</v>
      </c>
      <c r="L251" s="6" t="str">
        <f>IFERROR(VLOOKUP($B251,'LISTA - Setembro2024'!$B$3:$F$539,5,0),"Campo eliminado")</f>
        <v>Y</v>
      </c>
      <c r="M251" s="6" t="str">
        <f t="shared" si="16"/>
        <v>Igual</v>
      </c>
      <c r="N251" s="6" t="str">
        <f>IFERROR(VLOOKUP($B251,'LISTA - Setembro2024'!$B$3:$K$539,6,0),"Campo eliminado")</f>
        <v>N</v>
      </c>
      <c r="O251" s="6" t="str">
        <f t="shared" si="17"/>
        <v>Igual</v>
      </c>
      <c r="P251" s="6" t="str">
        <f>IFERROR(VLOOKUP($B251,'LISTA - Setembro2024'!$B$3:$K$539,7,0),"Campo eliminado")</f>
        <v>N</v>
      </c>
      <c r="Q251" s="6" t="str">
        <f t="shared" si="18"/>
        <v>Igual</v>
      </c>
      <c r="R251" s="6" t="str">
        <f>IFERROR(VLOOKUP($B251,'LISTA - Setembro2024'!$B$3:$K$539,9,0),"Campo eliminado")</f>
        <v>N</v>
      </c>
      <c r="S251" s="6" t="str">
        <f t="shared" si="19"/>
        <v>Igual</v>
      </c>
      <c r="U251" s="6" t="str">
        <f>VLOOKUP(B251,DataLake!$A$4:$A$429,1,0)</f>
        <v>INSTRUMENT_PD_CRR_RD_T1</v>
      </c>
    </row>
    <row r="252" spans="1:21" ht="15" hidden="1" customHeight="1" x14ac:dyDescent="0.25">
      <c r="A252" s="7" t="s">
        <v>737</v>
      </c>
      <c r="B252" s="47" t="str">
        <f t="shared" si="15"/>
        <v>INSTRUMENT_PD_IFRS9_12M_INCPTN</v>
      </c>
      <c r="C252" s="8" t="s">
        <v>414</v>
      </c>
      <c r="D252" s="9" t="s">
        <v>738</v>
      </c>
      <c r="E252" s="11" t="s">
        <v>739</v>
      </c>
      <c r="F252" s="10" t="s">
        <v>13</v>
      </c>
      <c r="G252" s="10" t="s">
        <v>11</v>
      </c>
      <c r="H252" s="10" t="s">
        <v>11</v>
      </c>
      <c r="I252" s="10" t="s">
        <v>11</v>
      </c>
      <c r="J252" s="10" t="s">
        <v>11</v>
      </c>
      <c r="L252" s="6" t="str">
        <f>IFERROR(VLOOKUP($B252,'LISTA - Setembro2024'!$B$3:$F$539,5,0),"Campo eliminado")</f>
        <v>Y</v>
      </c>
      <c r="M252" s="6" t="str">
        <f t="shared" si="16"/>
        <v>Igual</v>
      </c>
      <c r="N252" s="6" t="str">
        <f>IFERROR(VLOOKUP($B252,'LISTA - Setembro2024'!$B$3:$K$539,6,0),"Campo eliminado")</f>
        <v>N</v>
      </c>
      <c r="O252" s="6" t="str">
        <f t="shared" si="17"/>
        <v>Igual</v>
      </c>
      <c r="P252" s="6" t="str">
        <f>IFERROR(VLOOKUP($B252,'LISTA - Setembro2024'!$B$3:$K$539,7,0),"Campo eliminado")</f>
        <v>N</v>
      </c>
      <c r="Q252" s="6" t="str">
        <f t="shared" si="18"/>
        <v>Igual</v>
      </c>
      <c r="R252" s="6" t="str">
        <f>IFERROR(VLOOKUP($B252,'LISTA - Setembro2024'!$B$3:$K$539,9,0),"Campo eliminado")</f>
        <v>N</v>
      </c>
      <c r="S252" s="6" t="str">
        <f t="shared" si="19"/>
        <v>Igual</v>
      </c>
      <c r="U252" s="6" t="str">
        <f>VLOOKUP(B252,DataLake!$A$4:$A$429,1,0)</f>
        <v>INSTRUMENT_PD_IFRS9_12M_INCPTN</v>
      </c>
    </row>
    <row r="253" spans="1:21" ht="15" hidden="1" customHeight="1" x14ac:dyDescent="0.25">
      <c r="A253" s="7" t="s">
        <v>740</v>
      </c>
      <c r="B253" s="47" t="str">
        <f t="shared" si="15"/>
        <v>INSTRUMENT_PD_IFRS9_12M_RD</v>
      </c>
      <c r="C253" s="8" t="s">
        <v>414</v>
      </c>
      <c r="D253" s="9" t="s">
        <v>260</v>
      </c>
      <c r="E253" s="11" t="s">
        <v>261</v>
      </c>
      <c r="F253" s="10" t="s">
        <v>13</v>
      </c>
      <c r="G253" s="10" t="s">
        <v>11</v>
      </c>
      <c r="H253" s="10" t="s">
        <v>11</v>
      </c>
      <c r="I253" s="10" t="s">
        <v>11</v>
      </c>
      <c r="J253" s="10" t="s">
        <v>11</v>
      </c>
      <c r="L253" s="6" t="str">
        <f>IFERROR(VLOOKUP($B253,'LISTA - Setembro2024'!$B$3:$F$539,5,0),"Campo eliminado")</f>
        <v>Y</v>
      </c>
      <c r="M253" s="6" t="str">
        <f t="shared" si="16"/>
        <v>Igual</v>
      </c>
      <c r="N253" s="6" t="str">
        <f>IFERROR(VLOOKUP($B253,'LISTA - Setembro2024'!$B$3:$K$539,6,0),"Campo eliminado")</f>
        <v>N</v>
      </c>
      <c r="O253" s="6" t="str">
        <f t="shared" si="17"/>
        <v>Igual</v>
      </c>
      <c r="P253" s="6" t="str">
        <f>IFERROR(VLOOKUP($B253,'LISTA - Setembro2024'!$B$3:$K$539,7,0),"Campo eliminado")</f>
        <v>N</v>
      </c>
      <c r="Q253" s="6" t="str">
        <f t="shared" si="18"/>
        <v>Igual</v>
      </c>
      <c r="R253" s="6" t="str">
        <f>IFERROR(VLOOKUP($B253,'LISTA - Setembro2024'!$B$3:$K$539,9,0),"Campo eliminado")</f>
        <v>N</v>
      </c>
      <c r="S253" s="6" t="str">
        <f t="shared" si="19"/>
        <v>Igual</v>
      </c>
      <c r="U253" s="6" t="str">
        <f>VLOOKUP(B253,DataLake!$A$4:$A$429,1,0)</f>
        <v>INSTRUMENT_PD_IFRS9_12M_RD</v>
      </c>
    </row>
    <row r="254" spans="1:21" ht="15" hidden="1" customHeight="1" x14ac:dyDescent="0.25">
      <c r="A254" s="7" t="s">
        <v>741</v>
      </c>
      <c r="B254" s="47" t="str">
        <f t="shared" si="15"/>
        <v>INSTRUMENT_PD_IFRS9_12M_RD_T1</v>
      </c>
      <c r="C254" s="8" t="s">
        <v>414</v>
      </c>
      <c r="D254" s="9" t="s">
        <v>263</v>
      </c>
      <c r="E254" s="11" t="s">
        <v>264</v>
      </c>
      <c r="F254" s="10" t="s">
        <v>13</v>
      </c>
      <c r="G254" s="10" t="s">
        <v>11</v>
      </c>
      <c r="H254" s="10" t="s">
        <v>11</v>
      </c>
      <c r="I254" s="10" t="s">
        <v>11</v>
      </c>
      <c r="J254" s="10" t="s">
        <v>11</v>
      </c>
      <c r="L254" s="6" t="str">
        <f>IFERROR(VLOOKUP($B254,'LISTA - Setembro2024'!$B$3:$F$539,5,0),"Campo eliminado")</f>
        <v>Y</v>
      </c>
      <c r="M254" s="6" t="str">
        <f t="shared" si="16"/>
        <v>Igual</v>
      </c>
      <c r="N254" s="6" t="str">
        <f>IFERROR(VLOOKUP($B254,'LISTA - Setembro2024'!$B$3:$K$539,6,0),"Campo eliminado")</f>
        <v>N</v>
      </c>
      <c r="O254" s="6" t="str">
        <f t="shared" si="17"/>
        <v>Igual</v>
      </c>
      <c r="P254" s="6" t="str">
        <f>IFERROR(VLOOKUP($B254,'LISTA - Setembro2024'!$B$3:$K$539,7,0),"Campo eliminado")</f>
        <v>N</v>
      </c>
      <c r="Q254" s="6" t="str">
        <f t="shared" si="18"/>
        <v>Igual</v>
      </c>
      <c r="R254" s="6" t="str">
        <f>IFERROR(VLOOKUP($B254,'LISTA - Setembro2024'!$B$3:$K$539,9,0),"Campo eliminado")</f>
        <v>N</v>
      </c>
      <c r="S254" s="6" t="str">
        <f t="shared" si="19"/>
        <v>Igual</v>
      </c>
      <c r="U254" s="6" t="str">
        <f>VLOOKUP(B254,DataLake!$A$4:$A$429,1,0)</f>
        <v>INSTRUMENT_PD_IFRS9_12M_RD_T1</v>
      </c>
    </row>
    <row r="255" spans="1:21" ht="15" hidden="1" customHeight="1" x14ac:dyDescent="0.25">
      <c r="A255" s="7" t="s">
        <v>742</v>
      </c>
      <c r="B255" s="47" t="str">
        <f t="shared" si="15"/>
        <v>INSTRUMENT_PD_IFRS9_LFTM_INCPTN</v>
      </c>
      <c r="C255" s="8" t="s">
        <v>414</v>
      </c>
      <c r="D255" s="9" t="s">
        <v>743</v>
      </c>
      <c r="E255" s="11" t="s">
        <v>744</v>
      </c>
      <c r="F255" s="10" t="s">
        <v>13</v>
      </c>
      <c r="G255" s="10" t="s">
        <v>11</v>
      </c>
      <c r="H255" s="10" t="s">
        <v>11</v>
      </c>
      <c r="I255" s="10" t="s">
        <v>11</v>
      </c>
      <c r="J255" s="10" t="s">
        <v>11</v>
      </c>
      <c r="L255" s="6" t="str">
        <f>IFERROR(VLOOKUP($B255,'LISTA - Setembro2024'!$B$3:$F$539,5,0),"Campo eliminado")</f>
        <v>Y</v>
      </c>
      <c r="M255" s="6" t="str">
        <f t="shared" si="16"/>
        <v>Igual</v>
      </c>
      <c r="N255" s="6" t="str">
        <f>IFERROR(VLOOKUP($B255,'LISTA - Setembro2024'!$B$3:$K$539,6,0),"Campo eliminado")</f>
        <v>N</v>
      </c>
      <c r="O255" s="6" t="str">
        <f t="shared" si="17"/>
        <v>Igual</v>
      </c>
      <c r="P255" s="6" t="str">
        <f>IFERROR(VLOOKUP($B255,'LISTA - Setembro2024'!$B$3:$K$539,7,0),"Campo eliminado")</f>
        <v>N</v>
      </c>
      <c r="Q255" s="6" t="str">
        <f t="shared" si="18"/>
        <v>Igual</v>
      </c>
      <c r="R255" s="6" t="str">
        <f>IFERROR(VLOOKUP($B255,'LISTA - Setembro2024'!$B$3:$K$539,9,0),"Campo eliminado")</f>
        <v>N</v>
      </c>
      <c r="S255" s="6" t="str">
        <f t="shared" si="19"/>
        <v>Igual</v>
      </c>
      <c r="U255" s="6" t="str">
        <f>VLOOKUP(B255,DataLake!$A$4:$A$429,1,0)</f>
        <v>INSTRUMENT_PD_IFRS9_LFTM_INCPTN</v>
      </c>
    </row>
    <row r="256" spans="1:21" ht="15" hidden="1" customHeight="1" x14ac:dyDescent="0.25">
      <c r="A256" s="7" t="s">
        <v>745</v>
      </c>
      <c r="B256" s="47" t="str">
        <f t="shared" si="15"/>
        <v>INSTRUMENT_PD_IFRS9_RMNNG_LFTM_INCPTN</v>
      </c>
      <c r="C256" s="8" t="s">
        <v>414</v>
      </c>
      <c r="D256" s="9" t="s">
        <v>746</v>
      </c>
      <c r="E256" s="11" t="s">
        <v>747</v>
      </c>
      <c r="F256" s="10" t="s">
        <v>13</v>
      </c>
      <c r="G256" s="10" t="s">
        <v>11</v>
      </c>
      <c r="H256" s="10" t="s">
        <v>11</v>
      </c>
      <c r="I256" s="10" t="s">
        <v>11</v>
      </c>
      <c r="J256" s="10" t="s">
        <v>11</v>
      </c>
      <c r="L256" s="6" t="str">
        <f>IFERROR(VLOOKUP($B256,'LISTA - Setembro2024'!$B$3:$F$539,5,0),"Campo eliminado")</f>
        <v>Y</v>
      </c>
      <c r="M256" s="6" t="str">
        <f t="shared" si="16"/>
        <v>Igual</v>
      </c>
      <c r="N256" s="6" t="str">
        <f>IFERROR(VLOOKUP($B256,'LISTA - Setembro2024'!$B$3:$K$539,6,0),"Campo eliminado")</f>
        <v>N</v>
      </c>
      <c r="O256" s="6" t="str">
        <f t="shared" si="17"/>
        <v>Igual</v>
      </c>
      <c r="P256" s="6" t="str">
        <f>IFERROR(VLOOKUP($B256,'LISTA - Setembro2024'!$B$3:$K$539,7,0),"Campo eliminado")</f>
        <v>N</v>
      </c>
      <c r="Q256" s="6" t="str">
        <f t="shared" si="18"/>
        <v>Igual</v>
      </c>
      <c r="R256" s="6" t="str">
        <f>IFERROR(VLOOKUP($B256,'LISTA - Setembro2024'!$B$3:$K$539,9,0),"Campo eliminado")</f>
        <v>N</v>
      </c>
      <c r="S256" s="6" t="str">
        <f t="shared" si="19"/>
        <v>Igual</v>
      </c>
      <c r="U256" s="6" t="str">
        <f>VLOOKUP(B256,DataLake!$A$4:$A$429,1,0)</f>
        <v>INSTRUMENT_PD_IFRS9_RMNNG_LFTM_INCPTN</v>
      </c>
    </row>
    <row r="257" spans="1:21" ht="15" hidden="1" customHeight="1" x14ac:dyDescent="0.25">
      <c r="A257" s="7" t="s">
        <v>748</v>
      </c>
      <c r="B257" s="47" t="str">
        <f t="shared" si="15"/>
        <v>INSTRUMENT_PD_IFRS9_RMNNG_LFTM_RD</v>
      </c>
      <c r="C257" s="8" t="s">
        <v>414</v>
      </c>
      <c r="D257" s="9" t="s">
        <v>749</v>
      </c>
      <c r="E257" s="11" t="s">
        <v>750</v>
      </c>
      <c r="F257" s="10" t="s">
        <v>13</v>
      </c>
      <c r="G257" s="10" t="s">
        <v>11</v>
      </c>
      <c r="H257" s="10" t="s">
        <v>11</v>
      </c>
      <c r="I257" s="10" t="s">
        <v>11</v>
      </c>
      <c r="J257" s="10" t="s">
        <v>11</v>
      </c>
      <c r="L257" s="6" t="str">
        <f>IFERROR(VLOOKUP($B257,'LISTA - Setembro2024'!$B$3:$F$539,5,0),"Campo eliminado")</f>
        <v>Y</v>
      </c>
      <c r="M257" s="6" t="str">
        <f t="shared" si="16"/>
        <v>Igual</v>
      </c>
      <c r="N257" s="6" t="str">
        <f>IFERROR(VLOOKUP($B257,'LISTA - Setembro2024'!$B$3:$K$539,6,0),"Campo eliminado")</f>
        <v>N</v>
      </c>
      <c r="O257" s="6" t="str">
        <f t="shared" si="17"/>
        <v>Igual</v>
      </c>
      <c r="P257" s="6" t="str">
        <f>IFERROR(VLOOKUP($B257,'LISTA - Setembro2024'!$B$3:$K$539,7,0),"Campo eliminado")</f>
        <v>N</v>
      </c>
      <c r="Q257" s="6" t="str">
        <f t="shared" si="18"/>
        <v>Igual</v>
      </c>
      <c r="R257" s="6" t="str">
        <f>IFERROR(VLOOKUP($B257,'LISTA - Setembro2024'!$B$3:$K$539,9,0),"Campo eliminado")</f>
        <v>N</v>
      </c>
      <c r="S257" s="6" t="str">
        <f t="shared" si="19"/>
        <v>Igual</v>
      </c>
      <c r="U257" s="6" t="str">
        <f>VLOOKUP(B257,DataLake!$A$4:$A$429,1,0)</f>
        <v>INSTRUMENT_PD_IFRS9_RMNNG_LFTM_RD</v>
      </c>
    </row>
    <row r="258" spans="1:21" ht="15" hidden="1" customHeight="1" x14ac:dyDescent="0.25">
      <c r="A258" s="7" t="s">
        <v>751</v>
      </c>
      <c r="B258" s="47" t="str">
        <f t="shared" si="15"/>
        <v>INSTRUMENT_RTNG_MTHD</v>
      </c>
      <c r="C258" s="8" t="s">
        <v>414</v>
      </c>
      <c r="D258" s="9" t="s">
        <v>143</v>
      </c>
      <c r="E258" s="11" t="s">
        <v>144</v>
      </c>
      <c r="F258" s="10" t="s">
        <v>13</v>
      </c>
      <c r="G258" s="10" t="s">
        <v>11</v>
      </c>
      <c r="H258" s="10" t="s">
        <v>11</v>
      </c>
      <c r="I258" s="10" t="s">
        <v>11</v>
      </c>
      <c r="J258" s="10" t="s">
        <v>11</v>
      </c>
      <c r="L258" s="6" t="str">
        <f>IFERROR(VLOOKUP($B258,'LISTA - Setembro2024'!$B$3:$F$539,5,0),"Campo eliminado")</f>
        <v>Y</v>
      </c>
      <c r="M258" s="6" t="str">
        <f t="shared" si="16"/>
        <v>Igual</v>
      </c>
      <c r="N258" s="6" t="str">
        <f>IFERROR(VLOOKUP($B258,'LISTA - Setembro2024'!$B$3:$K$539,6,0),"Campo eliminado")</f>
        <v>N</v>
      </c>
      <c r="O258" s="6" t="str">
        <f t="shared" si="17"/>
        <v>Igual</v>
      </c>
      <c r="P258" s="6" t="str">
        <f>IFERROR(VLOOKUP($B258,'LISTA - Setembro2024'!$B$3:$K$539,7,0),"Campo eliminado")</f>
        <v>N</v>
      </c>
      <c r="Q258" s="6" t="str">
        <f t="shared" si="18"/>
        <v>Igual</v>
      </c>
      <c r="R258" s="6" t="str">
        <f>IFERROR(VLOOKUP($B258,'LISTA - Setembro2024'!$B$3:$K$539,9,0),"Campo eliminado")</f>
        <v>N</v>
      </c>
      <c r="S258" s="6" t="str">
        <f t="shared" si="19"/>
        <v>Igual</v>
      </c>
      <c r="U258" s="6" t="str">
        <f>VLOOKUP(B258,DataLake!$A$4:$A$429,1,0)</f>
        <v>INSTRUMENT_RTNG_MTHD</v>
      </c>
    </row>
    <row r="259" spans="1:21" ht="15" hidden="1" customHeight="1" x14ac:dyDescent="0.25">
      <c r="A259" s="7" t="s">
        <v>752</v>
      </c>
      <c r="B259" s="47" t="str">
        <f t="shared" ref="B259:B322" si="20">C259&amp;"_"&amp;D259</f>
        <v>INSTRUMENT_RTNG_SCL</v>
      </c>
      <c r="C259" s="8" t="s">
        <v>414</v>
      </c>
      <c r="D259" s="9" t="s">
        <v>146</v>
      </c>
      <c r="E259" s="11" t="s">
        <v>147</v>
      </c>
      <c r="F259" s="10" t="s">
        <v>13</v>
      </c>
      <c r="G259" s="10" t="s">
        <v>11</v>
      </c>
      <c r="H259" s="10" t="s">
        <v>11</v>
      </c>
      <c r="I259" s="10" t="s">
        <v>11</v>
      </c>
      <c r="J259" s="10" t="s">
        <v>11</v>
      </c>
      <c r="L259" s="6" t="str">
        <f>IFERROR(VLOOKUP($B259,'LISTA - Setembro2024'!$B$3:$F$539,5,0),"Campo eliminado")</f>
        <v>Y</v>
      </c>
      <c r="M259" s="6" t="str">
        <f t="shared" ref="M259:M322" si="21">IF(L259="Campo eliminado","Campo eliminado",IF(L259=F259,"Igual","Diferente"))</f>
        <v>Igual</v>
      </c>
      <c r="N259" s="6" t="str">
        <f>IFERROR(VLOOKUP($B259,'LISTA - Setembro2024'!$B$3:$K$539,6,0),"Campo eliminado")</f>
        <v>N</v>
      </c>
      <c r="O259" s="6" t="str">
        <f t="shared" ref="O259:O322" si="22">IF(N259="Campo eliminado","Campo eliminado",IF(N259=G259,"Igual","Diferente"))</f>
        <v>Igual</v>
      </c>
      <c r="P259" s="6" t="str">
        <f>IFERROR(VLOOKUP($B259,'LISTA - Setembro2024'!$B$3:$K$539,7,0),"Campo eliminado")</f>
        <v>N</v>
      </c>
      <c r="Q259" s="6" t="str">
        <f t="shared" ref="Q259:Q322" si="23">IF(P259="Campo eliminado","Campo eliminado",IF(P259=H259,"Igual","Diferente"))</f>
        <v>Igual</v>
      </c>
      <c r="R259" s="6" t="str">
        <f>IFERROR(VLOOKUP($B259,'LISTA - Setembro2024'!$B$3:$K$539,9,0),"Campo eliminado")</f>
        <v>N</v>
      </c>
      <c r="S259" s="6" t="str">
        <f t="shared" ref="S259:S322" si="24">IF(R259="Campo eliminado","Campo eliminado",IF(R259=I259,"Igual","Diferente"))</f>
        <v>Igual</v>
      </c>
      <c r="U259" s="6" t="str">
        <f>VLOOKUP(B259,DataLake!$A$4:$A$429,1,0)</f>
        <v>INSTRUMENT_RTNG_SCL</v>
      </c>
    </row>
    <row r="260" spans="1:21" ht="15" hidden="1" customHeight="1" x14ac:dyDescent="0.25">
      <c r="A260" s="7" t="s">
        <v>753</v>
      </c>
      <c r="B260" s="47" t="str">
        <f t="shared" si="20"/>
        <v>INSTRUMENT_SICR_ASSSSMNT_MTHD</v>
      </c>
      <c r="C260" s="8" t="s">
        <v>414</v>
      </c>
      <c r="D260" s="9" t="s">
        <v>754</v>
      </c>
      <c r="E260" s="11" t="s">
        <v>755</v>
      </c>
      <c r="F260" s="10" t="s">
        <v>13</v>
      </c>
      <c r="G260" s="10" t="s">
        <v>11</v>
      </c>
      <c r="H260" s="10" t="s">
        <v>11</v>
      </c>
      <c r="I260" s="10" t="s">
        <v>11</v>
      </c>
      <c r="J260" s="10" t="s">
        <v>11</v>
      </c>
      <c r="L260" s="6" t="str">
        <f>IFERROR(VLOOKUP($B260,'LISTA - Setembro2024'!$B$3:$F$539,5,0),"Campo eliminado")</f>
        <v>Y</v>
      </c>
      <c r="M260" s="6" t="str">
        <f t="shared" si="21"/>
        <v>Igual</v>
      </c>
      <c r="N260" s="6" t="str">
        <f>IFERROR(VLOOKUP($B260,'LISTA - Setembro2024'!$B$3:$K$539,6,0),"Campo eliminado")</f>
        <v>N</v>
      </c>
      <c r="O260" s="6" t="str">
        <f t="shared" si="22"/>
        <v>Igual</v>
      </c>
      <c r="P260" s="6" t="str">
        <f>IFERROR(VLOOKUP($B260,'LISTA - Setembro2024'!$B$3:$K$539,7,0),"Campo eliminado")</f>
        <v>N</v>
      </c>
      <c r="Q260" s="6" t="str">
        <f t="shared" si="23"/>
        <v>Igual</v>
      </c>
      <c r="R260" s="6" t="str">
        <f>IFERROR(VLOOKUP($B260,'LISTA - Setembro2024'!$B$3:$K$539,9,0),"Campo eliminado")</f>
        <v>N</v>
      </c>
      <c r="S260" s="6" t="str">
        <f t="shared" si="24"/>
        <v>Igual</v>
      </c>
      <c r="U260" s="6" t="str">
        <f>VLOOKUP(B260,DataLake!$A$4:$A$429,1,0)</f>
        <v>INSTRUMENT_SICR_ASSSSMNT_MTHD</v>
      </c>
    </row>
    <row r="261" spans="1:21" ht="15" hidden="1" customHeight="1" x14ac:dyDescent="0.25">
      <c r="A261" s="7" t="s">
        <v>756</v>
      </c>
      <c r="B261" s="47" t="str">
        <f t="shared" si="20"/>
        <v>INSTRUMENT_ANNLSD_AGRD_RT</v>
      </c>
      <c r="C261" s="8" t="s">
        <v>414</v>
      </c>
      <c r="D261" s="9" t="s">
        <v>757</v>
      </c>
      <c r="E261" s="11" t="s">
        <v>758</v>
      </c>
      <c r="F261" s="10" t="s">
        <v>13</v>
      </c>
      <c r="G261" s="10" t="s">
        <v>11</v>
      </c>
      <c r="H261" s="10" t="s">
        <v>11</v>
      </c>
      <c r="I261" s="10" t="s">
        <v>11</v>
      </c>
      <c r="J261" s="10" t="s">
        <v>11</v>
      </c>
      <c r="L261" s="6" t="str">
        <f>IFERROR(VLOOKUP($B261,'LISTA - Setembro2024'!$B$3:$F$539,5,0),"Campo eliminado")</f>
        <v>Y</v>
      </c>
      <c r="M261" s="6" t="str">
        <f t="shared" si="21"/>
        <v>Igual</v>
      </c>
      <c r="N261" s="6" t="str">
        <f>IFERROR(VLOOKUP($B261,'LISTA - Setembro2024'!$B$3:$K$539,6,0),"Campo eliminado")</f>
        <v>N</v>
      </c>
      <c r="O261" s="6" t="str">
        <f t="shared" si="22"/>
        <v>Igual</v>
      </c>
      <c r="P261" s="6" t="str">
        <f>IFERROR(VLOOKUP($B261,'LISTA - Setembro2024'!$B$3:$K$539,7,0),"Campo eliminado")</f>
        <v>Y</v>
      </c>
      <c r="Q261" s="6" t="str">
        <f t="shared" si="23"/>
        <v>Diferente</v>
      </c>
      <c r="R261" s="6" t="str">
        <f>IFERROR(VLOOKUP($B261,'LISTA - Setembro2024'!$B$3:$K$539,9,0),"Campo eliminado")</f>
        <v>N</v>
      </c>
      <c r="S261" s="6" t="str">
        <f t="shared" si="24"/>
        <v>Igual</v>
      </c>
      <c r="U261" s="6" t="str">
        <f>VLOOKUP(B261,DataLake!$A$4:$A$429,1,0)</f>
        <v>INSTRUMENT_ANNLSD_AGRD_RT</v>
      </c>
    </row>
    <row r="262" spans="1:21" ht="15" hidden="1" customHeight="1" x14ac:dyDescent="0.25">
      <c r="A262" s="7" t="s">
        <v>759</v>
      </c>
      <c r="B262" s="47" t="str">
        <f t="shared" si="20"/>
        <v>INSTRUMENT_EIR</v>
      </c>
      <c r="C262" s="8" t="s">
        <v>414</v>
      </c>
      <c r="D262" s="9" t="s">
        <v>760</v>
      </c>
      <c r="E262" s="11" t="s">
        <v>761</v>
      </c>
      <c r="F262" s="10" t="s">
        <v>13</v>
      </c>
      <c r="G262" s="10" t="s">
        <v>11</v>
      </c>
      <c r="H262" s="10" t="s">
        <v>11</v>
      </c>
      <c r="I262" s="10" t="s">
        <v>11</v>
      </c>
      <c r="J262" s="10" t="s">
        <v>11</v>
      </c>
      <c r="L262" s="6" t="str">
        <f>IFERROR(VLOOKUP($B262,'LISTA - Setembro2024'!$B$3:$F$539,5,0),"Campo eliminado")</f>
        <v>Y</v>
      </c>
      <c r="M262" s="6" t="str">
        <f t="shared" si="21"/>
        <v>Igual</v>
      </c>
      <c r="N262" s="6" t="str">
        <f>IFERROR(VLOOKUP($B262,'LISTA - Setembro2024'!$B$3:$K$539,6,0),"Campo eliminado")</f>
        <v>N</v>
      </c>
      <c r="O262" s="6" t="str">
        <f t="shared" si="22"/>
        <v>Igual</v>
      </c>
      <c r="P262" s="6" t="str">
        <f>IFERROR(VLOOKUP($B262,'LISTA - Setembro2024'!$B$3:$K$539,7,0),"Campo eliminado")</f>
        <v>N</v>
      </c>
      <c r="Q262" s="6" t="str">
        <f t="shared" si="23"/>
        <v>Igual</v>
      </c>
      <c r="R262" s="6" t="str">
        <f>IFERROR(VLOOKUP($B262,'LISTA - Setembro2024'!$B$3:$K$539,9,0),"Campo eliminado")</f>
        <v>N</v>
      </c>
      <c r="S262" s="6" t="str">
        <f t="shared" si="24"/>
        <v>Igual</v>
      </c>
      <c r="U262" s="6" t="str">
        <f>VLOOKUP(B262,DataLake!$A$4:$A$429,1,0)</f>
        <v>INSTRUMENT_EIR</v>
      </c>
    </row>
    <row r="263" spans="1:21" ht="15" hidden="1" customHeight="1" x14ac:dyDescent="0.25">
      <c r="A263" s="7" t="s">
        <v>762</v>
      </c>
      <c r="B263" s="47" t="str">
        <f t="shared" si="20"/>
        <v>INSTRUMENT_EIR_INCPTN</v>
      </c>
      <c r="C263" s="8" t="s">
        <v>414</v>
      </c>
      <c r="D263" s="9" t="s">
        <v>763</v>
      </c>
      <c r="E263" s="11" t="s">
        <v>764</v>
      </c>
      <c r="F263" s="10" t="s">
        <v>13</v>
      </c>
      <c r="G263" s="10" t="s">
        <v>11</v>
      </c>
      <c r="H263" s="10" t="s">
        <v>11</v>
      </c>
      <c r="I263" s="10" t="s">
        <v>11</v>
      </c>
      <c r="J263" s="10" t="s">
        <v>11</v>
      </c>
      <c r="L263" s="6" t="str">
        <f>IFERROR(VLOOKUP($B263,'LISTA - Setembro2024'!$B$3:$F$539,5,0),"Campo eliminado")</f>
        <v>Y</v>
      </c>
      <c r="M263" s="6" t="str">
        <f t="shared" si="21"/>
        <v>Igual</v>
      </c>
      <c r="N263" s="6" t="str">
        <f>IFERROR(VLOOKUP($B263,'LISTA - Setembro2024'!$B$3:$K$539,6,0),"Campo eliminado")</f>
        <v>N</v>
      </c>
      <c r="O263" s="6" t="str">
        <f t="shared" si="22"/>
        <v>Igual</v>
      </c>
      <c r="P263" s="6" t="str">
        <f>IFERROR(VLOOKUP($B263,'LISTA - Setembro2024'!$B$3:$K$539,7,0),"Campo eliminado")</f>
        <v>Y</v>
      </c>
      <c r="Q263" s="6" t="str">
        <f t="shared" si="23"/>
        <v>Diferente</v>
      </c>
      <c r="R263" s="6" t="str">
        <f>IFERROR(VLOOKUP($B263,'LISTA - Setembro2024'!$B$3:$K$539,9,0),"Campo eliminado")</f>
        <v>N</v>
      </c>
      <c r="S263" s="6" t="str">
        <f t="shared" si="24"/>
        <v>Igual</v>
      </c>
      <c r="U263" s="6" t="str">
        <f>VLOOKUP(B263,DataLake!$A$4:$A$429,1,0)</f>
        <v>INSTRUMENT_EIR_INCPTN</v>
      </c>
    </row>
    <row r="264" spans="1:21" ht="15" hidden="1" customHeight="1" x14ac:dyDescent="0.25">
      <c r="A264" s="7" t="s">
        <v>765</v>
      </c>
      <c r="B264" s="47" t="str">
        <f t="shared" si="20"/>
        <v>INSTRUMENT_INTRST_RT_RST_FRQNCY</v>
      </c>
      <c r="C264" s="8" t="s">
        <v>414</v>
      </c>
      <c r="D264" s="9" t="s">
        <v>766</v>
      </c>
      <c r="E264" s="11" t="s">
        <v>767</v>
      </c>
      <c r="F264" s="10" t="s">
        <v>13</v>
      </c>
      <c r="G264" s="10" t="s">
        <v>11</v>
      </c>
      <c r="H264" s="10" t="s">
        <v>11</v>
      </c>
      <c r="I264" s="10" t="s">
        <v>11</v>
      </c>
      <c r="J264" s="10" t="s">
        <v>11</v>
      </c>
      <c r="L264" s="6" t="str">
        <f>IFERROR(VLOOKUP($B264,'LISTA - Setembro2024'!$B$3:$F$539,5,0),"Campo eliminado")</f>
        <v>Y</v>
      </c>
      <c r="M264" s="6" t="str">
        <f t="shared" si="21"/>
        <v>Igual</v>
      </c>
      <c r="N264" s="6" t="str">
        <f>IFERROR(VLOOKUP($B264,'LISTA - Setembro2024'!$B$3:$K$539,6,0),"Campo eliminado")</f>
        <v>N</v>
      </c>
      <c r="O264" s="6" t="str">
        <f t="shared" si="22"/>
        <v>Igual</v>
      </c>
      <c r="P264" s="6" t="str">
        <f>IFERROR(VLOOKUP($B264,'LISTA - Setembro2024'!$B$3:$K$539,7,0),"Campo eliminado")</f>
        <v>N</v>
      </c>
      <c r="Q264" s="6" t="str">
        <f t="shared" si="23"/>
        <v>Igual</v>
      </c>
      <c r="R264" s="6" t="str">
        <f>IFERROR(VLOOKUP($B264,'LISTA - Setembro2024'!$B$3:$K$539,9,0),"Campo eliminado")</f>
        <v>N</v>
      </c>
      <c r="S264" s="6" t="str">
        <f t="shared" si="24"/>
        <v>Igual</v>
      </c>
      <c r="U264" s="6" t="str">
        <f>VLOOKUP(B264,DataLake!$A$4:$A$429,1,0)</f>
        <v>INSTRUMENT_INTRST_RT_RST_FRQNCY</v>
      </c>
    </row>
    <row r="265" spans="1:21" ht="15" hidden="1" customHeight="1" x14ac:dyDescent="0.25">
      <c r="A265" s="7" t="s">
        <v>768</v>
      </c>
      <c r="B265" s="47" t="str">
        <f t="shared" si="20"/>
        <v>INSTRUMENT_RCVD_AMRTSTN_12M</v>
      </c>
      <c r="C265" s="8" t="s">
        <v>414</v>
      </c>
      <c r="D265" s="9" t="s">
        <v>769</v>
      </c>
      <c r="E265" s="11" t="s">
        <v>770</v>
      </c>
      <c r="F265" s="10" t="s">
        <v>13</v>
      </c>
      <c r="G265" s="10" t="s">
        <v>11</v>
      </c>
      <c r="H265" s="10" t="s">
        <v>11</v>
      </c>
      <c r="I265" s="10" t="s">
        <v>11</v>
      </c>
      <c r="J265" s="10" t="s">
        <v>11</v>
      </c>
      <c r="L265" s="6" t="str">
        <f>IFERROR(VLOOKUP($B265,'LISTA - Setembro2024'!$B$3:$F$539,5,0),"Campo eliminado")</f>
        <v>Y</v>
      </c>
      <c r="M265" s="6" t="str">
        <f t="shared" si="21"/>
        <v>Igual</v>
      </c>
      <c r="N265" s="6" t="str">
        <f>IFERROR(VLOOKUP($B265,'LISTA - Setembro2024'!$B$3:$K$539,6,0),"Campo eliminado")</f>
        <v>N</v>
      </c>
      <c r="O265" s="6" t="str">
        <f t="shared" si="22"/>
        <v>Igual</v>
      </c>
      <c r="P265" s="6" t="str">
        <f>IFERROR(VLOOKUP($B265,'LISTA - Setembro2024'!$B$3:$K$539,7,0),"Campo eliminado")</f>
        <v>N</v>
      </c>
      <c r="Q265" s="6" t="str">
        <f t="shared" si="23"/>
        <v>Igual</v>
      </c>
      <c r="R265" s="6" t="str">
        <f>IFERROR(VLOOKUP($B265,'LISTA - Setembro2024'!$B$3:$K$539,9,0),"Campo eliminado")</f>
        <v>N</v>
      </c>
      <c r="S265" s="6" t="str">
        <f t="shared" si="24"/>
        <v>Igual</v>
      </c>
      <c r="U265" s="6" t="str">
        <f>VLOOKUP(B265,DataLake!$A$4:$A$429,1,0)</f>
        <v>INSTRUMENT_RCVD_AMRTSTN_12M</v>
      </c>
    </row>
    <row r="266" spans="1:21" ht="15" hidden="1" customHeight="1" x14ac:dyDescent="0.25">
      <c r="A266" s="7" t="s">
        <v>771</v>
      </c>
      <c r="B266" s="47" t="str">
        <f t="shared" si="20"/>
        <v>INSTRUMENT_RCVD_AMRTSTN_24M</v>
      </c>
      <c r="C266" s="8" t="s">
        <v>414</v>
      </c>
      <c r="D266" s="9" t="s">
        <v>772</v>
      </c>
      <c r="E266" s="11" t="s">
        <v>773</v>
      </c>
      <c r="F266" s="10" t="s">
        <v>13</v>
      </c>
      <c r="G266" s="10" t="s">
        <v>11</v>
      </c>
      <c r="H266" s="10" t="s">
        <v>11</v>
      </c>
      <c r="I266" s="10" t="s">
        <v>11</v>
      </c>
      <c r="J266" s="10" t="s">
        <v>11</v>
      </c>
      <c r="L266" s="6" t="str">
        <f>IFERROR(VLOOKUP($B266,'LISTA - Setembro2024'!$B$3:$F$539,5,0),"Campo eliminado")</f>
        <v>Y</v>
      </c>
      <c r="M266" s="6" t="str">
        <f t="shared" si="21"/>
        <v>Igual</v>
      </c>
      <c r="N266" s="6" t="str">
        <f>IFERROR(VLOOKUP($B266,'LISTA - Setembro2024'!$B$3:$K$539,6,0),"Campo eliminado")</f>
        <v>N</v>
      </c>
      <c r="O266" s="6" t="str">
        <f t="shared" si="22"/>
        <v>Igual</v>
      </c>
      <c r="P266" s="6" t="str">
        <f>IFERROR(VLOOKUP($B266,'LISTA - Setembro2024'!$B$3:$K$539,7,0),"Campo eliminado")</f>
        <v>N</v>
      </c>
      <c r="Q266" s="6" t="str">
        <f t="shared" si="23"/>
        <v>Igual</v>
      </c>
      <c r="R266" s="6" t="str">
        <f>IFERROR(VLOOKUP($B266,'LISTA - Setembro2024'!$B$3:$K$539,9,0),"Campo eliminado")</f>
        <v>N</v>
      </c>
      <c r="S266" s="6" t="str">
        <f t="shared" si="24"/>
        <v>Igual</v>
      </c>
      <c r="U266" s="6" t="str">
        <f>VLOOKUP(B266,DataLake!$A$4:$A$429,1,0)</f>
        <v>INSTRUMENT_RCVD_AMRTSTN_24M</v>
      </c>
    </row>
    <row r="267" spans="1:21" ht="15" hidden="1" customHeight="1" x14ac:dyDescent="0.25">
      <c r="A267" s="7" t="s">
        <v>774</v>
      </c>
      <c r="B267" s="47" t="str">
        <f t="shared" si="20"/>
        <v>INSTRUMENT_RCVD_INTRST_12M</v>
      </c>
      <c r="C267" s="8" t="s">
        <v>414</v>
      </c>
      <c r="D267" s="9" t="s">
        <v>775</v>
      </c>
      <c r="E267" s="11" t="s">
        <v>776</v>
      </c>
      <c r="F267" s="10" t="s">
        <v>13</v>
      </c>
      <c r="G267" s="10" t="s">
        <v>11</v>
      </c>
      <c r="H267" s="10" t="s">
        <v>11</v>
      </c>
      <c r="I267" s="10" t="s">
        <v>11</v>
      </c>
      <c r="J267" s="10" t="s">
        <v>11</v>
      </c>
      <c r="L267" s="6" t="str">
        <f>IFERROR(VLOOKUP($B267,'LISTA - Setembro2024'!$B$3:$F$539,5,0),"Campo eliminado")</f>
        <v>Y</v>
      </c>
      <c r="M267" s="6" t="str">
        <f t="shared" si="21"/>
        <v>Igual</v>
      </c>
      <c r="N267" s="6" t="str">
        <f>IFERROR(VLOOKUP($B267,'LISTA - Setembro2024'!$B$3:$K$539,6,0),"Campo eliminado")</f>
        <v>N</v>
      </c>
      <c r="O267" s="6" t="str">
        <f t="shared" si="22"/>
        <v>Igual</v>
      </c>
      <c r="P267" s="6" t="str">
        <f>IFERROR(VLOOKUP($B267,'LISTA - Setembro2024'!$B$3:$K$539,7,0),"Campo eliminado")</f>
        <v>N</v>
      </c>
      <c r="Q267" s="6" t="str">
        <f t="shared" si="23"/>
        <v>Igual</v>
      </c>
      <c r="R267" s="6" t="str">
        <f>IFERROR(VLOOKUP($B267,'LISTA - Setembro2024'!$B$3:$K$539,9,0),"Campo eliminado")</f>
        <v>N</v>
      </c>
      <c r="S267" s="6" t="str">
        <f t="shared" si="24"/>
        <v>Igual</v>
      </c>
      <c r="U267" s="6" t="str">
        <f>VLOOKUP(B267,DataLake!$A$4:$A$429,1,0)</f>
        <v>INSTRUMENT_RCVD_INTRST_12M</v>
      </c>
    </row>
    <row r="268" spans="1:21" ht="15" hidden="1" customHeight="1" x14ac:dyDescent="0.25">
      <c r="A268" s="7" t="s">
        <v>777</v>
      </c>
      <c r="B268" s="47" t="str">
        <f t="shared" si="20"/>
        <v>INSTRUMENT_RCVD_INTRST_24M</v>
      </c>
      <c r="C268" s="8" t="s">
        <v>414</v>
      </c>
      <c r="D268" s="9" t="s">
        <v>778</v>
      </c>
      <c r="E268" s="11" t="s">
        <v>779</v>
      </c>
      <c r="F268" s="10" t="s">
        <v>13</v>
      </c>
      <c r="G268" s="10" t="s">
        <v>11</v>
      </c>
      <c r="H268" s="10" t="s">
        <v>11</v>
      </c>
      <c r="I268" s="10" t="s">
        <v>11</v>
      </c>
      <c r="J268" s="10" t="s">
        <v>11</v>
      </c>
      <c r="L268" s="6" t="str">
        <f>IFERROR(VLOOKUP($B268,'LISTA - Setembro2024'!$B$3:$F$539,5,0),"Campo eliminado")</f>
        <v>Y</v>
      </c>
      <c r="M268" s="6" t="str">
        <f t="shared" si="21"/>
        <v>Igual</v>
      </c>
      <c r="N268" s="6" t="str">
        <f>IFERROR(VLOOKUP($B268,'LISTA - Setembro2024'!$B$3:$K$539,6,0),"Campo eliminado")</f>
        <v>N</v>
      </c>
      <c r="O268" s="6" t="str">
        <f t="shared" si="22"/>
        <v>Igual</v>
      </c>
      <c r="P268" s="6" t="str">
        <f>IFERROR(VLOOKUP($B268,'LISTA - Setembro2024'!$B$3:$K$539,7,0),"Campo eliminado")</f>
        <v>N</v>
      </c>
      <c r="Q268" s="6" t="str">
        <f t="shared" si="23"/>
        <v>Igual</v>
      </c>
      <c r="R268" s="6" t="str">
        <f>IFERROR(VLOOKUP($B268,'LISTA - Setembro2024'!$B$3:$K$539,9,0),"Campo eliminado")</f>
        <v>N</v>
      </c>
      <c r="S268" s="6" t="str">
        <f t="shared" si="24"/>
        <v>Igual</v>
      </c>
      <c r="U268" s="6" t="str">
        <f>VLOOKUP(B268,DataLake!$A$4:$A$429,1,0)</f>
        <v>INSTRUMENT_RCVD_INTRST_24M</v>
      </c>
    </row>
    <row r="269" spans="1:21" ht="15" hidden="1" customHeight="1" x14ac:dyDescent="0.25">
      <c r="A269" s="7" t="s">
        <v>780</v>
      </c>
      <c r="B269" s="47" t="str">
        <f t="shared" si="20"/>
        <v>INSTRUMENT_SYNDCT_RL</v>
      </c>
      <c r="C269" s="8" t="s">
        <v>414</v>
      </c>
      <c r="D269" s="9" t="s">
        <v>781</v>
      </c>
      <c r="E269" s="11" t="s">
        <v>782</v>
      </c>
      <c r="F269" s="10" t="s">
        <v>13</v>
      </c>
      <c r="G269" s="10" t="s">
        <v>11</v>
      </c>
      <c r="H269" s="10" t="s">
        <v>11</v>
      </c>
      <c r="I269" s="10" t="s">
        <v>11</v>
      </c>
      <c r="J269" s="10" t="s">
        <v>11</v>
      </c>
      <c r="L269" s="6" t="str">
        <f>IFERROR(VLOOKUP($B269,'LISTA - Setembro2024'!$B$3:$F$539,5,0),"Campo eliminado")</f>
        <v>Y</v>
      </c>
      <c r="M269" s="6" t="str">
        <f t="shared" si="21"/>
        <v>Igual</v>
      </c>
      <c r="N269" s="6" t="str">
        <f>IFERROR(VLOOKUP($B269,'LISTA - Setembro2024'!$B$3:$K$539,6,0),"Campo eliminado")</f>
        <v>N</v>
      </c>
      <c r="O269" s="6" t="str">
        <f t="shared" si="22"/>
        <v>Igual</v>
      </c>
      <c r="P269" s="6" t="str">
        <f>IFERROR(VLOOKUP($B269,'LISTA - Setembro2024'!$B$3:$K$539,7,0),"Campo eliminado")</f>
        <v>N</v>
      </c>
      <c r="Q269" s="6" t="str">
        <f t="shared" si="23"/>
        <v>Igual</v>
      </c>
      <c r="R269" s="6" t="str">
        <f>IFERROR(VLOOKUP($B269,'LISTA - Setembro2024'!$B$3:$K$539,9,0),"Campo eliminado")</f>
        <v>N</v>
      </c>
      <c r="S269" s="6" t="str">
        <f t="shared" si="24"/>
        <v>Igual</v>
      </c>
      <c r="U269" s="6" t="str">
        <f>VLOOKUP(B269,DataLake!$A$4:$A$429,1,0)</f>
        <v>INSTRUMENT_SYNDCT_RL</v>
      </c>
    </row>
    <row r="270" spans="1:21" ht="15" hidden="1" customHeight="1" x14ac:dyDescent="0.25">
      <c r="A270" s="7" t="s">
        <v>783</v>
      </c>
      <c r="B270" s="47" t="str">
        <f t="shared" si="20"/>
        <v>INSTRUMENT_SYNDCTD_AGNT</v>
      </c>
      <c r="C270" s="8" t="s">
        <v>414</v>
      </c>
      <c r="D270" s="9" t="s">
        <v>784</v>
      </c>
      <c r="E270" s="11" t="s">
        <v>785</v>
      </c>
      <c r="F270" s="10" t="s">
        <v>13</v>
      </c>
      <c r="G270" s="10" t="s">
        <v>11</v>
      </c>
      <c r="H270" s="10" t="s">
        <v>11</v>
      </c>
      <c r="I270" s="10" t="s">
        <v>11</v>
      </c>
      <c r="J270" s="10" t="s">
        <v>11</v>
      </c>
      <c r="L270" s="6" t="str">
        <f>IFERROR(VLOOKUP($B270,'LISTA - Setembro2024'!$B$3:$F$539,5,0),"Campo eliminado")</f>
        <v>Y</v>
      </c>
      <c r="M270" s="6" t="str">
        <f t="shared" si="21"/>
        <v>Igual</v>
      </c>
      <c r="N270" s="6" t="str">
        <f>IFERROR(VLOOKUP($B270,'LISTA - Setembro2024'!$B$3:$K$539,6,0),"Campo eliminado")</f>
        <v>N</v>
      </c>
      <c r="O270" s="6" t="str">
        <f t="shared" si="22"/>
        <v>Igual</v>
      </c>
      <c r="P270" s="6" t="str">
        <f>IFERROR(VLOOKUP($B270,'LISTA - Setembro2024'!$B$3:$K$539,7,0),"Campo eliminado")</f>
        <v>N</v>
      </c>
      <c r="Q270" s="6" t="str">
        <f t="shared" si="23"/>
        <v>Igual</v>
      </c>
      <c r="R270" s="6" t="str">
        <f>IFERROR(VLOOKUP($B270,'LISTA - Setembro2024'!$B$3:$K$539,9,0),"Campo eliminado")</f>
        <v>N</v>
      </c>
      <c r="S270" s="6" t="str">
        <f t="shared" si="24"/>
        <v>Igual</v>
      </c>
      <c r="U270" s="6" t="str">
        <f>VLOOKUP(B270,DataLake!$A$4:$A$429,1,0)</f>
        <v>INSTRUMENT_SYNDCTD_AGNT</v>
      </c>
    </row>
    <row r="271" spans="1:21" ht="15" hidden="1" customHeight="1" x14ac:dyDescent="0.25">
      <c r="A271" s="7" t="s">
        <v>786</v>
      </c>
      <c r="B271" s="47" t="str">
        <f t="shared" si="20"/>
        <v>INSTRUMENT_SYNDCTD_CNTRCT_ID</v>
      </c>
      <c r="C271" s="8" t="s">
        <v>414</v>
      </c>
      <c r="D271" s="9" t="s">
        <v>787</v>
      </c>
      <c r="E271" s="11" t="s">
        <v>788</v>
      </c>
      <c r="F271" s="10" t="s">
        <v>13</v>
      </c>
      <c r="G271" s="10" t="s">
        <v>11</v>
      </c>
      <c r="H271" s="10" t="s">
        <v>11</v>
      </c>
      <c r="I271" s="10" t="s">
        <v>11</v>
      </c>
      <c r="J271" s="10" t="s">
        <v>11</v>
      </c>
      <c r="L271" s="6" t="str">
        <f>IFERROR(VLOOKUP($B271,'LISTA - Setembro2024'!$B$3:$F$539,5,0),"Campo eliminado")</f>
        <v>Y</v>
      </c>
      <c r="M271" s="6" t="str">
        <f t="shared" si="21"/>
        <v>Igual</v>
      </c>
      <c r="N271" s="6" t="str">
        <f>IFERROR(VLOOKUP($B271,'LISTA - Setembro2024'!$B$3:$K$539,6,0),"Campo eliminado")</f>
        <v>N</v>
      </c>
      <c r="O271" s="6" t="str">
        <f t="shared" si="22"/>
        <v>Igual</v>
      </c>
      <c r="P271" s="6" t="str">
        <f>IFERROR(VLOOKUP($B271,'LISTA - Setembro2024'!$B$3:$K$539,7,0),"Campo eliminado")</f>
        <v>N</v>
      </c>
      <c r="Q271" s="6" t="str">
        <f t="shared" si="23"/>
        <v>Igual</v>
      </c>
      <c r="R271" s="6" t="str">
        <f>IFERROR(VLOOKUP($B271,'LISTA - Setembro2024'!$B$3:$K$539,9,0),"Campo eliminado")</f>
        <v>N</v>
      </c>
      <c r="S271" s="6" t="str">
        <f t="shared" si="24"/>
        <v>Igual</v>
      </c>
      <c r="U271" s="6" t="str">
        <f>VLOOKUP(B271,DataLake!$A$4:$A$429,1,0)</f>
        <v>INSTRUMENT_SYNDCTD_CNTRCT_ID</v>
      </c>
    </row>
    <row r="272" spans="1:21" ht="15" hidden="1" customHeight="1" x14ac:dyDescent="0.25">
      <c r="A272" s="7" t="s">
        <v>789</v>
      </c>
      <c r="B272" s="47" t="str">
        <f t="shared" si="20"/>
        <v>INSTRUMENT_SYNDCTD_LNDRS</v>
      </c>
      <c r="C272" s="8" t="s">
        <v>414</v>
      </c>
      <c r="D272" s="9" t="s">
        <v>790</v>
      </c>
      <c r="E272" s="11" t="s">
        <v>791</v>
      </c>
      <c r="F272" s="10" t="s">
        <v>13</v>
      </c>
      <c r="G272" s="10" t="s">
        <v>11</v>
      </c>
      <c r="H272" s="10" t="s">
        <v>11</v>
      </c>
      <c r="I272" s="10" t="s">
        <v>11</v>
      </c>
      <c r="J272" s="10" t="s">
        <v>11</v>
      </c>
      <c r="L272" s="6" t="str">
        <f>IFERROR(VLOOKUP($B272,'LISTA - Setembro2024'!$B$3:$F$539,5,0),"Campo eliminado")</f>
        <v>Y</v>
      </c>
      <c r="M272" s="6" t="str">
        <f t="shared" si="21"/>
        <v>Igual</v>
      </c>
      <c r="N272" s="6" t="str">
        <f>IFERROR(VLOOKUP($B272,'LISTA - Setembro2024'!$B$3:$K$539,6,0),"Campo eliminado")</f>
        <v>N</v>
      </c>
      <c r="O272" s="6" t="str">
        <f t="shared" si="22"/>
        <v>Igual</v>
      </c>
      <c r="P272" s="6" t="str">
        <f>IFERROR(VLOOKUP($B272,'LISTA - Setembro2024'!$B$3:$K$539,7,0),"Campo eliminado")</f>
        <v>N</v>
      </c>
      <c r="Q272" s="6" t="str">
        <f t="shared" si="23"/>
        <v>Igual</v>
      </c>
      <c r="R272" s="6" t="str">
        <f>IFERROR(VLOOKUP($B272,'LISTA - Setembro2024'!$B$3:$K$539,9,0),"Campo eliminado")</f>
        <v>N</v>
      </c>
      <c r="S272" s="6" t="str">
        <f t="shared" si="24"/>
        <v>Igual</v>
      </c>
      <c r="U272" s="6" t="str">
        <f>VLOOKUP(B272,DataLake!$A$4:$A$429,1,0)</f>
        <v>INSTRUMENT_SYNDCTD_LNDRS</v>
      </c>
    </row>
    <row r="273" spans="1:21" ht="15" hidden="1" customHeight="1" x14ac:dyDescent="0.25">
      <c r="A273" s="7" t="s">
        <v>792</v>
      </c>
      <c r="B273" s="47" t="str">
        <f t="shared" si="20"/>
        <v>INSTRUMENT_SYNDCTD_SHR</v>
      </c>
      <c r="C273" s="8" t="s">
        <v>414</v>
      </c>
      <c r="D273" s="9" t="s">
        <v>793</v>
      </c>
      <c r="E273" s="11" t="s">
        <v>794</v>
      </c>
      <c r="F273" s="10" t="s">
        <v>13</v>
      </c>
      <c r="G273" s="10" t="s">
        <v>11</v>
      </c>
      <c r="H273" s="10" t="s">
        <v>11</v>
      </c>
      <c r="I273" s="10" t="s">
        <v>11</v>
      </c>
      <c r="J273" s="10" t="s">
        <v>11</v>
      </c>
      <c r="L273" s="6" t="str">
        <f>IFERROR(VLOOKUP($B273,'LISTA - Setembro2024'!$B$3:$F$539,5,0),"Campo eliminado")</f>
        <v>Y</v>
      </c>
      <c r="M273" s="6" t="str">
        <f t="shared" si="21"/>
        <v>Igual</v>
      </c>
      <c r="N273" s="6" t="str">
        <f>IFERROR(VLOOKUP($B273,'LISTA - Setembro2024'!$B$3:$K$539,6,0),"Campo eliminado")</f>
        <v>N</v>
      </c>
      <c r="O273" s="6" t="str">
        <f t="shared" si="22"/>
        <v>Igual</v>
      </c>
      <c r="P273" s="6" t="str">
        <f>IFERROR(VLOOKUP($B273,'LISTA - Setembro2024'!$B$3:$K$539,7,0),"Campo eliminado")</f>
        <v>N</v>
      </c>
      <c r="Q273" s="6" t="str">
        <f t="shared" si="23"/>
        <v>Igual</v>
      </c>
      <c r="R273" s="6" t="str">
        <f>IFERROR(VLOOKUP($B273,'LISTA - Setembro2024'!$B$3:$K$539,9,0),"Campo eliminado")</f>
        <v>N</v>
      </c>
      <c r="S273" s="6" t="str">
        <f t="shared" si="24"/>
        <v>Igual</v>
      </c>
      <c r="U273" s="6" t="str">
        <f>VLOOKUP(B273,DataLake!$A$4:$A$429,1,0)</f>
        <v>INSTRUMENT_SYNDCTD_SHR</v>
      </c>
    </row>
    <row r="274" spans="1:21" ht="15" hidden="1" customHeight="1" x14ac:dyDescent="0.25">
      <c r="A274" s="7" t="s">
        <v>795</v>
      </c>
      <c r="B274" s="47" t="str">
        <f t="shared" si="20"/>
        <v>INSTRUMENT_SYNDCTN_TYP</v>
      </c>
      <c r="C274" s="8" t="s">
        <v>414</v>
      </c>
      <c r="D274" s="9" t="s">
        <v>796</v>
      </c>
      <c r="E274" s="11" t="s">
        <v>797</v>
      </c>
      <c r="F274" s="10" t="s">
        <v>13</v>
      </c>
      <c r="G274" s="10" t="s">
        <v>11</v>
      </c>
      <c r="H274" s="10" t="s">
        <v>11</v>
      </c>
      <c r="I274" s="10" t="s">
        <v>11</v>
      </c>
      <c r="J274" s="10" t="s">
        <v>11</v>
      </c>
      <c r="L274" s="6" t="str">
        <f>IFERROR(VLOOKUP($B274,'LISTA - Setembro2024'!$B$3:$F$539,5,0),"Campo eliminado")</f>
        <v>Y</v>
      </c>
      <c r="M274" s="6" t="str">
        <f t="shared" si="21"/>
        <v>Igual</v>
      </c>
      <c r="N274" s="6" t="str">
        <f>IFERROR(VLOOKUP($B274,'LISTA - Setembro2024'!$B$3:$K$539,6,0),"Campo eliminado")</f>
        <v>N</v>
      </c>
      <c r="O274" s="6" t="str">
        <f t="shared" si="22"/>
        <v>Igual</v>
      </c>
      <c r="P274" s="6" t="str">
        <f>IFERROR(VLOOKUP($B274,'LISTA - Setembro2024'!$B$3:$K$539,7,0),"Campo eliminado")</f>
        <v>N</v>
      </c>
      <c r="Q274" s="6" t="str">
        <f t="shared" si="23"/>
        <v>Igual</v>
      </c>
      <c r="R274" s="6" t="str">
        <f>IFERROR(VLOOKUP($B274,'LISTA - Setembro2024'!$B$3:$K$539,9,0),"Campo eliminado")</f>
        <v>N</v>
      </c>
      <c r="S274" s="6" t="str">
        <f t="shared" si="24"/>
        <v>Igual</v>
      </c>
      <c r="U274" s="6" t="str">
        <f>VLOOKUP(B274,DataLake!$A$4:$A$429,1,0)</f>
        <v>INSTRUMENT_SYNDCTN_TYP</v>
      </c>
    </row>
    <row r="275" spans="1:21" ht="15" hidden="1" customHeight="1" x14ac:dyDescent="0.25">
      <c r="A275" s="7" t="s">
        <v>798</v>
      </c>
      <c r="B275" s="47" t="str">
        <f t="shared" si="20"/>
        <v>INSTRUMENT_EBA_CMPLNT_MRTR_ST_C19</v>
      </c>
      <c r="C275" s="8" t="s">
        <v>414</v>
      </c>
      <c r="D275" s="24" t="s">
        <v>799</v>
      </c>
      <c r="E275" s="26" t="s">
        <v>800</v>
      </c>
      <c r="F275" s="25" t="s">
        <v>13</v>
      </c>
      <c r="G275" s="25" t="s">
        <v>11</v>
      </c>
      <c r="H275" s="25" t="s">
        <v>11</v>
      </c>
      <c r="I275" s="25" t="s">
        <v>11</v>
      </c>
      <c r="J275" s="10" t="s">
        <v>11</v>
      </c>
      <c r="L275" s="6" t="str">
        <f>IFERROR(VLOOKUP($B275,'LISTA - Setembro2024'!$B$3:$F$539,5,0),"Campo eliminado")</f>
        <v>Y</v>
      </c>
      <c r="M275" s="6" t="str">
        <f t="shared" si="21"/>
        <v>Igual</v>
      </c>
      <c r="N275" s="6" t="str">
        <f>IFERROR(VLOOKUP($B275,'LISTA - Setembro2024'!$B$3:$K$539,6,0),"Campo eliminado")</f>
        <v>N</v>
      </c>
      <c r="O275" s="6" t="str">
        <f t="shared" si="22"/>
        <v>Igual</v>
      </c>
      <c r="P275" s="6" t="str">
        <f>IFERROR(VLOOKUP($B275,'LISTA - Setembro2024'!$B$3:$K$539,7,0),"Campo eliminado")</f>
        <v>N</v>
      </c>
      <c r="Q275" s="6" t="str">
        <f t="shared" si="23"/>
        <v>Igual</v>
      </c>
      <c r="R275" s="6" t="str">
        <f>IFERROR(VLOOKUP($B275,'LISTA - Setembro2024'!$B$3:$K$539,9,0),"Campo eliminado")</f>
        <v>N</v>
      </c>
      <c r="S275" s="6" t="str">
        <f t="shared" si="24"/>
        <v>Igual</v>
      </c>
      <c r="U275" s="6" t="str">
        <f>VLOOKUP(B275,DataLake!$A$4:$A$429,1,0)</f>
        <v>INSTRUMENT_EBA_CMPLNT_MRTR_ST_C19</v>
      </c>
    </row>
    <row r="276" spans="1:21" ht="15" hidden="1" customHeight="1" x14ac:dyDescent="0.25">
      <c r="A276" s="7" t="s">
        <v>801</v>
      </c>
      <c r="B276" s="47" t="str">
        <f t="shared" si="20"/>
        <v>INSTRUMENT_DT_CMPLNT_MRTR_STTS_C19</v>
      </c>
      <c r="C276" s="8" t="s">
        <v>414</v>
      </c>
      <c r="D276" s="24" t="s">
        <v>802</v>
      </c>
      <c r="E276" s="26" t="s">
        <v>803</v>
      </c>
      <c r="F276" s="25" t="s">
        <v>13</v>
      </c>
      <c r="G276" s="25" t="s">
        <v>11</v>
      </c>
      <c r="H276" s="25" t="s">
        <v>11</v>
      </c>
      <c r="I276" s="25" t="s">
        <v>11</v>
      </c>
      <c r="J276" s="10" t="s">
        <v>11</v>
      </c>
      <c r="L276" s="6" t="str">
        <f>IFERROR(VLOOKUP($B276,'LISTA - Setembro2024'!$B$3:$F$539,5,0),"Campo eliminado")</f>
        <v>Y</v>
      </c>
      <c r="M276" s="6" t="str">
        <f t="shared" si="21"/>
        <v>Igual</v>
      </c>
      <c r="N276" s="6" t="str">
        <f>IFERROR(VLOOKUP($B276,'LISTA - Setembro2024'!$B$3:$K$539,6,0),"Campo eliminado")</f>
        <v>N</v>
      </c>
      <c r="O276" s="6" t="str">
        <f t="shared" si="22"/>
        <v>Igual</v>
      </c>
      <c r="P276" s="6" t="str">
        <f>IFERROR(VLOOKUP($B276,'LISTA - Setembro2024'!$B$3:$K$539,7,0),"Campo eliminado")</f>
        <v>N</v>
      </c>
      <c r="Q276" s="6" t="str">
        <f t="shared" si="23"/>
        <v>Igual</v>
      </c>
      <c r="R276" s="6" t="str">
        <f>IFERROR(VLOOKUP($B276,'LISTA - Setembro2024'!$B$3:$K$539,9,0),"Campo eliminado")</f>
        <v>N</v>
      </c>
      <c r="S276" s="6" t="str">
        <f t="shared" si="24"/>
        <v>Igual</v>
      </c>
      <c r="U276" s="6" t="str">
        <f>VLOOKUP(B276,DataLake!$A$4:$A$429,1,0)</f>
        <v>INSTRUMENT_DT_CMPLNT_MRTR_STTS_C19</v>
      </c>
    </row>
    <row r="277" spans="1:21" ht="15" hidden="1" customHeight="1" x14ac:dyDescent="0.25">
      <c r="A277" s="7" t="s">
        <v>804</v>
      </c>
      <c r="B277" s="47" t="str">
        <f t="shared" si="20"/>
        <v>INSTRUMENT_DT_CMPLNT_MRTR_STTS_PRVS_C19</v>
      </c>
      <c r="C277" s="8" t="s">
        <v>414</v>
      </c>
      <c r="D277" s="24" t="s">
        <v>805</v>
      </c>
      <c r="E277" s="26" t="s">
        <v>806</v>
      </c>
      <c r="F277" s="25" t="s">
        <v>13</v>
      </c>
      <c r="G277" s="25" t="s">
        <v>11</v>
      </c>
      <c r="H277" s="25" t="s">
        <v>11</v>
      </c>
      <c r="I277" s="25" t="s">
        <v>11</v>
      </c>
      <c r="J277" s="10" t="s">
        <v>11</v>
      </c>
      <c r="L277" s="6" t="str">
        <f>IFERROR(VLOOKUP($B277,'LISTA - Setembro2024'!$B$3:$F$539,5,0),"Campo eliminado")</f>
        <v>Y</v>
      </c>
      <c r="M277" s="6" t="str">
        <f t="shared" si="21"/>
        <v>Igual</v>
      </c>
      <c r="N277" s="6" t="str">
        <f>IFERROR(VLOOKUP($B277,'LISTA - Setembro2024'!$B$3:$K$539,6,0),"Campo eliminado")</f>
        <v>N</v>
      </c>
      <c r="O277" s="6" t="str">
        <f t="shared" si="22"/>
        <v>Igual</v>
      </c>
      <c r="P277" s="6" t="str">
        <f>IFERROR(VLOOKUP($B277,'LISTA - Setembro2024'!$B$3:$K$539,7,0),"Campo eliminado")</f>
        <v>N</v>
      </c>
      <c r="Q277" s="6" t="str">
        <f t="shared" si="23"/>
        <v>Igual</v>
      </c>
      <c r="R277" s="6" t="str">
        <f>IFERROR(VLOOKUP($B277,'LISTA - Setembro2024'!$B$3:$K$539,9,0),"Campo eliminado")</f>
        <v>N</v>
      </c>
      <c r="S277" s="6" t="str">
        <f t="shared" si="24"/>
        <v>Igual</v>
      </c>
      <c r="U277" s="6" t="str">
        <f>VLOOKUP(B277,DataLake!$A$4:$A$429,1,0)</f>
        <v>INSTRUMENT_DT_CMPLNT_MRTR_STTS_PRVS_C19</v>
      </c>
    </row>
    <row r="278" spans="1:21" ht="15" hidden="1" customHeight="1" x14ac:dyDescent="0.25">
      <c r="A278" s="7" t="s">
        <v>807</v>
      </c>
      <c r="B278" s="47" t="str">
        <f t="shared" si="20"/>
        <v>INSTRUMENT_MTRTY_LTST_MRTR_C19</v>
      </c>
      <c r="C278" s="8" t="s">
        <v>414</v>
      </c>
      <c r="D278" s="24" t="s">
        <v>808</v>
      </c>
      <c r="E278" s="26" t="s">
        <v>809</v>
      </c>
      <c r="F278" s="25" t="s">
        <v>13</v>
      </c>
      <c r="G278" s="25" t="s">
        <v>11</v>
      </c>
      <c r="H278" s="25" t="s">
        <v>11</v>
      </c>
      <c r="I278" s="25" t="s">
        <v>11</v>
      </c>
      <c r="J278" s="10" t="s">
        <v>11</v>
      </c>
      <c r="L278" s="6" t="str">
        <f>IFERROR(VLOOKUP($B278,'LISTA - Setembro2024'!$B$3:$F$539,5,0),"Campo eliminado")</f>
        <v>Y</v>
      </c>
      <c r="M278" s="6" t="str">
        <f t="shared" si="21"/>
        <v>Igual</v>
      </c>
      <c r="N278" s="6" t="str">
        <f>IFERROR(VLOOKUP($B278,'LISTA - Setembro2024'!$B$3:$K$539,6,0),"Campo eliminado")</f>
        <v>N</v>
      </c>
      <c r="O278" s="6" t="str">
        <f t="shared" si="22"/>
        <v>Igual</v>
      </c>
      <c r="P278" s="6" t="str">
        <f>IFERROR(VLOOKUP($B278,'LISTA - Setembro2024'!$B$3:$K$539,7,0),"Campo eliminado")</f>
        <v>N</v>
      </c>
      <c r="Q278" s="6" t="str">
        <f t="shared" si="23"/>
        <v>Igual</v>
      </c>
      <c r="R278" s="6" t="str">
        <f>IFERROR(VLOOKUP($B278,'LISTA - Setembro2024'!$B$3:$K$539,9,0),"Campo eliminado")</f>
        <v>N</v>
      </c>
      <c r="S278" s="6" t="str">
        <f t="shared" si="24"/>
        <v>Igual</v>
      </c>
      <c r="U278" s="6" t="str">
        <f>VLOOKUP(B278,DataLake!$A$4:$A$429,1,0)</f>
        <v>INSTRUMENT_MTRTY_LTST_MRTR_C19</v>
      </c>
    </row>
    <row r="279" spans="1:21" ht="15" hidden="1" customHeight="1" x14ac:dyDescent="0.25">
      <c r="A279" s="7" t="s">
        <v>810</v>
      </c>
      <c r="B279" s="47" t="str">
        <f t="shared" si="20"/>
        <v>INSTRUMENT_TYP_CMPLNT_MRTR_C19</v>
      </c>
      <c r="C279" s="8" t="s">
        <v>414</v>
      </c>
      <c r="D279" s="24" t="s">
        <v>811</v>
      </c>
      <c r="E279" s="26" t="s">
        <v>812</v>
      </c>
      <c r="F279" s="25" t="s">
        <v>13</v>
      </c>
      <c r="G279" s="25" t="s">
        <v>11</v>
      </c>
      <c r="H279" s="25" t="s">
        <v>11</v>
      </c>
      <c r="I279" s="25" t="s">
        <v>11</v>
      </c>
      <c r="J279" s="10" t="s">
        <v>11</v>
      </c>
      <c r="L279" s="6" t="str">
        <f>IFERROR(VLOOKUP($B279,'LISTA - Setembro2024'!$B$3:$F$539,5,0),"Campo eliminado")</f>
        <v>Y</v>
      </c>
      <c r="M279" s="6" t="str">
        <f t="shared" si="21"/>
        <v>Igual</v>
      </c>
      <c r="N279" s="6" t="str">
        <f>IFERROR(VLOOKUP($B279,'LISTA - Setembro2024'!$B$3:$K$539,6,0),"Campo eliminado")</f>
        <v>N</v>
      </c>
      <c r="O279" s="6" t="str">
        <f t="shared" si="22"/>
        <v>Igual</v>
      </c>
      <c r="P279" s="6" t="str">
        <f>IFERROR(VLOOKUP($B279,'LISTA - Setembro2024'!$B$3:$K$539,7,0),"Campo eliminado")</f>
        <v>N</v>
      </c>
      <c r="Q279" s="6" t="str">
        <f t="shared" si="23"/>
        <v>Igual</v>
      </c>
      <c r="R279" s="6" t="str">
        <f>IFERROR(VLOOKUP($B279,'LISTA - Setembro2024'!$B$3:$K$539,9,0),"Campo eliminado")</f>
        <v>N</v>
      </c>
      <c r="S279" s="6" t="str">
        <f t="shared" si="24"/>
        <v>Igual</v>
      </c>
      <c r="U279" s="6" t="str">
        <f>VLOOKUP(B279,DataLake!$A$4:$A$429,1,0)</f>
        <v>INSTRUMENT_TYP_CMPLNT_MRTR_C19</v>
      </c>
    </row>
    <row r="280" spans="1:21" ht="15" hidden="1" customHeight="1" x14ac:dyDescent="0.25">
      <c r="A280" s="7" t="s">
        <v>813</v>
      </c>
      <c r="B280" s="47" t="str">
        <f t="shared" si="20"/>
        <v>INSTRUMENT_GRC_PRD_CPTL_INTRST_C19</v>
      </c>
      <c r="C280" s="8" t="s">
        <v>414</v>
      </c>
      <c r="D280" s="24" t="s">
        <v>814</v>
      </c>
      <c r="E280" s="26" t="s">
        <v>815</v>
      </c>
      <c r="F280" s="25" t="s">
        <v>13</v>
      </c>
      <c r="G280" s="25" t="s">
        <v>11</v>
      </c>
      <c r="H280" s="25" t="s">
        <v>11</v>
      </c>
      <c r="I280" s="25" t="s">
        <v>11</v>
      </c>
      <c r="J280" s="10" t="s">
        <v>11</v>
      </c>
      <c r="L280" s="6" t="str">
        <f>IFERROR(VLOOKUP($B280,'LISTA - Setembro2024'!$B$3:$F$539,5,0),"Campo eliminado")</f>
        <v>Y</v>
      </c>
      <c r="M280" s="6" t="str">
        <f t="shared" si="21"/>
        <v>Igual</v>
      </c>
      <c r="N280" s="6" t="str">
        <f>IFERROR(VLOOKUP($B280,'LISTA - Setembro2024'!$B$3:$K$539,6,0),"Campo eliminado")</f>
        <v>N</v>
      </c>
      <c r="O280" s="6" t="str">
        <f t="shared" si="22"/>
        <v>Igual</v>
      </c>
      <c r="P280" s="6" t="str">
        <f>IFERROR(VLOOKUP($B280,'LISTA - Setembro2024'!$B$3:$K$539,7,0),"Campo eliminado")</f>
        <v>N</v>
      </c>
      <c r="Q280" s="6" t="str">
        <f t="shared" si="23"/>
        <v>Igual</v>
      </c>
      <c r="R280" s="6" t="str">
        <f>IFERROR(VLOOKUP($B280,'LISTA - Setembro2024'!$B$3:$K$539,9,0),"Campo eliminado")</f>
        <v>N</v>
      </c>
      <c r="S280" s="6" t="str">
        <f t="shared" si="24"/>
        <v>Igual</v>
      </c>
      <c r="U280" s="6" t="str">
        <f>VLOOKUP(B280,DataLake!$A$4:$A$429,1,0)</f>
        <v>INSTRUMENT_GRC_PRD_CPTL_INTRST_C19</v>
      </c>
    </row>
    <row r="281" spans="1:21" ht="15" hidden="1" customHeight="1" x14ac:dyDescent="0.25">
      <c r="A281" s="7" t="s">
        <v>816</v>
      </c>
      <c r="B281" s="47" t="str">
        <f t="shared" si="20"/>
        <v>INSTRUMENT_CMPLNT_MRTR_C19_NM</v>
      </c>
      <c r="C281" s="8" t="s">
        <v>414</v>
      </c>
      <c r="D281" s="24" t="s">
        <v>817</v>
      </c>
      <c r="E281" s="26" t="s">
        <v>818</v>
      </c>
      <c r="F281" s="25" t="s">
        <v>13</v>
      </c>
      <c r="G281" s="25" t="s">
        <v>11</v>
      </c>
      <c r="H281" s="25" t="s">
        <v>11</v>
      </c>
      <c r="I281" s="25" t="s">
        <v>11</v>
      </c>
      <c r="J281" s="10" t="s">
        <v>11</v>
      </c>
      <c r="L281" s="6" t="str">
        <f>IFERROR(VLOOKUP($B281,'LISTA - Setembro2024'!$B$3:$F$539,5,0),"Campo eliminado")</f>
        <v>Y</v>
      </c>
      <c r="M281" s="6" t="str">
        <f t="shared" si="21"/>
        <v>Igual</v>
      </c>
      <c r="N281" s="6" t="str">
        <f>IFERROR(VLOOKUP($B281,'LISTA - Setembro2024'!$B$3:$K$539,6,0),"Campo eliminado")</f>
        <v>N</v>
      </c>
      <c r="O281" s="6" t="str">
        <f t="shared" si="22"/>
        <v>Igual</v>
      </c>
      <c r="P281" s="6" t="str">
        <f>IFERROR(VLOOKUP($B281,'LISTA - Setembro2024'!$B$3:$K$539,7,0),"Campo eliminado")</f>
        <v>N</v>
      </c>
      <c r="Q281" s="6" t="str">
        <f t="shared" si="23"/>
        <v>Igual</v>
      </c>
      <c r="R281" s="6" t="str">
        <f>IFERROR(VLOOKUP($B281,'LISTA - Setembro2024'!$B$3:$K$539,9,0),"Campo eliminado")</f>
        <v>N</v>
      </c>
      <c r="S281" s="6" t="str">
        <f t="shared" si="24"/>
        <v>Igual</v>
      </c>
      <c r="U281" s="6" t="str">
        <f>VLOOKUP(B281,DataLake!$A$4:$A$429,1,0)</f>
        <v>INSTRUMENT_CMPLNT_MRTR_C19_NM</v>
      </c>
    </row>
    <row r="282" spans="1:21" ht="15" hidden="1" customHeight="1" x14ac:dyDescent="0.25">
      <c r="A282" s="7" t="s">
        <v>819</v>
      </c>
      <c r="B282" s="47" t="str">
        <f t="shared" si="20"/>
        <v>INSTRUMENT_FRBRNC_STTS_C19</v>
      </c>
      <c r="C282" s="8" t="s">
        <v>414</v>
      </c>
      <c r="D282" s="24" t="s">
        <v>820</v>
      </c>
      <c r="E282" s="26" t="s">
        <v>821</v>
      </c>
      <c r="F282" s="25" t="s">
        <v>13</v>
      </c>
      <c r="G282" s="25" t="s">
        <v>11</v>
      </c>
      <c r="H282" s="25" t="s">
        <v>11</v>
      </c>
      <c r="I282" s="25" t="s">
        <v>11</v>
      </c>
      <c r="J282" s="10" t="s">
        <v>11</v>
      </c>
      <c r="L282" s="6" t="str">
        <f>IFERROR(VLOOKUP($B282,'LISTA - Setembro2024'!$B$3:$F$539,5,0),"Campo eliminado")</f>
        <v>Y</v>
      </c>
      <c r="M282" s="6" t="str">
        <f t="shared" si="21"/>
        <v>Igual</v>
      </c>
      <c r="N282" s="6" t="str">
        <f>IFERROR(VLOOKUP($B282,'LISTA - Setembro2024'!$B$3:$K$539,6,0),"Campo eliminado")</f>
        <v>N</v>
      </c>
      <c r="O282" s="6" t="str">
        <f t="shared" si="22"/>
        <v>Igual</v>
      </c>
      <c r="P282" s="6" t="str">
        <f>IFERROR(VLOOKUP($B282,'LISTA - Setembro2024'!$B$3:$K$539,7,0),"Campo eliminado")</f>
        <v>N</v>
      </c>
      <c r="Q282" s="6" t="str">
        <f t="shared" si="23"/>
        <v>Igual</v>
      </c>
      <c r="R282" s="6" t="str">
        <f>IFERROR(VLOOKUP($B282,'LISTA - Setembro2024'!$B$3:$K$539,9,0),"Campo eliminado")</f>
        <v>N</v>
      </c>
      <c r="S282" s="6" t="str">
        <f t="shared" si="24"/>
        <v>Igual</v>
      </c>
      <c r="U282" s="6" t="str">
        <f>VLOOKUP(B282,DataLake!$A$4:$A$429,1,0)</f>
        <v>INSTRUMENT_FRBRNC_STTS_C19</v>
      </c>
    </row>
    <row r="283" spans="1:21" ht="15" hidden="1" customHeight="1" x14ac:dyDescent="0.25">
      <c r="A283" s="7" t="s">
        <v>822</v>
      </c>
      <c r="B283" s="47" t="str">
        <f t="shared" si="20"/>
        <v>INSTRUMENT_DT_FRBRNC_STTS_C19</v>
      </c>
      <c r="C283" s="8" t="s">
        <v>414</v>
      </c>
      <c r="D283" s="24" t="s">
        <v>823</v>
      </c>
      <c r="E283" s="26" t="s">
        <v>824</v>
      </c>
      <c r="F283" s="25" t="s">
        <v>13</v>
      </c>
      <c r="G283" s="25" t="s">
        <v>11</v>
      </c>
      <c r="H283" s="25" t="s">
        <v>11</v>
      </c>
      <c r="I283" s="25" t="s">
        <v>11</v>
      </c>
      <c r="J283" s="10" t="s">
        <v>11</v>
      </c>
      <c r="L283" s="6" t="str">
        <f>IFERROR(VLOOKUP($B283,'LISTA - Setembro2024'!$B$3:$F$539,5,0),"Campo eliminado")</f>
        <v>Y</v>
      </c>
      <c r="M283" s="6" t="str">
        <f t="shared" si="21"/>
        <v>Igual</v>
      </c>
      <c r="N283" s="6" t="str">
        <f>IFERROR(VLOOKUP($B283,'LISTA - Setembro2024'!$B$3:$K$539,6,0),"Campo eliminado")</f>
        <v>N</v>
      </c>
      <c r="O283" s="6" t="str">
        <f t="shared" si="22"/>
        <v>Igual</v>
      </c>
      <c r="P283" s="6" t="str">
        <f>IFERROR(VLOOKUP($B283,'LISTA - Setembro2024'!$B$3:$K$539,7,0),"Campo eliminado")</f>
        <v>N</v>
      </c>
      <c r="Q283" s="6" t="str">
        <f t="shared" si="23"/>
        <v>Igual</v>
      </c>
      <c r="R283" s="6" t="str">
        <f>IFERROR(VLOOKUP($B283,'LISTA - Setembro2024'!$B$3:$K$539,9,0),"Campo eliminado")</f>
        <v>N</v>
      </c>
      <c r="S283" s="6" t="str">
        <f t="shared" si="24"/>
        <v>Igual</v>
      </c>
      <c r="U283" s="6" t="str">
        <f>VLOOKUP(B283,DataLake!$A$4:$A$429,1,0)</f>
        <v>INSTRUMENT_DT_FRBRNC_STTS_C19</v>
      </c>
    </row>
    <row r="284" spans="1:21" ht="15" hidden="1" customHeight="1" x14ac:dyDescent="0.25">
      <c r="A284" s="7" t="s">
        <v>825</v>
      </c>
      <c r="B284" s="47" t="str">
        <f t="shared" si="20"/>
        <v>INSTRUMENT_DT_FRBRNC_STTS_PRVS_C19</v>
      </c>
      <c r="C284" s="8" t="s">
        <v>414</v>
      </c>
      <c r="D284" s="24" t="s">
        <v>826</v>
      </c>
      <c r="E284" s="26" t="s">
        <v>827</v>
      </c>
      <c r="F284" s="25" t="s">
        <v>13</v>
      </c>
      <c r="G284" s="25" t="s">
        <v>11</v>
      </c>
      <c r="H284" s="25" t="s">
        <v>11</v>
      </c>
      <c r="I284" s="25" t="s">
        <v>11</v>
      </c>
      <c r="J284" s="10" t="s">
        <v>11</v>
      </c>
      <c r="L284" s="6" t="str">
        <f>IFERROR(VLOOKUP($B284,'LISTA - Setembro2024'!$B$3:$F$539,5,0),"Campo eliminado")</f>
        <v>Y</v>
      </c>
      <c r="M284" s="6" t="str">
        <f t="shared" si="21"/>
        <v>Igual</v>
      </c>
      <c r="N284" s="6" t="str">
        <f>IFERROR(VLOOKUP($B284,'LISTA - Setembro2024'!$B$3:$K$539,6,0),"Campo eliminado")</f>
        <v>N</v>
      </c>
      <c r="O284" s="6" t="str">
        <f t="shared" si="22"/>
        <v>Igual</v>
      </c>
      <c r="P284" s="6" t="str">
        <f>IFERROR(VLOOKUP($B284,'LISTA - Setembro2024'!$B$3:$K$539,7,0),"Campo eliminado")</f>
        <v>N</v>
      </c>
      <c r="Q284" s="6" t="str">
        <f t="shared" si="23"/>
        <v>Igual</v>
      </c>
      <c r="R284" s="6" t="str">
        <f>IFERROR(VLOOKUP($B284,'LISTA - Setembro2024'!$B$3:$K$539,9,0),"Campo eliminado")</f>
        <v>N</v>
      </c>
      <c r="S284" s="6" t="str">
        <f t="shared" si="24"/>
        <v>Igual</v>
      </c>
      <c r="U284" s="6" t="str">
        <f>VLOOKUP(B284,DataLake!$A$4:$A$429,1,0)</f>
        <v>INSTRUMENT_DT_FRBRNC_STTS_PRVS_C19</v>
      </c>
    </row>
    <row r="285" spans="1:21" ht="15" hidden="1" customHeight="1" x14ac:dyDescent="0.25">
      <c r="A285" s="7" t="s">
        <v>828</v>
      </c>
      <c r="B285" s="47" t="str">
        <f t="shared" si="20"/>
        <v>INSTRUMENT_MTRTY_LTST_FRBRNC_MSR_C19</v>
      </c>
      <c r="C285" s="8" t="s">
        <v>414</v>
      </c>
      <c r="D285" s="24" t="s">
        <v>829</v>
      </c>
      <c r="E285" s="26" t="s">
        <v>830</v>
      </c>
      <c r="F285" s="25" t="s">
        <v>13</v>
      </c>
      <c r="G285" s="25" t="s">
        <v>11</v>
      </c>
      <c r="H285" s="25" t="s">
        <v>11</v>
      </c>
      <c r="I285" s="25" t="s">
        <v>11</v>
      </c>
      <c r="J285" s="10" t="s">
        <v>11</v>
      </c>
      <c r="L285" s="6" t="str">
        <f>IFERROR(VLOOKUP($B285,'LISTA - Setembro2024'!$B$3:$F$539,5,0),"Campo eliminado")</f>
        <v>Y</v>
      </c>
      <c r="M285" s="6" t="str">
        <f t="shared" si="21"/>
        <v>Igual</v>
      </c>
      <c r="N285" s="6" t="str">
        <f>IFERROR(VLOOKUP($B285,'LISTA - Setembro2024'!$B$3:$K$539,6,0),"Campo eliminado")</f>
        <v>N</v>
      </c>
      <c r="O285" s="6" t="str">
        <f t="shared" si="22"/>
        <v>Igual</v>
      </c>
      <c r="P285" s="6" t="str">
        <f>IFERROR(VLOOKUP($B285,'LISTA - Setembro2024'!$B$3:$K$539,7,0),"Campo eliminado")</f>
        <v>N</v>
      </c>
      <c r="Q285" s="6" t="str">
        <f t="shared" si="23"/>
        <v>Igual</v>
      </c>
      <c r="R285" s="6" t="str">
        <f>IFERROR(VLOOKUP($B285,'LISTA - Setembro2024'!$B$3:$K$539,9,0),"Campo eliminado")</f>
        <v>N</v>
      </c>
      <c r="S285" s="6" t="str">
        <f t="shared" si="24"/>
        <v>Igual</v>
      </c>
      <c r="U285" s="6" t="str">
        <f>VLOOKUP(B285,DataLake!$A$4:$A$429,1,0)</f>
        <v>INSTRUMENT_MTRTY_LTST_FRBRNC_MSR_C19</v>
      </c>
    </row>
    <row r="286" spans="1:21" ht="15" hidden="1" customHeight="1" x14ac:dyDescent="0.25">
      <c r="A286" s="7" t="s">
        <v>831</v>
      </c>
      <c r="B286" s="47" t="str">
        <f t="shared" si="20"/>
        <v>INSTRUMENT_DT_END_GP_PPAL_C19</v>
      </c>
      <c r="C286" s="8" t="s">
        <v>414</v>
      </c>
      <c r="D286" s="24" t="s">
        <v>832</v>
      </c>
      <c r="E286" s="26" t="s">
        <v>833</v>
      </c>
      <c r="F286" s="25" t="s">
        <v>13</v>
      </c>
      <c r="G286" s="25" t="s">
        <v>11</v>
      </c>
      <c r="H286" s="25" t="s">
        <v>11</v>
      </c>
      <c r="I286" s="25" t="s">
        <v>11</v>
      </c>
      <c r="J286" s="10" t="s">
        <v>11</v>
      </c>
      <c r="L286" s="6" t="str">
        <f>IFERROR(VLOOKUP($B286,'LISTA - Setembro2024'!$B$3:$F$539,5,0),"Campo eliminado")</f>
        <v>Y</v>
      </c>
      <c r="M286" s="6" t="str">
        <f t="shared" si="21"/>
        <v>Igual</v>
      </c>
      <c r="N286" s="6" t="str">
        <f>IFERROR(VLOOKUP($B286,'LISTA - Setembro2024'!$B$3:$K$539,6,0),"Campo eliminado")</f>
        <v>N</v>
      </c>
      <c r="O286" s="6" t="str">
        <f t="shared" si="22"/>
        <v>Igual</v>
      </c>
      <c r="P286" s="6" t="str">
        <f>IFERROR(VLOOKUP($B286,'LISTA - Setembro2024'!$B$3:$K$539,7,0),"Campo eliminado")</f>
        <v>N</v>
      </c>
      <c r="Q286" s="6" t="str">
        <f t="shared" si="23"/>
        <v>Igual</v>
      </c>
      <c r="R286" s="6" t="str">
        <f>IFERROR(VLOOKUP($B286,'LISTA - Setembro2024'!$B$3:$K$539,9,0),"Campo eliminado")</f>
        <v>N</v>
      </c>
      <c r="S286" s="6" t="str">
        <f t="shared" si="24"/>
        <v>Igual</v>
      </c>
      <c r="U286" s="6" t="str">
        <f>VLOOKUP(B286,DataLake!$A$4:$A$429,1,0)</f>
        <v>INSTRUMENT_DT_END_GP_PPAL_C19</v>
      </c>
    </row>
    <row r="287" spans="1:21" ht="15" hidden="1" customHeight="1" x14ac:dyDescent="0.25">
      <c r="A287" s="7" t="s">
        <v>834</v>
      </c>
      <c r="B287" s="47" t="str">
        <f t="shared" si="20"/>
        <v>INSTRUMENT_DT_END_INTRST_ONLY_C19</v>
      </c>
      <c r="C287" s="8" t="s">
        <v>414</v>
      </c>
      <c r="D287" s="24" t="s">
        <v>835</v>
      </c>
      <c r="E287" s="26" t="s">
        <v>836</v>
      </c>
      <c r="F287" s="25" t="s">
        <v>13</v>
      </c>
      <c r="G287" s="25" t="s">
        <v>11</v>
      </c>
      <c r="H287" s="25" t="s">
        <v>11</v>
      </c>
      <c r="I287" s="25" t="s">
        <v>11</v>
      </c>
      <c r="J287" s="10" t="s">
        <v>11</v>
      </c>
      <c r="L287" s="6" t="str">
        <f>IFERROR(VLOOKUP($B287,'LISTA - Setembro2024'!$B$3:$F$539,5,0),"Campo eliminado")</f>
        <v>Y</v>
      </c>
      <c r="M287" s="6" t="str">
        <f t="shared" si="21"/>
        <v>Igual</v>
      </c>
      <c r="N287" s="6" t="str">
        <f>IFERROR(VLOOKUP($B287,'LISTA - Setembro2024'!$B$3:$K$539,6,0),"Campo eliminado")</f>
        <v>N</v>
      </c>
      <c r="O287" s="6" t="str">
        <f t="shared" si="22"/>
        <v>Igual</v>
      </c>
      <c r="P287" s="6" t="str">
        <f>IFERROR(VLOOKUP($B287,'LISTA - Setembro2024'!$B$3:$K$539,7,0),"Campo eliminado")</f>
        <v>N</v>
      </c>
      <c r="Q287" s="6" t="str">
        <f t="shared" si="23"/>
        <v>Igual</v>
      </c>
      <c r="R287" s="6" t="str">
        <f>IFERROR(VLOOKUP($B287,'LISTA - Setembro2024'!$B$3:$K$539,9,0),"Campo eliminado")</f>
        <v>N</v>
      </c>
      <c r="S287" s="6" t="str">
        <f t="shared" si="24"/>
        <v>Igual</v>
      </c>
      <c r="U287" s="6" t="str">
        <f>VLOOKUP(B287,DataLake!$A$4:$A$429,1,0)</f>
        <v>INSTRUMENT_DT_END_INTRST_ONLY_C19</v>
      </c>
    </row>
    <row r="288" spans="1:21" ht="15" hidden="1" customHeight="1" x14ac:dyDescent="0.25">
      <c r="A288" s="7" t="s">
        <v>837</v>
      </c>
      <c r="B288" s="47" t="str">
        <f t="shared" si="20"/>
        <v>INSTRUMENT_SBJCT_PBLC_GRNT_SCHM_C19</v>
      </c>
      <c r="C288" s="8" t="s">
        <v>414</v>
      </c>
      <c r="D288" s="24" t="s">
        <v>838</v>
      </c>
      <c r="E288" s="26" t="s">
        <v>839</v>
      </c>
      <c r="F288" s="25" t="s">
        <v>13</v>
      </c>
      <c r="G288" s="25" t="s">
        <v>11</v>
      </c>
      <c r="H288" s="25" t="s">
        <v>11</v>
      </c>
      <c r="I288" s="25" t="s">
        <v>11</v>
      </c>
      <c r="J288" s="10" t="s">
        <v>11</v>
      </c>
      <c r="L288" s="6" t="str">
        <f>IFERROR(VLOOKUP($B288,'LISTA - Setembro2024'!$B$3:$F$539,5,0),"Campo eliminado")</f>
        <v>Y</v>
      </c>
      <c r="M288" s="6" t="str">
        <f t="shared" si="21"/>
        <v>Igual</v>
      </c>
      <c r="N288" s="6" t="str">
        <f>IFERROR(VLOOKUP($B288,'LISTA - Setembro2024'!$B$3:$K$539,6,0),"Campo eliminado")</f>
        <v>N</v>
      </c>
      <c r="O288" s="6" t="str">
        <f t="shared" si="22"/>
        <v>Igual</v>
      </c>
      <c r="P288" s="6" t="str">
        <f>IFERROR(VLOOKUP($B288,'LISTA - Setembro2024'!$B$3:$K$539,7,0),"Campo eliminado")</f>
        <v>N</v>
      </c>
      <c r="Q288" s="6" t="str">
        <f t="shared" si="23"/>
        <v>Igual</v>
      </c>
      <c r="R288" s="6" t="str">
        <f>IFERROR(VLOOKUP($B288,'LISTA - Setembro2024'!$B$3:$K$539,9,0),"Campo eliminado")</f>
        <v>N</v>
      </c>
      <c r="S288" s="6" t="str">
        <f t="shared" si="24"/>
        <v>Igual</v>
      </c>
      <c r="U288" s="6" t="str">
        <f>VLOOKUP(B288,DataLake!$A$4:$A$429,1,0)</f>
        <v>INSTRUMENT_SBJCT_PBLC_GRNT_SCHM_C19</v>
      </c>
    </row>
    <row r="289" spans="1:21" ht="15" hidden="1" customHeight="1" x14ac:dyDescent="0.25">
      <c r="A289" s="7" t="s">
        <v>840</v>
      </c>
      <c r="B289" s="47" t="str">
        <f t="shared" si="20"/>
        <v>INSTRUMENT_PBLC_GRNT_SCHM_C19_NM</v>
      </c>
      <c r="C289" s="8" t="s">
        <v>414</v>
      </c>
      <c r="D289" s="24" t="s">
        <v>841</v>
      </c>
      <c r="E289" s="26" t="s">
        <v>842</v>
      </c>
      <c r="F289" s="25" t="s">
        <v>13</v>
      </c>
      <c r="G289" s="25" t="s">
        <v>11</v>
      </c>
      <c r="H289" s="25" t="s">
        <v>11</v>
      </c>
      <c r="I289" s="25" t="s">
        <v>11</v>
      </c>
      <c r="J289" s="10" t="s">
        <v>11</v>
      </c>
      <c r="L289" s="6" t="str">
        <f>IFERROR(VLOOKUP($B289,'LISTA - Setembro2024'!$B$3:$F$539,5,0),"Campo eliminado")</f>
        <v>Y</v>
      </c>
      <c r="M289" s="6" t="str">
        <f t="shared" si="21"/>
        <v>Igual</v>
      </c>
      <c r="N289" s="6" t="str">
        <f>IFERROR(VLOOKUP($B289,'LISTA - Setembro2024'!$B$3:$K$539,6,0),"Campo eliminado")</f>
        <v>N</v>
      </c>
      <c r="O289" s="6" t="str">
        <f t="shared" si="22"/>
        <v>Igual</v>
      </c>
      <c r="P289" s="6" t="str">
        <f>IFERROR(VLOOKUP($B289,'LISTA - Setembro2024'!$B$3:$K$539,7,0),"Campo eliminado")</f>
        <v>N</v>
      </c>
      <c r="Q289" s="6" t="str">
        <f t="shared" si="23"/>
        <v>Igual</v>
      </c>
      <c r="R289" s="6" t="str">
        <f>IFERROR(VLOOKUP($B289,'LISTA - Setembro2024'!$B$3:$K$539,9,0),"Campo eliminado")</f>
        <v>N</v>
      </c>
      <c r="S289" s="6" t="str">
        <f t="shared" si="24"/>
        <v>Igual</v>
      </c>
      <c r="U289" s="6" t="str">
        <f>VLOOKUP(B289,DataLake!$A$4:$A$429,1,0)</f>
        <v>INSTRUMENT_PBLC_GRNT_SCHM_C19_NM</v>
      </c>
    </row>
    <row r="290" spans="1:21" ht="15" hidden="1" customHeight="1" x14ac:dyDescent="0.25">
      <c r="A290" s="7" t="s">
        <v>843</v>
      </c>
      <c r="B290" s="47" t="str">
        <f t="shared" si="20"/>
        <v>INSTRUMENT_PMNT_PBLC_GRNT_SCHM_C19</v>
      </c>
      <c r="C290" s="8" t="s">
        <v>414</v>
      </c>
      <c r="D290" s="24" t="s">
        <v>844</v>
      </c>
      <c r="E290" s="26" t="s">
        <v>845</v>
      </c>
      <c r="F290" s="25" t="s">
        <v>13</v>
      </c>
      <c r="G290" s="25" t="s">
        <v>11</v>
      </c>
      <c r="H290" s="25" t="s">
        <v>11</v>
      </c>
      <c r="I290" s="25" t="s">
        <v>11</v>
      </c>
      <c r="J290" s="10" t="s">
        <v>11</v>
      </c>
      <c r="L290" s="6" t="str">
        <f>IFERROR(VLOOKUP($B290,'LISTA - Setembro2024'!$B$3:$F$539,5,0),"Campo eliminado")</f>
        <v>Y</v>
      </c>
      <c r="M290" s="6" t="str">
        <f t="shared" si="21"/>
        <v>Igual</v>
      </c>
      <c r="N290" s="6" t="str">
        <f>IFERROR(VLOOKUP($B290,'LISTA - Setembro2024'!$B$3:$K$539,6,0),"Campo eliminado")</f>
        <v>N</v>
      </c>
      <c r="O290" s="6" t="str">
        <f t="shared" si="22"/>
        <v>Igual</v>
      </c>
      <c r="P290" s="6" t="str">
        <f>IFERROR(VLOOKUP($B290,'LISTA - Setembro2024'!$B$3:$K$539,7,0),"Campo eliminado")</f>
        <v>N</v>
      </c>
      <c r="Q290" s="6" t="str">
        <f t="shared" si="23"/>
        <v>Igual</v>
      </c>
      <c r="R290" s="6" t="str">
        <f>IFERROR(VLOOKUP($B290,'LISTA - Setembro2024'!$B$3:$K$539,9,0),"Campo eliminado")</f>
        <v>N</v>
      </c>
      <c r="S290" s="6" t="str">
        <f t="shared" si="24"/>
        <v>Igual</v>
      </c>
      <c r="U290" s="6" t="str">
        <f>VLOOKUP(B290,DataLake!$A$4:$A$429,1,0)</f>
        <v>INSTRUMENT_PMNT_PBLC_GRNT_SCHM_C19</v>
      </c>
    </row>
    <row r="291" spans="1:21" ht="15" hidden="1" customHeight="1" x14ac:dyDescent="0.25">
      <c r="A291" s="7" t="s">
        <v>846</v>
      </c>
      <c r="B291" s="47" t="str">
        <f t="shared" si="20"/>
        <v>INSTRUMENT_ASST_SCRT_CLSS</v>
      </c>
      <c r="C291" s="8" t="s">
        <v>414</v>
      </c>
      <c r="D291" s="9" t="s">
        <v>847</v>
      </c>
      <c r="E291" s="11" t="s">
        <v>848</v>
      </c>
      <c r="F291" s="10" t="s">
        <v>13</v>
      </c>
      <c r="G291" s="10" t="s">
        <v>11</v>
      </c>
      <c r="H291" s="10" t="s">
        <v>11</v>
      </c>
      <c r="I291" s="10" t="s">
        <v>11</v>
      </c>
      <c r="J291" s="10" t="s">
        <v>11</v>
      </c>
      <c r="L291" s="6" t="str">
        <f>IFERROR(VLOOKUP($B291,'LISTA - Setembro2024'!$B$3:$F$539,5,0),"Campo eliminado")</f>
        <v>Y</v>
      </c>
      <c r="M291" s="6" t="str">
        <f t="shared" si="21"/>
        <v>Igual</v>
      </c>
      <c r="N291" s="6" t="str">
        <f>IFERROR(VLOOKUP($B291,'LISTA - Setembro2024'!$B$3:$K$539,6,0),"Campo eliminado")</f>
        <v>N</v>
      </c>
      <c r="O291" s="6" t="str">
        <f t="shared" si="22"/>
        <v>Igual</v>
      </c>
      <c r="P291" s="6" t="str">
        <f>IFERROR(VLOOKUP($B291,'LISTA - Setembro2024'!$B$3:$K$539,7,0),"Campo eliminado")</f>
        <v>N</v>
      </c>
      <c r="Q291" s="6" t="str">
        <f t="shared" si="23"/>
        <v>Igual</v>
      </c>
      <c r="R291" s="6" t="str">
        <f>IFERROR(VLOOKUP($B291,'LISTA - Setembro2024'!$B$3:$K$539,9,0),"Campo eliminado")</f>
        <v>N</v>
      </c>
      <c r="S291" s="6" t="str">
        <f t="shared" si="24"/>
        <v>Igual</v>
      </c>
      <c r="U291" s="6" t="str">
        <f>VLOOKUP(B291,DataLake!$A$4:$A$429,1,0)</f>
        <v>INSTRUMENT_ASST_SCRT_CLSS</v>
      </c>
    </row>
    <row r="292" spans="1:21" ht="15" hidden="1" customHeight="1" x14ac:dyDescent="0.25">
      <c r="A292" s="7" t="s">
        <v>849</v>
      </c>
      <c r="B292" s="47" t="str">
        <f t="shared" si="20"/>
        <v>INSTRUMENT_CPN_CRRNCY</v>
      </c>
      <c r="C292" s="8" t="s">
        <v>414</v>
      </c>
      <c r="D292" s="9" t="s">
        <v>850</v>
      </c>
      <c r="E292" s="11" t="s">
        <v>851</v>
      </c>
      <c r="F292" s="10" t="s">
        <v>13</v>
      </c>
      <c r="G292" s="10" t="s">
        <v>11</v>
      </c>
      <c r="H292" s="10" t="s">
        <v>11</v>
      </c>
      <c r="I292" s="10" t="s">
        <v>11</v>
      </c>
      <c r="J292" s="10" t="s">
        <v>11</v>
      </c>
      <c r="L292" s="6" t="str">
        <f>IFERROR(VLOOKUP($B292,'LISTA - Setembro2024'!$B$3:$F$539,5,0),"Campo eliminado")</f>
        <v>Y</v>
      </c>
      <c r="M292" s="6" t="str">
        <f t="shared" si="21"/>
        <v>Igual</v>
      </c>
      <c r="N292" s="6" t="str">
        <f>IFERROR(VLOOKUP($B292,'LISTA - Setembro2024'!$B$3:$K$539,6,0),"Campo eliminado")</f>
        <v>N</v>
      </c>
      <c r="O292" s="6" t="str">
        <f t="shared" si="22"/>
        <v>Igual</v>
      </c>
      <c r="P292" s="6" t="str">
        <f>IFERROR(VLOOKUP($B292,'LISTA - Setembro2024'!$B$3:$K$539,7,0),"Campo eliminado")</f>
        <v>N</v>
      </c>
      <c r="Q292" s="6" t="str">
        <f t="shared" si="23"/>
        <v>Igual</v>
      </c>
      <c r="R292" s="6" t="str">
        <f>IFERROR(VLOOKUP($B292,'LISTA - Setembro2024'!$B$3:$K$539,9,0),"Campo eliminado")</f>
        <v>N</v>
      </c>
      <c r="S292" s="6" t="str">
        <f t="shared" si="24"/>
        <v>Igual</v>
      </c>
      <c r="U292" s="6" t="str">
        <f>VLOOKUP(B292,DataLake!$A$4:$A$429,1,0)</f>
        <v>INSTRUMENT_CPN_CRRNCY</v>
      </c>
    </row>
    <row r="293" spans="1:21" ht="15" hidden="1" customHeight="1" x14ac:dyDescent="0.25">
      <c r="A293" s="7" t="s">
        <v>852</v>
      </c>
      <c r="B293" s="47" t="str">
        <f t="shared" si="20"/>
        <v>INSTRUMENT_CPN_RT</v>
      </c>
      <c r="C293" s="8" t="s">
        <v>414</v>
      </c>
      <c r="D293" s="9" t="s">
        <v>853</v>
      </c>
      <c r="E293" s="11" t="s">
        <v>854</v>
      </c>
      <c r="F293" s="10" t="s">
        <v>13</v>
      </c>
      <c r="G293" s="10" t="s">
        <v>11</v>
      </c>
      <c r="H293" s="10" t="s">
        <v>11</v>
      </c>
      <c r="I293" s="10" t="s">
        <v>11</v>
      </c>
      <c r="J293" s="10" t="s">
        <v>11</v>
      </c>
      <c r="L293" s="6" t="str">
        <f>IFERROR(VLOOKUP($B293,'LISTA - Setembro2024'!$B$3:$F$539,5,0),"Campo eliminado")</f>
        <v>Campo eliminado</v>
      </c>
      <c r="M293" s="6" t="str">
        <f t="shared" si="21"/>
        <v>Campo eliminado</v>
      </c>
      <c r="N293" s="6" t="str">
        <f>IFERROR(VLOOKUP($B293,'LISTA - Setembro2024'!$B$3:$K$539,6,0),"Campo eliminado")</f>
        <v>Campo eliminado</v>
      </c>
      <c r="O293" s="6" t="str">
        <f t="shared" si="22"/>
        <v>Campo eliminado</v>
      </c>
      <c r="P293" s="6" t="str">
        <f>IFERROR(VLOOKUP($B293,'LISTA - Setembro2024'!$B$3:$K$539,7,0),"Campo eliminado")</f>
        <v>Campo eliminado</v>
      </c>
      <c r="Q293" s="6" t="str">
        <f t="shared" si="23"/>
        <v>Campo eliminado</v>
      </c>
      <c r="R293" s="6" t="str">
        <f>IFERROR(VLOOKUP($B293,'LISTA - Setembro2024'!$B$3:$K$539,9,0),"Campo eliminado")</f>
        <v>Campo eliminado</v>
      </c>
      <c r="S293" s="6" t="str">
        <f t="shared" si="24"/>
        <v>Campo eliminado</v>
      </c>
      <c r="U293" s="6" t="str">
        <f>VLOOKUP(B293,DataLake!$A$4:$A$429,1,0)</f>
        <v>INSTRUMENT_CPN_RT</v>
      </c>
    </row>
    <row r="294" spans="1:21" ht="15" hidden="1" customHeight="1" x14ac:dyDescent="0.25">
      <c r="A294" s="7" t="s">
        <v>856</v>
      </c>
      <c r="B294" s="47" t="str">
        <f t="shared" si="20"/>
        <v>INSTRUMENT_DT_VLTN</v>
      </c>
      <c r="C294" s="8" t="s">
        <v>414</v>
      </c>
      <c r="D294" s="9" t="s">
        <v>857</v>
      </c>
      <c r="E294" s="11" t="s">
        <v>858</v>
      </c>
      <c r="F294" s="10" t="s">
        <v>13</v>
      </c>
      <c r="G294" s="10" t="s">
        <v>11</v>
      </c>
      <c r="H294" s="10" t="s">
        <v>11</v>
      </c>
      <c r="I294" s="10" t="s">
        <v>11</v>
      </c>
      <c r="J294" s="10" t="s">
        <v>11</v>
      </c>
      <c r="L294" s="6" t="str">
        <f>IFERROR(VLOOKUP($B294,'LISTA - Setembro2024'!$B$3:$F$539,5,0),"Campo eliminado")</f>
        <v>Y</v>
      </c>
      <c r="M294" s="6" t="str">
        <f t="shared" si="21"/>
        <v>Igual</v>
      </c>
      <c r="N294" s="6" t="str">
        <f>IFERROR(VLOOKUP($B294,'LISTA - Setembro2024'!$B$3:$K$539,6,0),"Campo eliminado")</f>
        <v>N</v>
      </c>
      <c r="O294" s="6" t="str">
        <f t="shared" si="22"/>
        <v>Igual</v>
      </c>
      <c r="P294" s="6" t="str">
        <f>IFERROR(VLOOKUP($B294,'LISTA - Setembro2024'!$B$3:$K$539,7,0),"Campo eliminado")</f>
        <v>N</v>
      </c>
      <c r="Q294" s="6" t="str">
        <f t="shared" si="23"/>
        <v>Igual</v>
      </c>
      <c r="R294" s="6" t="str">
        <f>IFERROR(VLOOKUP($B294,'LISTA - Setembro2024'!$B$3:$K$539,9,0),"Campo eliminado")</f>
        <v>N</v>
      </c>
      <c r="S294" s="6" t="str">
        <f t="shared" si="24"/>
        <v>Igual</v>
      </c>
      <c r="U294" s="6" t="str">
        <f>VLOOKUP(B294,DataLake!$A$4:$A$429,1,0)</f>
        <v>INSTRUMENT_DT_VLTN</v>
      </c>
    </row>
    <row r="295" spans="1:21" ht="15" hidden="1" customHeight="1" x14ac:dyDescent="0.25">
      <c r="A295" s="7" t="s">
        <v>859</v>
      </c>
      <c r="B295" s="47" t="str">
        <f t="shared" si="20"/>
        <v>INSTRUMENT_ELGBLTY_ECB</v>
      </c>
      <c r="C295" s="8" t="s">
        <v>414</v>
      </c>
      <c r="D295" s="9" t="s">
        <v>860</v>
      </c>
      <c r="E295" s="11" t="s">
        <v>861</v>
      </c>
      <c r="F295" s="10" t="s">
        <v>13</v>
      </c>
      <c r="G295" s="10" t="s">
        <v>11</v>
      </c>
      <c r="H295" s="10" t="s">
        <v>11</v>
      </c>
      <c r="I295" s="10" t="s">
        <v>11</v>
      </c>
      <c r="J295" s="10" t="s">
        <v>11</v>
      </c>
      <c r="L295" s="6" t="str">
        <f>IFERROR(VLOOKUP($B295,'LISTA - Setembro2024'!$B$3:$F$539,5,0),"Campo eliminado")</f>
        <v>Y</v>
      </c>
      <c r="M295" s="6" t="str">
        <f t="shared" si="21"/>
        <v>Igual</v>
      </c>
      <c r="N295" s="6" t="str">
        <f>IFERROR(VLOOKUP($B295,'LISTA - Setembro2024'!$B$3:$K$539,6,0),"Campo eliminado")</f>
        <v>N</v>
      </c>
      <c r="O295" s="6" t="str">
        <f t="shared" si="22"/>
        <v>Igual</v>
      </c>
      <c r="P295" s="6" t="str">
        <f>IFERROR(VLOOKUP($B295,'LISTA - Setembro2024'!$B$3:$K$539,7,0),"Campo eliminado")</f>
        <v>N</v>
      </c>
      <c r="Q295" s="6" t="str">
        <f t="shared" si="23"/>
        <v>Igual</v>
      </c>
      <c r="R295" s="6" t="str">
        <f>IFERROR(VLOOKUP($B295,'LISTA - Setembro2024'!$B$3:$K$539,9,0),"Campo eliminado")</f>
        <v>N</v>
      </c>
      <c r="S295" s="6" t="str">
        <f t="shared" si="24"/>
        <v>Igual</v>
      </c>
      <c r="U295" s="6" t="str">
        <f>VLOOKUP(B295,DataLake!$A$4:$A$429,1,0)</f>
        <v>INSTRUMENT_ELGBLTY_ECB</v>
      </c>
    </row>
    <row r="296" spans="1:21" ht="15" hidden="1" customHeight="1" x14ac:dyDescent="0.25">
      <c r="A296" s="7" t="s">
        <v>862</v>
      </c>
      <c r="B296" s="47" t="str">
        <f t="shared" si="20"/>
        <v>INSTRUMENT_GRNTR_ID</v>
      </c>
      <c r="C296" s="8" t="s">
        <v>414</v>
      </c>
      <c r="D296" s="9" t="s">
        <v>863</v>
      </c>
      <c r="E296" s="11" t="s">
        <v>864</v>
      </c>
      <c r="F296" s="10" t="s">
        <v>13</v>
      </c>
      <c r="G296" s="10" t="s">
        <v>11</v>
      </c>
      <c r="H296" s="10" t="s">
        <v>11</v>
      </c>
      <c r="I296" s="10" t="s">
        <v>11</v>
      </c>
      <c r="J296" s="10" t="s">
        <v>11</v>
      </c>
      <c r="L296" s="6" t="str">
        <f>IFERROR(VLOOKUP($B296,'LISTA - Setembro2024'!$B$3:$F$539,5,0),"Campo eliminado")</f>
        <v>Y</v>
      </c>
      <c r="M296" s="6" t="str">
        <f t="shared" si="21"/>
        <v>Igual</v>
      </c>
      <c r="N296" s="6" t="str">
        <f>IFERROR(VLOOKUP($B296,'LISTA - Setembro2024'!$B$3:$K$539,6,0),"Campo eliminado")</f>
        <v>N</v>
      </c>
      <c r="O296" s="6" t="str">
        <f t="shared" si="22"/>
        <v>Igual</v>
      </c>
      <c r="P296" s="6" t="str">
        <f>IFERROR(VLOOKUP($B296,'LISTA - Setembro2024'!$B$3:$K$539,7,0),"Campo eliminado")</f>
        <v>N</v>
      </c>
      <c r="Q296" s="6" t="str">
        <f t="shared" si="23"/>
        <v>Igual</v>
      </c>
      <c r="R296" s="6" t="str">
        <f>IFERROR(VLOOKUP($B296,'LISTA - Setembro2024'!$B$3:$K$539,9,0),"Campo eliminado")</f>
        <v>N</v>
      </c>
      <c r="S296" s="6" t="str">
        <f t="shared" si="24"/>
        <v>Igual</v>
      </c>
      <c r="U296" s="6" t="str">
        <f>VLOOKUP(B296,DataLake!$A$4:$A$429,1,0)</f>
        <v>INSTRUMENT_GRNTR_ID</v>
      </c>
    </row>
    <row r="297" spans="1:21" ht="15" hidden="1" customHeight="1" x14ac:dyDescent="0.25">
      <c r="A297" s="7" t="s">
        <v>865</v>
      </c>
      <c r="B297" s="47" t="str">
        <f t="shared" si="20"/>
        <v>INSTRUMENT_GRNTR_ID_TYP</v>
      </c>
      <c r="C297" s="8" t="s">
        <v>414</v>
      </c>
      <c r="D297" s="9" t="s">
        <v>866</v>
      </c>
      <c r="E297" s="11" t="s">
        <v>867</v>
      </c>
      <c r="F297" s="10" t="s">
        <v>13</v>
      </c>
      <c r="G297" s="10" t="s">
        <v>11</v>
      </c>
      <c r="H297" s="10" t="s">
        <v>11</v>
      </c>
      <c r="I297" s="10" t="s">
        <v>11</v>
      </c>
      <c r="J297" s="10" t="s">
        <v>11</v>
      </c>
      <c r="L297" s="6" t="str">
        <f>IFERROR(VLOOKUP($B297,'LISTA - Setembro2024'!$B$3:$F$539,5,0),"Campo eliminado")</f>
        <v>Y</v>
      </c>
      <c r="M297" s="6" t="str">
        <f t="shared" si="21"/>
        <v>Igual</v>
      </c>
      <c r="N297" s="6" t="str">
        <f>IFERROR(VLOOKUP($B297,'LISTA - Setembro2024'!$B$3:$K$539,6,0),"Campo eliminado")</f>
        <v>N</v>
      </c>
      <c r="O297" s="6" t="str">
        <f t="shared" si="22"/>
        <v>Igual</v>
      </c>
      <c r="P297" s="6" t="str">
        <f>IFERROR(VLOOKUP($B297,'LISTA - Setembro2024'!$B$3:$K$539,7,0),"Campo eliminado")</f>
        <v>N</v>
      </c>
      <c r="Q297" s="6" t="str">
        <f t="shared" si="23"/>
        <v>Igual</v>
      </c>
      <c r="R297" s="6" t="str">
        <f>IFERROR(VLOOKUP($B297,'LISTA - Setembro2024'!$B$3:$K$539,9,0),"Campo eliminado")</f>
        <v>N</v>
      </c>
      <c r="S297" s="6" t="str">
        <f t="shared" si="24"/>
        <v>Igual</v>
      </c>
      <c r="U297" s="6" t="str">
        <f>VLOOKUP(B297,DataLake!$A$4:$A$429,1,0)</f>
        <v>INSTRUMENT_GRNTR_ID_TYP</v>
      </c>
    </row>
    <row r="298" spans="1:21" ht="15" hidden="1" customHeight="1" x14ac:dyDescent="0.25">
      <c r="A298" s="7" t="s">
        <v>868</v>
      </c>
      <c r="B298" s="47" t="str">
        <f t="shared" si="20"/>
        <v>INSTRUMENT_HEDGE_ID</v>
      </c>
      <c r="C298" s="8" t="s">
        <v>414</v>
      </c>
      <c r="D298" s="9" t="s">
        <v>869</v>
      </c>
      <c r="E298" s="11" t="s">
        <v>870</v>
      </c>
      <c r="F298" s="10" t="s">
        <v>13</v>
      </c>
      <c r="G298" s="10" t="s">
        <v>11</v>
      </c>
      <c r="H298" s="10" t="s">
        <v>11</v>
      </c>
      <c r="I298" s="10" t="s">
        <v>11</v>
      </c>
      <c r="J298" s="10" t="s">
        <v>11</v>
      </c>
      <c r="L298" s="6" t="str">
        <f>IFERROR(VLOOKUP($B298,'LISTA - Setembro2024'!$B$3:$F$539,5,0),"Campo eliminado")</f>
        <v>Y</v>
      </c>
      <c r="M298" s="6" t="str">
        <f t="shared" si="21"/>
        <v>Igual</v>
      </c>
      <c r="N298" s="6" t="str">
        <f>IFERROR(VLOOKUP($B298,'LISTA - Setembro2024'!$B$3:$K$539,6,0),"Campo eliminado")</f>
        <v>N</v>
      </c>
      <c r="O298" s="6" t="str">
        <f t="shared" si="22"/>
        <v>Igual</v>
      </c>
      <c r="P298" s="6" t="str">
        <f>IFERROR(VLOOKUP($B298,'LISTA - Setembro2024'!$B$3:$K$539,7,0),"Campo eliminado")</f>
        <v>N</v>
      </c>
      <c r="Q298" s="6" t="str">
        <f t="shared" si="23"/>
        <v>Igual</v>
      </c>
      <c r="R298" s="6" t="str">
        <f>IFERROR(VLOOKUP($B298,'LISTA - Setembro2024'!$B$3:$K$539,9,0),"Campo eliminado")</f>
        <v>N</v>
      </c>
      <c r="S298" s="6" t="str">
        <f t="shared" si="24"/>
        <v>Igual</v>
      </c>
      <c r="U298" s="6" t="str">
        <f>VLOOKUP(B298,DataLake!$A$4:$A$429,1,0)</f>
        <v>INSTRUMENT_HEDGE_ID</v>
      </c>
    </row>
    <row r="299" spans="1:21" ht="15" hidden="1" customHeight="1" x14ac:dyDescent="0.25">
      <c r="A299" s="7" t="s">
        <v>871</v>
      </c>
      <c r="B299" s="47" t="str">
        <f t="shared" si="20"/>
        <v>INSTRUMENT_INSTR_SNRTY_CLSS</v>
      </c>
      <c r="C299" s="8" t="s">
        <v>414</v>
      </c>
      <c r="D299" s="9" t="s">
        <v>872</v>
      </c>
      <c r="E299" s="11" t="s">
        <v>873</v>
      </c>
      <c r="F299" s="10" t="s">
        <v>13</v>
      </c>
      <c r="G299" s="10" t="s">
        <v>11</v>
      </c>
      <c r="H299" s="10" t="s">
        <v>11</v>
      </c>
      <c r="I299" s="10" t="s">
        <v>11</v>
      </c>
      <c r="J299" s="10" t="s">
        <v>11</v>
      </c>
      <c r="L299" s="6" t="str">
        <f>IFERROR(VLOOKUP($B299,'LISTA - Setembro2024'!$B$3:$F$539,5,0),"Campo eliminado")</f>
        <v>Y</v>
      </c>
      <c r="M299" s="6" t="str">
        <f t="shared" si="21"/>
        <v>Igual</v>
      </c>
      <c r="N299" s="6" t="str">
        <f>IFERROR(VLOOKUP($B299,'LISTA - Setembro2024'!$B$3:$K$539,6,0),"Campo eliminado")</f>
        <v>N</v>
      </c>
      <c r="O299" s="6" t="str">
        <f t="shared" si="22"/>
        <v>Igual</v>
      </c>
      <c r="P299" s="6" t="str">
        <f>IFERROR(VLOOKUP($B299,'LISTA - Setembro2024'!$B$3:$K$539,7,0),"Campo eliminado")</f>
        <v>N</v>
      </c>
      <c r="Q299" s="6" t="str">
        <f t="shared" si="23"/>
        <v>Igual</v>
      </c>
      <c r="R299" s="6" t="str">
        <f>IFERROR(VLOOKUP($B299,'LISTA - Setembro2024'!$B$3:$K$539,9,0),"Campo eliminado")</f>
        <v>N</v>
      </c>
      <c r="S299" s="6" t="str">
        <f t="shared" si="24"/>
        <v>Igual</v>
      </c>
      <c r="U299" s="6" t="str">
        <f>VLOOKUP(B299,DataLake!$A$4:$A$429,1,0)</f>
        <v>INSTRUMENT_INSTR_SNRTY_CLSS</v>
      </c>
    </row>
    <row r="300" spans="1:21" ht="15" hidden="1" customHeight="1" x14ac:dyDescent="0.25">
      <c r="A300" s="7" t="s">
        <v>874</v>
      </c>
      <c r="B300" s="47" t="str">
        <f t="shared" si="20"/>
        <v>INSTRUMENT_INSTRMNT_CLSS</v>
      </c>
      <c r="C300" s="8" t="s">
        <v>414</v>
      </c>
      <c r="D300" s="9" t="s">
        <v>875</v>
      </c>
      <c r="E300" s="11" t="s">
        <v>876</v>
      </c>
      <c r="F300" s="10" t="s">
        <v>13</v>
      </c>
      <c r="G300" s="10" t="s">
        <v>11</v>
      </c>
      <c r="H300" s="10" t="s">
        <v>11</v>
      </c>
      <c r="I300" s="10" t="s">
        <v>11</v>
      </c>
      <c r="J300" s="10" t="s">
        <v>11</v>
      </c>
      <c r="L300" s="6" t="str">
        <f>IFERROR(VLOOKUP($B300,'LISTA - Setembro2024'!$B$3:$F$539,5,0),"Campo eliminado")</f>
        <v>Y</v>
      </c>
      <c r="M300" s="6" t="str">
        <f t="shared" si="21"/>
        <v>Igual</v>
      </c>
      <c r="N300" s="6" t="str">
        <f>IFERROR(VLOOKUP($B300,'LISTA - Setembro2024'!$B$3:$K$539,6,0),"Campo eliminado")</f>
        <v>N</v>
      </c>
      <c r="O300" s="6" t="str">
        <f t="shared" si="22"/>
        <v>Igual</v>
      </c>
      <c r="P300" s="6" t="str">
        <f>IFERROR(VLOOKUP($B300,'LISTA - Setembro2024'!$B$3:$K$539,7,0),"Campo eliminado")</f>
        <v>N</v>
      </c>
      <c r="Q300" s="6" t="str">
        <f t="shared" si="23"/>
        <v>Igual</v>
      </c>
      <c r="R300" s="6" t="str">
        <f>IFERROR(VLOOKUP($B300,'LISTA - Setembro2024'!$B$3:$K$539,9,0),"Campo eliminado")</f>
        <v>N</v>
      </c>
      <c r="S300" s="6" t="str">
        <f t="shared" si="24"/>
        <v>Igual</v>
      </c>
      <c r="U300" s="6" t="str">
        <f>VLOOKUP(B300,DataLake!$A$4:$A$429,1,0)</f>
        <v>INSTRUMENT_INSTRMNT_CLSS</v>
      </c>
    </row>
    <row r="301" spans="1:21" ht="15" hidden="1" customHeight="1" x14ac:dyDescent="0.25">
      <c r="A301" s="7" t="s">
        <v>877</v>
      </c>
      <c r="B301" s="47" t="str">
        <f t="shared" si="20"/>
        <v>INSTRUMENT_ISIN</v>
      </c>
      <c r="C301" s="8" t="s">
        <v>414</v>
      </c>
      <c r="D301" s="9" t="s">
        <v>347</v>
      </c>
      <c r="E301" s="11" t="s">
        <v>347</v>
      </c>
      <c r="F301" s="10" t="s">
        <v>13</v>
      </c>
      <c r="G301" s="10" t="s">
        <v>11</v>
      </c>
      <c r="H301" s="10" t="s">
        <v>11</v>
      </c>
      <c r="I301" s="10" t="s">
        <v>11</v>
      </c>
      <c r="J301" s="10" t="s">
        <v>11</v>
      </c>
      <c r="L301" s="6" t="str">
        <f>IFERROR(VLOOKUP($B301,'LISTA - Setembro2024'!$B$3:$F$539,5,0),"Campo eliminado")</f>
        <v>Y</v>
      </c>
      <c r="M301" s="6" t="str">
        <f t="shared" si="21"/>
        <v>Igual</v>
      </c>
      <c r="N301" s="6" t="str">
        <f>IFERROR(VLOOKUP($B301,'LISTA - Setembro2024'!$B$3:$K$539,6,0),"Campo eliminado")</f>
        <v>N</v>
      </c>
      <c r="O301" s="6" t="str">
        <f t="shared" si="22"/>
        <v>Igual</v>
      </c>
      <c r="P301" s="6" t="str">
        <f>IFERROR(VLOOKUP($B301,'LISTA - Setembro2024'!$B$3:$K$539,7,0),"Campo eliminado")</f>
        <v>N</v>
      </c>
      <c r="Q301" s="6" t="str">
        <f t="shared" si="23"/>
        <v>Igual</v>
      </c>
      <c r="R301" s="6" t="str">
        <f>IFERROR(VLOOKUP($B301,'LISTA - Setembro2024'!$B$3:$K$539,9,0),"Campo eliminado")</f>
        <v>N</v>
      </c>
      <c r="S301" s="6" t="str">
        <f t="shared" si="24"/>
        <v>Igual</v>
      </c>
      <c r="U301" s="6" t="str">
        <f>VLOOKUP(B301,DataLake!$A$4:$A$429,1,0)</f>
        <v>INSTRUMENT_ISIN</v>
      </c>
    </row>
    <row r="302" spans="1:21" ht="15" hidden="1" customHeight="1" x14ac:dyDescent="0.25">
      <c r="A302" s="7" t="s">
        <v>878</v>
      </c>
      <c r="B302" s="47" t="str">
        <f t="shared" si="20"/>
        <v>INSTRUMENT_ISSR_CNTRY</v>
      </c>
      <c r="C302" s="8" t="s">
        <v>414</v>
      </c>
      <c r="D302" s="9" t="s">
        <v>879</v>
      </c>
      <c r="E302" s="11" t="s">
        <v>880</v>
      </c>
      <c r="F302" s="10" t="s">
        <v>13</v>
      </c>
      <c r="G302" s="10" t="s">
        <v>11</v>
      </c>
      <c r="H302" s="10" t="s">
        <v>13</v>
      </c>
      <c r="I302" s="10" t="s">
        <v>11</v>
      </c>
      <c r="J302" s="10" t="s">
        <v>11</v>
      </c>
      <c r="L302" s="6" t="str">
        <f>IFERROR(VLOOKUP($B302,'LISTA - Setembro2024'!$B$3:$F$539,5,0),"Campo eliminado")</f>
        <v>Y</v>
      </c>
      <c r="M302" s="6" t="str">
        <f t="shared" si="21"/>
        <v>Igual</v>
      </c>
      <c r="N302" s="6" t="str">
        <f>IFERROR(VLOOKUP($B302,'LISTA - Setembro2024'!$B$3:$K$539,6,0),"Campo eliminado")</f>
        <v>N</v>
      </c>
      <c r="O302" s="6" t="str">
        <f t="shared" si="22"/>
        <v>Igual</v>
      </c>
      <c r="P302" s="6" t="str">
        <f>IFERROR(VLOOKUP($B302,'LISTA - Setembro2024'!$B$3:$K$539,7,0),"Campo eliminado")</f>
        <v>Y</v>
      </c>
      <c r="Q302" s="6" t="str">
        <f t="shared" si="23"/>
        <v>Igual</v>
      </c>
      <c r="R302" s="6" t="str">
        <f>IFERROR(VLOOKUP($B302,'LISTA - Setembro2024'!$B$3:$K$539,9,0),"Campo eliminado")</f>
        <v>N</v>
      </c>
      <c r="S302" s="6" t="str">
        <f t="shared" si="24"/>
        <v>Igual</v>
      </c>
      <c r="U302" s="6" t="str">
        <f>VLOOKUP(B302,DataLake!$A$4:$A$429,1,0)</f>
        <v>INSTRUMENT_ISSR_CNTRY</v>
      </c>
    </row>
    <row r="303" spans="1:21" ht="15" hidden="1" customHeight="1" x14ac:dyDescent="0.25">
      <c r="A303" s="7" t="s">
        <v>881</v>
      </c>
      <c r="B303" s="47" t="str">
        <f t="shared" si="20"/>
        <v>INSTRUMENT_ISSR_ESA_2010</v>
      </c>
      <c r="C303" s="8" t="s">
        <v>414</v>
      </c>
      <c r="D303" s="9" t="s">
        <v>882</v>
      </c>
      <c r="E303" s="11" t="s">
        <v>883</v>
      </c>
      <c r="F303" s="10" t="s">
        <v>13</v>
      </c>
      <c r="G303" s="10" t="s">
        <v>11</v>
      </c>
      <c r="H303" s="10" t="s">
        <v>11</v>
      </c>
      <c r="I303" s="10" t="s">
        <v>11</v>
      </c>
      <c r="J303" s="10" t="s">
        <v>11</v>
      </c>
      <c r="L303" s="6" t="str">
        <f>IFERROR(VLOOKUP($B303,'LISTA - Setembro2024'!$B$3:$F$539,5,0),"Campo eliminado")</f>
        <v>Y</v>
      </c>
      <c r="M303" s="6" t="str">
        <f t="shared" si="21"/>
        <v>Igual</v>
      </c>
      <c r="N303" s="6" t="str">
        <f>IFERROR(VLOOKUP($B303,'LISTA - Setembro2024'!$B$3:$K$539,6,0),"Campo eliminado")</f>
        <v>N</v>
      </c>
      <c r="O303" s="6" t="str">
        <f t="shared" si="22"/>
        <v>Igual</v>
      </c>
      <c r="P303" s="6" t="str">
        <f>IFERROR(VLOOKUP($B303,'LISTA - Setembro2024'!$B$3:$K$539,7,0),"Campo eliminado")</f>
        <v>N</v>
      </c>
      <c r="Q303" s="6" t="str">
        <f t="shared" si="23"/>
        <v>Igual</v>
      </c>
      <c r="R303" s="6" t="str">
        <f>IFERROR(VLOOKUP($B303,'LISTA - Setembro2024'!$B$3:$K$539,9,0),"Campo eliminado")</f>
        <v>N</v>
      </c>
      <c r="S303" s="6" t="str">
        <f t="shared" si="24"/>
        <v>Igual</v>
      </c>
      <c r="U303" s="6" t="str">
        <f>VLOOKUP(B303,DataLake!$A$4:$A$429,1,0)</f>
        <v>INSTRUMENT_ISSR_ESA_2010</v>
      </c>
    </row>
    <row r="304" spans="1:21" ht="15" hidden="1" customHeight="1" x14ac:dyDescent="0.25">
      <c r="A304" s="7" t="s">
        <v>884</v>
      </c>
      <c r="B304" s="47" t="str">
        <f t="shared" si="20"/>
        <v>INSTRUMENT_ISSR_ID</v>
      </c>
      <c r="C304" s="8" t="s">
        <v>414</v>
      </c>
      <c r="D304" s="9" t="s">
        <v>885</v>
      </c>
      <c r="E304" s="11" t="s">
        <v>886</v>
      </c>
      <c r="F304" s="10" t="s">
        <v>13</v>
      </c>
      <c r="G304" s="10" t="s">
        <v>11</v>
      </c>
      <c r="H304" s="10" t="s">
        <v>11</v>
      </c>
      <c r="I304" s="10" t="s">
        <v>11</v>
      </c>
      <c r="J304" s="10" t="s">
        <v>11</v>
      </c>
      <c r="L304" s="6" t="str">
        <f>IFERROR(VLOOKUP($B304,'LISTA - Setembro2024'!$B$3:$F$539,5,0),"Campo eliminado")</f>
        <v>Y</v>
      </c>
      <c r="M304" s="6" t="str">
        <f t="shared" si="21"/>
        <v>Igual</v>
      </c>
      <c r="N304" s="6" t="str">
        <f>IFERROR(VLOOKUP($B304,'LISTA - Setembro2024'!$B$3:$K$539,6,0),"Campo eliminado")</f>
        <v>N</v>
      </c>
      <c r="O304" s="6" t="str">
        <f t="shared" si="22"/>
        <v>Igual</v>
      </c>
      <c r="P304" s="6" t="str">
        <f>IFERROR(VLOOKUP($B304,'LISTA - Setembro2024'!$B$3:$K$539,7,0),"Campo eliminado")</f>
        <v>N</v>
      </c>
      <c r="Q304" s="6" t="str">
        <f t="shared" si="23"/>
        <v>Igual</v>
      </c>
      <c r="R304" s="6" t="str">
        <f>IFERROR(VLOOKUP($B304,'LISTA - Setembro2024'!$B$3:$K$539,9,0),"Campo eliminado")</f>
        <v>N</v>
      </c>
      <c r="S304" s="6" t="str">
        <f t="shared" si="24"/>
        <v>Igual</v>
      </c>
      <c r="U304" s="6" t="str">
        <f>VLOOKUP(B304,DataLake!$A$4:$A$429,1,0)</f>
        <v>INSTRUMENT_ISSR_ID</v>
      </c>
    </row>
    <row r="305" spans="1:21" ht="15" hidden="1" customHeight="1" x14ac:dyDescent="0.25">
      <c r="A305" s="7" t="s">
        <v>887</v>
      </c>
      <c r="B305" s="47" t="str">
        <f t="shared" si="20"/>
        <v>INSTRUMENT_ISSR_ID_TYP</v>
      </c>
      <c r="C305" s="8" t="s">
        <v>414</v>
      </c>
      <c r="D305" s="9" t="s">
        <v>888</v>
      </c>
      <c r="E305" s="11" t="s">
        <v>889</v>
      </c>
      <c r="F305" s="10" t="s">
        <v>13</v>
      </c>
      <c r="G305" s="10" t="s">
        <v>11</v>
      </c>
      <c r="H305" s="10" t="s">
        <v>11</v>
      </c>
      <c r="I305" s="10" t="s">
        <v>11</v>
      </c>
      <c r="J305" s="10" t="s">
        <v>11</v>
      </c>
      <c r="L305" s="6" t="str">
        <f>IFERROR(VLOOKUP($B305,'LISTA - Setembro2024'!$B$3:$F$539,5,0),"Campo eliminado")</f>
        <v>Y</v>
      </c>
      <c r="M305" s="6" t="str">
        <f t="shared" si="21"/>
        <v>Igual</v>
      </c>
      <c r="N305" s="6" t="str">
        <f>IFERROR(VLOOKUP($B305,'LISTA - Setembro2024'!$B$3:$K$539,6,0),"Campo eliminado")</f>
        <v>N</v>
      </c>
      <c r="O305" s="6" t="str">
        <f t="shared" si="22"/>
        <v>Igual</v>
      </c>
      <c r="P305" s="6" t="str">
        <f>IFERROR(VLOOKUP($B305,'LISTA - Setembro2024'!$B$3:$K$539,7,0),"Campo eliminado")</f>
        <v>N</v>
      </c>
      <c r="Q305" s="6" t="str">
        <f t="shared" si="23"/>
        <v>Igual</v>
      </c>
      <c r="R305" s="6" t="str">
        <f>IFERROR(VLOOKUP($B305,'LISTA - Setembro2024'!$B$3:$K$539,9,0),"Campo eliminado")</f>
        <v>N</v>
      </c>
      <c r="S305" s="6" t="str">
        <f t="shared" si="24"/>
        <v>Igual</v>
      </c>
      <c r="U305" s="6" t="str">
        <f>VLOOKUP(B305,DataLake!$A$4:$A$429,1,0)</f>
        <v>INSTRUMENT_ISSR_ID_TYP</v>
      </c>
    </row>
    <row r="306" spans="1:21" ht="15" hidden="1" customHeight="1" x14ac:dyDescent="0.25">
      <c r="A306" s="7" t="s">
        <v>890</v>
      </c>
      <c r="B306" s="47" t="str">
        <f t="shared" si="20"/>
        <v>INSTRUMENT_ISSR_NACE_SCTR</v>
      </c>
      <c r="C306" s="8" t="s">
        <v>414</v>
      </c>
      <c r="D306" s="9" t="s">
        <v>891</v>
      </c>
      <c r="E306" s="11" t="s">
        <v>892</v>
      </c>
      <c r="F306" s="10" t="s">
        <v>13</v>
      </c>
      <c r="G306" s="10" t="s">
        <v>11</v>
      </c>
      <c r="H306" s="10" t="s">
        <v>13</v>
      </c>
      <c r="I306" s="10" t="s">
        <v>11</v>
      </c>
      <c r="J306" s="10" t="s">
        <v>11</v>
      </c>
      <c r="L306" s="6" t="str">
        <f>IFERROR(VLOOKUP($B306,'LISTA - Setembro2024'!$B$3:$F$539,5,0),"Campo eliminado")</f>
        <v>Y</v>
      </c>
      <c r="M306" s="6" t="str">
        <f t="shared" si="21"/>
        <v>Igual</v>
      </c>
      <c r="N306" s="6" t="str">
        <f>IFERROR(VLOOKUP($B306,'LISTA - Setembro2024'!$B$3:$K$539,6,0),"Campo eliminado")</f>
        <v>N</v>
      </c>
      <c r="O306" s="6" t="str">
        <f t="shared" si="22"/>
        <v>Igual</v>
      </c>
      <c r="P306" s="6" t="str">
        <f>IFERROR(VLOOKUP($B306,'LISTA - Setembro2024'!$B$3:$K$539,7,0),"Campo eliminado")</f>
        <v>Y</v>
      </c>
      <c r="Q306" s="6" t="str">
        <f t="shared" si="23"/>
        <v>Igual</v>
      </c>
      <c r="R306" s="6" t="str">
        <f>IFERROR(VLOOKUP($B306,'LISTA - Setembro2024'!$B$3:$K$539,9,0),"Campo eliminado")</f>
        <v>N</v>
      </c>
      <c r="S306" s="6" t="str">
        <f t="shared" si="24"/>
        <v>Igual</v>
      </c>
      <c r="U306" s="6" t="str">
        <f>VLOOKUP(B306,DataLake!$A$4:$A$429,1,0)</f>
        <v>INSTRUMENT_ISSR_NACE_SCTR</v>
      </c>
    </row>
    <row r="307" spans="1:21" ht="15" hidden="1" customHeight="1" x14ac:dyDescent="0.25">
      <c r="A307" s="7" t="s">
        <v>893</v>
      </c>
      <c r="B307" s="47" t="str">
        <f t="shared" si="20"/>
        <v>INSTRUMENT_ISSR_RTNG</v>
      </c>
      <c r="C307" s="8" t="s">
        <v>414</v>
      </c>
      <c r="D307" s="9" t="s">
        <v>894</v>
      </c>
      <c r="E307" s="11" t="s">
        <v>895</v>
      </c>
      <c r="F307" s="10" t="s">
        <v>13</v>
      </c>
      <c r="G307" s="10" t="s">
        <v>11</v>
      </c>
      <c r="H307" s="10" t="s">
        <v>11</v>
      </c>
      <c r="I307" s="10" t="s">
        <v>11</v>
      </c>
      <c r="J307" s="10" t="s">
        <v>11</v>
      </c>
      <c r="L307" s="6" t="str">
        <f>IFERROR(VLOOKUP($B307,'LISTA - Setembro2024'!$B$3:$F$539,5,0),"Campo eliminado")</f>
        <v>Y</v>
      </c>
      <c r="M307" s="6" t="str">
        <f t="shared" si="21"/>
        <v>Igual</v>
      </c>
      <c r="N307" s="6" t="str">
        <f>IFERROR(VLOOKUP($B307,'LISTA - Setembro2024'!$B$3:$K$539,6,0),"Campo eliminado")</f>
        <v>N</v>
      </c>
      <c r="O307" s="6" t="str">
        <f t="shared" si="22"/>
        <v>Igual</v>
      </c>
      <c r="P307" s="6" t="str">
        <f>IFERROR(VLOOKUP($B307,'LISTA - Setembro2024'!$B$3:$K$539,7,0),"Campo eliminado")</f>
        <v>N</v>
      </c>
      <c r="Q307" s="6" t="str">
        <f t="shared" si="23"/>
        <v>Igual</v>
      </c>
      <c r="R307" s="6" t="str">
        <f>IFERROR(VLOOKUP($B307,'LISTA - Setembro2024'!$B$3:$K$539,9,0),"Campo eliminado")</f>
        <v>N</v>
      </c>
      <c r="S307" s="6" t="str">
        <f t="shared" si="24"/>
        <v>Igual</v>
      </c>
      <c r="U307" s="6" t="str">
        <f>VLOOKUP(B307,DataLake!$A$4:$A$429,1,0)</f>
        <v>INSTRUMENT_ISSR_RTNG</v>
      </c>
    </row>
    <row r="308" spans="1:21" ht="15" hidden="1" customHeight="1" x14ac:dyDescent="0.25">
      <c r="A308" s="7" t="s">
        <v>896</v>
      </c>
      <c r="B308" s="47" t="str">
        <f t="shared" si="20"/>
        <v>INSTRUMENT_ISSR_RTNG_SRC</v>
      </c>
      <c r="C308" s="8" t="s">
        <v>414</v>
      </c>
      <c r="D308" s="9" t="s">
        <v>897</v>
      </c>
      <c r="E308" s="11" t="s">
        <v>898</v>
      </c>
      <c r="F308" s="10" t="s">
        <v>13</v>
      </c>
      <c r="G308" s="10" t="s">
        <v>11</v>
      </c>
      <c r="H308" s="10" t="s">
        <v>11</v>
      </c>
      <c r="I308" s="10" t="s">
        <v>11</v>
      </c>
      <c r="J308" s="10" t="s">
        <v>11</v>
      </c>
      <c r="L308" s="6" t="str">
        <f>IFERROR(VLOOKUP($B308,'LISTA - Setembro2024'!$B$3:$F$539,5,0),"Campo eliminado")</f>
        <v>Y</v>
      </c>
      <c r="M308" s="6" t="str">
        <f t="shared" si="21"/>
        <v>Igual</v>
      </c>
      <c r="N308" s="6" t="str">
        <f>IFERROR(VLOOKUP($B308,'LISTA - Setembro2024'!$B$3:$K$539,6,0),"Campo eliminado")</f>
        <v>N</v>
      </c>
      <c r="O308" s="6" t="str">
        <f t="shared" si="22"/>
        <v>Igual</v>
      </c>
      <c r="P308" s="6" t="str">
        <f>IFERROR(VLOOKUP($B308,'LISTA - Setembro2024'!$B$3:$K$539,7,0),"Campo eliminado")</f>
        <v>N</v>
      </c>
      <c r="Q308" s="6" t="str">
        <f t="shared" si="23"/>
        <v>Igual</v>
      </c>
      <c r="R308" s="6" t="str">
        <f>IFERROR(VLOOKUP($B308,'LISTA - Setembro2024'!$B$3:$K$539,9,0),"Campo eliminado")</f>
        <v>N</v>
      </c>
      <c r="S308" s="6" t="str">
        <f t="shared" si="24"/>
        <v>Igual</v>
      </c>
      <c r="U308" s="6" t="str">
        <f>VLOOKUP(B308,DataLake!$A$4:$A$429,1,0)</f>
        <v>INSTRUMENT_ISSR_RTNG_SRC</v>
      </c>
    </row>
    <row r="309" spans="1:21" ht="15" hidden="1" customHeight="1" x14ac:dyDescent="0.25">
      <c r="A309" s="7" t="s">
        <v>899</v>
      </c>
      <c r="B309" s="47" t="str">
        <f t="shared" si="20"/>
        <v>INSTRUMENT_ISSR_TYP</v>
      </c>
      <c r="C309" s="8" t="s">
        <v>414</v>
      </c>
      <c r="D309" s="9" t="s">
        <v>900</v>
      </c>
      <c r="E309" s="11" t="s">
        <v>901</v>
      </c>
      <c r="F309" s="10" t="s">
        <v>13</v>
      </c>
      <c r="G309" s="10" t="s">
        <v>11</v>
      </c>
      <c r="H309" s="10" t="s">
        <v>11</v>
      </c>
      <c r="I309" s="10" t="s">
        <v>11</v>
      </c>
      <c r="J309" s="10" t="s">
        <v>11</v>
      </c>
      <c r="L309" s="6" t="str">
        <f>IFERROR(VLOOKUP($B309,'LISTA - Setembro2024'!$B$3:$F$539,5,0),"Campo eliminado")</f>
        <v>Y</v>
      </c>
      <c r="M309" s="6" t="str">
        <f t="shared" si="21"/>
        <v>Igual</v>
      </c>
      <c r="N309" s="6" t="str">
        <f>IFERROR(VLOOKUP($B309,'LISTA - Setembro2024'!$B$3:$K$539,6,0),"Campo eliminado")</f>
        <v>N</v>
      </c>
      <c r="O309" s="6" t="str">
        <f t="shared" si="22"/>
        <v>Igual</v>
      </c>
      <c r="P309" s="6" t="str">
        <f>IFERROR(VLOOKUP($B309,'LISTA - Setembro2024'!$B$3:$K$539,7,0),"Campo eliminado")</f>
        <v>N</v>
      </c>
      <c r="Q309" s="6" t="str">
        <f t="shared" si="23"/>
        <v>Igual</v>
      </c>
      <c r="R309" s="6" t="str">
        <f>IFERROR(VLOOKUP($B309,'LISTA - Setembro2024'!$B$3:$K$539,9,0),"Campo eliminado")</f>
        <v>N</v>
      </c>
      <c r="S309" s="6" t="str">
        <f t="shared" si="24"/>
        <v>Igual</v>
      </c>
      <c r="U309" s="6" t="str">
        <f>VLOOKUP(B309,DataLake!$A$4:$A$429,1,0)</f>
        <v>INSTRUMENT_ISSR_TYP</v>
      </c>
    </row>
    <row r="310" spans="1:21" ht="15" hidden="1" customHeight="1" x14ac:dyDescent="0.25">
      <c r="A310" s="7" t="s">
        <v>902</v>
      </c>
      <c r="B310" s="47" t="str">
        <f t="shared" si="20"/>
        <v>INSTRUMENT_LCR_BFFR_CTGRY</v>
      </c>
      <c r="C310" s="8" t="s">
        <v>414</v>
      </c>
      <c r="D310" s="9" t="s">
        <v>903</v>
      </c>
      <c r="E310" s="11" t="s">
        <v>904</v>
      </c>
      <c r="F310" s="10" t="s">
        <v>13</v>
      </c>
      <c r="G310" s="10" t="s">
        <v>11</v>
      </c>
      <c r="H310" s="10" t="s">
        <v>11</v>
      </c>
      <c r="I310" s="10" t="s">
        <v>11</v>
      </c>
      <c r="J310" s="10" t="s">
        <v>11</v>
      </c>
      <c r="L310" s="6" t="str">
        <f>IFERROR(VLOOKUP($B310,'LISTA - Setembro2024'!$B$3:$F$539,5,0),"Campo eliminado")</f>
        <v>Y</v>
      </c>
      <c r="M310" s="6" t="str">
        <f t="shared" si="21"/>
        <v>Igual</v>
      </c>
      <c r="N310" s="6" t="str">
        <f>IFERROR(VLOOKUP($B310,'LISTA - Setembro2024'!$B$3:$K$539,6,0),"Campo eliminado")</f>
        <v>N</v>
      </c>
      <c r="O310" s="6" t="str">
        <f t="shared" si="22"/>
        <v>Igual</v>
      </c>
      <c r="P310" s="6" t="str">
        <f>IFERROR(VLOOKUP($B310,'LISTA - Setembro2024'!$B$3:$K$539,7,0),"Campo eliminado")</f>
        <v>N</v>
      </c>
      <c r="Q310" s="6" t="str">
        <f t="shared" si="23"/>
        <v>Igual</v>
      </c>
      <c r="R310" s="6" t="str">
        <f>IFERROR(VLOOKUP($B310,'LISTA - Setembro2024'!$B$3:$K$539,9,0),"Campo eliminado")</f>
        <v>N</v>
      </c>
      <c r="S310" s="6" t="str">
        <f t="shared" si="24"/>
        <v>Igual</v>
      </c>
      <c r="U310" s="6" t="str">
        <f>VLOOKUP(B310,DataLake!$A$4:$A$429,1,0)</f>
        <v>INSTRUMENT_LCR_BFFR_CTGRY</v>
      </c>
    </row>
    <row r="311" spans="1:21" ht="15" hidden="1" customHeight="1" x14ac:dyDescent="0.25">
      <c r="A311" s="7" t="s">
        <v>905</v>
      </c>
      <c r="B311" s="47" t="str">
        <f t="shared" si="20"/>
        <v>INSTRUMENT_PRCH_UNDR_RSL_AGR</v>
      </c>
      <c r="C311" s="8" t="s">
        <v>414</v>
      </c>
      <c r="D311" s="9" t="s">
        <v>906</v>
      </c>
      <c r="E311" s="11" t="s">
        <v>907</v>
      </c>
      <c r="F311" s="10" t="s">
        <v>13</v>
      </c>
      <c r="G311" s="10" t="s">
        <v>11</v>
      </c>
      <c r="H311" s="10" t="s">
        <v>11</v>
      </c>
      <c r="I311" s="10" t="s">
        <v>11</v>
      </c>
      <c r="J311" s="10" t="s">
        <v>11</v>
      </c>
      <c r="L311" s="6" t="str">
        <f>IFERROR(VLOOKUP($B311,'LISTA - Setembro2024'!$B$3:$F$539,5,0),"Campo eliminado")</f>
        <v>Y</v>
      </c>
      <c r="M311" s="6" t="str">
        <f t="shared" si="21"/>
        <v>Igual</v>
      </c>
      <c r="N311" s="6" t="str">
        <f>IFERROR(VLOOKUP($B311,'LISTA - Setembro2024'!$B$3:$K$539,6,0),"Campo eliminado")</f>
        <v>N</v>
      </c>
      <c r="O311" s="6" t="str">
        <f t="shared" si="22"/>
        <v>Igual</v>
      </c>
      <c r="P311" s="6" t="str">
        <f>IFERROR(VLOOKUP($B311,'LISTA - Setembro2024'!$B$3:$K$539,7,0),"Campo eliminado")</f>
        <v>N</v>
      </c>
      <c r="Q311" s="6" t="str">
        <f t="shared" si="23"/>
        <v>Igual</v>
      </c>
      <c r="R311" s="6" t="str">
        <f>IFERROR(VLOOKUP($B311,'LISTA - Setembro2024'!$B$3:$K$539,9,0),"Campo eliminado")</f>
        <v>N</v>
      </c>
      <c r="S311" s="6" t="str">
        <f t="shared" si="24"/>
        <v>Igual</v>
      </c>
      <c r="U311" s="6" t="str">
        <f>VLOOKUP(B311,DataLake!$A$4:$A$429,1,0)</f>
        <v>INSTRUMENT_PRCH_UNDR_RSL_AGR</v>
      </c>
    </row>
    <row r="312" spans="1:21" ht="15" hidden="1" customHeight="1" x14ac:dyDescent="0.25">
      <c r="A312" s="7" t="s">
        <v>908</v>
      </c>
      <c r="B312" s="47" t="str">
        <f t="shared" si="20"/>
        <v>INSTRUMENT_PRDNTL_PRTFL</v>
      </c>
      <c r="C312" s="8" t="s">
        <v>414</v>
      </c>
      <c r="D312" s="9" t="s">
        <v>909</v>
      </c>
      <c r="E312" s="11" t="s">
        <v>910</v>
      </c>
      <c r="F312" s="10" t="s">
        <v>13</v>
      </c>
      <c r="G312" s="10" t="s">
        <v>11</v>
      </c>
      <c r="H312" s="10" t="s">
        <v>11</v>
      </c>
      <c r="I312" s="10" t="s">
        <v>11</v>
      </c>
      <c r="J312" s="10" t="s">
        <v>11</v>
      </c>
      <c r="L312" s="6" t="str">
        <f>IFERROR(VLOOKUP($B312,'LISTA - Setembro2024'!$B$3:$F$539,5,0),"Campo eliminado")</f>
        <v>Y</v>
      </c>
      <c r="M312" s="6" t="str">
        <f t="shared" si="21"/>
        <v>Igual</v>
      </c>
      <c r="N312" s="6" t="str">
        <f>IFERROR(VLOOKUP($B312,'LISTA - Setembro2024'!$B$3:$K$539,6,0),"Campo eliminado")</f>
        <v>N</v>
      </c>
      <c r="O312" s="6" t="str">
        <f t="shared" si="22"/>
        <v>Igual</v>
      </c>
      <c r="P312" s="6" t="str">
        <f>IFERROR(VLOOKUP($B312,'LISTA - Setembro2024'!$B$3:$K$539,7,0),"Campo eliminado")</f>
        <v>N</v>
      </c>
      <c r="Q312" s="6" t="str">
        <f t="shared" si="23"/>
        <v>Igual</v>
      </c>
      <c r="R312" s="6" t="str">
        <f>IFERROR(VLOOKUP($B312,'LISTA - Setembro2024'!$B$3:$K$539,9,0),"Campo eliminado")</f>
        <v>N</v>
      </c>
      <c r="S312" s="6" t="str">
        <f t="shared" si="24"/>
        <v>Igual</v>
      </c>
      <c r="U312" s="6" t="str">
        <f>VLOOKUP(B312,DataLake!$A$4:$A$429,1,0)</f>
        <v>INSTRUMENT_PRDNTL_PRTFL</v>
      </c>
    </row>
    <row r="313" spans="1:21" ht="15" hidden="1" customHeight="1" x14ac:dyDescent="0.25">
      <c r="A313" s="7" t="s">
        <v>911</v>
      </c>
      <c r="B313" s="47" t="str">
        <f t="shared" si="20"/>
        <v>INSTRUMENT_PRMRY_ASST_CLSSF</v>
      </c>
      <c r="C313" s="8" t="s">
        <v>414</v>
      </c>
      <c r="D313" s="9" t="s">
        <v>912</v>
      </c>
      <c r="E313" s="11" t="s">
        <v>913</v>
      </c>
      <c r="F313" s="10" t="s">
        <v>13</v>
      </c>
      <c r="G313" s="10" t="s">
        <v>11</v>
      </c>
      <c r="H313" s="10" t="s">
        <v>13</v>
      </c>
      <c r="I313" s="10" t="s">
        <v>11</v>
      </c>
      <c r="J313" s="10" t="s">
        <v>11</v>
      </c>
      <c r="L313" s="6" t="str">
        <f>IFERROR(VLOOKUP($B313,'LISTA - Setembro2024'!$B$3:$F$539,5,0),"Campo eliminado")</f>
        <v>Y</v>
      </c>
      <c r="M313" s="6" t="str">
        <f t="shared" si="21"/>
        <v>Igual</v>
      </c>
      <c r="N313" s="6" t="str">
        <f>IFERROR(VLOOKUP($B313,'LISTA - Setembro2024'!$B$3:$K$539,6,0),"Campo eliminado")</f>
        <v>N</v>
      </c>
      <c r="O313" s="6" t="str">
        <f t="shared" si="22"/>
        <v>Igual</v>
      </c>
      <c r="P313" s="6" t="str">
        <f>IFERROR(VLOOKUP($B313,'LISTA - Setembro2024'!$B$3:$K$539,7,0),"Campo eliminado")</f>
        <v>Y</v>
      </c>
      <c r="Q313" s="6" t="str">
        <f t="shared" si="23"/>
        <v>Igual</v>
      </c>
      <c r="R313" s="6" t="str">
        <f>IFERROR(VLOOKUP($B313,'LISTA - Setembro2024'!$B$3:$K$539,9,0),"Campo eliminado")</f>
        <v>N</v>
      </c>
      <c r="S313" s="6" t="str">
        <f t="shared" si="24"/>
        <v>Igual</v>
      </c>
      <c r="U313" s="6" t="str">
        <f>VLOOKUP(B313,DataLake!$A$4:$A$429,1,0)</f>
        <v>INSTRUMENT_PRMRY_ASST_CLSSF</v>
      </c>
    </row>
    <row r="314" spans="1:21" ht="15" hidden="1" customHeight="1" x14ac:dyDescent="0.25">
      <c r="A314" s="7" t="s">
        <v>914</v>
      </c>
      <c r="B314" s="47" t="str">
        <f t="shared" si="20"/>
        <v>INSTRUMENT_PRT_LCR_BFFR</v>
      </c>
      <c r="C314" s="8" t="s">
        <v>414</v>
      </c>
      <c r="D314" s="9" t="s">
        <v>915</v>
      </c>
      <c r="E314" s="11" t="s">
        <v>916</v>
      </c>
      <c r="F314" s="10" t="s">
        <v>13</v>
      </c>
      <c r="G314" s="10" t="s">
        <v>11</v>
      </c>
      <c r="H314" s="10" t="s">
        <v>11</v>
      </c>
      <c r="I314" s="10" t="s">
        <v>11</v>
      </c>
      <c r="J314" s="10" t="s">
        <v>11</v>
      </c>
      <c r="L314" s="6" t="str">
        <f>IFERROR(VLOOKUP($B314,'LISTA - Setembro2024'!$B$3:$F$539,5,0),"Campo eliminado")</f>
        <v>Y</v>
      </c>
      <c r="M314" s="6" t="str">
        <f t="shared" si="21"/>
        <v>Igual</v>
      </c>
      <c r="N314" s="6" t="str">
        <f>IFERROR(VLOOKUP($B314,'LISTA - Setembro2024'!$B$3:$K$539,6,0),"Campo eliminado")</f>
        <v>N</v>
      </c>
      <c r="O314" s="6" t="str">
        <f t="shared" si="22"/>
        <v>Igual</v>
      </c>
      <c r="P314" s="6" t="str">
        <f>IFERROR(VLOOKUP($B314,'LISTA - Setembro2024'!$B$3:$K$539,7,0),"Campo eliminado")</f>
        <v>N</v>
      </c>
      <c r="Q314" s="6" t="str">
        <f t="shared" si="23"/>
        <v>Igual</v>
      </c>
      <c r="R314" s="6" t="str">
        <f>IFERROR(VLOOKUP($B314,'LISTA - Setembro2024'!$B$3:$K$539,9,0),"Campo eliminado")</f>
        <v>N</v>
      </c>
      <c r="S314" s="6" t="str">
        <f t="shared" si="24"/>
        <v>Igual</v>
      </c>
      <c r="U314" s="6" t="str">
        <f>VLOOKUP(B314,DataLake!$A$4:$A$429,1,0)</f>
        <v>INSTRUMENT_PRT_LCR_BFFR</v>
      </c>
    </row>
    <row r="315" spans="1:21" ht="15" hidden="1" customHeight="1" x14ac:dyDescent="0.25">
      <c r="A315" s="7" t="s">
        <v>917</v>
      </c>
      <c r="B315" s="47" t="str">
        <f t="shared" si="20"/>
        <v>INSTRUMENT_RFRNC_RT</v>
      </c>
      <c r="C315" s="8" t="s">
        <v>414</v>
      </c>
      <c r="D315" s="9" t="s">
        <v>918</v>
      </c>
      <c r="E315" s="11" t="s">
        <v>919</v>
      </c>
      <c r="F315" s="10" t="s">
        <v>13</v>
      </c>
      <c r="G315" s="10" t="s">
        <v>11</v>
      </c>
      <c r="H315" s="10" t="s">
        <v>11</v>
      </c>
      <c r="I315" s="10" t="s">
        <v>11</v>
      </c>
      <c r="J315" s="10" t="s">
        <v>11</v>
      </c>
      <c r="L315" s="6" t="str">
        <f>IFERROR(VLOOKUP($B315,'LISTA - Setembro2024'!$B$3:$F$539,5,0),"Campo eliminado")</f>
        <v>Y</v>
      </c>
      <c r="M315" s="6" t="str">
        <f t="shared" si="21"/>
        <v>Igual</v>
      </c>
      <c r="N315" s="6" t="str">
        <f>IFERROR(VLOOKUP($B315,'LISTA - Setembro2024'!$B$3:$K$539,6,0),"Campo eliminado")</f>
        <v>N</v>
      </c>
      <c r="O315" s="6" t="str">
        <f t="shared" si="22"/>
        <v>Igual</v>
      </c>
      <c r="P315" s="6" t="str">
        <f>IFERROR(VLOOKUP($B315,'LISTA - Setembro2024'!$B$3:$K$539,7,0),"Campo eliminado")</f>
        <v>N</v>
      </c>
      <c r="Q315" s="6" t="str">
        <f t="shared" si="23"/>
        <v>Igual</v>
      </c>
      <c r="R315" s="6" t="str">
        <f>IFERROR(VLOOKUP($B315,'LISTA - Setembro2024'!$B$3:$K$539,9,0),"Campo eliminado")</f>
        <v>N</v>
      </c>
      <c r="S315" s="6" t="str">
        <f t="shared" si="24"/>
        <v>Igual</v>
      </c>
      <c r="U315" s="6" t="str">
        <f>VLOOKUP(B315,DataLake!$A$4:$A$429,1,0)</f>
        <v>INSTRUMENT_RFRNC_RT</v>
      </c>
    </row>
    <row r="316" spans="1:21" ht="15" hidden="1" customHeight="1" x14ac:dyDescent="0.25">
      <c r="A316" s="7" t="s">
        <v>921</v>
      </c>
      <c r="B316" s="47" t="str">
        <f t="shared" si="20"/>
        <v>INSTRUMENT_SPRD</v>
      </c>
      <c r="C316" s="8" t="s">
        <v>414</v>
      </c>
      <c r="D316" s="9" t="s">
        <v>922</v>
      </c>
      <c r="E316" s="11" t="s">
        <v>923</v>
      </c>
      <c r="F316" s="10" t="s">
        <v>13</v>
      </c>
      <c r="G316" s="10" t="s">
        <v>11</v>
      </c>
      <c r="H316" s="10" t="s">
        <v>11</v>
      </c>
      <c r="I316" s="10" t="s">
        <v>11</v>
      </c>
      <c r="J316" s="10" t="s">
        <v>11</v>
      </c>
      <c r="L316" s="6" t="str">
        <f>IFERROR(VLOOKUP($B316,'LISTA - Setembro2024'!$B$3:$F$539,5,0),"Campo eliminado")</f>
        <v>Y</v>
      </c>
      <c r="M316" s="6" t="str">
        <f t="shared" si="21"/>
        <v>Igual</v>
      </c>
      <c r="N316" s="6" t="str">
        <f>IFERROR(VLOOKUP($B316,'LISTA - Setembro2024'!$B$3:$K$539,6,0),"Campo eliminado")</f>
        <v>N</v>
      </c>
      <c r="O316" s="6" t="str">
        <f t="shared" si="22"/>
        <v>Igual</v>
      </c>
      <c r="P316" s="6" t="str">
        <f>IFERROR(VLOOKUP($B316,'LISTA - Setembro2024'!$B$3:$K$539,7,0),"Campo eliminado")</f>
        <v>N</v>
      </c>
      <c r="Q316" s="6" t="str">
        <f t="shared" si="23"/>
        <v>Igual</v>
      </c>
      <c r="R316" s="6" t="str">
        <f>IFERROR(VLOOKUP($B316,'LISTA - Setembro2024'!$B$3:$K$539,9,0),"Campo eliminado")</f>
        <v>N</v>
      </c>
      <c r="S316" s="6" t="str">
        <f t="shared" si="24"/>
        <v>Igual</v>
      </c>
      <c r="U316" s="6" t="str">
        <f>VLOOKUP(B316,DataLake!$A$4:$A$429,1,0)</f>
        <v>INSTRUMENT_SPRD</v>
      </c>
    </row>
    <row r="317" spans="1:21" ht="15" hidden="1" customHeight="1" x14ac:dyDescent="0.25">
      <c r="A317" s="7" t="s">
        <v>924</v>
      </c>
      <c r="B317" s="47" t="str">
        <f t="shared" si="20"/>
        <v>INSTRUMENT_SRCS_ENCMBRNC</v>
      </c>
      <c r="C317" s="8" t="s">
        <v>414</v>
      </c>
      <c r="D317" s="9" t="s">
        <v>925</v>
      </c>
      <c r="E317" s="11" t="s">
        <v>926</v>
      </c>
      <c r="F317" s="10" t="s">
        <v>13</v>
      </c>
      <c r="G317" s="10" t="s">
        <v>11</v>
      </c>
      <c r="H317" s="10" t="s">
        <v>11</v>
      </c>
      <c r="I317" s="10" t="s">
        <v>11</v>
      </c>
      <c r="J317" s="10" t="s">
        <v>11</v>
      </c>
      <c r="L317" s="6" t="str">
        <f>IFERROR(VLOOKUP($B317,'LISTA - Setembro2024'!$B$3:$F$539,5,0),"Campo eliminado")</f>
        <v>Y</v>
      </c>
      <c r="M317" s="6" t="str">
        <f t="shared" si="21"/>
        <v>Igual</v>
      </c>
      <c r="N317" s="6" t="str">
        <f>IFERROR(VLOOKUP($B317,'LISTA - Setembro2024'!$B$3:$K$539,6,0),"Campo eliminado")</f>
        <v>N</v>
      </c>
      <c r="O317" s="6" t="str">
        <f t="shared" si="22"/>
        <v>Igual</v>
      </c>
      <c r="P317" s="6" t="str">
        <f>IFERROR(VLOOKUP($B317,'LISTA - Setembro2024'!$B$3:$K$539,7,0),"Campo eliminado")</f>
        <v>N</v>
      </c>
      <c r="Q317" s="6" t="str">
        <f t="shared" si="23"/>
        <v>Igual</v>
      </c>
      <c r="R317" s="6" t="str">
        <f>IFERROR(VLOOKUP($B317,'LISTA - Setembro2024'!$B$3:$K$539,9,0),"Campo eliminado")</f>
        <v>N</v>
      </c>
      <c r="S317" s="6" t="str">
        <f t="shared" si="24"/>
        <v>Igual</v>
      </c>
      <c r="U317" s="6" t="str">
        <f>VLOOKUP(B317,DataLake!$A$4:$A$429,1,0)</f>
        <v>INSTRUMENT_SRCS_ENCMBRNC</v>
      </c>
    </row>
    <row r="318" spans="1:21" ht="15" hidden="1" customHeight="1" x14ac:dyDescent="0.25">
      <c r="A318" s="7" t="s">
        <v>927</v>
      </c>
      <c r="B318" s="47" t="str">
        <f t="shared" si="20"/>
        <v>INSTRUMENT_TYPE_OF_PLCMNT</v>
      </c>
      <c r="C318" s="8" t="s">
        <v>414</v>
      </c>
      <c r="D318" s="9" t="s">
        <v>928</v>
      </c>
      <c r="E318" s="11" t="s">
        <v>929</v>
      </c>
      <c r="F318" s="10" t="s">
        <v>13</v>
      </c>
      <c r="G318" s="10" t="s">
        <v>11</v>
      </c>
      <c r="H318" s="10" t="s">
        <v>11</v>
      </c>
      <c r="I318" s="10" t="s">
        <v>11</v>
      </c>
      <c r="J318" s="10" t="s">
        <v>11</v>
      </c>
      <c r="L318" s="6" t="str">
        <f>IFERROR(VLOOKUP($B318,'LISTA - Setembro2024'!$B$3:$F$539,5,0),"Campo eliminado")</f>
        <v>Y</v>
      </c>
      <c r="M318" s="6" t="str">
        <f t="shared" si="21"/>
        <v>Igual</v>
      </c>
      <c r="N318" s="6" t="str">
        <f>IFERROR(VLOOKUP($B318,'LISTA - Setembro2024'!$B$3:$K$539,6,0),"Campo eliminado")</f>
        <v>N</v>
      </c>
      <c r="O318" s="6" t="str">
        <f t="shared" si="22"/>
        <v>Igual</v>
      </c>
      <c r="P318" s="6" t="str">
        <f>IFERROR(VLOOKUP($B318,'LISTA - Setembro2024'!$B$3:$K$539,7,0),"Campo eliminado")</f>
        <v>N</v>
      </c>
      <c r="Q318" s="6" t="str">
        <f t="shared" si="23"/>
        <v>Igual</v>
      </c>
      <c r="R318" s="6" t="str">
        <f>IFERROR(VLOOKUP($B318,'LISTA - Setembro2024'!$B$3:$K$539,9,0),"Campo eliminado")</f>
        <v>N</v>
      </c>
      <c r="S318" s="6" t="str">
        <f t="shared" si="24"/>
        <v>Igual</v>
      </c>
      <c r="U318" s="6" t="str">
        <f>VLOOKUP(B318,DataLake!$A$4:$A$429,1,0)</f>
        <v>INSTRUMENT_TYPE_OF_PLCMNT</v>
      </c>
    </row>
    <row r="319" spans="1:21" ht="15" hidden="1" customHeight="1" x14ac:dyDescent="0.25">
      <c r="A319" s="7" t="s">
        <v>930</v>
      </c>
      <c r="B319" s="47" t="str">
        <f t="shared" si="20"/>
        <v>INSTRUMENT_VLTN_CRRNCY</v>
      </c>
      <c r="C319" s="8" t="s">
        <v>414</v>
      </c>
      <c r="D319" s="9" t="s">
        <v>931</v>
      </c>
      <c r="E319" s="11" t="s">
        <v>932</v>
      </c>
      <c r="F319" s="10" t="s">
        <v>13</v>
      </c>
      <c r="G319" s="10" t="s">
        <v>11</v>
      </c>
      <c r="H319" s="10" t="s">
        <v>11</v>
      </c>
      <c r="I319" s="10" t="s">
        <v>11</v>
      </c>
      <c r="J319" s="10" t="s">
        <v>11</v>
      </c>
      <c r="L319" s="6" t="str">
        <f>IFERROR(VLOOKUP($B319,'LISTA - Setembro2024'!$B$3:$F$539,5,0),"Campo eliminado")</f>
        <v>Y</v>
      </c>
      <c r="M319" s="6" t="str">
        <f t="shared" si="21"/>
        <v>Igual</v>
      </c>
      <c r="N319" s="6" t="str">
        <f>IFERROR(VLOOKUP($B319,'LISTA - Setembro2024'!$B$3:$K$539,6,0),"Campo eliminado")</f>
        <v>N</v>
      </c>
      <c r="O319" s="6" t="str">
        <f t="shared" si="22"/>
        <v>Igual</v>
      </c>
      <c r="P319" s="6" t="str">
        <f>IFERROR(VLOOKUP($B319,'LISTA - Setembro2024'!$B$3:$K$539,7,0),"Campo eliminado")</f>
        <v>N</v>
      </c>
      <c r="Q319" s="6" t="str">
        <f t="shared" si="23"/>
        <v>Igual</v>
      </c>
      <c r="R319" s="6" t="str">
        <f>IFERROR(VLOOKUP($B319,'LISTA - Setembro2024'!$B$3:$K$539,9,0),"Campo eliminado")</f>
        <v>N</v>
      </c>
      <c r="S319" s="6" t="str">
        <f t="shared" si="24"/>
        <v>Igual</v>
      </c>
      <c r="U319" s="6" t="str">
        <f>VLOOKUP(B319,DataLake!$A$4:$A$429,1,0)</f>
        <v>INSTRUMENT_VLTN_CRRNCY</v>
      </c>
    </row>
    <row r="320" spans="1:21" ht="15" hidden="1" customHeight="1" x14ac:dyDescent="0.25">
      <c r="A320" s="7" t="s">
        <v>933</v>
      </c>
      <c r="B320" s="47" t="str">
        <f t="shared" si="20"/>
        <v>INSTRUMENT_VLTN_TYP</v>
      </c>
      <c r="C320" s="8" t="s">
        <v>414</v>
      </c>
      <c r="D320" s="9" t="s">
        <v>934</v>
      </c>
      <c r="E320" s="11" t="s">
        <v>935</v>
      </c>
      <c r="F320" s="10" t="s">
        <v>13</v>
      </c>
      <c r="G320" s="10" t="s">
        <v>11</v>
      </c>
      <c r="H320" s="10" t="s">
        <v>11</v>
      </c>
      <c r="I320" s="10" t="s">
        <v>11</v>
      </c>
      <c r="J320" s="10" t="s">
        <v>11</v>
      </c>
      <c r="L320" s="6" t="str">
        <f>IFERROR(VLOOKUP($B320,'LISTA - Setembro2024'!$B$3:$F$539,5,0),"Campo eliminado")</f>
        <v>Y</v>
      </c>
      <c r="M320" s="6" t="str">
        <f t="shared" si="21"/>
        <v>Igual</v>
      </c>
      <c r="N320" s="6" t="str">
        <f>IFERROR(VLOOKUP($B320,'LISTA - Setembro2024'!$B$3:$K$539,6,0),"Campo eliminado")</f>
        <v>N</v>
      </c>
      <c r="O320" s="6" t="str">
        <f t="shared" si="22"/>
        <v>Igual</v>
      </c>
      <c r="P320" s="6" t="str">
        <f>IFERROR(VLOOKUP($B320,'LISTA - Setembro2024'!$B$3:$K$539,7,0),"Campo eliminado")</f>
        <v>N</v>
      </c>
      <c r="Q320" s="6" t="str">
        <f t="shared" si="23"/>
        <v>Igual</v>
      </c>
      <c r="R320" s="6" t="str">
        <f>IFERROR(VLOOKUP($B320,'LISTA - Setembro2024'!$B$3:$K$539,9,0),"Campo eliminado")</f>
        <v>N</v>
      </c>
      <c r="S320" s="6" t="str">
        <f t="shared" si="24"/>
        <v>Igual</v>
      </c>
      <c r="U320" s="6" t="str">
        <f>VLOOKUP(B320,DataLake!$A$4:$A$429,1,0)</f>
        <v>INSTRUMENT_VLTN_TYP</v>
      </c>
    </row>
    <row r="321" spans="1:21" ht="15" hidden="1" customHeight="1" x14ac:dyDescent="0.25">
      <c r="A321" s="7" t="s">
        <v>936</v>
      </c>
      <c r="B321" s="47" t="str">
        <f t="shared" si="20"/>
        <v>INSTRUMENT_LVRG_FNNC_FLG</v>
      </c>
      <c r="C321" s="8" t="s">
        <v>414</v>
      </c>
      <c r="D321" s="9" t="s">
        <v>937</v>
      </c>
      <c r="E321" s="11" t="s">
        <v>938</v>
      </c>
      <c r="F321" s="10" t="s">
        <v>13</v>
      </c>
      <c r="G321" s="10" t="s">
        <v>11</v>
      </c>
      <c r="H321" s="10" t="s">
        <v>11</v>
      </c>
      <c r="I321" s="10" t="s">
        <v>11</v>
      </c>
      <c r="J321" s="10" t="s">
        <v>11</v>
      </c>
      <c r="L321" s="6" t="str">
        <f>IFERROR(VLOOKUP($B321,'LISTA - Setembro2024'!$B$3:$F$539,5,0),"Campo eliminado")</f>
        <v>Y</v>
      </c>
      <c r="M321" s="6" t="str">
        <f t="shared" si="21"/>
        <v>Igual</v>
      </c>
      <c r="N321" s="6" t="str">
        <f>IFERROR(VLOOKUP($B321,'LISTA - Setembro2024'!$B$3:$K$539,6,0),"Campo eliminado")</f>
        <v>N</v>
      </c>
      <c r="O321" s="6" t="str">
        <f t="shared" si="22"/>
        <v>Igual</v>
      </c>
      <c r="P321" s="6" t="str">
        <f>IFERROR(VLOOKUP($B321,'LISTA - Setembro2024'!$B$3:$K$539,7,0),"Campo eliminado")</f>
        <v>N</v>
      </c>
      <c r="Q321" s="6" t="str">
        <f t="shared" si="23"/>
        <v>Igual</v>
      </c>
      <c r="R321" s="6" t="str">
        <f>IFERROR(VLOOKUP($B321,'LISTA - Setembro2024'!$B$3:$K$539,9,0),"Campo eliminado")</f>
        <v>N</v>
      </c>
      <c r="S321" s="6" t="str">
        <f t="shared" si="24"/>
        <v>Igual</v>
      </c>
      <c r="U321" s="6" t="str">
        <f>VLOOKUP(B321,DataLake!$A$4:$A$429,1,0)</f>
        <v>INSTRUMENT_LVRG_FNNC_FLG</v>
      </c>
    </row>
    <row r="322" spans="1:21" ht="15" hidden="1" customHeight="1" x14ac:dyDescent="0.25">
      <c r="A322" s="7" t="s">
        <v>939</v>
      </c>
      <c r="B322" s="47" t="str">
        <f t="shared" si="20"/>
        <v>INSTRUMENT_INTRNL_SGMNT_IFRS9</v>
      </c>
      <c r="C322" s="8" t="s">
        <v>414</v>
      </c>
      <c r="D322" s="9" t="s">
        <v>940</v>
      </c>
      <c r="E322" s="11" t="s">
        <v>941</v>
      </c>
      <c r="F322" s="10" t="s">
        <v>13</v>
      </c>
      <c r="G322" s="10" t="s">
        <v>11</v>
      </c>
      <c r="H322" s="10" t="s">
        <v>11</v>
      </c>
      <c r="I322" s="10" t="s">
        <v>11</v>
      </c>
      <c r="J322" s="10" t="s">
        <v>11</v>
      </c>
      <c r="L322" s="6" t="str">
        <f>IFERROR(VLOOKUP($B322,'LISTA - Setembro2024'!$B$3:$F$539,5,0),"Campo eliminado")</f>
        <v>Y</v>
      </c>
      <c r="M322" s="6" t="str">
        <f t="shared" si="21"/>
        <v>Igual</v>
      </c>
      <c r="N322" s="6" t="str">
        <f>IFERROR(VLOOKUP($B322,'LISTA - Setembro2024'!$B$3:$K$539,6,0),"Campo eliminado")</f>
        <v>N</v>
      </c>
      <c r="O322" s="6" t="str">
        <f t="shared" si="22"/>
        <v>Igual</v>
      </c>
      <c r="P322" s="6" t="str">
        <f>IFERROR(VLOOKUP($B322,'LISTA - Setembro2024'!$B$3:$K$539,7,0),"Campo eliminado")</f>
        <v>N</v>
      </c>
      <c r="Q322" s="6" t="str">
        <f t="shared" si="23"/>
        <v>Igual</v>
      </c>
      <c r="R322" s="6" t="str">
        <f>IFERROR(VLOOKUP($B322,'LISTA - Setembro2024'!$B$3:$K$539,9,0),"Campo eliminado")</f>
        <v>N</v>
      </c>
      <c r="S322" s="6" t="str">
        <f t="shared" si="24"/>
        <v>Igual</v>
      </c>
      <c r="U322" s="6" t="str">
        <f>VLOOKUP(B322,DataLake!$A$4:$A$429,1,0)</f>
        <v>INSTRUMENT_INTRNL_SGMNT_IFRS9</v>
      </c>
    </row>
    <row r="323" spans="1:21" ht="15" hidden="1" customHeight="1" x14ac:dyDescent="0.25">
      <c r="A323" s="7" t="s">
        <v>942</v>
      </c>
      <c r="B323" s="47" t="str">
        <f t="shared" ref="B323:B386" si="25">C323&amp;"_"&amp;D323</f>
        <v>INSTRUMENT_INTRNL_SGMNT_CAT_MSTA</v>
      </c>
      <c r="C323" s="8" t="s">
        <v>414</v>
      </c>
      <c r="D323" s="9" t="s">
        <v>943</v>
      </c>
      <c r="E323" s="14" t="s">
        <v>944</v>
      </c>
      <c r="F323" s="10" t="s">
        <v>13</v>
      </c>
      <c r="G323" s="10" t="s">
        <v>11</v>
      </c>
      <c r="H323" s="10" t="s">
        <v>11</v>
      </c>
      <c r="I323" s="10" t="s">
        <v>13</v>
      </c>
      <c r="J323" s="10" t="s">
        <v>11</v>
      </c>
      <c r="L323" s="6" t="str">
        <f>IFERROR(VLOOKUP($B323,'LISTA - Setembro2024'!$B$3:$F$539,5,0),"Campo eliminado")</f>
        <v>Y</v>
      </c>
      <c r="M323" s="6" t="str">
        <f t="shared" ref="M323:M386" si="26">IF(L323="Campo eliminado","Campo eliminado",IF(L323=F323,"Igual","Diferente"))</f>
        <v>Igual</v>
      </c>
      <c r="N323" s="6" t="str">
        <f>IFERROR(VLOOKUP($B323,'LISTA - Setembro2024'!$B$3:$K$539,6,0),"Campo eliminado")</f>
        <v>N</v>
      </c>
      <c r="O323" s="6" t="str">
        <f t="shared" ref="O323:O386" si="27">IF(N323="Campo eliminado","Campo eliminado",IF(N323=G323,"Igual","Diferente"))</f>
        <v>Igual</v>
      </c>
      <c r="P323" s="6" t="str">
        <f>IFERROR(VLOOKUP($B323,'LISTA - Setembro2024'!$B$3:$K$539,7,0),"Campo eliminado")</f>
        <v>N</v>
      </c>
      <c r="Q323" s="6" t="str">
        <f t="shared" ref="Q323:Q386" si="28">IF(P323="Campo eliminado","Campo eliminado",IF(P323=H323,"Igual","Diferente"))</f>
        <v>Igual</v>
      </c>
      <c r="R323" s="6" t="str">
        <f>IFERROR(VLOOKUP($B323,'LISTA - Setembro2024'!$B$3:$K$539,9,0),"Campo eliminado")</f>
        <v>Y</v>
      </c>
      <c r="S323" s="6" t="str">
        <f t="shared" ref="S323:S386" si="29">IF(R323="Campo eliminado","Campo eliminado",IF(R323=I323,"Igual","Diferente"))</f>
        <v>Igual</v>
      </c>
      <c r="U323" s="6" t="str">
        <f>VLOOKUP(B323,DataLake!$A$4:$A$429,1,0)</f>
        <v>INSTRUMENT_INTRNL_SGMNT_CAT_MSTA</v>
      </c>
    </row>
    <row r="324" spans="1:21" ht="15" hidden="1" customHeight="1" x14ac:dyDescent="0.25">
      <c r="A324" s="7" t="s">
        <v>945</v>
      </c>
      <c r="B324" s="47" t="str">
        <f t="shared" si="25"/>
        <v>INSTRUMENT_INTRNL_SGMNT_CATGSUB</v>
      </c>
      <c r="C324" s="8" t="s">
        <v>414</v>
      </c>
      <c r="D324" s="9" t="s">
        <v>946</v>
      </c>
      <c r="E324" s="11" t="s">
        <v>947</v>
      </c>
      <c r="F324" s="10" t="s">
        <v>13</v>
      </c>
      <c r="G324" s="10" t="s">
        <v>11</v>
      </c>
      <c r="H324" s="10" t="s">
        <v>11</v>
      </c>
      <c r="I324" s="10" t="s">
        <v>13</v>
      </c>
      <c r="J324" s="10" t="s">
        <v>11</v>
      </c>
      <c r="L324" s="6" t="str">
        <f>IFERROR(VLOOKUP($B324,'LISTA - Setembro2024'!$B$3:$F$539,5,0),"Campo eliminado")</f>
        <v>Y</v>
      </c>
      <c r="M324" s="6" t="str">
        <f t="shared" si="26"/>
        <v>Igual</v>
      </c>
      <c r="N324" s="6" t="str">
        <f>IFERROR(VLOOKUP($B324,'LISTA - Setembro2024'!$B$3:$K$539,6,0),"Campo eliminado")</f>
        <v>N</v>
      </c>
      <c r="O324" s="6" t="str">
        <f t="shared" si="27"/>
        <v>Igual</v>
      </c>
      <c r="P324" s="6" t="str">
        <f>IFERROR(VLOOKUP($B324,'LISTA - Setembro2024'!$B$3:$K$539,7,0),"Campo eliminado")</f>
        <v>N</v>
      </c>
      <c r="Q324" s="6" t="str">
        <f t="shared" si="28"/>
        <v>Igual</v>
      </c>
      <c r="R324" s="6" t="str">
        <f>IFERROR(VLOOKUP($B324,'LISTA - Setembro2024'!$B$3:$K$539,9,0),"Campo eliminado")</f>
        <v>Y</v>
      </c>
      <c r="S324" s="6" t="str">
        <f t="shared" si="29"/>
        <v>Igual</v>
      </c>
      <c r="U324" s="6" t="str">
        <f>VLOOKUP(B324,DataLake!$A$4:$A$429,1,0)</f>
        <v>INSTRUMENT_INTRNL_SGMNT_CATGSUB</v>
      </c>
    </row>
    <row r="325" spans="1:21" ht="15" hidden="1" customHeight="1" x14ac:dyDescent="0.25">
      <c r="A325" s="7" t="s">
        <v>948</v>
      </c>
      <c r="B325" s="47" t="str">
        <f t="shared" si="25"/>
        <v>INSTRUMENT_CRRLTN_CFFCNT</v>
      </c>
      <c r="C325" s="8" t="s">
        <v>414</v>
      </c>
      <c r="D325" s="9" t="s">
        <v>949</v>
      </c>
      <c r="E325" s="11" t="s">
        <v>950</v>
      </c>
      <c r="F325" s="10" t="s">
        <v>13</v>
      </c>
      <c r="G325" s="10" t="s">
        <v>11</v>
      </c>
      <c r="H325" s="10" t="s">
        <v>11</v>
      </c>
      <c r="I325" s="10" t="s">
        <v>11</v>
      </c>
      <c r="J325" s="10" t="s">
        <v>11</v>
      </c>
      <c r="L325" s="6" t="str">
        <f>IFERROR(VLOOKUP($B325,'LISTA - Setembro2024'!$B$3:$F$539,5,0),"Campo eliminado")</f>
        <v>Y</v>
      </c>
      <c r="M325" s="6" t="str">
        <f t="shared" si="26"/>
        <v>Igual</v>
      </c>
      <c r="N325" s="6" t="str">
        <f>IFERROR(VLOOKUP($B325,'LISTA - Setembro2024'!$B$3:$K$539,6,0),"Campo eliminado")</f>
        <v>N</v>
      </c>
      <c r="O325" s="6" t="str">
        <f t="shared" si="27"/>
        <v>Igual</v>
      </c>
      <c r="P325" s="6" t="str">
        <f>IFERROR(VLOOKUP($B325,'LISTA - Setembro2024'!$B$3:$K$539,7,0),"Campo eliminado")</f>
        <v>N</v>
      </c>
      <c r="Q325" s="6" t="str">
        <f t="shared" si="28"/>
        <v>Igual</v>
      </c>
      <c r="R325" s="6" t="str">
        <f>IFERROR(VLOOKUP($B325,'LISTA - Setembro2024'!$B$3:$K$539,9,0),"Campo eliminado")</f>
        <v>N</v>
      </c>
      <c r="S325" s="6" t="str">
        <f t="shared" si="29"/>
        <v>Igual</v>
      </c>
      <c r="U325" s="6" t="str">
        <f>VLOOKUP(B325,DataLake!$A$4:$A$429,1,0)</f>
        <v>INSTRUMENT_CRRLTN_CFFCNT</v>
      </c>
    </row>
    <row r="326" spans="1:21" ht="15" hidden="1" customHeight="1" x14ac:dyDescent="0.25">
      <c r="A326" s="7" t="s">
        <v>951</v>
      </c>
      <c r="B326" s="47" t="str">
        <f t="shared" si="25"/>
        <v>INSTRUMENT_ISIN_SCRTSTN</v>
      </c>
      <c r="C326" s="8" t="s">
        <v>414</v>
      </c>
      <c r="D326" s="9" t="s">
        <v>952</v>
      </c>
      <c r="E326" s="11" t="s">
        <v>953</v>
      </c>
      <c r="F326" s="10" t="s">
        <v>13</v>
      </c>
      <c r="G326" s="10" t="s">
        <v>11</v>
      </c>
      <c r="H326" s="10" t="s">
        <v>11</v>
      </c>
      <c r="I326" s="10" t="s">
        <v>11</v>
      </c>
      <c r="J326" s="10" t="s">
        <v>11</v>
      </c>
      <c r="L326" s="6" t="str">
        <f>IFERROR(VLOOKUP($B326,'LISTA - Setembro2024'!$B$3:$F$539,5,0),"Campo eliminado")</f>
        <v>Y</v>
      </c>
      <c r="M326" s="6" t="str">
        <f t="shared" si="26"/>
        <v>Igual</v>
      </c>
      <c r="N326" s="6" t="str">
        <f>IFERROR(VLOOKUP($B326,'LISTA - Setembro2024'!$B$3:$K$539,6,0),"Campo eliminado")</f>
        <v>N</v>
      </c>
      <c r="O326" s="6" t="str">
        <f t="shared" si="27"/>
        <v>Igual</v>
      </c>
      <c r="P326" s="6" t="str">
        <f>IFERROR(VLOOKUP($B326,'LISTA - Setembro2024'!$B$3:$K$539,7,0),"Campo eliminado")</f>
        <v>N</v>
      </c>
      <c r="Q326" s="6" t="str">
        <f t="shared" si="28"/>
        <v>Igual</v>
      </c>
      <c r="R326" s="6" t="str">
        <f>IFERROR(VLOOKUP($B326,'LISTA - Setembro2024'!$B$3:$K$539,9,0),"Campo eliminado")</f>
        <v>N</v>
      </c>
      <c r="S326" s="6" t="str">
        <f t="shared" si="29"/>
        <v>Igual</v>
      </c>
      <c r="U326" s="6" t="str">
        <f>VLOOKUP(B326,DataLake!$A$4:$A$429,1,0)</f>
        <v>INSTRUMENT_ISIN_SCRTSTN</v>
      </c>
    </row>
    <row r="327" spans="1:21" ht="14.85" hidden="1" customHeight="1" x14ac:dyDescent="0.25">
      <c r="A327" s="7" t="s">
        <v>954</v>
      </c>
      <c r="B327" s="47" t="str">
        <f t="shared" si="25"/>
        <v>INSTRUMENT_CNTRCT_ID_BDR</v>
      </c>
      <c r="C327" s="8" t="s">
        <v>414</v>
      </c>
      <c r="D327" s="9" t="s">
        <v>955</v>
      </c>
      <c r="E327" s="27" t="s">
        <v>956</v>
      </c>
      <c r="F327" s="10" t="s">
        <v>13</v>
      </c>
      <c r="G327" s="10" t="s">
        <v>11</v>
      </c>
      <c r="H327" s="10" t="s">
        <v>11</v>
      </c>
      <c r="I327" s="10" t="s">
        <v>11</v>
      </c>
      <c r="J327" s="10" t="s">
        <v>11</v>
      </c>
      <c r="L327" s="6" t="str">
        <f>IFERROR(VLOOKUP($B327,'LISTA - Setembro2024'!$B$3:$F$539,5,0),"Campo eliminado")</f>
        <v>Y</v>
      </c>
      <c r="M327" s="6" t="str">
        <f t="shared" si="26"/>
        <v>Igual</v>
      </c>
      <c r="N327" s="6" t="str">
        <f>IFERROR(VLOOKUP($B327,'LISTA - Setembro2024'!$B$3:$K$539,6,0),"Campo eliminado")</f>
        <v>N</v>
      </c>
      <c r="O327" s="6" t="str">
        <f t="shared" si="27"/>
        <v>Igual</v>
      </c>
      <c r="P327" s="6" t="str">
        <f>IFERROR(VLOOKUP($B327,'LISTA - Setembro2024'!$B$3:$K$539,7,0),"Campo eliminado")</f>
        <v>N</v>
      </c>
      <c r="Q327" s="6" t="str">
        <f t="shared" si="28"/>
        <v>Igual</v>
      </c>
      <c r="R327" s="6" t="str">
        <f>IFERROR(VLOOKUP($B327,'LISTA - Setembro2024'!$B$3:$K$539,9,0),"Campo eliminado")</f>
        <v>N</v>
      </c>
      <c r="S327" s="6" t="str">
        <f t="shared" si="29"/>
        <v>Igual</v>
      </c>
      <c r="U327" s="6" t="str">
        <f>VLOOKUP(B327,DataLake!$A$4:$A$429,1,0)</f>
        <v>INSTRUMENT_CNTRCT_ID_BDR</v>
      </c>
    </row>
    <row r="328" spans="1:21" ht="15" hidden="1" customHeight="1" x14ac:dyDescent="0.25">
      <c r="A328" s="7" t="s">
        <v>957</v>
      </c>
      <c r="B328" s="47" t="str">
        <f t="shared" si="25"/>
        <v>INSTRUMENT_COD_SOC_INTRGRP</v>
      </c>
      <c r="C328" s="8" t="s">
        <v>414</v>
      </c>
      <c r="D328" s="9" t="s">
        <v>958</v>
      </c>
      <c r="E328" s="28" t="s">
        <v>959</v>
      </c>
      <c r="F328" s="10" t="s">
        <v>13</v>
      </c>
      <c r="G328" s="10" t="s">
        <v>13</v>
      </c>
      <c r="H328" s="10" t="s">
        <v>11</v>
      </c>
      <c r="I328" s="10" t="s">
        <v>11</v>
      </c>
      <c r="J328" s="10" t="s">
        <v>11</v>
      </c>
      <c r="L328" s="6" t="str">
        <f>IFERROR(VLOOKUP($B328,'LISTA - Setembro2024'!$B$3:$F$539,5,0),"Campo eliminado")</f>
        <v>Y</v>
      </c>
      <c r="M328" s="6" t="str">
        <f t="shared" si="26"/>
        <v>Igual</v>
      </c>
      <c r="N328" s="6" t="str">
        <f>IFERROR(VLOOKUP($B328,'LISTA - Setembro2024'!$B$3:$K$539,6,0),"Campo eliminado")</f>
        <v>Y</v>
      </c>
      <c r="O328" s="6" t="str">
        <f t="shared" si="27"/>
        <v>Igual</v>
      </c>
      <c r="P328" s="6" t="str">
        <f>IFERROR(VLOOKUP($B328,'LISTA - Setembro2024'!$B$3:$K$539,7,0),"Campo eliminado")</f>
        <v>N</v>
      </c>
      <c r="Q328" s="6" t="str">
        <f t="shared" si="28"/>
        <v>Igual</v>
      </c>
      <c r="R328" s="6" t="str">
        <f>IFERROR(VLOOKUP($B328,'LISTA - Setembro2024'!$B$3:$K$539,9,0),"Campo eliminado")</f>
        <v>N</v>
      </c>
      <c r="S328" s="6" t="str">
        <f t="shared" si="29"/>
        <v>Igual</v>
      </c>
      <c r="U328" s="6" t="str">
        <f>VLOOKUP(B328,DataLake!$A$4:$A$429,1,0)</f>
        <v>INSTRUMENT_COD_SOC_INTRGRP</v>
      </c>
    </row>
    <row r="329" spans="1:21" ht="15" hidden="1" customHeight="1" x14ac:dyDescent="0.25">
      <c r="A329" s="7" t="s">
        <v>960</v>
      </c>
      <c r="B329" s="47" t="str">
        <f t="shared" si="25"/>
        <v>INSTRUMENT_LCL_INSTMRNT_ID</v>
      </c>
      <c r="C329" s="8" t="s">
        <v>414</v>
      </c>
      <c r="D329" s="9" t="s">
        <v>961</v>
      </c>
      <c r="E329" s="28" t="s">
        <v>962</v>
      </c>
      <c r="F329" s="10" t="s">
        <v>13</v>
      </c>
      <c r="G329" s="10" t="s">
        <v>13</v>
      </c>
      <c r="H329" s="10" t="s">
        <v>13</v>
      </c>
      <c r="I329" s="10" t="s">
        <v>11</v>
      </c>
      <c r="J329" s="10" t="s">
        <v>11</v>
      </c>
      <c r="L329" s="6" t="str">
        <f>IFERROR(VLOOKUP($B329,'LISTA - Setembro2024'!$B$3:$F$539,5,0),"Campo eliminado")</f>
        <v>Y</v>
      </c>
      <c r="M329" s="6" t="str">
        <f t="shared" si="26"/>
        <v>Igual</v>
      </c>
      <c r="N329" s="6" t="str">
        <f>IFERROR(VLOOKUP($B329,'LISTA - Setembro2024'!$B$3:$K$539,6,0),"Campo eliminado")</f>
        <v>Y</v>
      </c>
      <c r="O329" s="6" t="str">
        <f t="shared" si="27"/>
        <v>Igual</v>
      </c>
      <c r="P329" s="6" t="str">
        <f>IFERROR(VLOOKUP($B329,'LISTA - Setembro2024'!$B$3:$K$539,7,0),"Campo eliminado")</f>
        <v>Y</v>
      </c>
      <c r="Q329" s="6" t="str">
        <f t="shared" si="28"/>
        <v>Igual</v>
      </c>
      <c r="R329" s="6" t="str">
        <f>IFERROR(VLOOKUP($B329,'LISTA - Setembro2024'!$B$3:$K$539,9,0),"Campo eliminado")</f>
        <v>N</v>
      </c>
      <c r="S329" s="6" t="str">
        <f t="shared" si="29"/>
        <v>Igual</v>
      </c>
      <c r="U329" s="6" t="str">
        <f>VLOOKUP(B329,DataLake!$A$4:$A$429,1,0)</f>
        <v>INSTRUMENT_LCL_INSTMRNT_ID</v>
      </c>
    </row>
    <row r="330" spans="1:21" ht="14.85" hidden="1" customHeight="1" x14ac:dyDescent="0.25">
      <c r="A330" s="29" t="s">
        <v>963</v>
      </c>
      <c r="B330" s="47" t="str">
        <f t="shared" si="25"/>
        <v>INSTRUMENT_SSTNBL_INDCTR</v>
      </c>
      <c r="C330" s="8" t="s">
        <v>414</v>
      </c>
      <c r="D330" s="9" t="s">
        <v>964</v>
      </c>
      <c r="E330" s="30" t="s">
        <v>965</v>
      </c>
      <c r="F330" s="10" t="s">
        <v>11</v>
      </c>
      <c r="G330" s="10" t="s">
        <v>13</v>
      </c>
      <c r="H330" s="10" t="s">
        <v>13</v>
      </c>
      <c r="I330" s="10" t="s">
        <v>11</v>
      </c>
      <c r="J330" s="10" t="s">
        <v>11</v>
      </c>
      <c r="L330" s="6" t="str">
        <f>IFERROR(VLOOKUP($B330,'LISTA - Setembro2024'!$B$3:$F$539,5,0),"Campo eliminado")</f>
        <v>N</v>
      </c>
      <c r="M330" s="6" t="str">
        <f t="shared" si="26"/>
        <v>Igual</v>
      </c>
      <c r="N330" s="6" t="str">
        <f>IFERROR(VLOOKUP($B330,'LISTA - Setembro2024'!$B$3:$K$539,6,0),"Campo eliminado")</f>
        <v>Y</v>
      </c>
      <c r="O330" s="6" t="str">
        <f t="shared" si="27"/>
        <v>Igual</v>
      </c>
      <c r="P330" s="6" t="str">
        <f>IFERROR(VLOOKUP($B330,'LISTA - Setembro2024'!$B$3:$K$539,7,0),"Campo eliminado")</f>
        <v>Y</v>
      </c>
      <c r="Q330" s="6" t="str">
        <f t="shared" si="28"/>
        <v>Igual</v>
      </c>
      <c r="R330" s="6" t="str">
        <f>IFERROR(VLOOKUP($B330,'LISTA - Setembro2024'!$B$3:$K$539,9,0),"Campo eliminado")</f>
        <v>N</v>
      </c>
      <c r="S330" s="6" t="str">
        <f t="shared" si="29"/>
        <v>Igual</v>
      </c>
      <c r="U330" s="6" t="str">
        <f>VLOOKUP(B330,DataLake!$A$4:$A$429,1,0)</f>
        <v>INSTRUMENT_SSTNBL_INDCTR</v>
      </c>
    </row>
    <row r="331" spans="1:21" ht="15" hidden="1" customHeight="1" x14ac:dyDescent="0.25">
      <c r="A331" s="29" t="s">
        <v>966</v>
      </c>
      <c r="B331" s="47" t="str">
        <f t="shared" si="25"/>
        <v>INSTRUMENT_SSTNBL_CTGRY</v>
      </c>
      <c r="C331" s="8" t="s">
        <v>414</v>
      </c>
      <c r="D331" s="9" t="s">
        <v>967</v>
      </c>
      <c r="E331" s="14" t="s">
        <v>968</v>
      </c>
      <c r="F331" s="10" t="s">
        <v>11</v>
      </c>
      <c r="G331" s="10" t="s">
        <v>13</v>
      </c>
      <c r="H331" s="10" t="s">
        <v>13</v>
      </c>
      <c r="I331" s="10" t="s">
        <v>11</v>
      </c>
      <c r="J331" s="10" t="s">
        <v>11</v>
      </c>
      <c r="L331" s="6" t="str">
        <f>IFERROR(VLOOKUP($B331,'LISTA - Setembro2024'!$B$3:$F$539,5,0),"Campo eliminado")</f>
        <v>N</v>
      </c>
      <c r="M331" s="6" t="str">
        <f t="shared" si="26"/>
        <v>Igual</v>
      </c>
      <c r="N331" s="6" t="str">
        <f>IFERROR(VLOOKUP($B331,'LISTA - Setembro2024'!$B$3:$K$539,6,0),"Campo eliminado")</f>
        <v>Y</v>
      </c>
      <c r="O331" s="6" t="str">
        <f t="shared" si="27"/>
        <v>Igual</v>
      </c>
      <c r="P331" s="6" t="str">
        <f>IFERROR(VLOOKUP($B331,'LISTA - Setembro2024'!$B$3:$K$539,7,0),"Campo eliminado")</f>
        <v>Y</v>
      </c>
      <c r="Q331" s="6" t="str">
        <f t="shared" si="28"/>
        <v>Igual</v>
      </c>
      <c r="R331" s="6" t="str">
        <f>IFERROR(VLOOKUP($B331,'LISTA - Setembro2024'!$B$3:$K$539,9,0),"Campo eliminado")</f>
        <v>N</v>
      </c>
      <c r="S331" s="6" t="str">
        <f t="shared" si="29"/>
        <v>Igual</v>
      </c>
      <c r="U331" s="6" t="str">
        <f>VLOOKUP(B331,DataLake!$A$4:$A$429,1,0)</f>
        <v>INSTRUMENT_SSTNBL_CTGRY</v>
      </c>
    </row>
    <row r="332" spans="1:21" ht="15" hidden="1" customHeight="1" x14ac:dyDescent="0.25">
      <c r="A332" s="29" t="s">
        <v>969</v>
      </c>
      <c r="B332" s="47" t="str">
        <f t="shared" si="25"/>
        <v>INSTRUMENT_AVRG_BLNC</v>
      </c>
      <c r="C332" s="8" t="s">
        <v>414</v>
      </c>
      <c r="D332" s="9" t="s">
        <v>970</v>
      </c>
      <c r="E332" s="14" t="s">
        <v>971</v>
      </c>
      <c r="F332" s="10" t="s">
        <v>11</v>
      </c>
      <c r="G332" s="10" t="s">
        <v>13</v>
      </c>
      <c r="H332" s="10" t="s">
        <v>11</v>
      </c>
      <c r="I332" s="10" t="s">
        <v>11</v>
      </c>
      <c r="J332" s="10" t="s">
        <v>11</v>
      </c>
      <c r="L332" s="6" t="str">
        <f>IFERROR(VLOOKUP($B332,'LISTA - Setembro2024'!$B$3:$F$539,5,0),"Campo eliminado")</f>
        <v>N</v>
      </c>
      <c r="M332" s="6" t="str">
        <f t="shared" si="26"/>
        <v>Igual</v>
      </c>
      <c r="N332" s="6" t="str">
        <f>IFERROR(VLOOKUP($B332,'LISTA - Setembro2024'!$B$3:$K$539,6,0),"Campo eliminado")</f>
        <v>Y</v>
      </c>
      <c r="O332" s="6" t="str">
        <f t="shared" si="27"/>
        <v>Igual</v>
      </c>
      <c r="P332" s="6" t="str">
        <f>IFERROR(VLOOKUP($B332,'LISTA - Setembro2024'!$B$3:$K$539,7,0),"Campo eliminado")</f>
        <v>N</v>
      </c>
      <c r="Q332" s="6" t="str">
        <f t="shared" si="28"/>
        <v>Igual</v>
      </c>
      <c r="R332" s="6" t="str">
        <f>IFERROR(VLOOKUP($B332,'LISTA - Setembro2024'!$B$3:$K$539,9,0),"Campo eliminado")</f>
        <v>N</v>
      </c>
      <c r="S332" s="6" t="str">
        <f t="shared" si="29"/>
        <v>Igual</v>
      </c>
      <c r="U332" s="6" t="str">
        <f>VLOOKUP(B332,DataLake!$A$4:$A$429,1,0)</f>
        <v>INSTRUMENT_AVRG_BLNC</v>
      </c>
    </row>
    <row r="333" spans="1:21" ht="15" hidden="1" customHeight="1" x14ac:dyDescent="0.25">
      <c r="A333" s="29" t="s">
        <v>972</v>
      </c>
      <c r="B333" s="47" t="str">
        <f t="shared" si="25"/>
        <v>INSTRUMENT_NW_BSNSS</v>
      </c>
      <c r="C333" s="8" t="s">
        <v>414</v>
      </c>
      <c r="D333" s="9" t="s">
        <v>973</v>
      </c>
      <c r="E333" s="14" t="s">
        <v>974</v>
      </c>
      <c r="F333" s="10" t="s">
        <v>11</v>
      </c>
      <c r="G333" s="10" t="s">
        <v>13</v>
      </c>
      <c r="H333" s="10" t="s">
        <v>11</v>
      </c>
      <c r="I333" s="10" t="s">
        <v>11</v>
      </c>
      <c r="J333" s="10" t="s">
        <v>11</v>
      </c>
      <c r="L333" s="6" t="str">
        <f>IFERROR(VLOOKUP($B333,'LISTA - Setembro2024'!$B$3:$F$539,5,0),"Campo eliminado")</f>
        <v>N</v>
      </c>
      <c r="M333" s="6" t="str">
        <f t="shared" si="26"/>
        <v>Igual</v>
      </c>
      <c r="N333" s="6" t="str">
        <f>IFERROR(VLOOKUP($B333,'LISTA - Setembro2024'!$B$3:$K$539,6,0),"Campo eliminado")</f>
        <v>Y</v>
      </c>
      <c r="O333" s="6" t="str">
        <f t="shared" si="27"/>
        <v>Igual</v>
      </c>
      <c r="P333" s="6" t="str">
        <f>IFERROR(VLOOKUP($B333,'LISTA - Setembro2024'!$B$3:$K$539,7,0),"Campo eliminado")</f>
        <v>Y</v>
      </c>
      <c r="Q333" s="6" t="str">
        <f t="shared" si="28"/>
        <v>Diferente</v>
      </c>
      <c r="R333" s="6" t="str">
        <f>IFERROR(VLOOKUP($B333,'LISTA - Setembro2024'!$B$3:$K$539,9,0),"Campo eliminado")</f>
        <v>N</v>
      </c>
      <c r="S333" s="6" t="str">
        <f t="shared" si="29"/>
        <v>Igual</v>
      </c>
      <c r="U333" s="6" t="str">
        <f>VLOOKUP(B333,DataLake!$A$4:$A$429,1,0)</f>
        <v>INSTRUMENT_NW_BSNSS</v>
      </c>
    </row>
    <row r="334" spans="1:21" ht="15" hidden="1" customHeight="1" x14ac:dyDescent="0.25">
      <c r="A334" s="29" t="s">
        <v>975</v>
      </c>
      <c r="B334" s="47" t="str">
        <f t="shared" si="25"/>
        <v>INSTRUMENT_GRSS_INTRST_INCM</v>
      </c>
      <c r="C334" s="8" t="s">
        <v>414</v>
      </c>
      <c r="D334" s="9" t="s">
        <v>976</v>
      </c>
      <c r="E334" s="14" t="s">
        <v>977</v>
      </c>
      <c r="F334" s="10" t="s">
        <v>11</v>
      </c>
      <c r="G334" s="10" t="s">
        <v>13</v>
      </c>
      <c r="H334" s="10" t="s">
        <v>13</v>
      </c>
      <c r="I334" s="10" t="s">
        <v>11</v>
      </c>
      <c r="J334" s="10" t="s">
        <v>11</v>
      </c>
      <c r="L334" s="6" t="str">
        <f>IFERROR(VLOOKUP($B334,'LISTA - Setembro2024'!$B$3:$F$539,5,0),"Campo eliminado")</f>
        <v>N</v>
      </c>
      <c r="M334" s="6" t="str">
        <f t="shared" si="26"/>
        <v>Igual</v>
      </c>
      <c r="N334" s="6" t="str">
        <f>IFERROR(VLOOKUP($B334,'LISTA - Setembro2024'!$B$3:$K$539,6,0),"Campo eliminado")</f>
        <v>Y</v>
      </c>
      <c r="O334" s="6" t="str">
        <f t="shared" si="27"/>
        <v>Igual</v>
      </c>
      <c r="P334" s="6" t="str">
        <f>IFERROR(VLOOKUP($B334,'LISTA - Setembro2024'!$B$3:$K$539,7,0),"Campo eliminado")</f>
        <v>Y</v>
      </c>
      <c r="Q334" s="6" t="str">
        <f t="shared" si="28"/>
        <v>Igual</v>
      </c>
      <c r="R334" s="6" t="str">
        <f>IFERROR(VLOOKUP($B334,'LISTA - Setembro2024'!$B$3:$K$539,9,0),"Campo eliminado")</f>
        <v>N</v>
      </c>
      <c r="S334" s="6" t="str">
        <f t="shared" si="29"/>
        <v>Igual</v>
      </c>
      <c r="U334" s="6" t="str">
        <f>VLOOKUP(B334,DataLake!$A$4:$A$429,1,0)</f>
        <v>INSTRUMENT_GRSS_INTRST_INCM</v>
      </c>
    </row>
    <row r="335" spans="1:21" ht="15" hidden="1" customHeight="1" x14ac:dyDescent="0.25">
      <c r="A335" s="29" t="s">
        <v>978</v>
      </c>
      <c r="B335" s="47" t="str">
        <f t="shared" si="25"/>
        <v>INSTRUMENT_GRSS_CMMSSN_INCM</v>
      </c>
      <c r="C335" s="8" t="s">
        <v>414</v>
      </c>
      <c r="D335" s="17" t="s">
        <v>979</v>
      </c>
      <c r="E335" s="14" t="s">
        <v>980</v>
      </c>
      <c r="F335" s="10" t="s">
        <v>11</v>
      </c>
      <c r="G335" s="10" t="s">
        <v>13</v>
      </c>
      <c r="H335" s="10" t="s">
        <v>13</v>
      </c>
      <c r="I335" s="10" t="s">
        <v>11</v>
      </c>
      <c r="J335" s="10" t="s">
        <v>11</v>
      </c>
      <c r="L335" s="6" t="str">
        <f>IFERROR(VLOOKUP($B335,'LISTA - Setembro2024'!$B$3:$F$539,5,0),"Campo eliminado")</f>
        <v>N</v>
      </c>
      <c r="M335" s="6" t="str">
        <f t="shared" si="26"/>
        <v>Igual</v>
      </c>
      <c r="N335" s="6" t="str">
        <f>IFERROR(VLOOKUP($B335,'LISTA - Setembro2024'!$B$3:$K$539,6,0),"Campo eliminado")</f>
        <v>Y</v>
      </c>
      <c r="O335" s="6" t="str">
        <f t="shared" si="27"/>
        <v>Igual</v>
      </c>
      <c r="P335" s="6" t="str">
        <f>IFERROR(VLOOKUP($B335,'LISTA - Setembro2024'!$B$3:$K$539,7,0),"Campo eliminado")</f>
        <v>Y</v>
      </c>
      <c r="Q335" s="6" t="str">
        <f t="shared" si="28"/>
        <v>Igual</v>
      </c>
      <c r="R335" s="6" t="str">
        <f>IFERROR(VLOOKUP($B335,'LISTA - Setembro2024'!$B$3:$K$539,9,0),"Campo eliminado")</f>
        <v>N</v>
      </c>
      <c r="S335" s="6" t="str">
        <f t="shared" si="29"/>
        <v>Igual</v>
      </c>
      <c r="U335" s="6" t="str">
        <f>VLOOKUP(B335,DataLake!$A$4:$A$429,1,0)</f>
        <v>INSTRUMENT_GRSS_CMMSSN_INCM</v>
      </c>
    </row>
    <row r="336" spans="1:21" ht="15" hidden="1" customHeight="1" x14ac:dyDescent="0.25">
      <c r="A336" s="29" t="s">
        <v>981</v>
      </c>
      <c r="B336" s="47" t="str">
        <f t="shared" si="25"/>
        <v>INSTRUMENT_INTRNL_TRNSFR_RT</v>
      </c>
      <c r="C336" s="8" t="s">
        <v>414</v>
      </c>
      <c r="D336" s="9" t="s">
        <v>982</v>
      </c>
      <c r="E336" s="14" t="s">
        <v>983</v>
      </c>
      <c r="F336" s="10" t="s">
        <v>11</v>
      </c>
      <c r="G336" s="10" t="s">
        <v>13</v>
      </c>
      <c r="H336" s="10" t="s">
        <v>11</v>
      </c>
      <c r="I336" s="10" t="s">
        <v>11</v>
      </c>
      <c r="J336" s="10" t="s">
        <v>11</v>
      </c>
      <c r="L336" s="6" t="str">
        <f>IFERROR(VLOOKUP($B336,'LISTA - Setembro2024'!$B$3:$F$539,5,0),"Campo eliminado")</f>
        <v>N</v>
      </c>
      <c r="M336" s="6" t="str">
        <f t="shared" si="26"/>
        <v>Igual</v>
      </c>
      <c r="N336" s="6" t="str">
        <f>IFERROR(VLOOKUP($B336,'LISTA - Setembro2024'!$B$3:$K$539,6,0),"Campo eliminado")</f>
        <v>Y</v>
      </c>
      <c r="O336" s="6" t="str">
        <f t="shared" si="27"/>
        <v>Igual</v>
      </c>
      <c r="P336" s="6" t="str">
        <f>IFERROR(VLOOKUP($B336,'LISTA - Setembro2024'!$B$3:$K$539,7,0),"Campo eliminado")</f>
        <v>N</v>
      </c>
      <c r="Q336" s="6" t="str">
        <f t="shared" si="28"/>
        <v>Igual</v>
      </c>
      <c r="R336" s="6" t="str">
        <f>IFERROR(VLOOKUP($B336,'LISTA - Setembro2024'!$B$3:$K$539,9,0),"Campo eliminado")</f>
        <v>N</v>
      </c>
      <c r="S336" s="6" t="str">
        <f t="shared" si="29"/>
        <v>Igual</v>
      </c>
      <c r="U336" s="6" t="str">
        <f>VLOOKUP(B336,DataLake!$A$4:$A$429,1,0)</f>
        <v>INSTRUMENT_INTRNL_TRNSFR_RT</v>
      </c>
    </row>
    <row r="337" spans="1:21" ht="15" hidden="1" customHeight="1" x14ac:dyDescent="0.25">
      <c r="A337" s="29" t="s">
        <v>984</v>
      </c>
      <c r="B337" s="47" t="str">
        <f t="shared" si="25"/>
        <v>INSTRUMENT_NT_LN_LSS_PRVSN</v>
      </c>
      <c r="C337" s="8" t="s">
        <v>414</v>
      </c>
      <c r="D337" s="9" t="s">
        <v>985</v>
      </c>
      <c r="E337" s="14" t="s">
        <v>986</v>
      </c>
      <c r="F337" s="10" t="s">
        <v>11</v>
      </c>
      <c r="G337" s="10" t="s">
        <v>13</v>
      </c>
      <c r="H337" s="10" t="s">
        <v>11</v>
      </c>
      <c r="I337" s="10" t="s">
        <v>11</v>
      </c>
      <c r="J337" s="10" t="s">
        <v>11</v>
      </c>
      <c r="L337" s="6" t="str">
        <f>IFERROR(VLOOKUP($B337,'LISTA - Setembro2024'!$B$3:$F$539,5,0),"Campo eliminado")</f>
        <v>N</v>
      </c>
      <c r="M337" s="6" t="str">
        <f t="shared" si="26"/>
        <v>Igual</v>
      </c>
      <c r="N337" s="6" t="str">
        <f>IFERROR(VLOOKUP($B337,'LISTA - Setembro2024'!$B$3:$K$539,6,0),"Campo eliminado")</f>
        <v>Y</v>
      </c>
      <c r="O337" s="6" t="str">
        <f t="shared" si="27"/>
        <v>Igual</v>
      </c>
      <c r="P337" s="6" t="str">
        <f>IFERROR(VLOOKUP($B337,'LISTA - Setembro2024'!$B$3:$K$539,7,0),"Campo eliminado")</f>
        <v>N</v>
      </c>
      <c r="Q337" s="6" t="str">
        <f t="shared" si="28"/>
        <v>Igual</v>
      </c>
      <c r="R337" s="6" t="str">
        <f>IFERROR(VLOOKUP($B337,'LISTA - Setembro2024'!$B$3:$K$539,9,0),"Campo eliminado")</f>
        <v>N</v>
      </c>
      <c r="S337" s="6" t="str">
        <f t="shared" si="29"/>
        <v>Igual</v>
      </c>
      <c r="U337" s="6" t="str">
        <f>VLOOKUP(B337,DataLake!$A$4:$A$429,1,0)</f>
        <v>INSTRUMENT_NT_LN_LSS_PRVSN</v>
      </c>
    </row>
    <row r="338" spans="1:21" s="20" customFormat="1" ht="15" hidden="1" customHeight="1" x14ac:dyDescent="0.25">
      <c r="A338" s="29" t="s">
        <v>987</v>
      </c>
      <c r="B338" s="47" t="str">
        <f t="shared" si="25"/>
        <v>INSTRUMENT_BSNSS_AREA</v>
      </c>
      <c r="C338" s="8" t="s">
        <v>414</v>
      </c>
      <c r="D338" s="9" t="s">
        <v>988</v>
      </c>
      <c r="E338" s="14" t="s">
        <v>989</v>
      </c>
      <c r="F338" s="10" t="s">
        <v>11</v>
      </c>
      <c r="G338" s="10" t="s">
        <v>13</v>
      </c>
      <c r="H338" s="10" t="s">
        <v>11</v>
      </c>
      <c r="I338" s="10" t="s">
        <v>11</v>
      </c>
      <c r="J338" s="10" t="s">
        <v>11</v>
      </c>
      <c r="L338" s="6" t="str">
        <f>IFERROR(VLOOKUP($B338,'LISTA - Setembro2024'!$B$3:$F$539,5,0),"Campo eliminado")</f>
        <v>N</v>
      </c>
      <c r="M338" s="6" t="str">
        <f t="shared" si="26"/>
        <v>Igual</v>
      </c>
      <c r="N338" s="6" t="str">
        <f>IFERROR(VLOOKUP($B338,'LISTA - Setembro2024'!$B$3:$K$539,6,0),"Campo eliminado")</f>
        <v>Y</v>
      </c>
      <c r="O338" s="6" t="str">
        <f t="shared" si="27"/>
        <v>Igual</v>
      </c>
      <c r="P338" s="6" t="str">
        <f>IFERROR(VLOOKUP($B338,'LISTA - Setembro2024'!$B$3:$K$539,7,0),"Campo eliminado")</f>
        <v>N</v>
      </c>
      <c r="Q338" s="6" t="str">
        <f t="shared" si="28"/>
        <v>Igual</v>
      </c>
      <c r="R338" s="6" t="str">
        <f>IFERROR(VLOOKUP($B338,'LISTA - Setembro2024'!$B$3:$K$539,9,0),"Campo eliminado")</f>
        <v>N</v>
      </c>
      <c r="S338" s="6" t="str">
        <f t="shared" si="29"/>
        <v>Igual</v>
      </c>
      <c r="U338" s="6" t="str">
        <f>VLOOKUP(B338,DataLake!$A$4:$A$429,1,0)</f>
        <v>INSTRUMENT_BSNSS_AREA</v>
      </c>
    </row>
    <row r="339" spans="1:21" s="31" customFormat="1" ht="15" hidden="1" customHeight="1" x14ac:dyDescent="0.25">
      <c r="A339" s="29" t="s">
        <v>990</v>
      </c>
      <c r="B339" s="47" t="str">
        <f t="shared" si="25"/>
        <v>INSTRUMENT_MNGMNT_PRDCT</v>
      </c>
      <c r="C339" s="8" t="s">
        <v>414</v>
      </c>
      <c r="D339" s="22" t="s">
        <v>991</v>
      </c>
      <c r="E339" s="28" t="s">
        <v>992</v>
      </c>
      <c r="F339" s="10" t="s">
        <v>11</v>
      </c>
      <c r="G339" s="10" t="s">
        <v>13</v>
      </c>
      <c r="H339" s="10" t="s">
        <v>11</v>
      </c>
      <c r="I339" s="10" t="s">
        <v>11</v>
      </c>
      <c r="J339" s="10" t="s">
        <v>11</v>
      </c>
      <c r="L339" s="6" t="str">
        <f>IFERROR(VLOOKUP($B339,'LISTA - Setembro2024'!$B$3:$F$539,5,0),"Campo eliminado")</f>
        <v>N</v>
      </c>
      <c r="M339" s="6" t="str">
        <f t="shared" si="26"/>
        <v>Igual</v>
      </c>
      <c r="N339" s="6" t="str">
        <f>IFERROR(VLOOKUP($B339,'LISTA - Setembro2024'!$B$3:$K$539,6,0),"Campo eliminado")</f>
        <v>Y</v>
      </c>
      <c r="O339" s="6" t="str">
        <f t="shared" si="27"/>
        <v>Igual</v>
      </c>
      <c r="P339" s="6" t="str">
        <f>IFERROR(VLOOKUP($B339,'LISTA - Setembro2024'!$B$3:$K$539,7,0),"Campo eliminado")</f>
        <v>N</v>
      </c>
      <c r="Q339" s="6" t="str">
        <f t="shared" si="28"/>
        <v>Igual</v>
      </c>
      <c r="R339" s="6" t="str">
        <f>IFERROR(VLOOKUP($B339,'LISTA - Setembro2024'!$B$3:$K$539,9,0),"Campo eliminado")</f>
        <v>N</v>
      </c>
      <c r="S339" s="6" t="str">
        <f t="shared" si="29"/>
        <v>Igual</v>
      </c>
      <c r="U339" s="6" t="str">
        <f>VLOOKUP(B339,DataLake!$A$4:$A$429,1,0)</f>
        <v>INSTRUMENT_MNGMNT_PRDCT</v>
      </c>
    </row>
    <row r="340" spans="1:21" ht="14.85" hidden="1" customHeight="1" x14ac:dyDescent="0.25">
      <c r="A340" s="29" t="s">
        <v>993</v>
      </c>
      <c r="B340" s="47" t="str">
        <f t="shared" si="25"/>
        <v>INSTRUMENT_GRSS_CMMSSN_EXPNS</v>
      </c>
      <c r="C340" s="8" t="s">
        <v>414</v>
      </c>
      <c r="D340" s="17" t="s">
        <v>994</v>
      </c>
      <c r="E340" s="14" t="s">
        <v>995</v>
      </c>
      <c r="F340" s="10" t="s">
        <v>11</v>
      </c>
      <c r="G340" s="10" t="s">
        <v>13</v>
      </c>
      <c r="H340" s="10" t="s">
        <v>11</v>
      </c>
      <c r="I340" s="10" t="s">
        <v>11</v>
      </c>
      <c r="J340" s="10" t="s">
        <v>11</v>
      </c>
      <c r="L340" s="6" t="str">
        <f>IFERROR(VLOOKUP($B340,'LISTA - Setembro2024'!$B$3:$F$539,5,0),"Campo eliminado")</f>
        <v>N</v>
      </c>
      <c r="M340" s="6" t="str">
        <f t="shared" si="26"/>
        <v>Igual</v>
      </c>
      <c r="N340" s="6" t="str">
        <f>IFERROR(VLOOKUP($B340,'LISTA - Setembro2024'!$B$3:$K$539,6,0),"Campo eliminado")</f>
        <v>Y</v>
      </c>
      <c r="O340" s="6" t="str">
        <f t="shared" si="27"/>
        <v>Igual</v>
      </c>
      <c r="P340" s="6" t="str">
        <f>IFERROR(VLOOKUP($B340,'LISTA - Setembro2024'!$B$3:$K$539,7,0),"Campo eliminado")</f>
        <v>N</v>
      </c>
      <c r="Q340" s="6" t="str">
        <f t="shared" si="28"/>
        <v>Igual</v>
      </c>
      <c r="R340" s="6" t="str">
        <f>IFERROR(VLOOKUP($B340,'LISTA - Setembro2024'!$B$3:$K$539,9,0),"Campo eliminado")</f>
        <v>N</v>
      </c>
      <c r="S340" s="6" t="str">
        <f t="shared" si="29"/>
        <v>Igual</v>
      </c>
      <c r="U340" s="6" t="str">
        <f>VLOOKUP(B340,DataLake!$A$4:$A$429,1,0)</f>
        <v>INSTRUMENT_GRSS_CMMSSN_EXPNS</v>
      </c>
    </row>
    <row r="341" spans="1:21" ht="14.85" hidden="1" customHeight="1" x14ac:dyDescent="0.25">
      <c r="A341" s="29" t="s">
        <v>996</v>
      </c>
      <c r="B341" s="47" t="str">
        <f t="shared" si="25"/>
        <v>INSTRUMENT_GNS_FNNCL_TRNSCTN_EXCHNG_DFFRNCS</v>
      </c>
      <c r="C341" s="8" t="s">
        <v>414</v>
      </c>
      <c r="D341" s="9" t="s">
        <v>997</v>
      </c>
      <c r="E341" s="14" t="s">
        <v>998</v>
      </c>
      <c r="F341" s="10" t="s">
        <v>11</v>
      </c>
      <c r="G341" s="10" t="s">
        <v>13</v>
      </c>
      <c r="H341" s="10" t="s">
        <v>11</v>
      </c>
      <c r="I341" s="10" t="s">
        <v>11</v>
      </c>
      <c r="J341" s="10" t="s">
        <v>11</v>
      </c>
      <c r="L341" s="6" t="str">
        <f>IFERROR(VLOOKUP($B341,'LISTA - Setembro2024'!$B$3:$F$539,5,0),"Campo eliminado")</f>
        <v>N</v>
      </c>
      <c r="M341" s="6" t="str">
        <f t="shared" si="26"/>
        <v>Igual</v>
      </c>
      <c r="N341" s="6" t="str">
        <f>IFERROR(VLOOKUP($B341,'LISTA - Setembro2024'!$B$3:$K$539,6,0),"Campo eliminado")</f>
        <v>Y</v>
      </c>
      <c r="O341" s="6" t="str">
        <f t="shared" si="27"/>
        <v>Igual</v>
      </c>
      <c r="P341" s="6" t="str">
        <f>IFERROR(VLOOKUP($B341,'LISTA - Setembro2024'!$B$3:$K$539,7,0),"Campo eliminado")</f>
        <v>N</v>
      </c>
      <c r="Q341" s="6" t="str">
        <f t="shared" si="28"/>
        <v>Igual</v>
      </c>
      <c r="R341" s="6" t="str">
        <f>IFERROR(VLOOKUP($B341,'LISTA - Setembro2024'!$B$3:$K$539,9,0),"Campo eliminado")</f>
        <v>N</v>
      </c>
      <c r="S341" s="6" t="str">
        <f t="shared" si="29"/>
        <v>Igual</v>
      </c>
      <c r="U341" s="6" t="str">
        <f>VLOOKUP(B341,DataLake!$A$4:$A$429,1,0)</f>
        <v>INSTRUMENT_GNS_FNNCL_TRNSCTN_EXCHNG_DFFRNCS</v>
      </c>
    </row>
    <row r="342" spans="1:21" ht="14.85" hidden="1" customHeight="1" x14ac:dyDescent="0.25">
      <c r="A342" s="29" t="s">
        <v>999</v>
      </c>
      <c r="B342" s="47" t="str">
        <f t="shared" si="25"/>
        <v>INSTRUMENT_FLG_INTRBSNSS</v>
      </c>
      <c r="C342" s="8" t="s">
        <v>414</v>
      </c>
      <c r="D342" s="9" t="s">
        <v>1000</v>
      </c>
      <c r="E342" s="14" t="s">
        <v>1001</v>
      </c>
      <c r="F342" s="10" t="s">
        <v>11</v>
      </c>
      <c r="G342" s="10" t="s">
        <v>13</v>
      </c>
      <c r="H342" s="10" t="s">
        <v>11</v>
      </c>
      <c r="I342" s="10" t="s">
        <v>11</v>
      </c>
      <c r="J342" s="10" t="s">
        <v>11</v>
      </c>
      <c r="L342" s="6" t="str">
        <f>IFERROR(VLOOKUP($B342,'LISTA - Setembro2024'!$B$3:$F$539,5,0),"Campo eliminado")</f>
        <v>N</v>
      </c>
      <c r="M342" s="6" t="str">
        <f t="shared" si="26"/>
        <v>Igual</v>
      </c>
      <c r="N342" s="6" t="str">
        <f>IFERROR(VLOOKUP($B342,'LISTA - Setembro2024'!$B$3:$K$539,6,0),"Campo eliminado")</f>
        <v>Y</v>
      </c>
      <c r="O342" s="6" t="str">
        <f t="shared" si="27"/>
        <v>Igual</v>
      </c>
      <c r="P342" s="6" t="str">
        <f>IFERROR(VLOOKUP($B342,'LISTA - Setembro2024'!$B$3:$K$539,7,0),"Campo eliminado")</f>
        <v>N</v>
      </c>
      <c r="Q342" s="6" t="str">
        <f t="shared" si="28"/>
        <v>Igual</v>
      </c>
      <c r="R342" s="6" t="str">
        <f>IFERROR(VLOOKUP($B342,'LISTA - Setembro2024'!$B$3:$K$539,9,0),"Campo eliminado")</f>
        <v>N</v>
      </c>
      <c r="S342" s="6" t="str">
        <f t="shared" si="29"/>
        <v>Igual</v>
      </c>
      <c r="U342" s="6" t="str">
        <f>VLOOKUP(B342,DataLake!$A$4:$A$429,1,0)</f>
        <v>INSTRUMENT_FLG_INTRBSNSS</v>
      </c>
    </row>
    <row r="343" spans="1:21" ht="14.85" hidden="1" customHeight="1" x14ac:dyDescent="0.25">
      <c r="A343" s="29" t="s">
        <v>1002</v>
      </c>
      <c r="B343" s="47" t="str">
        <f t="shared" si="25"/>
        <v>INSTRUMENT_INTRBSNSS_ADJ_COD</v>
      </c>
      <c r="C343" s="8" t="s">
        <v>414</v>
      </c>
      <c r="D343" s="9" t="s">
        <v>1003</v>
      </c>
      <c r="E343" s="14" t="s">
        <v>1004</v>
      </c>
      <c r="F343" s="10" t="s">
        <v>11</v>
      </c>
      <c r="G343" s="10" t="s">
        <v>13</v>
      </c>
      <c r="H343" s="10" t="s">
        <v>11</v>
      </c>
      <c r="I343" s="10" t="s">
        <v>11</v>
      </c>
      <c r="J343" s="10" t="s">
        <v>11</v>
      </c>
      <c r="L343" s="6" t="str">
        <f>IFERROR(VLOOKUP($B343,'LISTA - Setembro2024'!$B$3:$F$539,5,0),"Campo eliminado")</f>
        <v>N</v>
      </c>
      <c r="M343" s="6" t="str">
        <f t="shared" si="26"/>
        <v>Igual</v>
      </c>
      <c r="N343" s="6" t="str">
        <f>IFERROR(VLOOKUP($B343,'LISTA - Setembro2024'!$B$3:$K$539,6,0),"Campo eliminado")</f>
        <v>Y</v>
      </c>
      <c r="O343" s="6" t="str">
        <f t="shared" si="27"/>
        <v>Igual</v>
      </c>
      <c r="P343" s="6" t="str">
        <f>IFERROR(VLOOKUP($B343,'LISTA - Setembro2024'!$B$3:$K$539,7,0),"Campo eliminado")</f>
        <v>N</v>
      </c>
      <c r="Q343" s="6" t="str">
        <f t="shared" si="28"/>
        <v>Igual</v>
      </c>
      <c r="R343" s="6" t="str">
        <f>IFERROR(VLOOKUP($B343,'LISTA - Setembro2024'!$B$3:$K$539,9,0),"Campo eliminado")</f>
        <v>N</v>
      </c>
      <c r="S343" s="6" t="str">
        <f t="shared" si="29"/>
        <v>Igual</v>
      </c>
      <c r="U343" s="6" t="str">
        <f>VLOOKUP(B343,DataLake!$A$4:$A$429,1,0)</f>
        <v>INSTRUMENT_INTRBSNSS_ADJ_COD</v>
      </c>
    </row>
    <row r="344" spans="1:21" ht="14.85" hidden="1" customHeight="1" x14ac:dyDescent="0.25">
      <c r="A344" s="29" t="s">
        <v>1005</v>
      </c>
      <c r="B344" s="47" t="str">
        <f t="shared" si="25"/>
        <v>INSTRUMENT_COD_SOC_DSTNTN</v>
      </c>
      <c r="C344" s="8" t="s">
        <v>414</v>
      </c>
      <c r="D344" s="9" t="s">
        <v>1006</v>
      </c>
      <c r="E344" s="14" t="s">
        <v>1007</v>
      </c>
      <c r="F344" s="10" t="s">
        <v>11</v>
      </c>
      <c r="G344" s="10" t="s">
        <v>13</v>
      </c>
      <c r="H344" s="10" t="s">
        <v>11</v>
      </c>
      <c r="I344" s="10" t="s">
        <v>11</v>
      </c>
      <c r="J344" s="10" t="s">
        <v>11</v>
      </c>
      <c r="L344" s="6" t="str">
        <f>IFERROR(VLOOKUP($B344,'LISTA - Setembro2024'!$B$3:$F$539,5,0),"Campo eliminado")</f>
        <v>N</v>
      </c>
      <c r="M344" s="6" t="str">
        <f t="shared" si="26"/>
        <v>Igual</v>
      </c>
      <c r="N344" s="6" t="str">
        <f>IFERROR(VLOOKUP($B344,'LISTA - Setembro2024'!$B$3:$K$539,6,0),"Campo eliminado")</f>
        <v>Y</v>
      </c>
      <c r="O344" s="6" t="str">
        <f t="shared" si="27"/>
        <v>Igual</v>
      </c>
      <c r="P344" s="6" t="str">
        <f>IFERROR(VLOOKUP($B344,'LISTA - Setembro2024'!$B$3:$K$539,7,0),"Campo eliminado")</f>
        <v>N</v>
      </c>
      <c r="Q344" s="6" t="str">
        <f t="shared" si="28"/>
        <v>Igual</v>
      </c>
      <c r="R344" s="6" t="str">
        <f>IFERROR(VLOOKUP($B344,'LISTA - Setembro2024'!$B$3:$K$539,9,0),"Campo eliminado")</f>
        <v>N</v>
      </c>
      <c r="S344" s="6" t="str">
        <f t="shared" si="29"/>
        <v>Igual</v>
      </c>
      <c r="U344" s="6" t="str">
        <f>VLOOKUP(B344,DataLake!$A$4:$A$429,1,0)</f>
        <v>INSTRUMENT_COD_SOC_DSTNTN</v>
      </c>
    </row>
    <row r="345" spans="1:21" ht="14.85" hidden="1" customHeight="1" x14ac:dyDescent="0.25">
      <c r="A345" s="29" t="s">
        <v>1008</v>
      </c>
      <c r="B345" s="47" t="str">
        <f t="shared" si="25"/>
        <v>INSTRUMENT_BSNSS_AREA_DSTNTN</v>
      </c>
      <c r="C345" s="8" t="s">
        <v>414</v>
      </c>
      <c r="D345" s="9" t="s">
        <v>1009</v>
      </c>
      <c r="E345" s="14" t="s">
        <v>1010</v>
      </c>
      <c r="F345" s="10" t="s">
        <v>11</v>
      </c>
      <c r="G345" s="10" t="s">
        <v>13</v>
      </c>
      <c r="H345" s="10" t="s">
        <v>11</v>
      </c>
      <c r="I345" s="10" t="s">
        <v>11</v>
      </c>
      <c r="J345" s="10" t="s">
        <v>11</v>
      </c>
      <c r="L345" s="6" t="str">
        <f>IFERROR(VLOOKUP($B345,'LISTA - Setembro2024'!$B$3:$F$539,5,0),"Campo eliminado")</f>
        <v>N</v>
      </c>
      <c r="M345" s="6" t="str">
        <f t="shared" si="26"/>
        <v>Igual</v>
      </c>
      <c r="N345" s="6" t="str">
        <f>IFERROR(VLOOKUP($B345,'LISTA - Setembro2024'!$B$3:$K$539,6,0),"Campo eliminado")</f>
        <v>Y</v>
      </c>
      <c r="O345" s="6" t="str">
        <f t="shared" si="27"/>
        <v>Igual</v>
      </c>
      <c r="P345" s="6" t="str">
        <f>IFERROR(VLOOKUP($B345,'LISTA - Setembro2024'!$B$3:$K$539,7,0),"Campo eliminado")</f>
        <v>N</v>
      </c>
      <c r="Q345" s="6" t="str">
        <f t="shared" si="28"/>
        <v>Igual</v>
      </c>
      <c r="R345" s="6" t="str">
        <f>IFERROR(VLOOKUP($B345,'LISTA - Setembro2024'!$B$3:$K$539,9,0),"Campo eliminado")</f>
        <v>N</v>
      </c>
      <c r="S345" s="6" t="str">
        <f t="shared" si="29"/>
        <v>Igual</v>
      </c>
      <c r="U345" s="6" t="str">
        <f>VLOOKUP(B345,DataLake!$A$4:$A$429,1,0)</f>
        <v>INSTRUMENT_BSNSS_AREA_DSTNTN</v>
      </c>
    </row>
    <row r="346" spans="1:21" ht="15" hidden="1" customHeight="1" x14ac:dyDescent="0.25">
      <c r="A346" s="29" t="s">
        <v>1011</v>
      </c>
      <c r="B346" s="47" t="str">
        <f t="shared" si="25"/>
        <v>INSTRUMENT_AVRG_BLNC_OFF_BLNC</v>
      </c>
      <c r="C346" s="8" t="s">
        <v>414</v>
      </c>
      <c r="D346" s="9" t="s">
        <v>1012</v>
      </c>
      <c r="E346" s="12" t="s">
        <v>1013</v>
      </c>
      <c r="F346" s="10" t="s">
        <v>11</v>
      </c>
      <c r="G346" s="10" t="s">
        <v>13</v>
      </c>
      <c r="H346" s="10" t="s">
        <v>11</v>
      </c>
      <c r="I346" s="10" t="s">
        <v>11</v>
      </c>
      <c r="J346" s="10" t="s">
        <v>11</v>
      </c>
      <c r="L346" s="6" t="str">
        <f>IFERROR(VLOOKUP($B346,'LISTA - Setembro2024'!$B$3:$F$539,5,0),"Campo eliminado")</f>
        <v>N</v>
      </c>
      <c r="M346" s="6" t="str">
        <f t="shared" si="26"/>
        <v>Igual</v>
      </c>
      <c r="N346" s="6" t="str">
        <f>IFERROR(VLOOKUP($B346,'LISTA - Setembro2024'!$B$3:$K$539,6,0),"Campo eliminado")</f>
        <v>Y</v>
      </c>
      <c r="O346" s="6" t="str">
        <f t="shared" si="27"/>
        <v>Igual</v>
      </c>
      <c r="P346" s="6" t="str">
        <f>IFERROR(VLOOKUP($B346,'LISTA - Setembro2024'!$B$3:$K$539,7,0),"Campo eliminado")</f>
        <v>N</v>
      </c>
      <c r="Q346" s="6" t="str">
        <f t="shared" si="28"/>
        <v>Igual</v>
      </c>
      <c r="R346" s="6" t="str">
        <f>IFERROR(VLOOKUP($B346,'LISTA - Setembro2024'!$B$3:$K$539,9,0),"Campo eliminado")</f>
        <v>N</v>
      </c>
      <c r="S346" s="6" t="str">
        <f t="shared" si="29"/>
        <v>Igual</v>
      </c>
      <c r="U346" s="6" t="str">
        <f>VLOOKUP(B346,DataLake!$A$4:$A$429,1,0)</f>
        <v>INSTRUMENT_AVRG_BLNC_OFF_BLNC</v>
      </c>
    </row>
    <row r="347" spans="1:21" ht="15" hidden="1" customHeight="1" x14ac:dyDescent="0.25">
      <c r="A347" s="29" t="s">
        <v>1014</v>
      </c>
      <c r="B347" s="47" t="str">
        <f t="shared" si="25"/>
        <v>INSTRUMENT_INTRNL_TRNSFR_RT_OFF_BLNC</v>
      </c>
      <c r="C347" s="8" t="s">
        <v>414</v>
      </c>
      <c r="D347" s="9" t="s">
        <v>1015</v>
      </c>
      <c r="E347" s="12" t="s">
        <v>1016</v>
      </c>
      <c r="F347" s="10" t="s">
        <v>11</v>
      </c>
      <c r="G347" s="10" t="s">
        <v>13</v>
      </c>
      <c r="H347" s="10" t="s">
        <v>11</v>
      </c>
      <c r="I347" s="10" t="s">
        <v>11</v>
      </c>
      <c r="J347" s="10" t="s">
        <v>11</v>
      </c>
      <c r="L347" s="6" t="str">
        <f>IFERROR(VLOOKUP($B347,'LISTA - Setembro2024'!$B$3:$F$539,5,0),"Campo eliminado")</f>
        <v>N</v>
      </c>
      <c r="M347" s="6" t="str">
        <f t="shared" si="26"/>
        <v>Igual</v>
      </c>
      <c r="N347" s="6" t="str">
        <f>IFERROR(VLOOKUP($B347,'LISTA - Setembro2024'!$B$3:$K$539,6,0),"Campo eliminado")</f>
        <v>Y</v>
      </c>
      <c r="O347" s="6" t="str">
        <f t="shared" si="27"/>
        <v>Igual</v>
      </c>
      <c r="P347" s="6" t="str">
        <f>IFERROR(VLOOKUP($B347,'LISTA - Setembro2024'!$B$3:$K$539,7,0),"Campo eliminado")</f>
        <v>N</v>
      </c>
      <c r="Q347" s="6" t="str">
        <f t="shared" si="28"/>
        <v>Igual</v>
      </c>
      <c r="R347" s="6" t="str">
        <f>IFERROR(VLOOKUP($B347,'LISTA - Setembro2024'!$B$3:$K$539,9,0),"Campo eliminado")</f>
        <v>N</v>
      </c>
      <c r="S347" s="6" t="str">
        <f t="shared" si="29"/>
        <v>Igual</v>
      </c>
      <c r="U347" s="6" t="str">
        <f>VLOOKUP(B347,DataLake!$A$4:$A$429,1,0)</f>
        <v>INSTRUMENT_INTRNL_TRNSFR_RT_OFF_BLNC</v>
      </c>
    </row>
    <row r="348" spans="1:21" ht="15" hidden="1" customHeight="1" x14ac:dyDescent="0.25">
      <c r="A348" s="29" t="s">
        <v>1017</v>
      </c>
      <c r="B348" s="47" t="str">
        <f t="shared" si="25"/>
        <v>INSTRUMENT_GRSS_CMMSSN_INCM_OFF_BLNC</v>
      </c>
      <c r="C348" s="8" t="s">
        <v>414</v>
      </c>
      <c r="D348" s="17" t="s">
        <v>1018</v>
      </c>
      <c r="E348" s="14" t="s">
        <v>1019</v>
      </c>
      <c r="F348" s="10" t="s">
        <v>11</v>
      </c>
      <c r="G348" s="10" t="s">
        <v>13</v>
      </c>
      <c r="H348" s="10" t="s">
        <v>13</v>
      </c>
      <c r="I348" s="10" t="s">
        <v>11</v>
      </c>
      <c r="J348" s="10" t="s">
        <v>11</v>
      </c>
      <c r="L348" s="6" t="str">
        <f>IFERROR(VLOOKUP($B348,'LISTA - Setembro2024'!$B$3:$F$539,5,0),"Campo eliminado")</f>
        <v>N</v>
      </c>
      <c r="M348" s="6" t="str">
        <f t="shared" si="26"/>
        <v>Igual</v>
      </c>
      <c r="N348" s="6" t="str">
        <f>IFERROR(VLOOKUP($B348,'LISTA - Setembro2024'!$B$3:$K$539,6,0),"Campo eliminado")</f>
        <v>Y</v>
      </c>
      <c r="O348" s="6" t="str">
        <f t="shared" si="27"/>
        <v>Igual</v>
      </c>
      <c r="P348" s="6" t="str">
        <f>IFERROR(VLOOKUP($B348,'LISTA - Setembro2024'!$B$3:$K$539,7,0),"Campo eliminado")</f>
        <v>Y</v>
      </c>
      <c r="Q348" s="6" t="str">
        <f t="shared" si="28"/>
        <v>Igual</v>
      </c>
      <c r="R348" s="6" t="str">
        <f>IFERROR(VLOOKUP($B348,'LISTA - Setembro2024'!$B$3:$K$539,9,0),"Campo eliminado")</f>
        <v>N</v>
      </c>
      <c r="S348" s="6" t="str">
        <f t="shared" si="29"/>
        <v>Igual</v>
      </c>
      <c r="U348" s="6" t="str">
        <f>VLOOKUP(B348,DataLake!$A$4:$A$429,1,0)</f>
        <v>INSTRUMENT_GRSS_CMMSSN_INCM_OFF_BLNC</v>
      </c>
    </row>
    <row r="349" spans="1:21" ht="15" hidden="1" customHeight="1" x14ac:dyDescent="0.25">
      <c r="A349" s="29" t="s">
        <v>1020</v>
      </c>
      <c r="B349" s="47" t="str">
        <f t="shared" si="25"/>
        <v>INSTRUMENT_GRSS_CMMSSN_EXPNS_OFF_BLNC</v>
      </c>
      <c r="C349" s="8" t="s">
        <v>414</v>
      </c>
      <c r="D349" s="17" t="s">
        <v>1021</v>
      </c>
      <c r="E349" s="14" t="s">
        <v>1022</v>
      </c>
      <c r="F349" s="10" t="s">
        <v>11</v>
      </c>
      <c r="G349" s="10" t="s">
        <v>13</v>
      </c>
      <c r="H349" s="10" t="s">
        <v>11</v>
      </c>
      <c r="I349" s="10" t="s">
        <v>11</v>
      </c>
      <c r="J349" s="10" t="s">
        <v>11</v>
      </c>
      <c r="L349" s="6" t="str">
        <f>IFERROR(VLOOKUP($B349,'LISTA - Setembro2024'!$B$3:$F$539,5,0),"Campo eliminado")</f>
        <v>N</v>
      </c>
      <c r="M349" s="6" t="str">
        <f t="shared" si="26"/>
        <v>Igual</v>
      </c>
      <c r="N349" s="6" t="str">
        <f>IFERROR(VLOOKUP($B349,'LISTA - Setembro2024'!$B$3:$K$539,6,0),"Campo eliminado")</f>
        <v>Y</v>
      </c>
      <c r="O349" s="6" t="str">
        <f t="shared" si="27"/>
        <v>Igual</v>
      </c>
      <c r="P349" s="6" t="str">
        <f>IFERROR(VLOOKUP($B349,'LISTA - Setembro2024'!$B$3:$K$539,7,0),"Campo eliminado")</f>
        <v>N</v>
      </c>
      <c r="Q349" s="6" t="str">
        <f t="shared" si="28"/>
        <v>Igual</v>
      </c>
      <c r="R349" s="6" t="str">
        <f>IFERROR(VLOOKUP($B349,'LISTA - Setembro2024'!$B$3:$K$539,9,0),"Campo eliminado")</f>
        <v>N</v>
      </c>
      <c r="S349" s="6" t="str">
        <f t="shared" si="29"/>
        <v>Igual</v>
      </c>
      <c r="U349" s="6" t="str">
        <f>VLOOKUP(B349,DataLake!$A$4:$A$429,1,0)</f>
        <v>INSTRUMENT_GRSS_CMMSSN_EXPNS_OFF_BLNC</v>
      </c>
    </row>
    <row r="350" spans="1:21" ht="15" hidden="1" customHeight="1" x14ac:dyDescent="0.25">
      <c r="A350" s="29" t="s">
        <v>1023</v>
      </c>
      <c r="B350" s="47" t="str">
        <f t="shared" si="25"/>
        <v>INSTRUMENT_RWA_OFF_BLNC</v>
      </c>
      <c r="C350" s="8" t="s">
        <v>414</v>
      </c>
      <c r="D350" s="9" t="s">
        <v>1024</v>
      </c>
      <c r="E350" s="14" t="s">
        <v>1025</v>
      </c>
      <c r="F350" s="10" t="s">
        <v>11</v>
      </c>
      <c r="G350" s="10" t="s">
        <v>13</v>
      </c>
      <c r="H350" s="10" t="s">
        <v>11</v>
      </c>
      <c r="I350" s="10" t="s">
        <v>11</v>
      </c>
      <c r="J350" s="10" t="s">
        <v>11</v>
      </c>
      <c r="L350" s="6" t="str">
        <f>IFERROR(VLOOKUP($B350,'LISTA - Setembro2024'!$B$3:$F$539,5,0),"Campo eliminado")</f>
        <v>N</v>
      </c>
      <c r="M350" s="6" t="str">
        <f t="shared" si="26"/>
        <v>Igual</v>
      </c>
      <c r="N350" s="6" t="str">
        <f>IFERROR(VLOOKUP($B350,'LISTA - Setembro2024'!$B$3:$K$539,6,0),"Campo eliminado")</f>
        <v>Y</v>
      </c>
      <c r="O350" s="6" t="str">
        <f t="shared" si="27"/>
        <v>Igual</v>
      </c>
      <c r="P350" s="6" t="str">
        <f>IFERROR(VLOOKUP($B350,'LISTA - Setembro2024'!$B$3:$K$539,7,0),"Campo eliminado")</f>
        <v>N</v>
      </c>
      <c r="Q350" s="6" t="str">
        <f t="shared" si="28"/>
        <v>Igual</v>
      </c>
      <c r="R350" s="6" t="str">
        <f>IFERROR(VLOOKUP($B350,'LISTA - Setembro2024'!$B$3:$K$539,9,0),"Campo eliminado")</f>
        <v>N</v>
      </c>
      <c r="S350" s="6" t="str">
        <f t="shared" si="29"/>
        <v>Igual</v>
      </c>
      <c r="U350" s="6" t="str">
        <f>VLOOKUP(B350,DataLake!$A$4:$A$429,1,0)</f>
        <v>INSTRUMENT_RWA_OFF_BLNC</v>
      </c>
    </row>
    <row r="351" spans="1:21" ht="15" hidden="1" customHeight="1" x14ac:dyDescent="0.25">
      <c r="A351" s="29" t="s">
        <v>1026</v>
      </c>
      <c r="B351" s="47" t="str">
        <f t="shared" si="25"/>
        <v>INSTRUMENT_GRSS_INTRST_EXPNS</v>
      </c>
      <c r="C351" s="8" t="s">
        <v>414</v>
      </c>
      <c r="D351" s="9" t="s">
        <v>1027</v>
      </c>
      <c r="E351" s="14" t="s">
        <v>1028</v>
      </c>
      <c r="F351" s="10" t="s">
        <v>11</v>
      </c>
      <c r="G351" s="10" t="s">
        <v>13</v>
      </c>
      <c r="H351" s="10" t="s">
        <v>11</v>
      </c>
      <c r="I351" s="10" t="s">
        <v>11</v>
      </c>
      <c r="J351" s="10" t="s">
        <v>11</v>
      </c>
      <c r="L351" s="6" t="str">
        <f>IFERROR(VLOOKUP($B351,'LISTA - Setembro2024'!$B$3:$F$539,5,0),"Campo eliminado")</f>
        <v>N</v>
      </c>
      <c r="M351" s="6" t="str">
        <f t="shared" si="26"/>
        <v>Igual</v>
      </c>
      <c r="N351" s="6" t="str">
        <f>IFERROR(VLOOKUP($B351,'LISTA - Setembro2024'!$B$3:$K$539,6,0),"Campo eliminado")</f>
        <v>Y</v>
      </c>
      <c r="O351" s="6" t="str">
        <f t="shared" si="27"/>
        <v>Igual</v>
      </c>
      <c r="P351" s="6" t="str">
        <f>IFERROR(VLOOKUP($B351,'LISTA - Setembro2024'!$B$3:$K$539,7,0),"Campo eliminado")</f>
        <v>N</v>
      </c>
      <c r="Q351" s="6" t="str">
        <f t="shared" si="28"/>
        <v>Igual</v>
      </c>
      <c r="R351" s="6" t="str">
        <f>IFERROR(VLOOKUP($B351,'LISTA - Setembro2024'!$B$3:$K$539,9,0),"Campo eliminado")</f>
        <v>N</v>
      </c>
      <c r="S351" s="6" t="str">
        <f t="shared" si="29"/>
        <v>Igual</v>
      </c>
      <c r="U351" s="6" t="str">
        <f>VLOOKUP(B351,DataLake!$A$4:$A$429,1,0)</f>
        <v>INSTRUMENT_GRSS_INTRST_EXPNS</v>
      </c>
    </row>
    <row r="352" spans="1:21" ht="15" hidden="1" customHeight="1" x14ac:dyDescent="0.25">
      <c r="A352" s="29" t="s">
        <v>1029</v>
      </c>
      <c r="B352" s="47" t="str">
        <f t="shared" si="25"/>
        <v>INSTRUMENT_NT_LN_LSS_PRVSN_OFF_BLNC</v>
      </c>
      <c r="C352" s="8" t="s">
        <v>414</v>
      </c>
      <c r="D352" s="9" t="s">
        <v>1030</v>
      </c>
      <c r="E352" s="12" t="s">
        <v>1031</v>
      </c>
      <c r="F352" s="10" t="s">
        <v>11</v>
      </c>
      <c r="G352" s="10" t="s">
        <v>13</v>
      </c>
      <c r="H352" s="10" t="s">
        <v>11</v>
      </c>
      <c r="I352" s="10" t="s">
        <v>11</v>
      </c>
      <c r="J352" s="10" t="s">
        <v>11</v>
      </c>
      <c r="L352" s="6" t="str">
        <f>IFERROR(VLOOKUP($B352,'LISTA - Setembro2024'!$B$3:$F$539,5,0),"Campo eliminado")</f>
        <v>N</v>
      </c>
      <c r="M352" s="6" t="str">
        <f t="shared" si="26"/>
        <v>Igual</v>
      </c>
      <c r="N352" s="6" t="str">
        <f>IFERROR(VLOOKUP($B352,'LISTA - Setembro2024'!$B$3:$K$539,6,0),"Campo eliminado")</f>
        <v>Y</v>
      </c>
      <c r="O352" s="6" t="str">
        <f t="shared" si="27"/>
        <v>Igual</v>
      </c>
      <c r="P352" s="6" t="str">
        <f>IFERROR(VLOOKUP($B352,'LISTA - Setembro2024'!$B$3:$K$539,7,0),"Campo eliminado")</f>
        <v>N</v>
      </c>
      <c r="Q352" s="6" t="str">
        <f t="shared" si="28"/>
        <v>Igual</v>
      </c>
      <c r="R352" s="6" t="str">
        <f>IFERROR(VLOOKUP($B352,'LISTA - Setembro2024'!$B$3:$K$539,9,0),"Campo eliminado")</f>
        <v>N</v>
      </c>
      <c r="S352" s="6" t="str">
        <f t="shared" si="29"/>
        <v>Igual</v>
      </c>
      <c r="U352" s="6" t="str">
        <f>VLOOKUP(B352,DataLake!$A$4:$A$429,1,0)</f>
        <v>INSTRUMENT_NT_LN_LSS_PRVSN_OFF_BLNC</v>
      </c>
    </row>
    <row r="353" spans="1:21" ht="15" hidden="1" customHeight="1" x14ac:dyDescent="0.25">
      <c r="A353" s="29" t="s">
        <v>1032</v>
      </c>
      <c r="B353" s="47" t="str">
        <f t="shared" si="25"/>
        <v>INSTRUMENT_GRSS_INTRST_INCM_CCRR</v>
      </c>
      <c r="C353" s="8" t="s">
        <v>414</v>
      </c>
      <c r="D353" s="9" t="s">
        <v>1033</v>
      </c>
      <c r="E353" s="14" t="s">
        <v>1034</v>
      </c>
      <c r="F353" s="10" t="s">
        <v>11</v>
      </c>
      <c r="G353" s="10" t="s">
        <v>13</v>
      </c>
      <c r="H353" s="10" t="s">
        <v>11</v>
      </c>
      <c r="I353" s="10" t="s">
        <v>11</v>
      </c>
      <c r="J353" s="10" t="s">
        <v>11</v>
      </c>
      <c r="L353" s="6" t="str">
        <f>IFERROR(VLOOKUP($B353,'LISTA - Setembro2024'!$B$3:$F$539,5,0),"Campo eliminado")</f>
        <v>N</v>
      </c>
      <c r="M353" s="6" t="str">
        <f t="shared" si="26"/>
        <v>Igual</v>
      </c>
      <c r="N353" s="6" t="str">
        <f>IFERROR(VLOOKUP($B353,'LISTA - Setembro2024'!$B$3:$K$539,6,0),"Campo eliminado")</f>
        <v>Y</v>
      </c>
      <c r="O353" s="6" t="str">
        <f t="shared" si="27"/>
        <v>Igual</v>
      </c>
      <c r="P353" s="6" t="str">
        <f>IFERROR(VLOOKUP($B353,'LISTA - Setembro2024'!$B$3:$K$539,7,0),"Campo eliminado")</f>
        <v>N</v>
      </c>
      <c r="Q353" s="6" t="str">
        <f t="shared" si="28"/>
        <v>Igual</v>
      </c>
      <c r="R353" s="6" t="str">
        <f>IFERROR(VLOOKUP($B353,'LISTA - Setembro2024'!$B$3:$K$539,9,0),"Campo eliminado")</f>
        <v>N</v>
      </c>
      <c r="S353" s="6" t="str">
        <f t="shared" si="29"/>
        <v>Igual</v>
      </c>
      <c r="U353" s="6" t="str">
        <f>VLOOKUP(B353,DataLake!$A$4:$A$429,1,0)</f>
        <v>INSTRUMENT_GRSS_INTRST_INCM_CCRR</v>
      </c>
    </row>
    <row r="354" spans="1:21" ht="15" hidden="1" customHeight="1" x14ac:dyDescent="0.25">
      <c r="A354" s="29" t="s">
        <v>1035</v>
      </c>
      <c r="B354" s="47" t="str">
        <f t="shared" si="25"/>
        <v>INSTRUMENT_GRSS_INTRST_EXPNS_CCRR</v>
      </c>
      <c r="C354" s="8" t="s">
        <v>414</v>
      </c>
      <c r="D354" s="9" t="s">
        <v>1036</v>
      </c>
      <c r="E354" s="14" t="s">
        <v>1037</v>
      </c>
      <c r="F354" s="10" t="s">
        <v>11</v>
      </c>
      <c r="G354" s="10" t="s">
        <v>13</v>
      </c>
      <c r="H354" s="10" t="s">
        <v>11</v>
      </c>
      <c r="I354" s="10" t="s">
        <v>11</v>
      </c>
      <c r="J354" s="10" t="s">
        <v>11</v>
      </c>
      <c r="L354" s="6" t="str">
        <f>IFERROR(VLOOKUP($B354,'LISTA - Setembro2024'!$B$3:$F$539,5,0),"Campo eliminado")</f>
        <v>N</v>
      </c>
      <c r="M354" s="6" t="str">
        <f t="shared" si="26"/>
        <v>Igual</v>
      </c>
      <c r="N354" s="6" t="str">
        <f>IFERROR(VLOOKUP($B354,'LISTA - Setembro2024'!$B$3:$K$539,6,0),"Campo eliminado")</f>
        <v>Y</v>
      </c>
      <c r="O354" s="6" t="str">
        <f t="shared" si="27"/>
        <v>Igual</v>
      </c>
      <c r="P354" s="6" t="str">
        <f>IFERROR(VLOOKUP($B354,'LISTA - Setembro2024'!$B$3:$K$539,7,0),"Campo eliminado")</f>
        <v>N</v>
      </c>
      <c r="Q354" s="6" t="str">
        <f t="shared" si="28"/>
        <v>Igual</v>
      </c>
      <c r="R354" s="6" t="str">
        <f>IFERROR(VLOOKUP($B354,'LISTA - Setembro2024'!$B$3:$K$539,9,0),"Campo eliminado")</f>
        <v>N</v>
      </c>
      <c r="S354" s="6" t="str">
        <f t="shared" si="29"/>
        <v>Igual</v>
      </c>
      <c r="U354" s="6" t="str">
        <f>VLOOKUP(B354,DataLake!$A$4:$A$429,1,0)</f>
        <v>INSTRUMENT_GRSS_INTRST_EXPNS_CCRR</v>
      </c>
    </row>
    <row r="355" spans="1:21" ht="15" hidden="1" customHeight="1" x14ac:dyDescent="0.25">
      <c r="A355" s="29" t="s">
        <v>1038</v>
      </c>
      <c r="B355" s="47" t="str">
        <f t="shared" si="25"/>
        <v>INSTRUMENT_GRSS_CMMSSN_INCM_CCRR</v>
      </c>
      <c r="C355" s="8" t="s">
        <v>414</v>
      </c>
      <c r="D355" s="17" t="s">
        <v>1039</v>
      </c>
      <c r="E355" s="14" t="s">
        <v>1040</v>
      </c>
      <c r="F355" s="10" t="s">
        <v>11</v>
      </c>
      <c r="G355" s="10" t="s">
        <v>13</v>
      </c>
      <c r="H355" s="10" t="s">
        <v>11</v>
      </c>
      <c r="I355" s="10" t="s">
        <v>11</v>
      </c>
      <c r="J355" s="10" t="s">
        <v>11</v>
      </c>
      <c r="L355" s="6" t="str">
        <f>IFERROR(VLOOKUP($B355,'LISTA - Setembro2024'!$B$3:$F$539,5,0),"Campo eliminado")</f>
        <v>N</v>
      </c>
      <c r="M355" s="6" t="str">
        <f t="shared" si="26"/>
        <v>Igual</v>
      </c>
      <c r="N355" s="6" t="str">
        <f>IFERROR(VLOOKUP($B355,'LISTA - Setembro2024'!$B$3:$K$539,6,0),"Campo eliminado")</f>
        <v>Y</v>
      </c>
      <c r="O355" s="6" t="str">
        <f t="shared" si="27"/>
        <v>Igual</v>
      </c>
      <c r="P355" s="6" t="str">
        <f>IFERROR(VLOOKUP($B355,'LISTA - Setembro2024'!$B$3:$K$539,7,0),"Campo eliminado")</f>
        <v>N</v>
      </c>
      <c r="Q355" s="6" t="str">
        <f t="shared" si="28"/>
        <v>Igual</v>
      </c>
      <c r="R355" s="6" t="str">
        <f>IFERROR(VLOOKUP($B355,'LISTA - Setembro2024'!$B$3:$K$539,9,0),"Campo eliminado")</f>
        <v>N</v>
      </c>
      <c r="S355" s="6" t="str">
        <f t="shared" si="29"/>
        <v>Igual</v>
      </c>
      <c r="U355" s="6" t="str">
        <f>VLOOKUP(B355,DataLake!$A$4:$A$429,1,0)</f>
        <v>INSTRUMENT_GRSS_CMMSSN_INCM_CCRR</v>
      </c>
    </row>
    <row r="356" spans="1:21" ht="15" hidden="1" customHeight="1" x14ac:dyDescent="0.25">
      <c r="A356" s="29" t="s">
        <v>1041</v>
      </c>
      <c r="B356" s="47" t="str">
        <f t="shared" si="25"/>
        <v>INSTRUMENT_GRSS_CMMSSN_EXPNS_CCRR</v>
      </c>
      <c r="C356" s="8" t="s">
        <v>414</v>
      </c>
      <c r="D356" s="17" t="s">
        <v>1042</v>
      </c>
      <c r="E356" s="14" t="s">
        <v>1043</v>
      </c>
      <c r="F356" s="10" t="s">
        <v>11</v>
      </c>
      <c r="G356" s="10" t="s">
        <v>13</v>
      </c>
      <c r="H356" s="10" t="s">
        <v>11</v>
      </c>
      <c r="I356" s="10" t="s">
        <v>11</v>
      </c>
      <c r="J356" s="10" t="s">
        <v>11</v>
      </c>
      <c r="L356" s="6" t="str">
        <f>IFERROR(VLOOKUP($B356,'LISTA - Setembro2024'!$B$3:$F$539,5,0),"Campo eliminado")</f>
        <v>N</v>
      </c>
      <c r="M356" s="6" t="str">
        <f t="shared" si="26"/>
        <v>Igual</v>
      </c>
      <c r="N356" s="6" t="str">
        <f>IFERROR(VLOOKUP($B356,'LISTA - Setembro2024'!$B$3:$K$539,6,0),"Campo eliminado")</f>
        <v>Y</v>
      </c>
      <c r="O356" s="6" t="str">
        <f t="shared" si="27"/>
        <v>Igual</v>
      </c>
      <c r="P356" s="6" t="str">
        <f>IFERROR(VLOOKUP($B356,'LISTA - Setembro2024'!$B$3:$K$539,7,0),"Campo eliminado")</f>
        <v>N</v>
      </c>
      <c r="Q356" s="6" t="str">
        <f t="shared" si="28"/>
        <v>Igual</v>
      </c>
      <c r="R356" s="6" t="str">
        <f>IFERROR(VLOOKUP($B356,'LISTA - Setembro2024'!$B$3:$K$539,9,0),"Campo eliminado")</f>
        <v>N</v>
      </c>
      <c r="S356" s="6" t="str">
        <f t="shared" si="29"/>
        <v>Igual</v>
      </c>
      <c r="U356" s="6" t="str">
        <f>VLOOKUP(B356,DataLake!$A$4:$A$429,1,0)</f>
        <v>INSTRUMENT_GRSS_CMMSSN_EXPNS_CCRR</v>
      </c>
    </row>
    <row r="357" spans="1:21" ht="15" hidden="1" customHeight="1" x14ac:dyDescent="0.25">
      <c r="A357" s="29" t="s">
        <v>1044</v>
      </c>
      <c r="B357" s="47" t="str">
        <f t="shared" si="25"/>
        <v>INSTRUMENT_GNS_FNNCL_TRNSCTN_EXCHNG_CCRR</v>
      </c>
      <c r="C357" s="8" t="s">
        <v>414</v>
      </c>
      <c r="D357" s="9" t="s">
        <v>1045</v>
      </c>
      <c r="E357" s="14" t="s">
        <v>1046</v>
      </c>
      <c r="F357" s="10" t="s">
        <v>11</v>
      </c>
      <c r="G357" s="10" t="s">
        <v>13</v>
      </c>
      <c r="H357" s="10" t="s">
        <v>11</v>
      </c>
      <c r="I357" s="10" t="s">
        <v>11</v>
      </c>
      <c r="J357" s="10" t="s">
        <v>11</v>
      </c>
      <c r="L357" s="6" t="str">
        <f>IFERROR(VLOOKUP($B357,'LISTA - Setembro2024'!$B$3:$F$539,5,0),"Campo eliminado")</f>
        <v>N</v>
      </c>
      <c r="M357" s="6" t="str">
        <f t="shared" si="26"/>
        <v>Igual</v>
      </c>
      <c r="N357" s="6" t="str">
        <f>IFERROR(VLOOKUP($B357,'LISTA - Setembro2024'!$B$3:$K$539,6,0),"Campo eliminado")</f>
        <v>Y</v>
      </c>
      <c r="O357" s="6" t="str">
        <f t="shared" si="27"/>
        <v>Igual</v>
      </c>
      <c r="P357" s="6" t="str">
        <f>IFERROR(VLOOKUP($B357,'LISTA - Setembro2024'!$B$3:$K$539,7,0),"Campo eliminado")</f>
        <v>N</v>
      </c>
      <c r="Q357" s="6" t="str">
        <f t="shared" si="28"/>
        <v>Igual</v>
      </c>
      <c r="R357" s="6" t="str">
        <f>IFERROR(VLOOKUP($B357,'LISTA - Setembro2024'!$B$3:$K$539,9,0),"Campo eliminado")</f>
        <v>N</v>
      </c>
      <c r="S357" s="6" t="str">
        <f t="shared" si="29"/>
        <v>Igual</v>
      </c>
      <c r="U357" s="6" t="str">
        <f>VLOOKUP(B357,DataLake!$A$4:$A$429,1,0)</f>
        <v>INSTRUMENT_GNS_FNNCL_TRNSCTN_EXCHNG_CCRR</v>
      </c>
    </row>
    <row r="358" spans="1:21" s="20" customFormat="1" ht="15" hidden="1" customHeight="1" x14ac:dyDescent="0.25">
      <c r="A358" s="29" t="s">
        <v>1047</v>
      </c>
      <c r="B358" s="47" t="str">
        <f t="shared" si="25"/>
        <v>INSTRUMENT_BSNSS_AREA_CCRR</v>
      </c>
      <c r="C358" s="8" t="s">
        <v>414</v>
      </c>
      <c r="D358" s="9" t="s">
        <v>1048</v>
      </c>
      <c r="E358" s="14" t="s">
        <v>1049</v>
      </c>
      <c r="F358" s="10" t="s">
        <v>11</v>
      </c>
      <c r="G358" s="10" t="s">
        <v>13</v>
      </c>
      <c r="H358" s="10" t="s">
        <v>11</v>
      </c>
      <c r="I358" s="10" t="s">
        <v>11</v>
      </c>
      <c r="J358" s="10" t="s">
        <v>11</v>
      </c>
      <c r="L358" s="6" t="str">
        <f>IFERROR(VLOOKUP($B358,'LISTA - Setembro2024'!$B$3:$F$539,5,0),"Campo eliminado")</f>
        <v>N</v>
      </c>
      <c r="M358" s="6" t="str">
        <f t="shared" si="26"/>
        <v>Igual</v>
      </c>
      <c r="N358" s="6" t="str">
        <f>IFERROR(VLOOKUP($B358,'LISTA - Setembro2024'!$B$3:$K$539,6,0),"Campo eliminado")</f>
        <v>Y</v>
      </c>
      <c r="O358" s="6" t="str">
        <f t="shared" si="27"/>
        <v>Igual</v>
      </c>
      <c r="P358" s="6" t="str">
        <f>IFERROR(VLOOKUP($B358,'LISTA - Setembro2024'!$B$3:$K$539,7,0),"Campo eliminado")</f>
        <v>N</v>
      </c>
      <c r="Q358" s="6" t="str">
        <f t="shared" si="28"/>
        <v>Igual</v>
      </c>
      <c r="R358" s="6" t="str">
        <f>IFERROR(VLOOKUP($B358,'LISTA - Setembro2024'!$B$3:$K$539,9,0),"Campo eliminado")</f>
        <v>N</v>
      </c>
      <c r="S358" s="6" t="str">
        <f t="shared" si="29"/>
        <v>Igual</v>
      </c>
      <c r="U358" s="6" t="str">
        <f>VLOOKUP(B358,DataLake!$A$4:$A$429,1,0)</f>
        <v>INSTRUMENT_BSNSS_AREA_CCRR</v>
      </c>
    </row>
    <row r="359" spans="1:21" ht="15" hidden="1" customHeight="1" x14ac:dyDescent="0.25">
      <c r="A359" s="29" t="s">
        <v>1050</v>
      </c>
      <c r="B359" s="47" t="str">
        <f t="shared" si="25"/>
        <v>INSTRUMENT_GRSS_CMMSSN_INCM_OFF_BLNC_CCRR</v>
      </c>
      <c r="C359" s="8" t="s">
        <v>414</v>
      </c>
      <c r="D359" s="17" t="s">
        <v>1051</v>
      </c>
      <c r="E359" s="18" t="s">
        <v>1052</v>
      </c>
      <c r="F359" s="10" t="s">
        <v>11</v>
      </c>
      <c r="G359" s="10" t="s">
        <v>13</v>
      </c>
      <c r="H359" s="10" t="s">
        <v>11</v>
      </c>
      <c r="I359" s="10" t="s">
        <v>11</v>
      </c>
      <c r="J359" s="10" t="s">
        <v>11</v>
      </c>
      <c r="L359" s="6" t="str">
        <f>IFERROR(VLOOKUP($B359,'LISTA - Setembro2024'!$B$3:$F$539,5,0),"Campo eliminado")</f>
        <v>N</v>
      </c>
      <c r="M359" s="6" t="str">
        <f t="shared" si="26"/>
        <v>Igual</v>
      </c>
      <c r="N359" s="6" t="str">
        <f>IFERROR(VLOOKUP($B359,'LISTA - Setembro2024'!$B$3:$K$539,6,0),"Campo eliminado")</f>
        <v>Y</v>
      </c>
      <c r="O359" s="6" t="str">
        <f t="shared" si="27"/>
        <v>Igual</v>
      </c>
      <c r="P359" s="6" t="str">
        <f>IFERROR(VLOOKUP($B359,'LISTA - Setembro2024'!$B$3:$K$539,7,0),"Campo eliminado")</f>
        <v>N</v>
      </c>
      <c r="Q359" s="6" t="str">
        <f t="shared" si="28"/>
        <v>Igual</v>
      </c>
      <c r="R359" s="6" t="str">
        <f>IFERROR(VLOOKUP($B359,'LISTA - Setembro2024'!$B$3:$K$539,9,0),"Campo eliminado")</f>
        <v>N</v>
      </c>
      <c r="S359" s="6" t="str">
        <f t="shared" si="29"/>
        <v>Igual</v>
      </c>
      <c r="U359" s="6" t="str">
        <f>VLOOKUP(B359,DataLake!$A$4:$A$429,1,0)</f>
        <v>INSTRUMENT_GRSS_CMMSSN_INCM_OFF_BLNC_CCRR</v>
      </c>
    </row>
    <row r="360" spans="1:21" ht="15" hidden="1" customHeight="1" x14ac:dyDescent="0.25">
      <c r="A360" s="29" t="s">
        <v>1053</v>
      </c>
      <c r="B360" s="47" t="str">
        <f t="shared" si="25"/>
        <v>INSTRUMENT_GRSS_CMMSSN_EXPNS_OFF_BLNC_CCRR</v>
      </c>
      <c r="C360" s="8" t="s">
        <v>414</v>
      </c>
      <c r="D360" s="17" t="s">
        <v>1054</v>
      </c>
      <c r="E360" s="18" t="s">
        <v>1055</v>
      </c>
      <c r="F360" s="10" t="s">
        <v>11</v>
      </c>
      <c r="G360" s="10" t="s">
        <v>13</v>
      </c>
      <c r="H360" s="10" t="s">
        <v>11</v>
      </c>
      <c r="I360" s="10" t="s">
        <v>11</v>
      </c>
      <c r="J360" s="10" t="s">
        <v>11</v>
      </c>
      <c r="L360" s="6" t="str">
        <f>IFERROR(VLOOKUP($B360,'LISTA - Setembro2024'!$B$3:$F$539,5,0),"Campo eliminado")</f>
        <v>N</v>
      </c>
      <c r="M360" s="6" t="str">
        <f t="shared" si="26"/>
        <v>Igual</v>
      </c>
      <c r="N360" s="6" t="str">
        <f>IFERROR(VLOOKUP($B360,'LISTA - Setembro2024'!$B$3:$K$539,6,0),"Campo eliminado")</f>
        <v>Y</v>
      </c>
      <c r="O360" s="6" t="str">
        <f t="shared" si="27"/>
        <v>Igual</v>
      </c>
      <c r="P360" s="6" t="str">
        <f>IFERROR(VLOOKUP($B360,'LISTA - Setembro2024'!$B$3:$K$539,7,0),"Campo eliminado")</f>
        <v>N</v>
      </c>
      <c r="Q360" s="6" t="str">
        <f t="shared" si="28"/>
        <v>Igual</v>
      </c>
      <c r="R360" s="6" t="str">
        <f>IFERROR(VLOOKUP($B360,'LISTA - Setembro2024'!$B$3:$K$539,9,0),"Campo eliminado")</f>
        <v>N</v>
      </c>
      <c r="S360" s="6" t="str">
        <f t="shared" si="29"/>
        <v>Igual</v>
      </c>
      <c r="U360" s="6" t="str">
        <f>VLOOKUP(B360,DataLake!$A$4:$A$429,1,0)</f>
        <v>INSTRUMENT_GRSS_CMMSSN_EXPNS_OFF_BLNC_CCRR</v>
      </c>
    </row>
    <row r="361" spans="1:21" ht="15" hidden="1" customHeight="1" x14ac:dyDescent="0.25">
      <c r="A361" s="29" t="s">
        <v>1056</v>
      </c>
      <c r="B361" s="47" t="str">
        <f t="shared" si="25"/>
        <v>INSTRUMENT_ENVRNMNTL_OBJCTV</v>
      </c>
      <c r="C361" s="8" t="s">
        <v>414</v>
      </c>
      <c r="D361" s="9" t="s">
        <v>1057</v>
      </c>
      <c r="E361" s="14" t="s">
        <v>1058</v>
      </c>
      <c r="F361" s="10" t="s">
        <v>11</v>
      </c>
      <c r="G361" s="10" t="s">
        <v>11</v>
      </c>
      <c r="H361" s="10" t="s">
        <v>13</v>
      </c>
      <c r="I361" s="10" t="s">
        <v>11</v>
      </c>
      <c r="J361" s="10" t="s">
        <v>11</v>
      </c>
      <c r="L361" s="6" t="str">
        <f>IFERROR(VLOOKUP($B361,'LISTA - Setembro2024'!$B$3:$F$539,5,0),"Campo eliminado")</f>
        <v>N</v>
      </c>
      <c r="M361" s="6" t="str">
        <f t="shared" si="26"/>
        <v>Igual</v>
      </c>
      <c r="N361" s="6" t="str">
        <f>IFERROR(VLOOKUP($B361,'LISTA - Setembro2024'!$B$3:$K$539,6,0),"Campo eliminado")</f>
        <v>N</v>
      </c>
      <c r="O361" s="6" t="str">
        <f t="shared" si="27"/>
        <v>Igual</v>
      </c>
      <c r="P361" s="6" t="str">
        <f>IFERROR(VLOOKUP($B361,'LISTA - Setembro2024'!$B$3:$K$539,7,0),"Campo eliminado")</f>
        <v>Y</v>
      </c>
      <c r="Q361" s="6" t="str">
        <f t="shared" si="28"/>
        <v>Igual</v>
      </c>
      <c r="R361" s="6" t="str">
        <f>IFERROR(VLOOKUP($B361,'LISTA - Setembro2024'!$B$3:$K$539,9,0),"Campo eliminado")</f>
        <v>N</v>
      </c>
      <c r="S361" s="6" t="str">
        <f t="shared" si="29"/>
        <v>Igual</v>
      </c>
      <c r="U361" s="6" t="str">
        <f>VLOOKUP(B361,DataLake!$A$4:$A$429,1,0)</f>
        <v>INSTRUMENT_ENVRNMNTL_OBJCTV</v>
      </c>
    </row>
    <row r="362" spans="1:21" ht="15" hidden="1" customHeight="1" x14ac:dyDescent="0.25">
      <c r="A362" s="29" t="s">
        <v>1059</v>
      </c>
      <c r="B362" s="47" t="str">
        <f t="shared" si="25"/>
        <v>INSTRUMENT_RSK_MTGTD_CCT</v>
      </c>
      <c r="C362" s="8" t="s">
        <v>414</v>
      </c>
      <c r="D362" s="9" t="s">
        <v>1060</v>
      </c>
      <c r="E362" s="11" t="s">
        <v>1061</v>
      </c>
      <c r="F362" s="10" t="s">
        <v>11</v>
      </c>
      <c r="G362" s="10" t="s">
        <v>11</v>
      </c>
      <c r="H362" s="10" t="s">
        <v>13</v>
      </c>
      <c r="I362" s="10" t="s">
        <v>11</v>
      </c>
      <c r="J362" s="10" t="s">
        <v>11</v>
      </c>
      <c r="L362" s="6" t="str">
        <f>IFERROR(VLOOKUP($B362,'LISTA - Setembro2024'!$B$3:$F$539,5,0),"Campo eliminado")</f>
        <v>N</v>
      </c>
      <c r="M362" s="6" t="str">
        <f t="shared" si="26"/>
        <v>Igual</v>
      </c>
      <c r="N362" s="6" t="str">
        <f>IFERROR(VLOOKUP($B362,'LISTA - Setembro2024'!$B$3:$K$539,6,0),"Campo eliminado")</f>
        <v>N</v>
      </c>
      <c r="O362" s="6" t="str">
        <f t="shared" si="27"/>
        <v>Igual</v>
      </c>
      <c r="P362" s="6" t="str">
        <f>IFERROR(VLOOKUP($B362,'LISTA - Setembro2024'!$B$3:$K$539,7,0),"Campo eliminado")</f>
        <v>Y</v>
      </c>
      <c r="Q362" s="6" t="str">
        <f t="shared" si="28"/>
        <v>Igual</v>
      </c>
      <c r="R362" s="6" t="str">
        <f>IFERROR(VLOOKUP($B362,'LISTA - Setembro2024'!$B$3:$K$539,9,0),"Campo eliminado")</f>
        <v>N</v>
      </c>
      <c r="S362" s="6" t="str">
        <f t="shared" si="29"/>
        <v>Igual</v>
      </c>
      <c r="U362" s="6" t="str">
        <f>VLOOKUP(B362,DataLake!$A$4:$A$429,1,0)</f>
        <v>INSTRUMENT_RSK_MTGTD_CCT</v>
      </c>
    </row>
    <row r="363" spans="1:21" ht="14.85" hidden="1" customHeight="1" x14ac:dyDescent="0.25">
      <c r="A363" s="29" t="s">
        <v>1062</v>
      </c>
      <c r="B363" s="47" t="str">
        <f t="shared" si="25"/>
        <v>INSTRUMENT_RSK_MTGTD_CCP</v>
      </c>
      <c r="C363" s="8" t="s">
        <v>414</v>
      </c>
      <c r="D363" s="9" t="s">
        <v>1063</v>
      </c>
      <c r="E363" s="27" t="s">
        <v>1064</v>
      </c>
      <c r="F363" s="10" t="s">
        <v>11</v>
      </c>
      <c r="G363" s="10" t="s">
        <v>11</v>
      </c>
      <c r="H363" s="10" t="s">
        <v>13</v>
      </c>
      <c r="I363" s="10" t="s">
        <v>11</v>
      </c>
      <c r="J363" s="10" t="s">
        <v>11</v>
      </c>
      <c r="L363" s="6" t="str">
        <f>IFERROR(VLOOKUP($B363,'LISTA - Setembro2024'!$B$3:$F$539,5,0),"Campo eliminado")</f>
        <v>N</v>
      </c>
      <c r="M363" s="6" t="str">
        <f t="shared" si="26"/>
        <v>Igual</v>
      </c>
      <c r="N363" s="6" t="str">
        <f>IFERROR(VLOOKUP($B363,'LISTA - Setembro2024'!$B$3:$K$539,6,0),"Campo eliminado")</f>
        <v>N</v>
      </c>
      <c r="O363" s="6" t="str">
        <f t="shared" si="27"/>
        <v>Igual</v>
      </c>
      <c r="P363" s="6" t="str">
        <f>IFERROR(VLOOKUP($B363,'LISTA - Setembro2024'!$B$3:$K$539,7,0),"Campo eliminado")</f>
        <v>Y</v>
      </c>
      <c r="Q363" s="6" t="str">
        <f t="shared" si="28"/>
        <v>Igual</v>
      </c>
      <c r="R363" s="6" t="str">
        <f>IFERROR(VLOOKUP($B363,'LISTA - Setembro2024'!$B$3:$K$539,9,0),"Campo eliminado")</f>
        <v>N</v>
      </c>
      <c r="S363" s="6" t="str">
        <f t="shared" si="29"/>
        <v>Igual</v>
      </c>
      <c r="U363" s="6" t="str">
        <f>VLOOKUP(B363,DataLake!$A$4:$A$429,1,0)</f>
        <v>INSTRUMENT_RSK_MTGTD_CCP</v>
      </c>
    </row>
    <row r="364" spans="1:21" ht="14.85" hidden="1" customHeight="1" x14ac:dyDescent="0.25">
      <c r="A364" s="29" t="s">
        <v>1065</v>
      </c>
      <c r="B364" s="47" t="str">
        <f t="shared" si="25"/>
        <v>INSTRUMENT_TYP_ACTVTY</v>
      </c>
      <c r="C364" s="8" t="s">
        <v>414</v>
      </c>
      <c r="D364" s="9" t="s">
        <v>1066</v>
      </c>
      <c r="E364" s="30" t="s">
        <v>1067</v>
      </c>
      <c r="F364" s="10" t="s">
        <v>11</v>
      </c>
      <c r="G364" s="10" t="s">
        <v>11</v>
      </c>
      <c r="H364" s="10" t="s">
        <v>13</v>
      </c>
      <c r="I364" s="10" t="s">
        <v>11</v>
      </c>
      <c r="J364" s="10" t="s">
        <v>11</v>
      </c>
      <c r="L364" s="6" t="str">
        <f>IFERROR(VLOOKUP($B364,'LISTA - Setembro2024'!$B$3:$F$539,5,0),"Campo eliminado")</f>
        <v>N</v>
      </c>
      <c r="M364" s="6" t="str">
        <f t="shared" si="26"/>
        <v>Igual</v>
      </c>
      <c r="N364" s="6" t="str">
        <f>IFERROR(VLOOKUP($B364,'LISTA - Setembro2024'!$B$3:$K$539,6,0),"Campo eliminado")</f>
        <v>N</v>
      </c>
      <c r="O364" s="6" t="str">
        <f t="shared" si="27"/>
        <v>Igual</v>
      </c>
      <c r="P364" s="6" t="str">
        <f>IFERROR(VLOOKUP($B364,'LISTA - Setembro2024'!$B$3:$K$539,7,0),"Campo eliminado")</f>
        <v>Y</v>
      </c>
      <c r="Q364" s="6" t="str">
        <f t="shared" si="28"/>
        <v>Igual</v>
      </c>
      <c r="R364" s="6" t="str">
        <f>IFERROR(VLOOKUP($B364,'LISTA - Setembro2024'!$B$3:$K$539,9,0),"Campo eliminado")</f>
        <v>N</v>
      </c>
      <c r="S364" s="6" t="str">
        <f t="shared" si="29"/>
        <v>Igual</v>
      </c>
      <c r="U364" s="6" t="str">
        <f>VLOOKUP(B364,DataLake!$A$4:$A$429,1,0)</f>
        <v>INSTRUMENT_TYP_ACTVTY</v>
      </c>
    </row>
    <row r="365" spans="1:21" ht="15" hidden="1" customHeight="1" x14ac:dyDescent="0.25">
      <c r="A365" s="29" t="s">
        <v>1068</v>
      </c>
      <c r="B365" s="47" t="str">
        <f t="shared" si="25"/>
        <v>INSTRUMENT_LNS_CLLTRLZD_CLSSFCTN</v>
      </c>
      <c r="C365" s="8" t="s">
        <v>414</v>
      </c>
      <c r="D365" s="9" t="s">
        <v>1069</v>
      </c>
      <c r="E365" s="15" t="s">
        <v>1070</v>
      </c>
      <c r="F365" s="10" t="s">
        <v>11</v>
      </c>
      <c r="G365" s="10" t="s">
        <v>11</v>
      </c>
      <c r="H365" s="10" t="s">
        <v>13</v>
      </c>
      <c r="I365" s="10" t="s">
        <v>11</v>
      </c>
      <c r="J365" s="10" t="s">
        <v>11</v>
      </c>
      <c r="L365" s="6" t="str">
        <f>IFERROR(VLOOKUP($B365,'LISTA - Setembro2024'!$B$3:$F$539,5,0),"Campo eliminado")</f>
        <v>N</v>
      </c>
      <c r="M365" s="6" t="str">
        <f t="shared" si="26"/>
        <v>Igual</v>
      </c>
      <c r="N365" s="6" t="str">
        <f>IFERROR(VLOOKUP($B365,'LISTA - Setembro2024'!$B$3:$K$539,6,0),"Campo eliminado")</f>
        <v>N</v>
      </c>
      <c r="O365" s="6" t="str">
        <f t="shared" si="27"/>
        <v>Igual</v>
      </c>
      <c r="P365" s="6" t="str">
        <f>IFERROR(VLOOKUP($B365,'LISTA - Setembro2024'!$B$3:$K$539,7,0),"Campo eliminado")</f>
        <v>Y</v>
      </c>
      <c r="Q365" s="6" t="str">
        <f t="shared" si="28"/>
        <v>Igual</v>
      </c>
      <c r="R365" s="6" t="str">
        <f>IFERROR(VLOOKUP($B365,'LISTA - Setembro2024'!$B$3:$K$539,9,0),"Campo eliminado")</f>
        <v>N</v>
      </c>
      <c r="S365" s="6" t="str">
        <f t="shared" si="29"/>
        <v>Igual</v>
      </c>
      <c r="U365" s="6" t="str">
        <f>VLOOKUP(B365,DataLake!$A$4:$A$429,1,0)</f>
        <v>INSTRUMENT_LNS_CLLTRLZD_CLSSFCTN</v>
      </c>
    </row>
    <row r="366" spans="1:21" ht="15" hidden="1" customHeight="1" x14ac:dyDescent="0.25">
      <c r="A366" s="29" t="s">
        <v>1071</v>
      </c>
      <c r="B366" s="47" t="str">
        <f t="shared" si="25"/>
        <v>INSTRUMENT_MTHD_USD_INSTRMNT_SCP_1</v>
      </c>
      <c r="C366" s="8" t="s">
        <v>414</v>
      </c>
      <c r="D366" s="9" t="s">
        <v>1072</v>
      </c>
      <c r="E366" s="18" t="s">
        <v>1073</v>
      </c>
      <c r="F366" s="10" t="s">
        <v>11</v>
      </c>
      <c r="G366" s="10" t="s">
        <v>11</v>
      </c>
      <c r="H366" s="10" t="s">
        <v>13</v>
      </c>
      <c r="I366" s="10" t="s">
        <v>11</v>
      </c>
      <c r="J366" s="10" t="s">
        <v>11</v>
      </c>
      <c r="L366" s="6" t="str">
        <f>IFERROR(VLOOKUP($B366,'LISTA - Setembro2024'!$B$3:$F$539,5,0),"Campo eliminado")</f>
        <v>N</v>
      </c>
      <c r="M366" s="6" t="str">
        <f t="shared" si="26"/>
        <v>Igual</v>
      </c>
      <c r="N366" s="6" t="str">
        <f>IFERROR(VLOOKUP($B366,'LISTA - Setembro2024'!$B$3:$K$539,6,0),"Campo eliminado")</f>
        <v>N</v>
      </c>
      <c r="O366" s="6" t="str">
        <f t="shared" si="27"/>
        <v>Igual</v>
      </c>
      <c r="P366" s="6" t="str">
        <f>IFERROR(VLOOKUP($B366,'LISTA - Setembro2024'!$B$3:$K$539,7,0),"Campo eliminado")</f>
        <v>Y</v>
      </c>
      <c r="Q366" s="6" t="str">
        <f t="shared" si="28"/>
        <v>Igual</v>
      </c>
      <c r="R366" s="6" t="str">
        <f>IFERROR(VLOOKUP($B366,'LISTA - Setembro2024'!$B$3:$K$539,9,0),"Campo eliminado")</f>
        <v>N</v>
      </c>
      <c r="S366" s="6" t="str">
        <f t="shared" si="29"/>
        <v>Igual</v>
      </c>
      <c r="U366" s="6" t="str">
        <f>VLOOKUP(B366,DataLake!$A$4:$A$429,1,0)</f>
        <v>INSTRUMENT_MTHD_USD_INSTRMNT_SCP_1</v>
      </c>
    </row>
    <row r="367" spans="1:21" ht="15" hidden="1" customHeight="1" x14ac:dyDescent="0.25">
      <c r="A367" s="29" t="s">
        <v>1074</v>
      </c>
      <c r="B367" s="47" t="str">
        <f t="shared" si="25"/>
        <v>INSTRUMENT_MTHD_USD_INSTRMNT_SCP_2</v>
      </c>
      <c r="C367" s="8" t="s">
        <v>414</v>
      </c>
      <c r="D367" s="9" t="s">
        <v>1075</v>
      </c>
      <c r="E367" s="18" t="s">
        <v>1076</v>
      </c>
      <c r="F367" s="10" t="s">
        <v>11</v>
      </c>
      <c r="G367" s="10" t="s">
        <v>11</v>
      </c>
      <c r="H367" s="10" t="s">
        <v>13</v>
      </c>
      <c r="I367" s="10" t="s">
        <v>11</v>
      </c>
      <c r="J367" s="10" t="s">
        <v>11</v>
      </c>
      <c r="L367" s="6" t="str">
        <f>IFERROR(VLOOKUP($B367,'LISTA - Setembro2024'!$B$3:$F$539,5,0),"Campo eliminado")</f>
        <v>N</v>
      </c>
      <c r="M367" s="6" t="str">
        <f t="shared" si="26"/>
        <v>Igual</v>
      </c>
      <c r="N367" s="6" t="str">
        <f>IFERROR(VLOOKUP($B367,'LISTA - Setembro2024'!$B$3:$K$539,6,0),"Campo eliminado")</f>
        <v>N</v>
      </c>
      <c r="O367" s="6" t="str">
        <f t="shared" si="27"/>
        <v>Igual</v>
      </c>
      <c r="P367" s="6" t="str">
        <f>IFERROR(VLOOKUP($B367,'LISTA - Setembro2024'!$B$3:$K$539,7,0),"Campo eliminado")</f>
        <v>Y</v>
      </c>
      <c r="Q367" s="6" t="str">
        <f t="shared" si="28"/>
        <v>Igual</v>
      </c>
      <c r="R367" s="6" t="str">
        <f>IFERROR(VLOOKUP($B367,'LISTA - Setembro2024'!$B$3:$K$539,9,0),"Campo eliminado")</f>
        <v>N</v>
      </c>
      <c r="S367" s="6" t="str">
        <f t="shared" si="29"/>
        <v>Igual</v>
      </c>
      <c r="U367" s="6" t="str">
        <f>VLOOKUP(B367,DataLake!$A$4:$A$429,1,0)</f>
        <v>INSTRUMENT_MTHD_USD_INSTRMNT_SCP_2</v>
      </c>
    </row>
    <row r="368" spans="1:21" ht="15" hidden="1" customHeight="1" x14ac:dyDescent="0.25">
      <c r="A368" s="29" t="s">
        <v>1077</v>
      </c>
      <c r="B368" s="47" t="str">
        <f t="shared" si="25"/>
        <v>INSTRUMENT_MTHD_USD_INSTRMNT_SCP_3</v>
      </c>
      <c r="C368" s="8" t="s">
        <v>414</v>
      </c>
      <c r="D368" s="9" t="s">
        <v>1078</v>
      </c>
      <c r="E368" s="18" t="s">
        <v>1079</v>
      </c>
      <c r="F368" s="10" t="s">
        <v>11</v>
      </c>
      <c r="G368" s="10" t="s">
        <v>11</v>
      </c>
      <c r="H368" s="10" t="s">
        <v>13</v>
      </c>
      <c r="I368" s="10" t="s">
        <v>11</v>
      </c>
      <c r="J368" s="10" t="s">
        <v>11</v>
      </c>
      <c r="L368" s="6" t="str">
        <f>IFERROR(VLOOKUP($B368,'LISTA - Setembro2024'!$B$3:$F$539,5,0),"Campo eliminado")</f>
        <v>N</v>
      </c>
      <c r="M368" s="6" t="str">
        <f t="shared" si="26"/>
        <v>Igual</v>
      </c>
      <c r="N368" s="6" t="str">
        <f>IFERROR(VLOOKUP($B368,'LISTA - Setembro2024'!$B$3:$K$539,6,0),"Campo eliminado")</f>
        <v>N</v>
      </c>
      <c r="O368" s="6" t="str">
        <f t="shared" si="27"/>
        <v>Igual</v>
      </c>
      <c r="P368" s="6" t="str">
        <f>IFERROR(VLOOKUP($B368,'LISTA - Setembro2024'!$B$3:$K$539,7,0),"Campo eliminado")</f>
        <v>Y</v>
      </c>
      <c r="Q368" s="6" t="str">
        <f t="shared" si="28"/>
        <v>Igual</v>
      </c>
      <c r="R368" s="6" t="str">
        <f>IFERROR(VLOOKUP($B368,'LISTA - Setembro2024'!$B$3:$K$539,9,0),"Campo eliminado")</f>
        <v>N</v>
      </c>
      <c r="S368" s="6" t="str">
        <f t="shared" si="29"/>
        <v>Igual</v>
      </c>
      <c r="U368" s="6" t="str">
        <f>VLOOKUP(B368,DataLake!$A$4:$A$429,1,0)</f>
        <v>INSTRUMENT_MTHD_USD_INSTRMNT_SCP_3</v>
      </c>
    </row>
    <row r="369" spans="1:21" ht="15" hidden="1" customHeight="1" x14ac:dyDescent="0.25">
      <c r="A369" s="7" t="s">
        <v>1080</v>
      </c>
      <c r="B369" s="47" t="str">
        <f t="shared" si="25"/>
        <v>INSTRUMENT_CNCLLD_INSTRMNT_STTS</v>
      </c>
      <c r="C369" s="8" t="s">
        <v>414</v>
      </c>
      <c r="D369" s="17" t="s">
        <v>1081</v>
      </c>
      <c r="E369" s="32" t="s">
        <v>1082</v>
      </c>
      <c r="F369" s="10" t="s">
        <v>11</v>
      </c>
      <c r="G369" s="10" t="s">
        <v>13</v>
      </c>
      <c r="H369" s="10" t="s">
        <v>11</v>
      </c>
      <c r="I369" s="10" t="s">
        <v>11</v>
      </c>
      <c r="J369" s="10" t="s">
        <v>11</v>
      </c>
      <c r="L369" s="6" t="str">
        <f>IFERROR(VLOOKUP($B369,'LISTA - Setembro2024'!$B$3:$F$539,5,0),"Campo eliminado")</f>
        <v>N</v>
      </c>
      <c r="M369" s="6" t="str">
        <f t="shared" si="26"/>
        <v>Igual</v>
      </c>
      <c r="N369" s="6" t="str">
        <f>IFERROR(VLOOKUP($B369,'LISTA - Setembro2024'!$B$3:$K$539,6,0),"Campo eliminado")</f>
        <v>Y</v>
      </c>
      <c r="O369" s="6" t="str">
        <f t="shared" si="27"/>
        <v>Igual</v>
      </c>
      <c r="P369" s="6" t="str">
        <f>IFERROR(VLOOKUP($B369,'LISTA - Setembro2024'!$B$3:$K$539,7,0),"Campo eliminado")</f>
        <v>N</v>
      </c>
      <c r="Q369" s="6" t="str">
        <f t="shared" si="28"/>
        <v>Igual</v>
      </c>
      <c r="R369" s="6" t="str">
        <f>IFERROR(VLOOKUP($B369,'LISTA - Setembro2024'!$B$3:$K$539,9,0),"Campo eliminado")</f>
        <v>N</v>
      </c>
      <c r="S369" s="6" t="str">
        <f t="shared" si="29"/>
        <v>Igual</v>
      </c>
      <c r="U369" s="6" t="str">
        <f>VLOOKUP(B369,DataLake!$A$4:$A$429,1,0)</f>
        <v>INSTRUMENT_CNCLLD_INSTRMNT_STTS</v>
      </c>
    </row>
    <row r="370" spans="1:21" ht="15" hidden="1" customHeight="1" x14ac:dyDescent="0.25">
      <c r="A370" s="7" t="s">
        <v>1083</v>
      </c>
      <c r="B370" s="47" t="str">
        <f t="shared" si="25"/>
        <v>INSTRUMENT_IDCMB</v>
      </c>
      <c r="C370" s="8" t="s">
        <v>414</v>
      </c>
      <c r="D370" s="9" t="s">
        <v>1084</v>
      </c>
      <c r="E370" s="32" t="s">
        <v>1085</v>
      </c>
      <c r="F370" s="10" t="s">
        <v>13</v>
      </c>
      <c r="G370" s="10" t="s">
        <v>13</v>
      </c>
      <c r="H370" s="10" t="s">
        <v>13</v>
      </c>
      <c r="I370" s="10" t="s">
        <v>13</v>
      </c>
      <c r="J370" s="10" t="s">
        <v>11</v>
      </c>
      <c r="L370" s="6" t="str">
        <f>IFERROR(VLOOKUP($B370,'LISTA - Setembro2024'!$B$3:$F$539,5,0),"Campo eliminado")</f>
        <v>Y</v>
      </c>
      <c r="M370" s="6" t="str">
        <f t="shared" si="26"/>
        <v>Igual</v>
      </c>
      <c r="N370" s="6" t="str">
        <f>IFERROR(VLOOKUP($B370,'LISTA - Setembro2024'!$B$3:$K$539,6,0),"Campo eliminado")</f>
        <v>Y</v>
      </c>
      <c r="O370" s="6" t="str">
        <f t="shared" si="27"/>
        <v>Igual</v>
      </c>
      <c r="P370" s="6" t="str">
        <f>IFERROR(VLOOKUP($B370,'LISTA - Setembro2024'!$B$3:$K$539,7,0),"Campo eliminado")</f>
        <v>Y</v>
      </c>
      <c r="Q370" s="6" t="str">
        <f t="shared" si="28"/>
        <v>Igual</v>
      </c>
      <c r="R370" s="6" t="str">
        <f>IFERROR(VLOOKUP($B370,'LISTA - Setembro2024'!$B$3:$K$539,9,0),"Campo eliminado")</f>
        <v>Y</v>
      </c>
      <c r="S370" s="6" t="str">
        <f t="shared" si="29"/>
        <v>Igual</v>
      </c>
      <c r="U370" s="6" t="str">
        <f>VLOOKUP(B370,DataLake!$A$4:$A$429,1,0)</f>
        <v>INSTRUMENT_IDCMB</v>
      </c>
    </row>
    <row r="371" spans="1:21" ht="15" hidden="1" customHeight="1" x14ac:dyDescent="0.25">
      <c r="A371" s="7" t="s">
        <v>1086</v>
      </c>
      <c r="B371" s="47" t="str">
        <f t="shared" si="25"/>
        <v>INSTRUMENT_EXPCTD_LSS_CRR</v>
      </c>
      <c r="C371" s="8" t="s">
        <v>414</v>
      </c>
      <c r="D371" s="9" t="s">
        <v>1087</v>
      </c>
      <c r="E371" s="33" t="s">
        <v>1088</v>
      </c>
      <c r="F371" s="10" t="s">
        <v>13</v>
      </c>
      <c r="G371" s="10" t="s">
        <v>11</v>
      </c>
      <c r="H371" s="10" t="s">
        <v>11</v>
      </c>
      <c r="I371" s="10" t="s">
        <v>11</v>
      </c>
      <c r="J371" s="10" t="s">
        <v>11</v>
      </c>
      <c r="L371" s="6" t="str">
        <f>IFERROR(VLOOKUP($B371,'LISTA - Setembro2024'!$B$3:$F$539,5,0),"Campo eliminado")</f>
        <v>Y</v>
      </c>
      <c r="M371" s="6" t="str">
        <f t="shared" si="26"/>
        <v>Igual</v>
      </c>
      <c r="N371" s="6" t="str">
        <f>IFERROR(VLOOKUP($B371,'LISTA - Setembro2024'!$B$3:$K$539,6,0),"Campo eliminado")</f>
        <v>N</v>
      </c>
      <c r="O371" s="6" t="str">
        <f t="shared" si="27"/>
        <v>Igual</v>
      </c>
      <c r="P371" s="6" t="str">
        <f>IFERROR(VLOOKUP($B371,'LISTA - Setembro2024'!$B$3:$K$539,7,0),"Campo eliminado")</f>
        <v>N</v>
      </c>
      <c r="Q371" s="6" t="str">
        <f t="shared" si="28"/>
        <v>Igual</v>
      </c>
      <c r="R371" s="6" t="str">
        <f>IFERROR(VLOOKUP($B371,'LISTA - Setembro2024'!$B$3:$K$539,9,0),"Campo eliminado")</f>
        <v>N</v>
      </c>
      <c r="S371" s="6" t="str">
        <f t="shared" si="29"/>
        <v>Igual</v>
      </c>
      <c r="U371" s="6" t="str">
        <f>VLOOKUP(B371,DataLake!$A$4:$A$429,1,0)</f>
        <v>INSTRUMENT_EXPCTD_LSS_CRR</v>
      </c>
    </row>
    <row r="372" spans="1:21" ht="15" hidden="1" customHeight="1" x14ac:dyDescent="0.25">
      <c r="A372" s="7" t="s">
        <v>1089</v>
      </c>
      <c r="B372" s="47" t="str">
        <f t="shared" si="25"/>
        <v>INSTRUMENT_LSTI</v>
      </c>
      <c r="C372" s="8" t="s">
        <v>414</v>
      </c>
      <c r="D372" s="9" t="s">
        <v>1090</v>
      </c>
      <c r="E372" s="32" t="s">
        <v>1091</v>
      </c>
      <c r="F372" s="10" t="s">
        <v>13</v>
      </c>
      <c r="G372" s="10" t="s">
        <v>11</v>
      </c>
      <c r="H372" s="10" t="s">
        <v>11</v>
      </c>
      <c r="I372" s="10" t="s">
        <v>11</v>
      </c>
      <c r="J372" s="10" t="s">
        <v>11</v>
      </c>
      <c r="L372" s="6" t="str">
        <f>IFERROR(VLOOKUP($B372,'LISTA - Setembro2024'!$B$3:$F$539,5,0),"Campo eliminado")</f>
        <v>Y</v>
      </c>
      <c r="M372" s="6" t="str">
        <f t="shared" si="26"/>
        <v>Igual</v>
      </c>
      <c r="N372" s="6" t="str">
        <f>IFERROR(VLOOKUP($B372,'LISTA - Setembro2024'!$B$3:$K$539,6,0),"Campo eliminado")</f>
        <v>N</v>
      </c>
      <c r="O372" s="6" t="str">
        <f t="shared" si="27"/>
        <v>Igual</v>
      </c>
      <c r="P372" s="6" t="str">
        <f>IFERROR(VLOOKUP($B372,'LISTA - Setembro2024'!$B$3:$K$539,7,0),"Campo eliminado")</f>
        <v>N</v>
      </c>
      <c r="Q372" s="6" t="str">
        <f t="shared" si="28"/>
        <v>Igual</v>
      </c>
      <c r="R372" s="6" t="str">
        <f>IFERROR(VLOOKUP($B372,'LISTA - Setembro2024'!$B$3:$K$539,9,0),"Campo eliminado")</f>
        <v>N</v>
      </c>
      <c r="S372" s="6" t="str">
        <f t="shared" si="29"/>
        <v>Igual</v>
      </c>
      <c r="U372" s="6" t="str">
        <f>VLOOKUP(B372,DataLake!$A$4:$A$429,1,0)</f>
        <v>INSTRUMENT_LSTI</v>
      </c>
    </row>
    <row r="373" spans="1:21" ht="15" hidden="1" customHeight="1" x14ac:dyDescent="0.25">
      <c r="A373" s="7" t="s">
        <v>1092</v>
      </c>
      <c r="B373" s="47" t="str">
        <f t="shared" si="25"/>
        <v>INSTRUMENT_DSTI</v>
      </c>
      <c r="C373" s="8" t="s">
        <v>414</v>
      </c>
      <c r="D373" s="9" t="s">
        <v>1093</v>
      </c>
      <c r="E373" s="33" t="s">
        <v>1094</v>
      </c>
      <c r="F373" s="10" t="s">
        <v>13</v>
      </c>
      <c r="G373" s="10" t="s">
        <v>11</v>
      </c>
      <c r="H373" s="10" t="s">
        <v>11</v>
      </c>
      <c r="I373" s="10" t="s">
        <v>11</v>
      </c>
      <c r="J373" s="10" t="s">
        <v>11</v>
      </c>
      <c r="L373" s="6" t="str">
        <f>IFERROR(VLOOKUP($B373,'LISTA - Setembro2024'!$B$3:$F$539,5,0),"Campo eliminado")</f>
        <v>Y</v>
      </c>
      <c r="M373" s="6" t="str">
        <f t="shared" si="26"/>
        <v>Igual</v>
      </c>
      <c r="N373" s="6" t="str">
        <f>IFERROR(VLOOKUP($B373,'LISTA - Setembro2024'!$B$3:$K$539,6,0),"Campo eliminado")</f>
        <v>N</v>
      </c>
      <c r="O373" s="6" t="str">
        <f t="shared" si="27"/>
        <v>Igual</v>
      </c>
      <c r="P373" s="6" t="str">
        <f>IFERROR(VLOOKUP($B373,'LISTA - Setembro2024'!$B$3:$K$539,7,0),"Campo eliminado")</f>
        <v>N</v>
      </c>
      <c r="Q373" s="6" t="str">
        <f t="shared" si="28"/>
        <v>Igual</v>
      </c>
      <c r="R373" s="6" t="str">
        <f>IFERROR(VLOOKUP($B373,'LISTA - Setembro2024'!$B$3:$K$539,9,0),"Campo eliminado")</f>
        <v>N</v>
      </c>
      <c r="S373" s="6" t="str">
        <f t="shared" si="29"/>
        <v>Igual</v>
      </c>
      <c r="U373" s="6" t="str">
        <f>VLOOKUP(B373,DataLake!$A$4:$A$429,1,0)</f>
        <v>INSTRUMENT_DSTI</v>
      </c>
    </row>
    <row r="374" spans="1:21" ht="13.8" hidden="1" x14ac:dyDescent="0.25">
      <c r="A374" s="7" t="s">
        <v>1095</v>
      </c>
      <c r="B374" s="47" t="str">
        <f t="shared" si="25"/>
        <v>INSTRUMENT_LTI_INSTRMNT</v>
      </c>
      <c r="C374" s="8" t="s">
        <v>414</v>
      </c>
      <c r="D374" s="9" t="s">
        <v>1096</v>
      </c>
      <c r="E374" s="14" t="s">
        <v>207</v>
      </c>
      <c r="F374" s="10" t="s">
        <v>13</v>
      </c>
      <c r="G374" s="10" t="s">
        <v>11</v>
      </c>
      <c r="H374" s="10" t="s">
        <v>11</v>
      </c>
      <c r="I374" s="10" t="s">
        <v>11</v>
      </c>
      <c r="J374" s="10" t="s">
        <v>11</v>
      </c>
      <c r="L374" s="6" t="str">
        <f>IFERROR(VLOOKUP($B374,'LISTA - Setembro2024'!$B$3:$F$539,5,0),"Campo eliminado")</f>
        <v>Y</v>
      </c>
      <c r="M374" s="6" t="str">
        <f t="shared" si="26"/>
        <v>Igual</v>
      </c>
      <c r="N374" s="6" t="str">
        <f>IFERROR(VLOOKUP($B374,'LISTA - Setembro2024'!$B$3:$K$539,6,0),"Campo eliminado")</f>
        <v>N</v>
      </c>
      <c r="O374" s="6" t="str">
        <f t="shared" si="27"/>
        <v>Igual</v>
      </c>
      <c r="P374" s="6" t="str">
        <f>IFERROR(VLOOKUP($B374,'LISTA - Setembro2024'!$B$3:$K$539,7,0),"Campo eliminado")</f>
        <v>N</v>
      </c>
      <c r="Q374" s="6" t="str">
        <f t="shared" si="28"/>
        <v>Igual</v>
      </c>
      <c r="R374" s="6" t="str">
        <f>IFERROR(VLOOKUP($B374,'LISTA - Setembro2024'!$B$3:$K$539,9,0),"Campo eliminado")</f>
        <v>N</v>
      </c>
      <c r="S374" s="6" t="str">
        <f t="shared" si="29"/>
        <v>Igual</v>
      </c>
      <c r="U374" s="6" t="str">
        <f>VLOOKUP(B374,DataLake!$A$4:$A$429,1,0)</f>
        <v>INSTRUMENT_LTI_INSTRMNT</v>
      </c>
    </row>
    <row r="375" spans="1:21" ht="15" hidden="1" customHeight="1" x14ac:dyDescent="0.25">
      <c r="A375" s="16" t="s">
        <v>1097</v>
      </c>
      <c r="B375" s="47" t="str">
        <f t="shared" si="25"/>
        <v>INSTRUMENT_SSTNBL_CTGRY_TXNMY</v>
      </c>
      <c r="C375" s="8" t="s">
        <v>414</v>
      </c>
      <c r="D375" s="17" t="s">
        <v>1098</v>
      </c>
      <c r="E375" s="14" t="s">
        <v>1099</v>
      </c>
      <c r="F375" s="10" t="s">
        <v>11</v>
      </c>
      <c r="G375" s="10" t="s">
        <v>11</v>
      </c>
      <c r="H375" s="10" t="s">
        <v>13</v>
      </c>
      <c r="I375" s="10" t="s">
        <v>11</v>
      </c>
      <c r="J375" s="10" t="s">
        <v>11</v>
      </c>
      <c r="L375" s="6" t="str">
        <f>IFERROR(VLOOKUP($B375,'LISTA - Setembro2024'!$B$3:$F$539,5,0),"Campo eliminado")</f>
        <v>N</v>
      </c>
      <c r="M375" s="6" t="str">
        <f t="shared" si="26"/>
        <v>Igual</v>
      </c>
      <c r="N375" s="6" t="str">
        <f>IFERROR(VLOOKUP($B375,'LISTA - Setembro2024'!$B$3:$K$539,6,0),"Campo eliminado")</f>
        <v>N</v>
      </c>
      <c r="O375" s="6" t="str">
        <f t="shared" si="27"/>
        <v>Igual</v>
      </c>
      <c r="P375" s="6" t="str">
        <f>IFERROR(VLOOKUP($B375,'LISTA - Setembro2024'!$B$3:$K$539,7,0),"Campo eliminado")</f>
        <v>Y</v>
      </c>
      <c r="Q375" s="6" t="str">
        <f t="shared" si="28"/>
        <v>Igual</v>
      </c>
      <c r="R375" s="6" t="str">
        <f>IFERROR(VLOOKUP($B375,'LISTA - Setembro2024'!$B$3:$K$539,9,0),"Campo eliminado")</f>
        <v>N</v>
      </c>
      <c r="S375" s="6" t="str">
        <f t="shared" si="29"/>
        <v>Igual</v>
      </c>
      <c r="U375" s="6" t="str">
        <f>VLOOKUP(B375,DataLake!$A$4:$A$429,1,0)</f>
        <v>INSTRUMENT_SSTNBL_CTGRY_TXNMY</v>
      </c>
    </row>
    <row r="376" spans="1:21" ht="15" hidden="1" customHeight="1" x14ac:dyDescent="0.25">
      <c r="A376" s="7" t="s">
        <v>1100</v>
      </c>
      <c r="B376" s="47" t="str">
        <f t="shared" si="25"/>
        <v>INSTR_PROTECTION_COD_SOC</v>
      </c>
      <c r="C376" s="8" t="s">
        <v>1101</v>
      </c>
      <c r="D376" s="9" t="s">
        <v>12</v>
      </c>
      <c r="E376" s="11" t="s">
        <v>14</v>
      </c>
      <c r="F376" s="10" t="s">
        <v>13</v>
      </c>
      <c r="G376" s="10" t="s">
        <v>11</v>
      </c>
      <c r="H376" s="10" t="s">
        <v>13</v>
      </c>
      <c r="I376" s="10" t="s">
        <v>11</v>
      </c>
      <c r="J376" s="10" t="s">
        <v>11</v>
      </c>
      <c r="L376" s="6" t="str">
        <f>IFERROR(VLOOKUP($B376,'LISTA - Setembro2024'!$B$3:$F$539,5,0),"Campo eliminado")</f>
        <v>Y</v>
      </c>
      <c r="M376" s="6" t="str">
        <f t="shared" si="26"/>
        <v>Igual</v>
      </c>
      <c r="N376" s="6" t="str">
        <f>IFERROR(VLOOKUP($B376,'LISTA - Setembro2024'!$B$3:$K$539,6,0),"Campo eliminado")</f>
        <v>Y</v>
      </c>
      <c r="O376" s="6" t="str">
        <f t="shared" si="27"/>
        <v>Diferente</v>
      </c>
      <c r="P376" s="6" t="str">
        <f>IFERROR(VLOOKUP($B376,'LISTA - Setembro2024'!$B$3:$K$539,7,0),"Campo eliminado")</f>
        <v>Y</v>
      </c>
      <c r="Q376" s="6" t="str">
        <f t="shared" si="28"/>
        <v>Igual</v>
      </c>
      <c r="R376" s="6" t="str">
        <f>IFERROR(VLOOKUP($B376,'LISTA - Setembro2024'!$B$3:$K$539,9,0),"Campo eliminado")</f>
        <v>N</v>
      </c>
      <c r="S376" s="6" t="str">
        <f t="shared" si="29"/>
        <v>Igual</v>
      </c>
      <c r="U376" s="6" t="str">
        <f>VLOOKUP(B376,DataLake!$A$4:$A$429,1,0)</f>
        <v>INSTR_PROTECTION_COD_SOC</v>
      </c>
    </row>
    <row r="377" spans="1:21" ht="15" hidden="1" customHeight="1" x14ac:dyDescent="0.25">
      <c r="A377" s="7" t="s">
        <v>1102</v>
      </c>
      <c r="B377" s="47" t="str">
        <f t="shared" si="25"/>
        <v>INSTR_PROTECTION_DT_RFRNC</v>
      </c>
      <c r="C377" s="8" t="s">
        <v>1101</v>
      </c>
      <c r="D377" s="9" t="s">
        <v>38</v>
      </c>
      <c r="E377" s="11" t="s">
        <v>402</v>
      </c>
      <c r="F377" s="10" t="s">
        <v>13</v>
      </c>
      <c r="G377" s="10" t="s">
        <v>11</v>
      </c>
      <c r="H377" s="10" t="s">
        <v>13</v>
      </c>
      <c r="I377" s="10" t="s">
        <v>11</v>
      </c>
      <c r="J377" s="10" t="s">
        <v>11</v>
      </c>
      <c r="L377" s="6" t="str">
        <f>IFERROR(VLOOKUP($B377,'LISTA - Setembro2024'!$B$3:$F$539,5,0),"Campo eliminado")</f>
        <v>Y</v>
      </c>
      <c r="M377" s="6" t="str">
        <f t="shared" si="26"/>
        <v>Igual</v>
      </c>
      <c r="N377" s="6" t="str">
        <f>IFERROR(VLOOKUP($B377,'LISTA - Setembro2024'!$B$3:$K$539,6,0),"Campo eliminado")</f>
        <v>Y</v>
      </c>
      <c r="O377" s="6" t="str">
        <f t="shared" si="27"/>
        <v>Diferente</v>
      </c>
      <c r="P377" s="6" t="str">
        <f>IFERROR(VLOOKUP($B377,'LISTA - Setembro2024'!$B$3:$K$539,7,0),"Campo eliminado")</f>
        <v>Y</v>
      </c>
      <c r="Q377" s="6" t="str">
        <f t="shared" si="28"/>
        <v>Igual</v>
      </c>
      <c r="R377" s="6" t="str">
        <f>IFERROR(VLOOKUP($B377,'LISTA - Setembro2024'!$B$3:$K$539,9,0),"Campo eliminado")</f>
        <v>N</v>
      </c>
      <c r="S377" s="6" t="str">
        <f t="shared" si="29"/>
        <v>Igual</v>
      </c>
      <c r="U377" s="6" t="e">
        <f>VLOOKUP(B377,DataLake!$A$4:$A$429,1,0)</f>
        <v>#N/A</v>
      </c>
    </row>
    <row r="378" spans="1:21" ht="15" hidden="1" customHeight="1" x14ac:dyDescent="0.25">
      <c r="A378" s="7" t="s">
        <v>1103</v>
      </c>
      <c r="B378" s="47" t="str">
        <f t="shared" si="25"/>
        <v>INSTR_PROTECTION_INSTRMNT_ID</v>
      </c>
      <c r="C378" s="8" t="s">
        <v>1101</v>
      </c>
      <c r="D378" s="9" t="s">
        <v>405</v>
      </c>
      <c r="E378" s="11" t="s">
        <v>406</v>
      </c>
      <c r="F378" s="10" t="s">
        <v>13</v>
      </c>
      <c r="G378" s="10" t="s">
        <v>11</v>
      </c>
      <c r="H378" s="10" t="s">
        <v>13</v>
      </c>
      <c r="I378" s="10" t="s">
        <v>11</v>
      </c>
      <c r="J378" s="10" t="s">
        <v>11</v>
      </c>
      <c r="L378" s="6" t="str">
        <f>IFERROR(VLOOKUP($B378,'LISTA - Setembro2024'!$B$3:$F$539,5,0),"Campo eliminado")</f>
        <v>Y</v>
      </c>
      <c r="M378" s="6" t="str">
        <f t="shared" si="26"/>
        <v>Igual</v>
      </c>
      <c r="N378" s="6" t="str">
        <f>IFERROR(VLOOKUP($B378,'LISTA - Setembro2024'!$B$3:$K$539,6,0),"Campo eliminado")</f>
        <v>Y</v>
      </c>
      <c r="O378" s="6" t="str">
        <f t="shared" si="27"/>
        <v>Diferente</v>
      </c>
      <c r="P378" s="6" t="str">
        <f>IFERROR(VLOOKUP($B378,'LISTA - Setembro2024'!$B$3:$K$539,7,0),"Campo eliminado")</f>
        <v>Y</v>
      </c>
      <c r="Q378" s="6" t="str">
        <f t="shared" si="28"/>
        <v>Igual</v>
      </c>
      <c r="R378" s="6" t="str">
        <f>IFERROR(VLOOKUP($B378,'LISTA - Setembro2024'!$B$3:$K$539,9,0),"Campo eliminado")</f>
        <v>N</v>
      </c>
      <c r="S378" s="6" t="str">
        <f t="shared" si="29"/>
        <v>Igual</v>
      </c>
      <c r="U378" s="6" t="str">
        <f>VLOOKUP(B378,DataLake!$A$4:$A$429,1,0)</f>
        <v>INSTR_PROTECTION_INSTRMNT_ID</v>
      </c>
    </row>
    <row r="379" spans="1:21" ht="15" hidden="1" customHeight="1" x14ac:dyDescent="0.25">
      <c r="A379" s="7" t="s">
        <v>1104</v>
      </c>
      <c r="B379" s="47" t="str">
        <f t="shared" si="25"/>
        <v>INSTR_PROTECTION_PRTCTN_ID</v>
      </c>
      <c r="C379" s="8" t="s">
        <v>1101</v>
      </c>
      <c r="D379" s="9" t="s">
        <v>1105</v>
      </c>
      <c r="E379" s="11" t="s">
        <v>1106</v>
      </c>
      <c r="F379" s="10" t="s">
        <v>13</v>
      </c>
      <c r="G379" s="10" t="s">
        <v>11</v>
      </c>
      <c r="H379" s="10" t="s">
        <v>13</v>
      </c>
      <c r="I379" s="10" t="s">
        <v>11</v>
      </c>
      <c r="J379" s="10" t="s">
        <v>11</v>
      </c>
      <c r="L379" s="6" t="str">
        <f>IFERROR(VLOOKUP($B379,'LISTA - Setembro2024'!$B$3:$F$539,5,0),"Campo eliminado")</f>
        <v>Y</v>
      </c>
      <c r="M379" s="6" t="str">
        <f t="shared" si="26"/>
        <v>Igual</v>
      </c>
      <c r="N379" s="6" t="str">
        <f>IFERROR(VLOOKUP($B379,'LISTA - Setembro2024'!$B$3:$K$539,6,0),"Campo eliminado")</f>
        <v>Y</v>
      </c>
      <c r="O379" s="6" t="str">
        <f t="shared" si="27"/>
        <v>Diferente</v>
      </c>
      <c r="P379" s="6" t="str">
        <f>IFERROR(VLOOKUP($B379,'LISTA - Setembro2024'!$B$3:$K$539,7,0),"Campo eliminado")</f>
        <v>Y</v>
      </c>
      <c r="Q379" s="6" t="str">
        <f t="shared" si="28"/>
        <v>Igual</v>
      </c>
      <c r="R379" s="6" t="str">
        <f>IFERROR(VLOOKUP($B379,'LISTA - Setembro2024'!$B$3:$K$539,9,0),"Campo eliminado")</f>
        <v>N</v>
      </c>
      <c r="S379" s="6" t="str">
        <f t="shared" si="29"/>
        <v>Igual</v>
      </c>
      <c r="U379" s="6" t="str">
        <f>VLOOKUP(B379,DataLake!$A$4:$A$429,1,0)</f>
        <v>INSTR_PROTECTION_PRTCTN_ID</v>
      </c>
    </row>
    <row r="380" spans="1:21" ht="15" hidden="1" customHeight="1" x14ac:dyDescent="0.25">
      <c r="A380" s="7" t="s">
        <v>1107</v>
      </c>
      <c r="B380" s="47" t="str">
        <f t="shared" si="25"/>
        <v>INSTR_PROTECTION_PRTCTN_ALLCTD_VL</v>
      </c>
      <c r="C380" s="8" t="s">
        <v>1101</v>
      </c>
      <c r="D380" s="9" t="s">
        <v>1108</v>
      </c>
      <c r="E380" s="11" t="s">
        <v>1109</v>
      </c>
      <c r="F380" s="10" t="s">
        <v>13</v>
      </c>
      <c r="G380" s="10" t="s">
        <v>11</v>
      </c>
      <c r="H380" s="10" t="s">
        <v>13</v>
      </c>
      <c r="I380" s="10" t="s">
        <v>11</v>
      </c>
      <c r="J380" s="10" t="s">
        <v>11</v>
      </c>
      <c r="L380" s="6" t="str">
        <f>IFERROR(VLOOKUP($B380,'LISTA - Setembro2024'!$B$3:$F$539,5,0),"Campo eliminado")</f>
        <v>Y</v>
      </c>
      <c r="M380" s="6" t="str">
        <f t="shared" si="26"/>
        <v>Igual</v>
      </c>
      <c r="N380" s="6" t="str">
        <f>IFERROR(VLOOKUP($B380,'LISTA - Setembro2024'!$B$3:$K$539,6,0),"Campo eliminado")</f>
        <v>N</v>
      </c>
      <c r="O380" s="6" t="str">
        <f t="shared" si="27"/>
        <v>Igual</v>
      </c>
      <c r="P380" s="6" t="str">
        <f>IFERROR(VLOOKUP($B380,'LISTA - Setembro2024'!$B$3:$K$539,7,0),"Campo eliminado")</f>
        <v>Y</v>
      </c>
      <c r="Q380" s="6" t="str">
        <f t="shared" si="28"/>
        <v>Igual</v>
      </c>
      <c r="R380" s="6" t="str">
        <f>IFERROR(VLOOKUP($B380,'LISTA - Setembro2024'!$B$3:$K$539,9,0),"Campo eliminado")</f>
        <v>N</v>
      </c>
      <c r="S380" s="6" t="str">
        <f t="shared" si="29"/>
        <v>Igual</v>
      </c>
      <c r="U380" s="6" t="str">
        <f>VLOOKUP(B380,DataLake!$A$4:$A$429,1,0)</f>
        <v>INSTR_PROTECTION_PRTCTN_ALLCTD_VL</v>
      </c>
    </row>
    <row r="381" spans="1:21" ht="15" hidden="1" customHeight="1" x14ac:dyDescent="0.25">
      <c r="A381" s="7" t="s">
        <v>1110</v>
      </c>
      <c r="B381" s="47" t="str">
        <f t="shared" si="25"/>
        <v>INSTR_PROTECTION_THRD_PRTY_PRRTY_CLMS</v>
      </c>
      <c r="C381" s="8" t="s">
        <v>1101</v>
      </c>
      <c r="D381" s="9" t="s">
        <v>1111</v>
      </c>
      <c r="E381" s="11" t="s">
        <v>1112</v>
      </c>
      <c r="F381" s="10" t="s">
        <v>13</v>
      </c>
      <c r="G381" s="10" t="s">
        <v>11</v>
      </c>
      <c r="H381" s="10" t="s">
        <v>11</v>
      </c>
      <c r="I381" s="10" t="s">
        <v>11</v>
      </c>
      <c r="J381" s="10" t="s">
        <v>11</v>
      </c>
      <c r="L381" s="6" t="str">
        <f>IFERROR(VLOOKUP($B381,'LISTA - Setembro2024'!$B$3:$F$539,5,0),"Campo eliminado")</f>
        <v>Y</v>
      </c>
      <c r="M381" s="6" t="str">
        <f t="shared" si="26"/>
        <v>Igual</v>
      </c>
      <c r="N381" s="6" t="str">
        <f>IFERROR(VLOOKUP($B381,'LISTA - Setembro2024'!$B$3:$K$539,6,0),"Campo eliminado")</f>
        <v>N</v>
      </c>
      <c r="O381" s="6" t="str">
        <f t="shared" si="27"/>
        <v>Igual</v>
      </c>
      <c r="P381" s="6" t="str">
        <f>IFERROR(VLOOKUP($B381,'LISTA - Setembro2024'!$B$3:$K$539,7,0),"Campo eliminado")</f>
        <v>N</v>
      </c>
      <c r="Q381" s="6" t="str">
        <f t="shared" si="28"/>
        <v>Igual</v>
      </c>
      <c r="R381" s="6" t="str">
        <f>IFERROR(VLOOKUP($B381,'LISTA - Setembro2024'!$B$3:$K$539,9,0),"Campo eliminado")</f>
        <v>N</v>
      </c>
      <c r="S381" s="6" t="str">
        <f t="shared" si="29"/>
        <v>Igual</v>
      </c>
      <c r="U381" s="6" t="str">
        <f>VLOOKUP(B381,DataLake!$A$4:$A$429,1,0)</f>
        <v>INSTR_PROTECTION_THRD_PRTY_PRRTY_CLMS</v>
      </c>
    </row>
    <row r="382" spans="1:21" ht="15" hidden="1" customHeight="1" x14ac:dyDescent="0.25">
      <c r="A382" s="7" t="s">
        <v>1113</v>
      </c>
      <c r="B382" s="47" t="str">
        <f t="shared" si="25"/>
        <v>PROTECTION_COD_SOC</v>
      </c>
      <c r="C382" s="8" t="s">
        <v>1114</v>
      </c>
      <c r="D382" s="19" t="s">
        <v>12</v>
      </c>
      <c r="E382" s="11" t="s">
        <v>14</v>
      </c>
      <c r="F382" s="10" t="s">
        <v>13</v>
      </c>
      <c r="G382" s="10" t="s">
        <v>11</v>
      </c>
      <c r="H382" s="10" t="s">
        <v>13</v>
      </c>
      <c r="I382" s="10" t="s">
        <v>13</v>
      </c>
      <c r="J382" s="10" t="s">
        <v>11</v>
      </c>
      <c r="L382" s="6" t="str">
        <f>IFERROR(VLOOKUP($B382,'LISTA - Setembro2024'!$B$3:$F$539,5,0),"Campo eliminado")</f>
        <v>Y</v>
      </c>
      <c r="M382" s="6" t="str">
        <f t="shared" si="26"/>
        <v>Igual</v>
      </c>
      <c r="N382" s="6" t="str">
        <f>IFERROR(VLOOKUP($B382,'LISTA - Setembro2024'!$B$3:$K$539,6,0),"Campo eliminado")</f>
        <v>Y</v>
      </c>
      <c r="O382" s="6" t="str">
        <f t="shared" si="27"/>
        <v>Diferente</v>
      </c>
      <c r="P382" s="6" t="str">
        <f>IFERROR(VLOOKUP($B382,'LISTA - Setembro2024'!$B$3:$K$539,7,0),"Campo eliminado")</f>
        <v>Y</v>
      </c>
      <c r="Q382" s="6" t="str">
        <f t="shared" si="28"/>
        <v>Igual</v>
      </c>
      <c r="R382" s="6" t="str">
        <f>IFERROR(VLOOKUP($B382,'LISTA - Setembro2024'!$B$3:$K$539,9,0),"Campo eliminado")</f>
        <v>Y</v>
      </c>
      <c r="S382" s="6" t="str">
        <f t="shared" si="29"/>
        <v>Igual</v>
      </c>
      <c r="U382" s="6" t="str">
        <f>VLOOKUP(B382,DataLake!$A$4:$A$429,1,0)</f>
        <v>PROTECTION_COD_SOC</v>
      </c>
    </row>
    <row r="383" spans="1:21" ht="15" hidden="1" customHeight="1" x14ac:dyDescent="0.25">
      <c r="A383" s="7" t="s">
        <v>1115</v>
      </c>
      <c r="B383" s="47" t="str">
        <f t="shared" si="25"/>
        <v>PROTECTION_DT_MTRTY_PRTCTN</v>
      </c>
      <c r="C383" s="8" t="s">
        <v>1114</v>
      </c>
      <c r="D383" s="9" t="s">
        <v>1116</v>
      </c>
      <c r="E383" s="11" t="s">
        <v>1117</v>
      </c>
      <c r="F383" s="10" t="s">
        <v>13</v>
      </c>
      <c r="G383" s="10" t="s">
        <v>11</v>
      </c>
      <c r="H383" s="10" t="s">
        <v>11</v>
      </c>
      <c r="I383" s="10" t="s">
        <v>11</v>
      </c>
      <c r="J383" s="10" t="s">
        <v>11</v>
      </c>
      <c r="L383" s="6" t="str">
        <f>IFERROR(VLOOKUP($B383,'LISTA - Setembro2024'!$B$3:$F$539,5,0),"Campo eliminado")</f>
        <v>Y</v>
      </c>
      <c r="M383" s="6" t="str">
        <f t="shared" si="26"/>
        <v>Igual</v>
      </c>
      <c r="N383" s="6" t="str">
        <f>IFERROR(VLOOKUP($B383,'LISTA - Setembro2024'!$B$3:$K$539,6,0),"Campo eliminado")</f>
        <v>N</v>
      </c>
      <c r="O383" s="6" t="str">
        <f t="shared" si="27"/>
        <v>Igual</v>
      </c>
      <c r="P383" s="6" t="str">
        <f>IFERROR(VLOOKUP($B383,'LISTA - Setembro2024'!$B$3:$K$539,7,0),"Campo eliminado")</f>
        <v>N</v>
      </c>
      <c r="Q383" s="6" t="str">
        <f t="shared" si="28"/>
        <v>Igual</v>
      </c>
      <c r="R383" s="6" t="str">
        <f>IFERROR(VLOOKUP($B383,'LISTA - Setembro2024'!$B$3:$K$539,9,0),"Campo eliminado")</f>
        <v>N</v>
      </c>
      <c r="S383" s="6" t="str">
        <f t="shared" si="29"/>
        <v>Igual</v>
      </c>
      <c r="U383" s="6" t="str">
        <f>VLOOKUP(B383,DataLake!$A$4:$A$429,1,0)</f>
        <v>PROTECTION_DT_MTRTY_PRTCTN</v>
      </c>
    </row>
    <row r="384" spans="1:21" ht="15" hidden="1" customHeight="1" x14ac:dyDescent="0.25">
      <c r="A384" s="7" t="s">
        <v>1118</v>
      </c>
      <c r="B384" s="47" t="str">
        <f t="shared" si="25"/>
        <v>PROTECTION_DT_RFRNC</v>
      </c>
      <c r="C384" s="8" t="s">
        <v>1114</v>
      </c>
      <c r="D384" s="9" t="s">
        <v>38</v>
      </c>
      <c r="E384" s="11" t="s">
        <v>402</v>
      </c>
      <c r="F384" s="10" t="s">
        <v>13</v>
      </c>
      <c r="G384" s="10" t="s">
        <v>11</v>
      </c>
      <c r="H384" s="10" t="s">
        <v>13</v>
      </c>
      <c r="I384" s="10" t="s">
        <v>13</v>
      </c>
      <c r="J384" s="10" t="s">
        <v>11</v>
      </c>
      <c r="L384" s="6" t="str">
        <f>IFERROR(VLOOKUP($B384,'LISTA - Setembro2024'!$B$3:$F$539,5,0),"Campo eliminado")</f>
        <v>Y</v>
      </c>
      <c r="M384" s="6" t="str">
        <f t="shared" si="26"/>
        <v>Igual</v>
      </c>
      <c r="N384" s="6" t="str">
        <f>IFERROR(VLOOKUP($B384,'LISTA - Setembro2024'!$B$3:$K$539,6,0),"Campo eliminado")</f>
        <v>Y</v>
      </c>
      <c r="O384" s="6" t="str">
        <f t="shared" si="27"/>
        <v>Diferente</v>
      </c>
      <c r="P384" s="6" t="str">
        <f>IFERROR(VLOOKUP($B384,'LISTA - Setembro2024'!$B$3:$K$539,7,0),"Campo eliminado")</f>
        <v>Y</v>
      </c>
      <c r="Q384" s="6" t="str">
        <f t="shared" si="28"/>
        <v>Igual</v>
      </c>
      <c r="R384" s="6" t="str">
        <f>IFERROR(VLOOKUP($B384,'LISTA - Setembro2024'!$B$3:$K$539,9,0),"Campo eliminado")</f>
        <v>Y</v>
      </c>
      <c r="S384" s="6" t="str">
        <f t="shared" si="29"/>
        <v>Igual</v>
      </c>
      <c r="U384" s="6" t="e">
        <f>VLOOKUP(B384,DataLake!$A$4:$A$429,1,0)</f>
        <v>#N/A</v>
      </c>
    </row>
    <row r="385" spans="1:21" ht="15" hidden="1" customHeight="1" x14ac:dyDescent="0.25">
      <c r="A385" s="7" t="s">
        <v>1119</v>
      </c>
      <c r="B385" s="47" t="str">
        <f t="shared" si="25"/>
        <v>PROTECTION_NTNL_ID</v>
      </c>
      <c r="C385" s="8" t="s">
        <v>1114</v>
      </c>
      <c r="D385" s="9" t="s">
        <v>1120</v>
      </c>
      <c r="E385" s="11" t="s">
        <v>1121</v>
      </c>
      <c r="F385" s="10" t="s">
        <v>13</v>
      </c>
      <c r="G385" s="10" t="s">
        <v>11</v>
      </c>
      <c r="H385" s="10" t="s">
        <v>11</v>
      </c>
      <c r="I385" s="10" t="s">
        <v>11</v>
      </c>
      <c r="J385" s="10" t="s">
        <v>11</v>
      </c>
      <c r="L385" s="6" t="str">
        <f>IFERROR(VLOOKUP($B385,'LISTA - Setembro2024'!$B$3:$F$539,5,0),"Campo eliminado")</f>
        <v>Y</v>
      </c>
      <c r="M385" s="6" t="str">
        <f t="shared" si="26"/>
        <v>Igual</v>
      </c>
      <c r="N385" s="6" t="str">
        <f>IFERROR(VLOOKUP($B385,'LISTA - Setembro2024'!$B$3:$K$539,6,0),"Campo eliminado")</f>
        <v>N</v>
      </c>
      <c r="O385" s="6" t="str">
        <f t="shared" si="27"/>
        <v>Igual</v>
      </c>
      <c r="P385" s="6" t="str">
        <f>IFERROR(VLOOKUP($B385,'LISTA - Setembro2024'!$B$3:$K$539,7,0),"Campo eliminado")</f>
        <v>N</v>
      </c>
      <c r="Q385" s="6" t="str">
        <f t="shared" si="28"/>
        <v>Igual</v>
      </c>
      <c r="R385" s="6" t="str">
        <f>IFERROR(VLOOKUP($B385,'LISTA - Setembro2024'!$B$3:$K$539,9,0),"Campo eliminado")</f>
        <v>N</v>
      </c>
      <c r="S385" s="6" t="str">
        <f t="shared" si="29"/>
        <v>Igual</v>
      </c>
      <c r="U385" s="6" t="str">
        <f>VLOOKUP(B385,DataLake!$A$4:$A$429,1,0)</f>
        <v>PROTECTION_NTNL_ID</v>
      </c>
    </row>
    <row r="386" spans="1:21" ht="15" hidden="1" customHeight="1" x14ac:dyDescent="0.25">
      <c r="A386" s="7" t="s">
        <v>1122</v>
      </c>
      <c r="B386" s="47" t="str">
        <f t="shared" si="25"/>
        <v>PROTECTION_PRTCTN_ID</v>
      </c>
      <c r="C386" s="8" t="s">
        <v>1114</v>
      </c>
      <c r="D386" s="9" t="s">
        <v>1105</v>
      </c>
      <c r="E386" s="11" t="s">
        <v>1106</v>
      </c>
      <c r="F386" s="10" t="s">
        <v>13</v>
      </c>
      <c r="G386" s="10" t="s">
        <v>11</v>
      </c>
      <c r="H386" s="10" t="s">
        <v>13</v>
      </c>
      <c r="I386" s="10" t="s">
        <v>13</v>
      </c>
      <c r="J386" s="10" t="s">
        <v>11</v>
      </c>
      <c r="L386" s="6" t="str">
        <f>IFERROR(VLOOKUP($B386,'LISTA - Setembro2024'!$B$3:$F$539,5,0),"Campo eliminado")</f>
        <v>Y</v>
      </c>
      <c r="M386" s="6" t="str">
        <f t="shared" si="26"/>
        <v>Igual</v>
      </c>
      <c r="N386" s="6" t="str">
        <f>IFERROR(VLOOKUP($B386,'LISTA - Setembro2024'!$B$3:$K$539,6,0),"Campo eliminado")</f>
        <v>Y</v>
      </c>
      <c r="O386" s="6" t="str">
        <f t="shared" si="27"/>
        <v>Diferente</v>
      </c>
      <c r="P386" s="6" t="str">
        <f>IFERROR(VLOOKUP($B386,'LISTA - Setembro2024'!$B$3:$K$539,7,0),"Campo eliminado")</f>
        <v>Y</v>
      </c>
      <c r="Q386" s="6" t="str">
        <f t="shared" si="28"/>
        <v>Igual</v>
      </c>
      <c r="R386" s="6" t="str">
        <f>IFERROR(VLOOKUP($B386,'LISTA - Setembro2024'!$B$3:$K$539,9,0),"Campo eliminado")</f>
        <v>Y</v>
      </c>
      <c r="S386" s="6" t="str">
        <f t="shared" si="29"/>
        <v>Igual</v>
      </c>
      <c r="U386" s="6" t="str">
        <f>VLOOKUP(B386,DataLake!$A$4:$A$429,1,0)</f>
        <v>PROTECTION_PRTCTN_ID</v>
      </c>
    </row>
    <row r="387" spans="1:21" ht="15" hidden="1" customHeight="1" x14ac:dyDescent="0.25">
      <c r="A387" s="7" t="s">
        <v>1123</v>
      </c>
      <c r="B387" s="47" t="str">
        <f t="shared" ref="B387:B444" si="30">C387&amp;"_"&amp;D387</f>
        <v>PROTECTION_PRTCTN_PRVDR_ID</v>
      </c>
      <c r="C387" s="8" t="s">
        <v>1114</v>
      </c>
      <c r="D387" s="9" t="s">
        <v>1124</v>
      </c>
      <c r="E387" s="11" t="s">
        <v>1125</v>
      </c>
      <c r="F387" s="10" t="s">
        <v>13</v>
      </c>
      <c r="G387" s="10" t="s">
        <v>11</v>
      </c>
      <c r="H387" s="10" t="s">
        <v>11</v>
      </c>
      <c r="I387" s="10" t="s">
        <v>11</v>
      </c>
      <c r="J387" s="10" t="s">
        <v>11</v>
      </c>
      <c r="L387" s="6" t="str">
        <f>IFERROR(VLOOKUP($B387,'LISTA - Setembro2024'!$B$3:$F$539,5,0),"Campo eliminado")</f>
        <v>Y</v>
      </c>
      <c r="M387" s="6" t="str">
        <f t="shared" ref="M387:M444" si="31">IF(L387="Campo eliminado","Campo eliminado",IF(L387=F387,"Igual","Diferente"))</f>
        <v>Igual</v>
      </c>
      <c r="N387" s="6" t="str">
        <f>IFERROR(VLOOKUP($B387,'LISTA - Setembro2024'!$B$3:$K$539,6,0),"Campo eliminado")</f>
        <v>N</v>
      </c>
      <c r="O387" s="6" t="str">
        <f t="shared" ref="O387:O444" si="32">IF(N387="Campo eliminado","Campo eliminado",IF(N387=G387,"Igual","Diferente"))</f>
        <v>Igual</v>
      </c>
      <c r="P387" s="6" t="str">
        <f>IFERROR(VLOOKUP($B387,'LISTA - Setembro2024'!$B$3:$K$539,7,0),"Campo eliminado")</f>
        <v>N</v>
      </c>
      <c r="Q387" s="6" t="str">
        <f t="shared" ref="Q387:Q444" si="33">IF(P387="Campo eliminado","Campo eliminado",IF(P387=H387,"Igual","Diferente"))</f>
        <v>Igual</v>
      </c>
      <c r="R387" s="6" t="str">
        <f>IFERROR(VLOOKUP($B387,'LISTA - Setembro2024'!$B$3:$K$539,9,0),"Campo eliminado")</f>
        <v>N</v>
      </c>
      <c r="S387" s="6" t="str">
        <f t="shared" ref="S387:S444" si="34">IF(R387="Campo eliminado","Campo eliminado",IF(R387=I387,"Igual","Diferente"))</f>
        <v>Igual</v>
      </c>
      <c r="U387" s="6" t="str">
        <f>VLOOKUP(B387,DataLake!$A$4:$A$429,1,0)</f>
        <v>PROTECTION_PRTCTN_PRVDR_ID</v>
      </c>
    </row>
    <row r="388" spans="1:21" ht="13.8" hidden="1" x14ac:dyDescent="0.25">
      <c r="A388" s="7" t="s">
        <v>1126</v>
      </c>
      <c r="B388" s="47" t="str">
        <f t="shared" si="30"/>
        <v>PROTECTION_RL_ESTT_ADDRSS</v>
      </c>
      <c r="C388" s="8" t="s">
        <v>1114</v>
      </c>
      <c r="D388" s="9" t="s">
        <v>1127</v>
      </c>
      <c r="E388" s="11" t="s">
        <v>1128</v>
      </c>
      <c r="F388" s="10" t="s">
        <v>13</v>
      </c>
      <c r="G388" s="10" t="s">
        <v>11</v>
      </c>
      <c r="H388" s="10" t="s">
        <v>11</v>
      </c>
      <c r="I388" s="10" t="s">
        <v>13</v>
      </c>
      <c r="J388" s="10" t="s">
        <v>11</v>
      </c>
      <c r="L388" s="6" t="str">
        <f>IFERROR(VLOOKUP($B388,'LISTA - Setembro2024'!$B$3:$F$539,5,0),"Campo eliminado")</f>
        <v>Y</v>
      </c>
      <c r="M388" s="6" t="str">
        <f t="shared" si="31"/>
        <v>Igual</v>
      </c>
      <c r="N388" s="6" t="str">
        <f>IFERROR(VLOOKUP($B388,'LISTA - Setembro2024'!$B$3:$K$539,6,0),"Campo eliminado")</f>
        <v>N</v>
      </c>
      <c r="O388" s="6" t="str">
        <f t="shared" si="32"/>
        <v>Igual</v>
      </c>
      <c r="P388" s="6" t="str">
        <f>IFERROR(VLOOKUP($B388,'LISTA - Setembro2024'!$B$3:$K$539,7,0),"Campo eliminado")</f>
        <v>N</v>
      </c>
      <c r="Q388" s="6" t="str">
        <f t="shared" si="33"/>
        <v>Igual</v>
      </c>
      <c r="R388" s="6" t="str">
        <f>IFERROR(VLOOKUP($B388,'LISTA - Setembro2024'!$B$3:$K$539,9,0),"Campo eliminado")</f>
        <v>Y</v>
      </c>
      <c r="S388" s="6" t="str">
        <f t="shared" si="34"/>
        <v>Igual</v>
      </c>
      <c r="U388" s="6" t="str">
        <f>VLOOKUP(B388,DataLake!$A$4:$A$429,1,0)</f>
        <v>PROTECTION_RL_ESTT_ADDRSS</v>
      </c>
    </row>
    <row r="389" spans="1:21" ht="15" hidden="1" customHeight="1" x14ac:dyDescent="0.25">
      <c r="A389" s="7" t="s">
        <v>1129</v>
      </c>
      <c r="B389" s="47" t="str">
        <f t="shared" si="30"/>
        <v>PROTECTION_RL_ESTT_CLLTRL_LCTN</v>
      </c>
      <c r="C389" s="8" t="s">
        <v>1114</v>
      </c>
      <c r="D389" s="9" t="s">
        <v>1130</v>
      </c>
      <c r="E389" s="11" t="s">
        <v>1131</v>
      </c>
      <c r="F389" s="10" t="s">
        <v>13</v>
      </c>
      <c r="G389" s="10" t="s">
        <v>11</v>
      </c>
      <c r="H389" s="10" t="s">
        <v>13</v>
      </c>
      <c r="I389" s="10" t="s">
        <v>13</v>
      </c>
      <c r="J389" s="10" t="s">
        <v>11</v>
      </c>
      <c r="L389" s="6" t="str">
        <f>IFERROR(VLOOKUP($B389,'LISTA - Setembro2024'!$B$3:$F$539,5,0),"Campo eliminado")</f>
        <v>Y</v>
      </c>
      <c r="M389" s="6" t="str">
        <f t="shared" si="31"/>
        <v>Igual</v>
      </c>
      <c r="N389" s="6" t="str">
        <f>IFERROR(VLOOKUP($B389,'LISTA - Setembro2024'!$B$3:$K$539,6,0),"Campo eliminado")</f>
        <v>N</v>
      </c>
      <c r="O389" s="6" t="str">
        <f t="shared" si="32"/>
        <v>Igual</v>
      </c>
      <c r="P389" s="6" t="str">
        <f>IFERROR(VLOOKUP($B389,'LISTA - Setembro2024'!$B$3:$K$539,7,0),"Campo eliminado")</f>
        <v>Y</v>
      </c>
      <c r="Q389" s="6" t="str">
        <f t="shared" si="33"/>
        <v>Igual</v>
      </c>
      <c r="R389" s="6" t="str">
        <f>IFERROR(VLOOKUP($B389,'LISTA - Setembro2024'!$B$3:$K$539,9,0),"Campo eliminado")</f>
        <v>Y</v>
      </c>
      <c r="S389" s="6" t="str">
        <f t="shared" si="34"/>
        <v>Igual</v>
      </c>
      <c r="U389" s="6" t="str">
        <f>VLOOKUP(B389,DataLake!$A$4:$A$429,1,0)</f>
        <v>PROTECTION_RL_ESTT_CLLTRL_LCTN</v>
      </c>
    </row>
    <row r="390" spans="1:21" ht="15" hidden="1" customHeight="1" x14ac:dyDescent="0.25">
      <c r="A390" s="7" t="s">
        <v>1132</v>
      </c>
      <c r="B390" s="47" t="str">
        <f t="shared" si="30"/>
        <v>PROTECTION_RL_ESTT_CLLTRL_LCTN_INT</v>
      </c>
      <c r="C390" s="8" t="s">
        <v>1114</v>
      </c>
      <c r="D390" s="9" t="s">
        <v>1133</v>
      </c>
      <c r="E390" s="11" t="s">
        <v>1134</v>
      </c>
      <c r="F390" s="10" t="s">
        <v>13</v>
      </c>
      <c r="G390" s="10" t="s">
        <v>11</v>
      </c>
      <c r="H390" s="10" t="s">
        <v>11</v>
      </c>
      <c r="I390" s="10" t="s">
        <v>13</v>
      </c>
      <c r="J390" s="10" t="s">
        <v>11</v>
      </c>
      <c r="L390" s="6" t="str">
        <f>IFERROR(VLOOKUP($B390,'LISTA - Setembro2024'!$B$3:$F$539,5,0),"Campo eliminado")</f>
        <v>Y</v>
      </c>
      <c r="M390" s="6" t="str">
        <f t="shared" si="31"/>
        <v>Igual</v>
      </c>
      <c r="N390" s="6" t="str">
        <f>IFERROR(VLOOKUP($B390,'LISTA - Setembro2024'!$B$3:$K$539,6,0),"Campo eliminado")</f>
        <v>N</v>
      </c>
      <c r="O390" s="6" t="str">
        <f t="shared" si="32"/>
        <v>Igual</v>
      </c>
      <c r="P390" s="6" t="str">
        <f>IFERROR(VLOOKUP($B390,'LISTA - Setembro2024'!$B$3:$K$539,7,0),"Campo eliminado")</f>
        <v>N</v>
      </c>
      <c r="Q390" s="6" t="str">
        <f t="shared" si="33"/>
        <v>Igual</v>
      </c>
      <c r="R390" s="6" t="str">
        <f>IFERROR(VLOOKUP($B390,'LISTA - Setembro2024'!$B$3:$K$539,9,0),"Campo eliminado")</f>
        <v>Y</v>
      </c>
      <c r="S390" s="6" t="str">
        <f t="shared" si="34"/>
        <v>Igual</v>
      </c>
      <c r="U390" s="6" t="str">
        <f>VLOOKUP(B390,DataLake!$A$4:$A$429,1,0)</f>
        <v>PROTECTION_RL_ESTT_CLLTRL_LCTN_INT</v>
      </c>
    </row>
    <row r="391" spans="1:21" ht="15" hidden="1" customHeight="1" x14ac:dyDescent="0.25">
      <c r="A391" s="7" t="s">
        <v>1135</v>
      </c>
      <c r="B391" s="47" t="str">
        <f t="shared" si="30"/>
        <v>PROTECTION_RL_ESTT_CTY</v>
      </c>
      <c r="C391" s="8" t="s">
        <v>1114</v>
      </c>
      <c r="D391" s="9" t="s">
        <v>1136</v>
      </c>
      <c r="E391" s="11" t="s">
        <v>1137</v>
      </c>
      <c r="F391" s="10" t="s">
        <v>13</v>
      </c>
      <c r="G391" s="10" t="s">
        <v>11</v>
      </c>
      <c r="H391" s="10" t="s">
        <v>11</v>
      </c>
      <c r="I391" s="10" t="s">
        <v>13</v>
      </c>
      <c r="J391" s="10" t="s">
        <v>11</v>
      </c>
      <c r="L391" s="6" t="str">
        <f>IFERROR(VLOOKUP($B391,'LISTA - Setembro2024'!$B$3:$F$539,5,0),"Campo eliminado")</f>
        <v>Y</v>
      </c>
      <c r="M391" s="6" t="str">
        <f t="shared" si="31"/>
        <v>Igual</v>
      </c>
      <c r="N391" s="6" t="str">
        <f>IFERROR(VLOOKUP($B391,'LISTA - Setembro2024'!$B$3:$K$539,6,0),"Campo eliminado")</f>
        <v>N</v>
      </c>
      <c r="O391" s="6" t="str">
        <f t="shared" si="32"/>
        <v>Igual</v>
      </c>
      <c r="P391" s="6" t="str">
        <f>IFERROR(VLOOKUP($B391,'LISTA - Setembro2024'!$B$3:$K$539,7,0),"Campo eliminado")</f>
        <v>N</v>
      </c>
      <c r="Q391" s="6" t="str">
        <f t="shared" si="33"/>
        <v>Igual</v>
      </c>
      <c r="R391" s="6" t="str">
        <f>IFERROR(VLOOKUP($B391,'LISTA - Setembro2024'!$B$3:$K$539,9,0),"Campo eliminado")</f>
        <v>Y</v>
      </c>
      <c r="S391" s="6" t="str">
        <f t="shared" si="34"/>
        <v>Igual</v>
      </c>
      <c r="U391" s="6" t="str">
        <f>VLOOKUP(B391,DataLake!$A$4:$A$429,1,0)</f>
        <v>PROTECTION_RL_ESTT_CTY</v>
      </c>
    </row>
    <row r="392" spans="1:21" ht="15" hidden="1" customHeight="1" x14ac:dyDescent="0.25">
      <c r="A392" s="7" t="s">
        <v>1138</v>
      </c>
      <c r="B392" s="47" t="str">
        <f t="shared" si="30"/>
        <v>PROTECTION_RL_ESTT_PST_CD</v>
      </c>
      <c r="C392" s="8" t="s">
        <v>1114</v>
      </c>
      <c r="D392" s="9" t="s">
        <v>1139</v>
      </c>
      <c r="E392" s="11" t="s">
        <v>288</v>
      </c>
      <c r="F392" s="10" t="s">
        <v>13</v>
      </c>
      <c r="G392" s="10" t="s">
        <v>11</v>
      </c>
      <c r="H392" s="10" t="s">
        <v>13</v>
      </c>
      <c r="I392" s="10" t="s">
        <v>13</v>
      </c>
      <c r="J392" s="10" t="s">
        <v>11</v>
      </c>
      <c r="L392" s="6" t="str">
        <f>IFERROR(VLOOKUP($B392,'LISTA - Setembro2024'!$B$3:$F$539,5,0),"Campo eliminado")</f>
        <v>Y</v>
      </c>
      <c r="M392" s="6" t="str">
        <f t="shared" si="31"/>
        <v>Igual</v>
      </c>
      <c r="N392" s="6" t="str">
        <f>IFERROR(VLOOKUP($B392,'LISTA - Setembro2024'!$B$3:$K$539,6,0),"Campo eliminado")</f>
        <v>N</v>
      </c>
      <c r="O392" s="6" t="str">
        <f t="shared" si="32"/>
        <v>Igual</v>
      </c>
      <c r="P392" s="6" t="str">
        <f>IFERROR(VLOOKUP($B392,'LISTA - Setembro2024'!$B$3:$K$539,7,0),"Campo eliminado")</f>
        <v>Y</v>
      </c>
      <c r="Q392" s="6" t="str">
        <f t="shared" si="33"/>
        <v>Igual</v>
      </c>
      <c r="R392" s="6" t="str">
        <f>IFERROR(VLOOKUP($B392,'LISTA - Setembro2024'!$B$3:$K$539,9,0),"Campo eliminado")</f>
        <v>Y</v>
      </c>
      <c r="S392" s="6" t="str">
        <f t="shared" si="34"/>
        <v>Igual</v>
      </c>
      <c r="U392" s="6" t="str">
        <f>VLOOKUP(B392,DataLake!$A$4:$A$429,1,0)</f>
        <v>PROTECTION_RL_ESTT_PST_CD</v>
      </c>
    </row>
    <row r="393" spans="1:21" ht="15" hidden="1" customHeight="1" x14ac:dyDescent="0.25">
      <c r="A393" s="7" t="s">
        <v>1140</v>
      </c>
      <c r="B393" s="47" t="str">
        <f t="shared" si="30"/>
        <v>PROTECTION_HRCT_MV</v>
      </c>
      <c r="C393" s="8" t="s">
        <v>1114</v>
      </c>
      <c r="D393" s="9" t="s">
        <v>1141</v>
      </c>
      <c r="E393" s="11" t="s">
        <v>1142</v>
      </c>
      <c r="F393" s="10" t="s">
        <v>13</v>
      </c>
      <c r="G393" s="10" t="s">
        <v>11</v>
      </c>
      <c r="H393" s="10" t="s">
        <v>11</v>
      </c>
      <c r="I393" s="10" t="s">
        <v>11</v>
      </c>
      <c r="J393" s="10" t="s">
        <v>11</v>
      </c>
      <c r="L393" s="6" t="str">
        <f>IFERROR(VLOOKUP($B393,'LISTA - Setembro2024'!$B$3:$F$539,5,0),"Campo eliminado")</f>
        <v>Y</v>
      </c>
      <c r="M393" s="6" t="str">
        <f t="shared" si="31"/>
        <v>Igual</v>
      </c>
      <c r="N393" s="6" t="str">
        <f>IFERROR(VLOOKUP($B393,'LISTA - Setembro2024'!$B$3:$K$539,6,0),"Campo eliminado")</f>
        <v>N</v>
      </c>
      <c r="O393" s="6" t="str">
        <f t="shared" si="32"/>
        <v>Igual</v>
      </c>
      <c r="P393" s="6" t="str">
        <f>IFERROR(VLOOKUP($B393,'LISTA - Setembro2024'!$B$3:$K$539,7,0),"Campo eliminado")</f>
        <v>N</v>
      </c>
      <c r="Q393" s="6" t="str">
        <f t="shared" si="33"/>
        <v>Igual</v>
      </c>
      <c r="R393" s="6" t="str">
        <f>IFERROR(VLOOKUP($B393,'LISTA - Setembro2024'!$B$3:$K$539,9,0),"Campo eliminado")</f>
        <v>N</v>
      </c>
      <c r="S393" s="6" t="str">
        <f t="shared" si="34"/>
        <v>Igual</v>
      </c>
      <c r="U393" s="6" t="str">
        <f>VLOOKUP(B393,DataLake!$A$4:$A$429,1,0)</f>
        <v>PROTECTION_HRCT_MV</v>
      </c>
    </row>
    <row r="394" spans="1:21" s="20" customFormat="1" ht="15" hidden="1" customHeight="1" x14ac:dyDescent="0.25">
      <c r="A394" s="7" t="s">
        <v>1143</v>
      </c>
      <c r="B394" s="47" t="str">
        <f t="shared" si="30"/>
        <v>PROTECTION_PRTCTN_CLLD</v>
      </c>
      <c r="C394" s="8" t="s">
        <v>1114</v>
      </c>
      <c r="D394" s="9" t="s">
        <v>1144</v>
      </c>
      <c r="E394" s="11" t="s">
        <v>1145</v>
      </c>
      <c r="F394" s="10" t="s">
        <v>13</v>
      </c>
      <c r="G394" s="10" t="s">
        <v>11</v>
      </c>
      <c r="H394" s="10" t="s">
        <v>11</v>
      </c>
      <c r="I394" s="10" t="s">
        <v>11</v>
      </c>
      <c r="J394" s="10" t="s">
        <v>11</v>
      </c>
      <c r="L394" s="6" t="str">
        <f>IFERROR(VLOOKUP($B394,'LISTA - Setembro2024'!$B$3:$F$539,5,0),"Campo eliminado")</f>
        <v>Y</v>
      </c>
      <c r="M394" s="6" t="str">
        <f t="shared" si="31"/>
        <v>Igual</v>
      </c>
      <c r="N394" s="6" t="str">
        <f>IFERROR(VLOOKUP($B394,'LISTA - Setembro2024'!$B$3:$K$539,6,0),"Campo eliminado")</f>
        <v>N</v>
      </c>
      <c r="O394" s="6" t="str">
        <f t="shared" si="32"/>
        <v>Igual</v>
      </c>
      <c r="P394" s="6" t="str">
        <f>IFERROR(VLOOKUP($B394,'LISTA - Setembro2024'!$B$3:$K$539,7,0),"Campo eliminado")</f>
        <v>N</v>
      </c>
      <c r="Q394" s="6" t="str">
        <f t="shared" si="33"/>
        <v>Igual</v>
      </c>
      <c r="R394" s="6" t="str">
        <f>IFERROR(VLOOKUP($B394,'LISTA - Setembro2024'!$B$3:$K$539,9,0),"Campo eliminado")</f>
        <v>N</v>
      </c>
      <c r="S394" s="6" t="str">
        <f t="shared" si="34"/>
        <v>Igual</v>
      </c>
      <c r="U394" s="6" t="str">
        <f>VLOOKUP(B394,DataLake!$A$4:$A$429,1,0)</f>
        <v>PROTECTION_PRTCTN_CLLD</v>
      </c>
    </row>
    <row r="395" spans="1:21" ht="15" hidden="1" customHeight="1" x14ac:dyDescent="0.25">
      <c r="A395" s="21" t="s">
        <v>1146</v>
      </c>
      <c r="B395" s="47" t="str">
        <f t="shared" si="30"/>
        <v>PROTECTION_TYP_PRTCTN</v>
      </c>
      <c r="C395" s="8" t="s">
        <v>1114</v>
      </c>
      <c r="D395" s="22" t="s">
        <v>1147</v>
      </c>
      <c r="E395" s="23" t="s">
        <v>1148</v>
      </c>
      <c r="F395" s="10" t="s">
        <v>13</v>
      </c>
      <c r="G395" s="10" t="s">
        <v>11</v>
      </c>
      <c r="H395" s="10" t="s">
        <v>13</v>
      </c>
      <c r="I395" s="10" t="s">
        <v>13</v>
      </c>
      <c r="J395" s="10" t="s">
        <v>11</v>
      </c>
      <c r="L395" s="6" t="str">
        <f>IFERROR(VLOOKUP($B395,'LISTA - Setembro2024'!$B$3:$F$539,5,0),"Campo eliminado")</f>
        <v>Y</v>
      </c>
      <c r="M395" s="6" t="str">
        <f t="shared" si="31"/>
        <v>Igual</v>
      </c>
      <c r="N395" s="6" t="str">
        <f>IFERROR(VLOOKUP($B395,'LISTA - Setembro2024'!$B$3:$K$539,6,0),"Campo eliminado")</f>
        <v>Y</v>
      </c>
      <c r="O395" s="6" t="str">
        <f t="shared" si="32"/>
        <v>Diferente</v>
      </c>
      <c r="P395" s="6" t="str">
        <f>IFERROR(VLOOKUP($B395,'LISTA - Setembro2024'!$B$3:$K$539,7,0),"Campo eliminado")</f>
        <v>Y</v>
      </c>
      <c r="Q395" s="6" t="str">
        <f t="shared" si="33"/>
        <v>Igual</v>
      </c>
      <c r="R395" s="6" t="str">
        <f>IFERROR(VLOOKUP($B395,'LISTA - Setembro2024'!$B$3:$K$539,9,0),"Campo eliminado")</f>
        <v>Y</v>
      </c>
      <c r="S395" s="6" t="str">
        <f t="shared" si="34"/>
        <v>Igual</v>
      </c>
      <c r="U395" s="6" t="str">
        <f>VLOOKUP(B395,DataLake!$A$4:$A$429,1,0)</f>
        <v>PROTECTION_TYP_PRTCTN</v>
      </c>
    </row>
    <row r="396" spans="1:21" ht="15" hidden="1" customHeight="1" x14ac:dyDescent="0.25">
      <c r="A396" s="7" t="s">
        <v>1149</v>
      </c>
      <c r="B396" s="47" t="str">
        <f t="shared" si="30"/>
        <v>PROTECTION_TYP_PRTCTN_INTRNL</v>
      </c>
      <c r="C396" s="8" t="s">
        <v>1114</v>
      </c>
      <c r="D396" s="9" t="s">
        <v>1150</v>
      </c>
      <c r="E396" s="11" t="s">
        <v>1151</v>
      </c>
      <c r="F396" s="10" t="s">
        <v>13</v>
      </c>
      <c r="G396" s="10" t="s">
        <v>11</v>
      </c>
      <c r="H396" s="10" t="s">
        <v>11</v>
      </c>
      <c r="I396" s="10" t="s">
        <v>11</v>
      </c>
      <c r="J396" s="10" t="s">
        <v>11</v>
      </c>
      <c r="L396" s="6" t="str">
        <f>IFERROR(VLOOKUP($B396,'LISTA - Setembro2024'!$B$3:$F$539,5,0),"Campo eliminado")</f>
        <v>Y</v>
      </c>
      <c r="M396" s="6" t="str">
        <f t="shared" si="31"/>
        <v>Igual</v>
      </c>
      <c r="N396" s="6" t="str">
        <f>IFERROR(VLOOKUP($B396,'LISTA - Setembro2024'!$B$3:$K$539,6,0),"Campo eliminado")</f>
        <v>N</v>
      </c>
      <c r="O396" s="6" t="str">
        <f t="shared" si="32"/>
        <v>Igual</v>
      </c>
      <c r="P396" s="6" t="str">
        <f>IFERROR(VLOOKUP($B396,'LISTA - Setembro2024'!$B$3:$K$539,7,0),"Campo eliminado")</f>
        <v>N</v>
      </c>
      <c r="Q396" s="6" t="str">
        <f t="shared" si="33"/>
        <v>Igual</v>
      </c>
      <c r="R396" s="6" t="str">
        <f>IFERROR(VLOOKUP($B396,'LISTA - Setembro2024'!$B$3:$K$539,9,0),"Campo eliminado")</f>
        <v>N</v>
      </c>
      <c r="S396" s="6" t="str">
        <f t="shared" si="34"/>
        <v>Igual</v>
      </c>
      <c r="U396" s="6" t="str">
        <f>VLOOKUP(B396,DataLake!$A$4:$A$429,1,0)</f>
        <v>PROTECTION_TYP_PRTCTN_INTRNL</v>
      </c>
    </row>
    <row r="397" spans="1:21" ht="15" hidden="1" customHeight="1" x14ac:dyDescent="0.25">
      <c r="A397" s="7" t="s">
        <v>1152</v>
      </c>
      <c r="B397" s="47" t="str">
        <f t="shared" si="30"/>
        <v>PROTECTION_TYP_PRTCTN_VL</v>
      </c>
      <c r="C397" s="8" t="s">
        <v>1114</v>
      </c>
      <c r="D397" s="9" t="s">
        <v>1153</v>
      </c>
      <c r="E397" s="11" t="s">
        <v>1154</v>
      </c>
      <c r="F397" s="10" t="s">
        <v>13</v>
      </c>
      <c r="G397" s="10" t="s">
        <v>11</v>
      </c>
      <c r="H397" s="10" t="s">
        <v>11</v>
      </c>
      <c r="I397" s="10" t="s">
        <v>11</v>
      </c>
      <c r="J397" s="10" t="s">
        <v>11</v>
      </c>
      <c r="L397" s="6" t="str">
        <f>IFERROR(VLOOKUP($B397,'LISTA - Setembro2024'!$B$3:$F$539,5,0),"Campo eliminado")</f>
        <v>Y</v>
      </c>
      <c r="M397" s="6" t="str">
        <f t="shared" si="31"/>
        <v>Igual</v>
      </c>
      <c r="N397" s="6" t="str">
        <f>IFERROR(VLOOKUP($B397,'LISTA - Setembro2024'!$B$3:$K$539,6,0),"Campo eliminado")</f>
        <v>N</v>
      </c>
      <c r="O397" s="6" t="str">
        <f t="shared" si="32"/>
        <v>Igual</v>
      </c>
      <c r="P397" s="6" t="str">
        <f>IFERROR(VLOOKUP($B397,'LISTA - Setembro2024'!$B$3:$K$539,7,0),"Campo eliminado")</f>
        <v>N</v>
      </c>
      <c r="Q397" s="6" t="str">
        <f t="shared" si="33"/>
        <v>Igual</v>
      </c>
      <c r="R397" s="6" t="str">
        <f>IFERROR(VLOOKUP($B397,'LISTA - Setembro2024'!$B$3:$K$539,9,0),"Campo eliminado")</f>
        <v>N</v>
      </c>
      <c r="S397" s="6" t="str">
        <f t="shared" si="34"/>
        <v>Igual</v>
      </c>
      <c r="U397" s="6" t="str">
        <f>VLOOKUP(B397,DataLake!$A$4:$A$429,1,0)</f>
        <v>PROTECTION_TYP_PRTCTN_VL</v>
      </c>
    </row>
    <row r="398" spans="1:21" ht="15" hidden="1" customHeight="1" x14ac:dyDescent="0.25">
      <c r="A398" s="7" t="s">
        <v>1155</v>
      </c>
      <c r="B398" s="47" t="str">
        <f t="shared" si="30"/>
        <v>PROTECTION_APPRSL_CRRNCY</v>
      </c>
      <c r="C398" s="8" t="s">
        <v>1114</v>
      </c>
      <c r="D398" s="9" t="s">
        <v>1156</v>
      </c>
      <c r="E398" s="11" t="s">
        <v>1157</v>
      </c>
      <c r="F398" s="10" t="s">
        <v>13</v>
      </c>
      <c r="G398" s="10" t="s">
        <v>11</v>
      </c>
      <c r="H398" s="10" t="s">
        <v>11</v>
      </c>
      <c r="I398" s="10" t="s">
        <v>11</v>
      </c>
      <c r="J398" s="10" t="s">
        <v>11</v>
      </c>
      <c r="L398" s="6" t="str">
        <f>IFERROR(VLOOKUP($B398,'LISTA - Setembro2024'!$B$3:$F$539,5,0),"Campo eliminado")</f>
        <v>Y</v>
      </c>
      <c r="M398" s="6" t="str">
        <f t="shared" si="31"/>
        <v>Igual</v>
      </c>
      <c r="N398" s="6" t="str">
        <f>IFERROR(VLOOKUP($B398,'LISTA - Setembro2024'!$B$3:$K$539,6,0),"Campo eliminado")</f>
        <v>N</v>
      </c>
      <c r="O398" s="6" t="str">
        <f t="shared" si="32"/>
        <v>Igual</v>
      </c>
      <c r="P398" s="6" t="str">
        <f>IFERROR(VLOOKUP($B398,'LISTA - Setembro2024'!$B$3:$K$539,7,0),"Campo eliminado")</f>
        <v>N</v>
      </c>
      <c r="Q398" s="6" t="str">
        <f t="shared" si="33"/>
        <v>Igual</v>
      </c>
      <c r="R398" s="6" t="str">
        <f>IFERROR(VLOOKUP($B398,'LISTA - Setembro2024'!$B$3:$K$539,9,0),"Campo eliminado")</f>
        <v>N</v>
      </c>
      <c r="S398" s="6" t="str">
        <f t="shared" si="34"/>
        <v>Igual</v>
      </c>
      <c r="U398" s="6" t="str">
        <f>VLOOKUP(B398,DataLake!$A$4:$A$429,1,0)</f>
        <v>PROTECTION_APPRSL_CRRNCY</v>
      </c>
    </row>
    <row r="399" spans="1:21" ht="15" hidden="1" customHeight="1" x14ac:dyDescent="0.25">
      <c r="A399" s="7" t="s">
        <v>1158</v>
      </c>
      <c r="B399" s="47" t="str">
        <f t="shared" si="30"/>
        <v>PROTECTION_APPRSR</v>
      </c>
      <c r="C399" s="8" t="s">
        <v>1114</v>
      </c>
      <c r="D399" s="9" t="s">
        <v>1159</v>
      </c>
      <c r="E399" s="11" t="s">
        <v>1160</v>
      </c>
      <c r="F399" s="10" t="s">
        <v>13</v>
      </c>
      <c r="G399" s="10" t="s">
        <v>11</v>
      </c>
      <c r="H399" s="10" t="s">
        <v>11</v>
      </c>
      <c r="I399" s="10" t="s">
        <v>11</v>
      </c>
      <c r="J399" s="10" t="s">
        <v>11</v>
      </c>
      <c r="L399" s="6" t="str">
        <f>IFERROR(VLOOKUP($B399,'LISTA - Setembro2024'!$B$3:$F$539,5,0),"Campo eliminado")</f>
        <v>Y</v>
      </c>
      <c r="M399" s="6" t="str">
        <f t="shared" si="31"/>
        <v>Igual</v>
      </c>
      <c r="N399" s="6" t="str">
        <f>IFERROR(VLOOKUP($B399,'LISTA - Setembro2024'!$B$3:$K$539,6,0),"Campo eliminado")</f>
        <v>N</v>
      </c>
      <c r="O399" s="6" t="str">
        <f t="shared" si="32"/>
        <v>Igual</v>
      </c>
      <c r="P399" s="6" t="str">
        <f>IFERROR(VLOOKUP($B399,'LISTA - Setembro2024'!$B$3:$K$539,7,0),"Campo eliminado")</f>
        <v>N</v>
      </c>
      <c r="Q399" s="6" t="str">
        <f t="shared" si="33"/>
        <v>Igual</v>
      </c>
      <c r="R399" s="6" t="str">
        <f>IFERROR(VLOOKUP($B399,'LISTA - Setembro2024'!$B$3:$K$539,9,0),"Campo eliminado")</f>
        <v>N</v>
      </c>
      <c r="S399" s="6" t="str">
        <f t="shared" si="34"/>
        <v>Igual</v>
      </c>
      <c r="U399" s="6" t="str">
        <f>VLOOKUP(B399,DataLake!$A$4:$A$429,1,0)</f>
        <v>PROTECTION_APPRSR</v>
      </c>
    </row>
    <row r="400" spans="1:21" ht="15" hidden="1" customHeight="1" x14ac:dyDescent="0.25">
      <c r="A400" s="7" t="s">
        <v>1161</v>
      </c>
      <c r="B400" s="47" t="str">
        <f t="shared" si="30"/>
        <v>PROTECTION_DT_LST_FLL_APPRSL</v>
      </c>
      <c r="C400" s="8" t="s">
        <v>1114</v>
      </c>
      <c r="D400" s="9" t="s">
        <v>1162</v>
      </c>
      <c r="E400" s="11" t="s">
        <v>1163</v>
      </c>
      <c r="F400" s="10" t="s">
        <v>13</v>
      </c>
      <c r="G400" s="10" t="s">
        <v>11</v>
      </c>
      <c r="H400" s="10" t="s">
        <v>11</v>
      </c>
      <c r="I400" s="10" t="s">
        <v>11</v>
      </c>
      <c r="J400" s="10" t="s">
        <v>11</v>
      </c>
      <c r="L400" s="6" t="str">
        <f>IFERROR(VLOOKUP($B400,'LISTA - Setembro2024'!$B$3:$F$539,5,0),"Campo eliminado")</f>
        <v>Y</v>
      </c>
      <c r="M400" s="6" t="str">
        <f t="shared" si="31"/>
        <v>Igual</v>
      </c>
      <c r="N400" s="6" t="str">
        <f>IFERROR(VLOOKUP($B400,'LISTA - Setembro2024'!$B$3:$K$539,6,0),"Campo eliminado")</f>
        <v>N</v>
      </c>
      <c r="O400" s="6" t="str">
        <f t="shared" si="32"/>
        <v>Igual</v>
      </c>
      <c r="P400" s="6" t="str">
        <f>IFERROR(VLOOKUP($B400,'LISTA - Setembro2024'!$B$3:$K$539,7,0),"Campo eliminado")</f>
        <v>N</v>
      </c>
      <c r="Q400" s="6" t="str">
        <f t="shared" si="33"/>
        <v>Igual</v>
      </c>
      <c r="R400" s="6" t="str">
        <f>IFERROR(VLOOKUP($B400,'LISTA - Setembro2024'!$B$3:$K$539,9,0),"Campo eliminado")</f>
        <v>N</v>
      </c>
      <c r="S400" s="6" t="str">
        <f t="shared" si="34"/>
        <v>Igual</v>
      </c>
      <c r="U400" s="6" t="str">
        <f>VLOOKUP(B400,DataLake!$A$4:$A$429,1,0)</f>
        <v>PROTECTION_DT_LST_FLL_APPRSL</v>
      </c>
    </row>
    <row r="401" spans="1:21" ht="15" hidden="1" customHeight="1" x14ac:dyDescent="0.25">
      <c r="A401" s="7" t="s">
        <v>1164</v>
      </c>
      <c r="B401" s="47" t="str">
        <f t="shared" si="30"/>
        <v>PROTECTION_DT_ORGNL_PRTCTN_VL</v>
      </c>
      <c r="C401" s="8" t="s">
        <v>1114</v>
      </c>
      <c r="D401" s="9" t="s">
        <v>1165</v>
      </c>
      <c r="E401" s="11" t="s">
        <v>1166</v>
      </c>
      <c r="F401" s="10" t="s">
        <v>13</v>
      </c>
      <c r="G401" s="10" t="s">
        <v>11</v>
      </c>
      <c r="H401" s="10" t="s">
        <v>11</v>
      </c>
      <c r="I401" s="10" t="s">
        <v>11</v>
      </c>
      <c r="J401" s="10" t="s">
        <v>11</v>
      </c>
      <c r="L401" s="6" t="str">
        <f>IFERROR(VLOOKUP($B401,'LISTA - Setembro2024'!$B$3:$F$539,5,0),"Campo eliminado")</f>
        <v>Y</v>
      </c>
      <c r="M401" s="6" t="str">
        <f t="shared" si="31"/>
        <v>Igual</v>
      </c>
      <c r="N401" s="6" t="str">
        <f>IFERROR(VLOOKUP($B401,'LISTA - Setembro2024'!$B$3:$K$539,6,0),"Campo eliminado")</f>
        <v>N</v>
      </c>
      <c r="O401" s="6" t="str">
        <f t="shared" si="32"/>
        <v>Igual</v>
      </c>
      <c r="P401" s="6" t="str">
        <f>IFERROR(VLOOKUP($B401,'LISTA - Setembro2024'!$B$3:$K$539,7,0),"Campo eliminado")</f>
        <v>N</v>
      </c>
      <c r="Q401" s="6" t="str">
        <f t="shared" si="33"/>
        <v>Igual</v>
      </c>
      <c r="R401" s="6" t="str">
        <f>IFERROR(VLOOKUP($B401,'LISTA - Setembro2024'!$B$3:$K$539,9,0),"Campo eliminado")</f>
        <v>N</v>
      </c>
      <c r="S401" s="6" t="str">
        <f t="shared" si="34"/>
        <v>Igual</v>
      </c>
      <c r="U401" s="6" t="str">
        <f>VLOOKUP(B401,DataLake!$A$4:$A$429,1,0)</f>
        <v>PROTECTION_DT_ORGNL_PRTCTN_VL</v>
      </c>
    </row>
    <row r="402" spans="1:21" ht="15" hidden="1" customHeight="1" x14ac:dyDescent="0.25">
      <c r="A402" s="7" t="s">
        <v>1167</v>
      </c>
      <c r="B402" s="47" t="str">
        <f t="shared" si="30"/>
        <v>PROTECTION_DT_PRTCTN_VL</v>
      </c>
      <c r="C402" s="8" t="s">
        <v>1114</v>
      </c>
      <c r="D402" s="9" t="s">
        <v>1168</v>
      </c>
      <c r="E402" s="11" t="s">
        <v>1169</v>
      </c>
      <c r="F402" s="10" t="s">
        <v>13</v>
      </c>
      <c r="G402" s="10" t="s">
        <v>11</v>
      </c>
      <c r="H402" s="10" t="s">
        <v>11</v>
      </c>
      <c r="I402" s="10" t="s">
        <v>11</v>
      </c>
      <c r="J402" s="10" t="s">
        <v>11</v>
      </c>
      <c r="L402" s="6" t="str">
        <f>IFERROR(VLOOKUP($B402,'LISTA - Setembro2024'!$B$3:$F$539,5,0),"Campo eliminado")</f>
        <v>Y</v>
      </c>
      <c r="M402" s="6" t="str">
        <f t="shared" si="31"/>
        <v>Igual</v>
      </c>
      <c r="N402" s="6" t="str">
        <f>IFERROR(VLOOKUP($B402,'LISTA - Setembro2024'!$B$3:$K$539,6,0),"Campo eliminado")</f>
        <v>N</v>
      </c>
      <c r="O402" s="6" t="str">
        <f t="shared" si="32"/>
        <v>Igual</v>
      </c>
      <c r="P402" s="6" t="str">
        <f>IFERROR(VLOOKUP($B402,'LISTA - Setembro2024'!$B$3:$K$539,7,0),"Campo eliminado")</f>
        <v>N</v>
      </c>
      <c r="Q402" s="6" t="str">
        <f t="shared" si="33"/>
        <v>Igual</v>
      </c>
      <c r="R402" s="6" t="str">
        <f>IFERROR(VLOOKUP($B402,'LISTA - Setembro2024'!$B$3:$K$539,9,0),"Campo eliminado")</f>
        <v>N</v>
      </c>
      <c r="S402" s="6" t="str">
        <f t="shared" si="34"/>
        <v>Igual</v>
      </c>
      <c r="U402" s="6" t="str">
        <f>VLOOKUP(B402,DataLake!$A$4:$A$429,1,0)</f>
        <v>PROTECTION_DT_PRTCTN_VL</v>
      </c>
    </row>
    <row r="403" spans="1:21" ht="15" hidden="1" customHeight="1" x14ac:dyDescent="0.25">
      <c r="A403" s="7" t="s">
        <v>1170</v>
      </c>
      <c r="B403" s="47" t="str">
        <f t="shared" si="30"/>
        <v>PROTECTION_ORGNL_PRTCTN_VL</v>
      </c>
      <c r="C403" s="8" t="s">
        <v>1114</v>
      </c>
      <c r="D403" s="9" t="s">
        <v>1171</v>
      </c>
      <c r="E403" s="11" t="s">
        <v>1172</v>
      </c>
      <c r="F403" s="10" t="s">
        <v>13</v>
      </c>
      <c r="G403" s="10" t="s">
        <v>11</v>
      </c>
      <c r="H403" s="10" t="s">
        <v>13</v>
      </c>
      <c r="I403" s="10" t="s">
        <v>11</v>
      </c>
      <c r="J403" s="10" t="s">
        <v>11</v>
      </c>
      <c r="L403" s="6" t="str">
        <f>IFERROR(VLOOKUP($B403,'LISTA - Setembro2024'!$B$3:$F$539,5,0),"Campo eliminado")</f>
        <v>Y</v>
      </c>
      <c r="M403" s="6" t="str">
        <f t="shared" si="31"/>
        <v>Igual</v>
      </c>
      <c r="N403" s="6" t="str">
        <f>IFERROR(VLOOKUP($B403,'LISTA - Setembro2024'!$B$3:$K$539,6,0),"Campo eliminado")</f>
        <v>N</v>
      </c>
      <c r="O403" s="6" t="str">
        <f t="shared" si="32"/>
        <v>Igual</v>
      </c>
      <c r="P403" s="6" t="str">
        <f>IFERROR(VLOOKUP($B403,'LISTA - Setembro2024'!$B$3:$K$539,7,0),"Campo eliminado")</f>
        <v>Y</v>
      </c>
      <c r="Q403" s="6" t="str">
        <f t="shared" si="33"/>
        <v>Igual</v>
      </c>
      <c r="R403" s="6" t="str">
        <f>IFERROR(VLOOKUP($B403,'LISTA - Setembro2024'!$B$3:$K$539,9,0),"Campo eliminado")</f>
        <v>N</v>
      </c>
      <c r="S403" s="6" t="str">
        <f t="shared" si="34"/>
        <v>Igual</v>
      </c>
      <c r="U403" s="6" t="str">
        <f>VLOOKUP(B403,DataLake!$A$4:$A$429,1,0)</f>
        <v>PROTECTION_ORGNL_PRTCTN_VL</v>
      </c>
    </row>
    <row r="404" spans="1:21" ht="15" hidden="1" customHeight="1" x14ac:dyDescent="0.25">
      <c r="A404" s="7" t="s">
        <v>1173</v>
      </c>
      <c r="B404" s="47" t="str">
        <f t="shared" si="30"/>
        <v>PROTECTION_PRTCTN_FRCD_SL_VL</v>
      </c>
      <c r="C404" s="8" t="s">
        <v>1114</v>
      </c>
      <c r="D404" s="9" t="s">
        <v>1174</v>
      </c>
      <c r="E404" s="11" t="s">
        <v>1175</v>
      </c>
      <c r="F404" s="10" t="s">
        <v>13</v>
      </c>
      <c r="G404" s="10" t="s">
        <v>11</v>
      </c>
      <c r="H404" s="10" t="s">
        <v>11</v>
      </c>
      <c r="I404" s="10" t="s">
        <v>11</v>
      </c>
      <c r="J404" s="10" t="s">
        <v>11</v>
      </c>
      <c r="L404" s="6" t="str">
        <f>IFERROR(VLOOKUP($B404,'LISTA - Setembro2024'!$B$3:$F$539,5,0),"Campo eliminado")</f>
        <v>Y</v>
      </c>
      <c r="M404" s="6" t="str">
        <f t="shared" si="31"/>
        <v>Igual</v>
      </c>
      <c r="N404" s="6" t="str">
        <f>IFERROR(VLOOKUP($B404,'LISTA - Setembro2024'!$B$3:$K$539,6,0),"Campo eliminado")</f>
        <v>N</v>
      </c>
      <c r="O404" s="6" t="str">
        <f t="shared" si="32"/>
        <v>Igual</v>
      </c>
      <c r="P404" s="6" t="str">
        <f>IFERROR(VLOOKUP($B404,'LISTA - Setembro2024'!$B$3:$K$539,7,0),"Campo eliminado")</f>
        <v>N</v>
      </c>
      <c r="Q404" s="6" t="str">
        <f t="shared" si="33"/>
        <v>Igual</v>
      </c>
      <c r="R404" s="6" t="str">
        <f>IFERROR(VLOOKUP($B404,'LISTA - Setembro2024'!$B$3:$K$539,9,0),"Campo eliminado")</f>
        <v>N</v>
      </c>
      <c r="S404" s="6" t="str">
        <f t="shared" si="34"/>
        <v>Igual</v>
      </c>
      <c r="U404" s="6" t="str">
        <f>VLOOKUP(B404,DataLake!$A$4:$A$429,1,0)</f>
        <v>PROTECTION_PRTCTN_FRCD_SL_VL</v>
      </c>
    </row>
    <row r="405" spans="1:21" ht="15" hidden="1" customHeight="1" x14ac:dyDescent="0.25">
      <c r="A405" s="7" t="s">
        <v>1176</v>
      </c>
      <c r="B405" s="47" t="str">
        <f t="shared" si="30"/>
        <v>PROTECTION_PRTCTN_VL</v>
      </c>
      <c r="C405" s="8" t="s">
        <v>1114</v>
      </c>
      <c r="D405" s="9" t="s">
        <v>1177</v>
      </c>
      <c r="E405" s="11" t="s">
        <v>1178</v>
      </c>
      <c r="F405" s="10" t="s">
        <v>13</v>
      </c>
      <c r="G405" s="10" t="s">
        <v>11</v>
      </c>
      <c r="H405" s="10" t="s">
        <v>13</v>
      </c>
      <c r="I405" s="10" t="s">
        <v>11</v>
      </c>
      <c r="J405" s="10" t="s">
        <v>11</v>
      </c>
      <c r="L405" s="6" t="str">
        <f>IFERROR(VLOOKUP($B405,'LISTA - Setembro2024'!$B$3:$F$539,5,0),"Campo eliminado")</f>
        <v>Y</v>
      </c>
      <c r="M405" s="6" t="str">
        <f t="shared" si="31"/>
        <v>Igual</v>
      </c>
      <c r="N405" s="6" t="str">
        <f>IFERROR(VLOOKUP($B405,'LISTA - Setembro2024'!$B$3:$K$539,6,0),"Campo eliminado")</f>
        <v>Y</v>
      </c>
      <c r="O405" s="6" t="str">
        <f t="shared" si="32"/>
        <v>Diferente</v>
      </c>
      <c r="P405" s="6" t="str">
        <f>IFERROR(VLOOKUP($B405,'LISTA - Setembro2024'!$B$3:$K$539,7,0),"Campo eliminado")</f>
        <v>Y</v>
      </c>
      <c r="Q405" s="6" t="str">
        <f t="shared" si="33"/>
        <v>Igual</v>
      </c>
      <c r="R405" s="6" t="str">
        <f>IFERROR(VLOOKUP($B405,'LISTA - Setembro2024'!$B$3:$K$539,9,0),"Campo eliminado")</f>
        <v>N</v>
      </c>
      <c r="S405" s="6" t="str">
        <f t="shared" si="34"/>
        <v>Igual</v>
      </c>
      <c r="U405" s="6" t="str">
        <f>VLOOKUP(B405,DataLake!$A$4:$A$429,1,0)</f>
        <v>PROTECTION_PRTCTN_VL</v>
      </c>
    </row>
    <row r="406" spans="1:21" ht="15" hidden="1" customHeight="1" x14ac:dyDescent="0.25">
      <c r="A406" s="7" t="s">
        <v>1179</v>
      </c>
      <c r="B406" s="47" t="str">
        <f t="shared" si="30"/>
        <v>PROTECTION_PRTCTN_VL_NPE</v>
      </c>
      <c r="C406" s="8" t="s">
        <v>1114</v>
      </c>
      <c r="D406" s="9" t="s">
        <v>1180</v>
      </c>
      <c r="E406" s="11" t="s">
        <v>1181</v>
      </c>
      <c r="F406" s="10" t="s">
        <v>13</v>
      </c>
      <c r="G406" s="10" t="s">
        <v>11</v>
      </c>
      <c r="H406" s="10" t="s">
        <v>11</v>
      </c>
      <c r="I406" s="10" t="s">
        <v>11</v>
      </c>
      <c r="J406" s="10" t="s">
        <v>11</v>
      </c>
      <c r="L406" s="6" t="str">
        <f>IFERROR(VLOOKUP($B406,'LISTA - Setembro2024'!$B$3:$F$539,5,0),"Campo eliminado")</f>
        <v>Y</v>
      </c>
      <c r="M406" s="6" t="str">
        <f t="shared" si="31"/>
        <v>Igual</v>
      </c>
      <c r="N406" s="6" t="str">
        <f>IFERROR(VLOOKUP($B406,'LISTA - Setembro2024'!$B$3:$K$539,6,0),"Campo eliminado")</f>
        <v>N</v>
      </c>
      <c r="O406" s="6" t="str">
        <f t="shared" si="32"/>
        <v>Igual</v>
      </c>
      <c r="P406" s="6" t="str">
        <f>IFERROR(VLOOKUP($B406,'LISTA - Setembro2024'!$B$3:$K$539,7,0),"Campo eliminado")</f>
        <v>N</v>
      </c>
      <c r="Q406" s="6" t="str">
        <f t="shared" si="33"/>
        <v>Igual</v>
      </c>
      <c r="R406" s="6" t="str">
        <f>IFERROR(VLOOKUP($B406,'LISTA - Setembro2024'!$B$3:$K$539,9,0),"Campo eliminado")</f>
        <v>N</v>
      </c>
      <c r="S406" s="6" t="str">
        <f t="shared" si="34"/>
        <v>Igual</v>
      </c>
      <c r="U406" s="6" t="str">
        <f>VLOOKUP(B406,DataLake!$A$4:$A$429,1,0)</f>
        <v>PROTECTION_PRTCTN_VL_NPE</v>
      </c>
    </row>
    <row r="407" spans="1:21" ht="15" hidden="1" customHeight="1" x14ac:dyDescent="0.25">
      <c r="A407" s="7" t="s">
        <v>1182</v>
      </c>
      <c r="B407" s="47" t="str">
        <f t="shared" si="30"/>
        <v>PROTECTION_PRTCTN_VLTN_APPRCH</v>
      </c>
      <c r="C407" s="8" t="s">
        <v>1114</v>
      </c>
      <c r="D407" s="9" t="s">
        <v>1183</v>
      </c>
      <c r="E407" s="11" t="s">
        <v>1184</v>
      </c>
      <c r="F407" s="10" t="s">
        <v>13</v>
      </c>
      <c r="G407" s="10" t="s">
        <v>11</v>
      </c>
      <c r="H407" s="10" t="s">
        <v>11</v>
      </c>
      <c r="I407" s="10" t="s">
        <v>11</v>
      </c>
      <c r="J407" s="10" t="s">
        <v>11</v>
      </c>
      <c r="L407" s="6" t="str">
        <f>IFERROR(VLOOKUP($B407,'LISTA - Setembro2024'!$B$3:$F$539,5,0),"Campo eliminado")</f>
        <v>Y</v>
      </c>
      <c r="M407" s="6" t="str">
        <f t="shared" si="31"/>
        <v>Igual</v>
      </c>
      <c r="N407" s="6" t="str">
        <f>IFERROR(VLOOKUP($B407,'LISTA - Setembro2024'!$B$3:$K$539,6,0),"Campo eliminado")</f>
        <v>N</v>
      </c>
      <c r="O407" s="6" t="str">
        <f t="shared" si="32"/>
        <v>Igual</v>
      </c>
      <c r="P407" s="6" t="str">
        <f>IFERROR(VLOOKUP($B407,'LISTA - Setembro2024'!$B$3:$K$539,7,0),"Campo eliminado")</f>
        <v>N</v>
      </c>
      <c r="Q407" s="6" t="str">
        <f t="shared" si="33"/>
        <v>Igual</v>
      </c>
      <c r="R407" s="6" t="str">
        <f>IFERROR(VLOOKUP($B407,'LISTA - Setembro2024'!$B$3:$K$539,9,0),"Campo eliminado")</f>
        <v>N</v>
      </c>
      <c r="S407" s="6" t="str">
        <f t="shared" si="34"/>
        <v>Igual</v>
      </c>
      <c r="U407" s="6" t="str">
        <f>VLOOKUP(B407,DataLake!$A$4:$A$429,1,0)</f>
        <v>PROTECTION_PRTCTN_VLTN_APPRCH</v>
      </c>
    </row>
    <row r="408" spans="1:21" ht="15" hidden="1" customHeight="1" x14ac:dyDescent="0.25">
      <c r="A408" s="7" t="s">
        <v>1185</v>
      </c>
      <c r="B408" s="47" t="str">
        <f t="shared" si="30"/>
        <v>PROTECTION_DT_APPRSL_PRVS</v>
      </c>
      <c r="C408" s="8" t="s">
        <v>1114</v>
      </c>
      <c r="D408" s="9" t="s">
        <v>1186</v>
      </c>
      <c r="E408" s="11" t="s">
        <v>1187</v>
      </c>
      <c r="F408" s="10" t="s">
        <v>13</v>
      </c>
      <c r="G408" s="10" t="s">
        <v>11</v>
      </c>
      <c r="H408" s="10" t="s">
        <v>11</v>
      </c>
      <c r="I408" s="10" t="s">
        <v>11</v>
      </c>
      <c r="J408" s="10" t="s">
        <v>11</v>
      </c>
      <c r="L408" s="6" t="str">
        <f>IFERROR(VLOOKUP($B408,'LISTA - Setembro2024'!$B$3:$F$539,5,0),"Campo eliminado")</f>
        <v>Y</v>
      </c>
      <c r="M408" s="6" t="str">
        <f t="shared" si="31"/>
        <v>Igual</v>
      </c>
      <c r="N408" s="6" t="str">
        <f>IFERROR(VLOOKUP($B408,'LISTA - Setembro2024'!$B$3:$K$539,6,0),"Campo eliminado")</f>
        <v>N</v>
      </c>
      <c r="O408" s="6" t="str">
        <f t="shared" si="32"/>
        <v>Igual</v>
      </c>
      <c r="P408" s="6" t="str">
        <f>IFERROR(VLOOKUP($B408,'LISTA - Setembro2024'!$B$3:$K$539,7,0),"Campo eliminado")</f>
        <v>N</v>
      </c>
      <c r="Q408" s="6" t="str">
        <f t="shared" si="33"/>
        <v>Igual</v>
      </c>
      <c r="R408" s="6" t="str">
        <f>IFERROR(VLOOKUP($B408,'LISTA - Setembro2024'!$B$3:$K$539,9,0),"Campo eliminado")</f>
        <v>N</v>
      </c>
      <c r="S408" s="6" t="str">
        <f t="shared" si="34"/>
        <v>Igual</v>
      </c>
      <c r="U408" s="6" t="str">
        <f>VLOOKUP(B408,DataLake!$A$4:$A$429,1,0)</f>
        <v>PROTECTION_DT_APPRSL_PRVS</v>
      </c>
    </row>
    <row r="409" spans="1:21" ht="15" hidden="1" customHeight="1" x14ac:dyDescent="0.25">
      <c r="A409" s="7" t="s">
        <v>1188</v>
      </c>
      <c r="B409" s="47" t="str">
        <f t="shared" si="30"/>
        <v>PROTECTION_PRTCTN_VL_PRVS</v>
      </c>
      <c r="C409" s="8" t="s">
        <v>1114</v>
      </c>
      <c r="D409" s="9" t="s">
        <v>1189</v>
      </c>
      <c r="E409" s="11" t="s">
        <v>1190</v>
      </c>
      <c r="F409" s="10" t="s">
        <v>13</v>
      </c>
      <c r="G409" s="10" t="s">
        <v>11</v>
      </c>
      <c r="H409" s="10" t="s">
        <v>11</v>
      </c>
      <c r="I409" s="10" t="s">
        <v>11</v>
      </c>
      <c r="J409" s="10" t="s">
        <v>11</v>
      </c>
      <c r="L409" s="6" t="str">
        <f>IFERROR(VLOOKUP($B409,'LISTA - Setembro2024'!$B$3:$F$539,5,0),"Campo eliminado")</f>
        <v>Y</v>
      </c>
      <c r="M409" s="6" t="str">
        <f t="shared" si="31"/>
        <v>Igual</v>
      </c>
      <c r="N409" s="6" t="str">
        <f>IFERROR(VLOOKUP($B409,'LISTA - Setembro2024'!$B$3:$K$539,6,0),"Campo eliminado")</f>
        <v>N</v>
      </c>
      <c r="O409" s="6" t="str">
        <f t="shared" si="32"/>
        <v>Igual</v>
      </c>
      <c r="P409" s="6" t="str">
        <f>IFERROR(VLOOKUP($B409,'LISTA - Setembro2024'!$B$3:$K$539,7,0),"Campo eliminado")</f>
        <v>N</v>
      </c>
      <c r="Q409" s="6" t="str">
        <f t="shared" si="33"/>
        <v>Igual</v>
      </c>
      <c r="R409" s="6" t="str">
        <f>IFERROR(VLOOKUP($B409,'LISTA - Setembro2024'!$B$3:$K$539,9,0),"Campo eliminado")</f>
        <v>N</v>
      </c>
      <c r="S409" s="6" t="str">
        <f t="shared" si="34"/>
        <v>Igual</v>
      </c>
      <c r="U409" s="6" t="str">
        <f>VLOOKUP(B409,DataLake!$A$4:$A$429,1,0)</f>
        <v>PROTECTION_PRTCTN_VL_PRVS</v>
      </c>
    </row>
    <row r="410" spans="1:21" ht="15" hidden="1" customHeight="1" x14ac:dyDescent="0.25">
      <c r="A410" s="7" t="s">
        <v>1191</v>
      </c>
      <c r="B410" s="47" t="str">
        <f t="shared" si="30"/>
        <v>PROTECTION_CNSTRCTN_STTS</v>
      </c>
      <c r="C410" s="8" t="s">
        <v>1114</v>
      </c>
      <c r="D410" s="9" t="s">
        <v>1192</v>
      </c>
      <c r="E410" s="11" t="s">
        <v>1193</v>
      </c>
      <c r="F410" s="10" t="s">
        <v>13</v>
      </c>
      <c r="G410" s="10" t="s">
        <v>11</v>
      </c>
      <c r="H410" s="10" t="s">
        <v>11</v>
      </c>
      <c r="I410" s="10" t="s">
        <v>11</v>
      </c>
      <c r="J410" s="10" t="s">
        <v>11</v>
      </c>
      <c r="L410" s="6" t="str">
        <f>IFERROR(VLOOKUP($B410,'LISTA - Setembro2024'!$B$3:$F$539,5,0),"Campo eliminado")</f>
        <v>Y</v>
      </c>
      <c r="M410" s="6" t="str">
        <f t="shared" si="31"/>
        <v>Igual</v>
      </c>
      <c r="N410" s="6" t="str">
        <f>IFERROR(VLOOKUP($B410,'LISTA - Setembro2024'!$B$3:$K$539,6,0),"Campo eliminado")</f>
        <v>N</v>
      </c>
      <c r="O410" s="6" t="str">
        <f t="shared" si="32"/>
        <v>Igual</v>
      </c>
      <c r="P410" s="6" t="str">
        <f>IFERROR(VLOOKUP($B410,'LISTA - Setembro2024'!$B$3:$K$539,7,0),"Campo eliminado")</f>
        <v>N</v>
      </c>
      <c r="Q410" s="6" t="str">
        <f t="shared" si="33"/>
        <v>Igual</v>
      </c>
      <c r="R410" s="6" t="str">
        <f>IFERROR(VLOOKUP($B410,'LISTA - Setembro2024'!$B$3:$K$539,9,0),"Campo eliminado")</f>
        <v>N</v>
      </c>
      <c r="S410" s="6" t="str">
        <f t="shared" si="34"/>
        <v>Igual</v>
      </c>
      <c r="U410" s="6" t="str">
        <f>VLOOKUP(B410,DataLake!$A$4:$A$429,1,0)</f>
        <v>PROTECTION_CNSTRCTN_STTS</v>
      </c>
    </row>
    <row r="411" spans="1:21" ht="14.85" hidden="1" customHeight="1" x14ac:dyDescent="0.25">
      <c r="A411" s="7" t="s">
        <v>1194</v>
      </c>
      <c r="B411" s="47" t="str">
        <f t="shared" si="30"/>
        <v>PROTECTION_DT_CNSTRCTN_STTS</v>
      </c>
      <c r="C411" s="8" t="s">
        <v>1114</v>
      </c>
      <c r="D411" s="9" t="s">
        <v>1195</v>
      </c>
      <c r="E411" s="27" t="s">
        <v>1196</v>
      </c>
      <c r="F411" s="10" t="s">
        <v>13</v>
      </c>
      <c r="G411" s="10" t="s">
        <v>11</v>
      </c>
      <c r="H411" s="10" t="s">
        <v>11</v>
      </c>
      <c r="I411" s="10" t="s">
        <v>11</v>
      </c>
      <c r="J411" s="10" t="s">
        <v>11</v>
      </c>
      <c r="L411" s="6" t="str">
        <f>IFERROR(VLOOKUP($B411,'LISTA - Setembro2024'!$B$3:$F$539,5,0),"Campo eliminado")</f>
        <v>Y</v>
      </c>
      <c r="M411" s="6" t="str">
        <f t="shared" si="31"/>
        <v>Igual</v>
      </c>
      <c r="N411" s="6" t="str">
        <f>IFERROR(VLOOKUP($B411,'LISTA - Setembro2024'!$B$3:$K$539,6,0),"Campo eliminado")</f>
        <v>N</v>
      </c>
      <c r="O411" s="6" t="str">
        <f t="shared" si="32"/>
        <v>Igual</v>
      </c>
      <c r="P411" s="6" t="str">
        <f>IFERROR(VLOOKUP($B411,'LISTA - Setembro2024'!$B$3:$K$539,7,0),"Campo eliminado")</f>
        <v>N</v>
      </c>
      <c r="Q411" s="6" t="str">
        <f t="shared" si="33"/>
        <v>Igual</v>
      </c>
      <c r="R411" s="6" t="str">
        <f>IFERROR(VLOOKUP($B411,'LISTA - Setembro2024'!$B$3:$K$539,9,0),"Campo eliminado")</f>
        <v>N</v>
      </c>
      <c r="S411" s="6" t="str">
        <f t="shared" si="34"/>
        <v>Igual</v>
      </c>
      <c r="U411" s="6" t="str">
        <f>VLOOKUP(B411,DataLake!$A$4:$A$429,1,0)</f>
        <v>PROTECTION_DT_CNSTRCTN_STTS</v>
      </c>
    </row>
    <row r="412" spans="1:21" ht="14.85" hidden="1" customHeight="1" x14ac:dyDescent="0.25">
      <c r="A412" s="7" t="s">
        <v>1197</v>
      </c>
      <c r="B412" s="47" t="str">
        <f t="shared" si="30"/>
        <v>PROTECTION_DT_FRST_USG</v>
      </c>
      <c r="C412" s="8" t="s">
        <v>1114</v>
      </c>
      <c r="D412" s="9" t="s">
        <v>1198</v>
      </c>
      <c r="E412" s="27" t="s">
        <v>1199</v>
      </c>
      <c r="F412" s="10" t="s">
        <v>13</v>
      </c>
      <c r="G412" s="10" t="s">
        <v>11</v>
      </c>
      <c r="H412" s="10" t="s">
        <v>11</v>
      </c>
      <c r="I412" s="10" t="s">
        <v>11</v>
      </c>
      <c r="J412" s="10" t="s">
        <v>11</v>
      </c>
      <c r="L412" s="6" t="str">
        <f>IFERROR(VLOOKUP($B412,'LISTA - Setembro2024'!$B$3:$F$539,5,0),"Campo eliminado")</f>
        <v>Y</v>
      </c>
      <c r="M412" s="6" t="str">
        <f t="shared" si="31"/>
        <v>Igual</v>
      </c>
      <c r="N412" s="6" t="str">
        <f>IFERROR(VLOOKUP($B412,'LISTA - Setembro2024'!$B$3:$K$539,6,0),"Campo eliminado")</f>
        <v>N</v>
      </c>
      <c r="O412" s="6" t="str">
        <f t="shared" si="32"/>
        <v>Igual</v>
      </c>
      <c r="P412" s="6" t="str">
        <f>IFERROR(VLOOKUP($B412,'LISTA - Setembro2024'!$B$3:$K$539,7,0),"Campo eliminado")</f>
        <v>N</v>
      </c>
      <c r="Q412" s="6" t="str">
        <f t="shared" si="33"/>
        <v>Igual</v>
      </c>
      <c r="R412" s="6" t="str">
        <f>IFERROR(VLOOKUP($B412,'LISTA - Setembro2024'!$B$3:$K$539,9,0),"Campo eliminado")</f>
        <v>N</v>
      </c>
      <c r="S412" s="6" t="str">
        <f t="shared" si="34"/>
        <v>Igual</v>
      </c>
      <c r="U412" s="6" t="str">
        <f>VLOOKUP(B412,DataLake!$A$4:$A$429,1,0)</f>
        <v>PROTECTION_DT_FRST_USG</v>
      </c>
    </row>
    <row r="413" spans="1:21" ht="14.85" hidden="1" customHeight="1" x14ac:dyDescent="0.25">
      <c r="A413" s="7" t="s">
        <v>1200</v>
      </c>
      <c r="B413" s="47" t="str">
        <f t="shared" si="30"/>
        <v>PROTECTION_DVLPMNT_STTS</v>
      </c>
      <c r="C413" s="8" t="s">
        <v>1114</v>
      </c>
      <c r="D413" s="9" t="s">
        <v>1201</v>
      </c>
      <c r="E413" s="27" t="s">
        <v>1202</v>
      </c>
      <c r="F413" s="10" t="s">
        <v>13</v>
      </c>
      <c r="G413" s="10" t="s">
        <v>11</v>
      </c>
      <c r="H413" s="10" t="s">
        <v>11</v>
      </c>
      <c r="I413" s="10" t="s">
        <v>11</v>
      </c>
      <c r="J413" s="10" t="s">
        <v>11</v>
      </c>
      <c r="L413" s="6" t="str">
        <f>IFERROR(VLOOKUP($B413,'LISTA - Setembro2024'!$B$3:$F$539,5,0),"Campo eliminado")</f>
        <v>Y</v>
      </c>
      <c r="M413" s="6" t="str">
        <f t="shared" si="31"/>
        <v>Igual</v>
      </c>
      <c r="N413" s="6" t="str">
        <f>IFERROR(VLOOKUP($B413,'LISTA - Setembro2024'!$B$3:$K$539,6,0),"Campo eliminado")</f>
        <v>N</v>
      </c>
      <c r="O413" s="6" t="str">
        <f t="shared" si="32"/>
        <v>Igual</v>
      </c>
      <c r="P413" s="6" t="str">
        <f>IFERROR(VLOOKUP($B413,'LISTA - Setembro2024'!$B$3:$K$539,7,0),"Campo eliminado")</f>
        <v>N</v>
      </c>
      <c r="Q413" s="6" t="str">
        <f t="shared" si="33"/>
        <v>Igual</v>
      </c>
      <c r="R413" s="6" t="str">
        <f>IFERROR(VLOOKUP($B413,'LISTA - Setembro2024'!$B$3:$K$539,9,0),"Campo eliminado")</f>
        <v>N</v>
      </c>
      <c r="S413" s="6" t="str">
        <f t="shared" si="34"/>
        <v>Igual</v>
      </c>
      <c r="U413" s="6" t="str">
        <f>VLOOKUP(B413,DataLake!$A$4:$A$429,1,0)</f>
        <v>PROTECTION_DVLPMNT_STTS</v>
      </c>
    </row>
    <row r="414" spans="1:21" ht="14.85" hidden="1" customHeight="1" x14ac:dyDescent="0.25">
      <c r="A414" s="7" t="s">
        <v>1203</v>
      </c>
      <c r="B414" s="47" t="str">
        <f t="shared" si="30"/>
        <v>PROTECTION_MN_PRPS</v>
      </c>
      <c r="C414" s="8" t="s">
        <v>1114</v>
      </c>
      <c r="D414" s="9" t="s">
        <v>1204</v>
      </c>
      <c r="E414" s="27" t="s">
        <v>1205</v>
      </c>
      <c r="F414" s="10" t="s">
        <v>13</v>
      </c>
      <c r="G414" s="10" t="s">
        <v>11</v>
      </c>
      <c r="H414" s="10" t="s">
        <v>11</v>
      </c>
      <c r="I414" s="10" t="s">
        <v>11</v>
      </c>
      <c r="J414" s="10" t="s">
        <v>11</v>
      </c>
      <c r="L414" s="6" t="str">
        <f>IFERROR(VLOOKUP($B414,'LISTA - Setembro2024'!$B$3:$F$539,5,0),"Campo eliminado")</f>
        <v>Y</v>
      </c>
      <c r="M414" s="6" t="str">
        <f t="shared" si="31"/>
        <v>Igual</v>
      </c>
      <c r="N414" s="6" t="str">
        <f>IFERROR(VLOOKUP($B414,'LISTA - Setembro2024'!$B$3:$K$539,6,0),"Campo eliminado")</f>
        <v>N</v>
      </c>
      <c r="O414" s="6" t="str">
        <f t="shared" si="32"/>
        <v>Igual</v>
      </c>
      <c r="P414" s="6" t="str">
        <f>IFERROR(VLOOKUP($B414,'LISTA - Setembro2024'!$B$3:$K$539,7,0),"Campo eliminado")</f>
        <v>N</v>
      </c>
      <c r="Q414" s="6" t="str">
        <f t="shared" si="33"/>
        <v>Igual</v>
      </c>
      <c r="R414" s="6" t="str">
        <f>IFERROR(VLOOKUP($B414,'LISTA - Setembro2024'!$B$3:$K$539,9,0),"Campo eliminado")</f>
        <v>N</v>
      </c>
      <c r="S414" s="6" t="str">
        <f t="shared" si="34"/>
        <v>Igual</v>
      </c>
      <c r="U414" s="6" t="str">
        <f>VLOOKUP(B414,DataLake!$A$4:$A$429,1,0)</f>
        <v>PROTECTION_MN_PRPS</v>
      </c>
    </row>
    <row r="415" spans="1:21" ht="14.85" hidden="1" customHeight="1" x14ac:dyDescent="0.25">
      <c r="A415" s="7" t="s">
        <v>1206</v>
      </c>
      <c r="B415" s="47" t="str">
        <f t="shared" si="30"/>
        <v>PROTECTION_PRM_LCTN</v>
      </c>
      <c r="C415" s="8" t="s">
        <v>1114</v>
      </c>
      <c r="D415" s="9" t="s">
        <v>1207</v>
      </c>
      <c r="E415" s="27" t="s">
        <v>1208</v>
      </c>
      <c r="F415" s="10" t="s">
        <v>13</v>
      </c>
      <c r="G415" s="10" t="s">
        <v>11</v>
      </c>
      <c r="H415" s="10" t="s">
        <v>11</v>
      </c>
      <c r="I415" s="10" t="s">
        <v>11</v>
      </c>
      <c r="J415" s="10" t="s">
        <v>11</v>
      </c>
      <c r="L415" s="6" t="str">
        <f>IFERROR(VLOOKUP($B415,'LISTA - Setembro2024'!$B$3:$F$539,5,0),"Campo eliminado")</f>
        <v>Y</v>
      </c>
      <c r="M415" s="6" t="str">
        <f t="shared" si="31"/>
        <v>Igual</v>
      </c>
      <c r="N415" s="6" t="str">
        <f>IFERROR(VLOOKUP($B415,'LISTA - Setembro2024'!$B$3:$K$539,6,0),"Campo eliminado")</f>
        <v>N</v>
      </c>
      <c r="O415" s="6" t="str">
        <f t="shared" si="32"/>
        <v>Igual</v>
      </c>
      <c r="P415" s="6" t="str">
        <f>IFERROR(VLOOKUP($B415,'LISTA - Setembro2024'!$B$3:$K$539,7,0),"Campo eliminado")</f>
        <v>N</v>
      </c>
      <c r="Q415" s="6" t="str">
        <f t="shared" si="33"/>
        <v>Igual</v>
      </c>
      <c r="R415" s="6" t="str">
        <f>IFERROR(VLOOKUP($B415,'LISTA - Setembro2024'!$B$3:$K$539,9,0),"Campo eliminado")</f>
        <v>N</v>
      </c>
      <c r="S415" s="6" t="str">
        <f t="shared" si="34"/>
        <v>Igual</v>
      </c>
      <c r="U415" s="6" t="str">
        <f>VLOOKUP(B415,DataLake!$A$4:$A$429,1,0)</f>
        <v>PROTECTION_PRM_LCTN</v>
      </c>
    </row>
    <row r="416" spans="1:21" ht="14.85" hidden="1" customHeight="1" x14ac:dyDescent="0.25">
      <c r="A416" s="7" t="s">
        <v>1209</v>
      </c>
      <c r="B416" s="47" t="str">
        <f t="shared" si="30"/>
        <v>PROTECTION_CRE_INCM_CRRNCY</v>
      </c>
      <c r="C416" s="8" t="s">
        <v>1114</v>
      </c>
      <c r="D416" s="9" t="s">
        <v>1210</v>
      </c>
      <c r="E416" s="27" t="s">
        <v>1211</v>
      </c>
      <c r="F416" s="10" t="s">
        <v>13</v>
      </c>
      <c r="G416" s="10" t="s">
        <v>11</v>
      </c>
      <c r="H416" s="10" t="s">
        <v>11</v>
      </c>
      <c r="I416" s="10" t="s">
        <v>11</v>
      </c>
      <c r="J416" s="10" t="s">
        <v>11</v>
      </c>
      <c r="L416" s="6" t="str">
        <f>IFERROR(VLOOKUP($B416,'LISTA - Setembro2024'!$B$3:$F$539,5,0),"Campo eliminado")</f>
        <v>Y</v>
      </c>
      <c r="M416" s="6" t="str">
        <f t="shared" si="31"/>
        <v>Igual</v>
      </c>
      <c r="N416" s="6" t="str">
        <f>IFERROR(VLOOKUP($B416,'LISTA - Setembro2024'!$B$3:$K$539,6,0),"Campo eliminado")</f>
        <v>N</v>
      </c>
      <c r="O416" s="6" t="str">
        <f t="shared" si="32"/>
        <v>Igual</v>
      </c>
      <c r="P416" s="6" t="str">
        <f>IFERROR(VLOOKUP($B416,'LISTA - Setembro2024'!$B$3:$K$539,7,0),"Campo eliminado")</f>
        <v>N</v>
      </c>
      <c r="Q416" s="6" t="str">
        <f t="shared" si="33"/>
        <v>Igual</v>
      </c>
      <c r="R416" s="6" t="str">
        <f>IFERROR(VLOOKUP($B416,'LISTA - Setembro2024'!$B$3:$K$539,9,0),"Campo eliminado")</f>
        <v>N</v>
      </c>
      <c r="S416" s="6" t="str">
        <f t="shared" si="34"/>
        <v>Igual</v>
      </c>
      <c r="U416" s="6" t="str">
        <f>VLOOKUP(B416,DataLake!$A$4:$A$429,1,0)</f>
        <v>PROTECTION_CRE_INCM_CRRNCY</v>
      </c>
    </row>
    <row r="417" spans="1:21" ht="14.85" hidden="1" customHeight="1" x14ac:dyDescent="0.25">
      <c r="A417" s="7" t="s">
        <v>1212</v>
      </c>
      <c r="B417" s="47" t="str">
        <f t="shared" si="30"/>
        <v>PROTECTION_CRE_YRLY_EXPNSS</v>
      </c>
      <c r="C417" s="8" t="s">
        <v>1114</v>
      </c>
      <c r="D417" s="9" t="s">
        <v>1213</v>
      </c>
      <c r="E417" s="27" t="s">
        <v>1214</v>
      </c>
      <c r="F417" s="10" t="s">
        <v>13</v>
      </c>
      <c r="G417" s="10" t="s">
        <v>11</v>
      </c>
      <c r="H417" s="10" t="s">
        <v>11</v>
      </c>
      <c r="I417" s="10" t="s">
        <v>11</v>
      </c>
      <c r="J417" s="10" t="s">
        <v>11</v>
      </c>
      <c r="L417" s="6" t="str">
        <f>IFERROR(VLOOKUP($B417,'LISTA - Setembro2024'!$B$3:$F$539,5,0),"Campo eliminado")</f>
        <v>Y</v>
      </c>
      <c r="M417" s="6" t="str">
        <f t="shared" si="31"/>
        <v>Igual</v>
      </c>
      <c r="N417" s="6" t="str">
        <f>IFERROR(VLOOKUP($B417,'LISTA - Setembro2024'!$B$3:$K$539,6,0),"Campo eliminado")</f>
        <v>N</v>
      </c>
      <c r="O417" s="6" t="str">
        <f t="shared" si="32"/>
        <v>Igual</v>
      </c>
      <c r="P417" s="6" t="str">
        <f>IFERROR(VLOOKUP($B417,'LISTA - Setembro2024'!$B$3:$K$539,7,0),"Campo eliminado")</f>
        <v>N</v>
      </c>
      <c r="Q417" s="6" t="str">
        <f t="shared" si="33"/>
        <v>Igual</v>
      </c>
      <c r="R417" s="6" t="str">
        <f>IFERROR(VLOOKUP($B417,'LISTA - Setembro2024'!$B$3:$K$539,9,0),"Campo eliminado")</f>
        <v>N</v>
      </c>
      <c r="S417" s="6" t="str">
        <f t="shared" si="34"/>
        <v>Igual</v>
      </c>
      <c r="U417" s="6" t="str">
        <f>VLOOKUP(B417,DataLake!$A$4:$A$429,1,0)</f>
        <v>PROTECTION_CRE_YRLY_EXPNSS</v>
      </c>
    </row>
    <row r="418" spans="1:21" ht="14.85" hidden="1" customHeight="1" x14ac:dyDescent="0.25">
      <c r="A418" s="7" t="s">
        <v>1215</v>
      </c>
      <c r="B418" s="47" t="str">
        <f t="shared" si="30"/>
        <v>PROTECTION_CRE_YRLY_INCM</v>
      </c>
      <c r="C418" s="8" t="s">
        <v>1114</v>
      </c>
      <c r="D418" s="9" t="s">
        <v>1216</v>
      </c>
      <c r="E418" s="27" t="s">
        <v>1217</v>
      </c>
      <c r="F418" s="10" t="s">
        <v>13</v>
      </c>
      <c r="G418" s="10" t="s">
        <v>11</v>
      </c>
      <c r="H418" s="10" t="s">
        <v>11</v>
      </c>
      <c r="I418" s="10" t="s">
        <v>11</v>
      </c>
      <c r="J418" s="10" t="s">
        <v>11</v>
      </c>
      <c r="L418" s="6" t="str">
        <f>IFERROR(VLOOKUP($B418,'LISTA - Setembro2024'!$B$3:$F$539,5,0),"Campo eliminado")</f>
        <v>Y</v>
      </c>
      <c r="M418" s="6" t="str">
        <f t="shared" si="31"/>
        <v>Igual</v>
      </c>
      <c r="N418" s="6" t="str">
        <f>IFERROR(VLOOKUP($B418,'LISTA - Setembro2024'!$B$3:$K$539,6,0),"Campo eliminado")</f>
        <v>N</v>
      </c>
      <c r="O418" s="6" t="str">
        <f t="shared" si="32"/>
        <v>Igual</v>
      </c>
      <c r="P418" s="6" t="str">
        <f>IFERROR(VLOOKUP($B418,'LISTA - Setembro2024'!$B$3:$K$539,7,0),"Campo eliminado")</f>
        <v>N</v>
      </c>
      <c r="Q418" s="6" t="str">
        <f t="shared" si="33"/>
        <v>Igual</v>
      </c>
      <c r="R418" s="6" t="str">
        <f>IFERROR(VLOOKUP($B418,'LISTA - Setembro2024'!$B$3:$K$539,9,0),"Campo eliminado")</f>
        <v>N</v>
      </c>
      <c r="S418" s="6" t="str">
        <f t="shared" si="34"/>
        <v>Igual</v>
      </c>
      <c r="U418" s="6" t="str">
        <f>VLOOKUP(B418,DataLake!$A$4:$A$429,1,0)</f>
        <v>PROTECTION_CRE_YRLY_INCM</v>
      </c>
    </row>
    <row r="419" spans="1:21" ht="14.85" hidden="1" customHeight="1" x14ac:dyDescent="0.25">
      <c r="A419" s="7" t="s">
        <v>1218</v>
      </c>
      <c r="B419" s="47" t="str">
        <f t="shared" si="30"/>
        <v>PROTECTION_PRTCTN_TYP_PBLC_GRNT_SCHM_C19</v>
      </c>
      <c r="C419" s="8" t="s">
        <v>1114</v>
      </c>
      <c r="D419" s="24" t="s">
        <v>1219</v>
      </c>
      <c r="E419" s="35" t="s">
        <v>1220</v>
      </c>
      <c r="F419" s="25" t="s">
        <v>13</v>
      </c>
      <c r="G419" s="25" t="s">
        <v>11</v>
      </c>
      <c r="H419" s="25" t="s">
        <v>11</v>
      </c>
      <c r="I419" s="25" t="s">
        <v>11</v>
      </c>
      <c r="J419" s="10" t="s">
        <v>11</v>
      </c>
      <c r="L419" s="6" t="str">
        <f>IFERROR(VLOOKUP($B419,'LISTA - Setembro2024'!$B$3:$F$539,5,0),"Campo eliminado")</f>
        <v>Y</v>
      </c>
      <c r="M419" s="6" t="str">
        <f t="shared" si="31"/>
        <v>Igual</v>
      </c>
      <c r="N419" s="6" t="str">
        <f>IFERROR(VLOOKUP($B419,'LISTA - Setembro2024'!$B$3:$K$539,6,0),"Campo eliminado")</f>
        <v>N</v>
      </c>
      <c r="O419" s="6" t="str">
        <f t="shared" si="32"/>
        <v>Igual</v>
      </c>
      <c r="P419" s="6" t="str">
        <f>IFERROR(VLOOKUP($B419,'LISTA - Setembro2024'!$B$3:$K$539,7,0),"Campo eliminado")</f>
        <v>N</v>
      </c>
      <c r="Q419" s="6" t="str">
        <f t="shared" si="33"/>
        <v>Igual</v>
      </c>
      <c r="R419" s="6" t="str">
        <f>IFERROR(VLOOKUP($B419,'LISTA - Setembro2024'!$B$3:$K$539,9,0),"Campo eliminado")</f>
        <v>N</v>
      </c>
      <c r="S419" s="6" t="str">
        <f t="shared" si="34"/>
        <v>Igual</v>
      </c>
      <c r="U419" s="6" t="str">
        <f>VLOOKUP(B419,DataLake!$A$4:$A$429,1,0)</f>
        <v>PROTECTION_PRTCTN_TYP_PBLC_GRNT_SCHM_C19</v>
      </c>
    </row>
    <row r="420" spans="1:21" ht="15" hidden="1" customHeight="1" x14ac:dyDescent="0.25">
      <c r="A420" s="7" t="s">
        <v>1221</v>
      </c>
      <c r="B420" s="47" t="str">
        <f t="shared" si="30"/>
        <v>PROTECTION_TAX_ID</v>
      </c>
      <c r="C420" s="8" t="s">
        <v>1114</v>
      </c>
      <c r="D420" s="9" t="s">
        <v>266</v>
      </c>
      <c r="E420" s="11" t="s">
        <v>267</v>
      </c>
      <c r="F420" s="10" t="s">
        <v>13</v>
      </c>
      <c r="G420" s="10" t="s">
        <v>11</v>
      </c>
      <c r="H420" s="10" t="s">
        <v>11</v>
      </c>
      <c r="I420" s="10" t="s">
        <v>11</v>
      </c>
      <c r="J420" s="10" t="s">
        <v>11</v>
      </c>
      <c r="L420" s="6" t="str">
        <f>IFERROR(VLOOKUP($B420,'LISTA - Setembro2024'!$B$3:$F$539,5,0),"Campo eliminado")</f>
        <v>Y</v>
      </c>
      <c r="M420" s="6" t="str">
        <f t="shared" si="31"/>
        <v>Igual</v>
      </c>
      <c r="N420" s="6" t="str">
        <f>IFERROR(VLOOKUP($B420,'LISTA - Setembro2024'!$B$3:$K$539,6,0),"Campo eliminado")</f>
        <v>N</v>
      </c>
      <c r="O420" s="6" t="str">
        <f t="shared" si="32"/>
        <v>Igual</v>
      </c>
      <c r="P420" s="6" t="str">
        <f>IFERROR(VLOOKUP($B420,'LISTA - Setembro2024'!$B$3:$K$539,7,0),"Campo eliminado")</f>
        <v>N</v>
      </c>
      <c r="Q420" s="6" t="str">
        <f t="shared" si="33"/>
        <v>Igual</v>
      </c>
      <c r="R420" s="6" t="str">
        <f>IFERROR(VLOOKUP($B420,'LISTA - Setembro2024'!$B$3:$K$539,9,0),"Campo eliminado")</f>
        <v>N</v>
      </c>
      <c r="S420" s="6" t="str">
        <f t="shared" si="34"/>
        <v>Igual</v>
      </c>
      <c r="U420" s="6" t="str">
        <f>VLOOKUP(B420,DataLake!$A$4:$A$429,1,0)</f>
        <v>PROTECTION_TAX_ID</v>
      </c>
    </row>
    <row r="421" spans="1:21" ht="15" hidden="1" customHeight="1" x14ac:dyDescent="0.25">
      <c r="A421" s="16" t="s">
        <v>1222</v>
      </c>
      <c r="B421" s="47" t="str">
        <f t="shared" si="30"/>
        <v>PROTECTION_TYP_EP_SCR</v>
      </c>
      <c r="C421" s="8" t="s">
        <v>1114</v>
      </c>
      <c r="D421" s="9" t="s">
        <v>1223</v>
      </c>
      <c r="E421" s="11" t="s">
        <v>1224</v>
      </c>
      <c r="F421" s="10" t="s">
        <v>11</v>
      </c>
      <c r="G421" s="10" t="s">
        <v>11</v>
      </c>
      <c r="H421" s="10" t="s">
        <v>13</v>
      </c>
      <c r="I421" s="10" t="s">
        <v>13</v>
      </c>
      <c r="J421" s="10" t="s">
        <v>11</v>
      </c>
      <c r="L421" s="6" t="str">
        <f>IFERROR(VLOOKUP($B421,'LISTA - Setembro2024'!$B$3:$F$539,5,0),"Campo eliminado")</f>
        <v>N</v>
      </c>
      <c r="M421" s="6" t="str">
        <f t="shared" si="31"/>
        <v>Igual</v>
      </c>
      <c r="N421" s="6" t="str">
        <f>IFERROR(VLOOKUP($B421,'LISTA - Setembro2024'!$B$3:$K$539,6,0),"Campo eliminado")</f>
        <v>N</v>
      </c>
      <c r="O421" s="6" t="str">
        <f t="shared" si="32"/>
        <v>Igual</v>
      </c>
      <c r="P421" s="6" t="str">
        <f>IFERROR(VLOOKUP($B421,'LISTA - Setembro2024'!$B$3:$K$539,7,0),"Campo eliminado")</f>
        <v>Y</v>
      </c>
      <c r="Q421" s="6" t="str">
        <f t="shared" si="33"/>
        <v>Igual</v>
      </c>
      <c r="R421" s="6" t="str">
        <f>IFERROR(VLOOKUP($B421,'LISTA - Setembro2024'!$B$3:$K$539,9,0),"Campo eliminado")</f>
        <v>Y</v>
      </c>
      <c r="S421" s="6" t="str">
        <f t="shared" si="34"/>
        <v>Igual</v>
      </c>
      <c r="U421" s="6" t="str">
        <f>VLOOKUP(B421,DataLake!$A$4:$A$429,1,0)</f>
        <v>PROTECTION_TYP_EP_SCR</v>
      </c>
    </row>
    <row r="422" spans="1:21" ht="15" hidden="1" customHeight="1" x14ac:dyDescent="0.25">
      <c r="A422" s="16" t="s">
        <v>1225</v>
      </c>
      <c r="B422" s="47" t="str">
        <f t="shared" si="30"/>
        <v>PROTECTION_EP_SCR</v>
      </c>
      <c r="C422" s="8" t="s">
        <v>1114</v>
      </c>
      <c r="D422" s="9" t="s">
        <v>1226</v>
      </c>
      <c r="E422" s="11" t="s">
        <v>1227</v>
      </c>
      <c r="F422" s="10" t="s">
        <v>11</v>
      </c>
      <c r="G422" s="10" t="s">
        <v>11</v>
      </c>
      <c r="H422" s="10" t="s">
        <v>13</v>
      </c>
      <c r="I422" s="10" t="s">
        <v>13</v>
      </c>
      <c r="J422" s="10" t="s">
        <v>11</v>
      </c>
      <c r="L422" s="6" t="str">
        <f>IFERROR(VLOOKUP($B422,'LISTA - Setembro2024'!$B$3:$F$539,5,0),"Campo eliminado")</f>
        <v>N</v>
      </c>
      <c r="M422" s="6" t="str">
        <f t="shared" si="31"/>
        <v>Igual</v>
      </c>
      <c r="N422" s="6" t="str">
        <f>IFERROR(VLOOKUP($B422,'LISTA - Setembro2024'!$B$3:$K$539,6,0),"Campo eliminado")</f>
        <v>N</v>
      </c>
      <c r="O422" s="6" t="str">
        <f t="shared" si="32"/>
        <v>Igual</v>
      </c>
      <c r="P422" s="6" t="str">
        <f>IFERROR(VLOOKUP($B422,'LISTA - Setembro2024'!$B$3:$K$539,7,0),"Campo eliminado")</f>
        <v>Y</v>
      </c>
      <c r="Q422" s="6" t="str">
        <f t="shared" si="33"/>
        <v>Igual</v>
      </c>
      <c r="R422" s="6" t="str">
        <f>IFERROR(VLOOKUP($B422,'LISTA - Setembro2024'!$B$3:$K$539,9,0),"Campo eliminado")</f>
        <v>Y</v>
      </c>
      <c r="S422" s="6" t="str">
        <f t="shared" si="34"/>
        <v>Igual</v>
      </c>
      <c r="U422" s="6" t="str">
        <f>VLOOKUP(B422,DataLake!$A$4:$A$429,1,0)</f>
        <v>PROTECTION_EP_SCR</v>
      </c>
    </row>
    <row r="423" spans="1:21" ht="15" hidden="1" customHeight="1" x14ac:dyDescent="0.25">
      <c r="A423" s="16" t="s">
        <v>1228</v>
      </c>
      <c r="B423" s="47" t="str">
        <f t="shared" si="30"/>
        <v>PROTECTION_TYP_EPC_LBL</v>
      </c>
      <c r="C423" s="8" t="s">
        <v>1114</v>
      </c>
      <c r="D423" s="9" t="s">
        <v>1229</v>
      </c>
      <c r="E423" s="11" t="s">
        <v>1230</v>
      </c>
      <c r="F423" s="10" t="s">
        <v>11</v>
      </c>
      <c r="G423" s="10" t="s">
        <v>11</v>
      </c>
      <c r="H423" s="10" t="s">
        <v>13</v>
      </c>
      <c r="I423" s="10" t="s">
        <v>13</v>
      </c>
      <c r="J423" s="10" t="s">
        <v>11</v>
      </c>
      <c r="L423" s="6" t="str">
        <f>IFERROR(VLOOKUP($B423,'LISTA - Setembro2024'!$B$3:$F$539,5,0),"Campo eliminado")</f>
        <v>N</v>
      </c>
      <c r="M423" s="6" t="str">
        <f t="shared" si="31"/>
        <v>Igual</v>
      </c>
      <c r="N423" s="6" t="str">
        <f>IFERROR(VLOOKUP($B423,'LISTA - Setembro2024'!$B$3:$K$539,6,0),"Campo eliminado")</f>
        <v>N</v>
      </c>
      <c r="O423" s="6" t="str">
        <f t="shared" si="32"/>
        <v>Igual</v>
      </c>
      <c r="P423" s="6" t="str">
        <f>IFERROR(VLOOKUP($B423,'LISTA - Setembro2024'!$B$3:$K$539,7,0),"Campo eliminado")</f>
        <v>Y</v>
      </c>
      <c r="Q423" s="6" t="str">
        <f t="shared" si="33"/>
        <v>Igual</v>
      </c>
      <c r="R423" s="6" t="str">
        <f>IFERROR(VLOOKUP($B423,'LISTA - Setembro2024'!$B$3:$K$539,9,0),"Campo eliminado")</f>
        <v>Y</v>
      </c>
      <c r="S423" s="6" t="str">
        <f t="shared" si="34"/>
        <v>Igual</v>
      </c>
      <c r="U423" s="6" t="str">
        <f>VLOOKUP(B423,DataLake!$A$4:$A$429,1,0)</f>
        <v>PROTECTION_TYP_EPC_LBL</v>
      </c>
    </row>
    <row r="424" spans="1:21" ht="15" hidden="1" customHeight="1" x14ac:dyDescent="0.25">
      <c r="A424" s="16" t="s">
        <v>1231</v>
      </c>
      <c r="B424" s="47" t="str">
        <f t="shared" si="30"/>
        <v>PROTECTION_EPC_LBL</v>
      </c>
      <c r="C424" s="8" t="s">
        <v>1114</v>
      </c>
      <c r="D424" s="9" t="s">
        <v>1232</v>
      </c>
      <c r="E424" s="27" t="s">
        <v>1233</v>
      </c>
      <c r="F424" s="10" t="s">
        <v>11</v>
      </c>
      <c r="G424" s="10" t="s">
        <v>11</v>
      </c>
      <c r="H424" s="10" t="s">
        <v>13</v>
      </c>
      <c r="I424" s="10" t="s">
        <v>13</v>
      </c>
      <c r="J424" s="10" t="s">
        <v>11</v>
      </c>
      <c r="L424" s="6" t="str">
        <f>IFERROR(VLOOKUP($B424,'LISTA - Setembro2024'!$B$3:$F$539,5,0),"Campo eliminado")</f>
        <v>N</v>
      </c>
      <c r="M424" s="6" t="str">
        <f t="shared" si="31"/>
        <v>Igual</v>
      </c>
      <c r="N424" s="6" t="str">
        <f>IFERROR(VLOOKUP($B424,'LISTA - Setembro2024'!$B$3:$K$539,6,0),"Campo eliminado")</f>
        <v>N</v>
      </c>
      <c r="O424" s="6" t="str">
        <f t="shared" si="32"/>
        <v>Igual</v>
      </c>
      <c r="P424" s="6" t="str">
        <f>IFERROR(VLOOKUP($B424,'LISTA - Setembro2024'!$B$3:$K$539,7,0),"Campo eliminado")</f>
        <v>Y</v>
      </c>
      <c r="Q424" s="6" t="str">
        <f t="shared" si="33"/>
        <v>Igual</v>
      </c>
      <c r="R424" s="6" t="str">
        <f>IFERROR(VLOOKUP($B424,'LISTA - Setembro2024'!$B$3:$K$539,9,0),"Campo eliminado")</f>
        <v>Y</v>
      </c>
      <c r="S424" s="6" t="str">
        <f t="shared" si="34"/>
        <v>Igual</v>
      </c>
      <c r="U424" s="6" t="str">
        <f>VLOOKUP(B424,DataLake!$A$4:$A$429,1,0)</f>
        <v>PROTECTION_EPC_LBL</v>
      </c>
    </row>
    <row r="425" spans="1:21" ht="15" hidden="1" customHeight="1" x14ac:dyDescent="0.25">
      <c r="A425" s="16" t="s">
        <v>1234</v>
      </c>
      <c r="B425" s="47" t="str">
        <f t="shared" si="30"/>
        <v>PROTECTION_TYP_EMSSNS_LBL</v>
      </c>
      <c r="C425" s="8" t="s">
        <v>1114</v>
      </c>
      <c r="D425" s="9" t="s">
        <v>1235</v>
      </c>
      <c r="E425" s="11" t="s">
        <v>1236</v>
      </c>
      <c r="F425" s="10" t="s">
        <v>11</v>
      </c>
      <c r="G425" s="10" t="s">
        <v>11</v>
      </c>
      <c r="H425" s="10" t="s">
        <v>11</v>
      </c>
      <c r="I425" s="10" t="s">
        <v>13</v>
      </c>
      <c r="J425" s="10" t="s">
        <v>11</v>
      </c>
      <c r="L425" s="6" t="str">
        <f>IFERROR(VLOOKUP($B425,'LISTA - Setembro2024'!$B$3:$F$539,5,0),"Campo eliminado")</f>
        <v>N</v>
      </c>
      <c r="M425" s="6" t="str">
        <f t="shared" si="31"/>
        <v>Igual</v>
      </c>
      <c r="N425" s="6" t="str">
        <f>IFERROR(VLOOKUP($B425,'LISTA - Setembro2024'!$B$3:$K$539,6,0),"Campo eliminado")</f>
        <v>N</v>
      </c>
      <c r="O425" s="6" t="str">
        <f t="shared" si="32"/>
        <v>Igual</v>
      </c>
      <c r="P425" s="6" t="str">
        <f>IFERROR(VLOOKUP($B425,'LISTA - Setembro2024'!$B$3:$K$539,7,0),"Campo eliminado")</f>
        <v>N</v>
      </c>
      <c r="Q425" s="6" t="str">
        <f t="shared" si="33"/>
        <v>Igual</v>
      </c>
      <c r="R425" s="6" t="str">
        <f>IFERROR(VLOOKUP($B425,'LISTA - Setembro2024'!$B$3:$K$539,9,0),"Campo eliminado")</f>
        <v>Y</v>
      </c>
      <c r="S425" s="6" t="str">
        <f t="shared" si="34"/>
        <v>Igual</v>
      </c>
      <c r="U425" s="6" t="e">
        <f>VLOOKUP(B425,DataLake!$A$4:$A$429,1,0)</f>
        <v>#N/A</v>
      </c>
    </row>
    <row r="426" spans="1:21" ht="15" hidden="1" customHeight="1" x14ac:dyDescent="0.25">
      <c r="A426" s="16" t="s">
        <v>1237</v>
      </c>
      <c r="B426" s="47" t="str">
        <f t="shared" si="30"/>
        <v>PROTECTION_EPC_EMSSNS_LBL</v>
      </c>
      <c r="C426" s="8" t="s">
        <v>1114</v>
      </c>
      <c r="D426" s="9" t="s">
        <v>1238</v>
      </c>
      <c r="E426" s="18" t="s">
        <v>1239</v>
      </c>
      <c r="F426" s="10" t="s">
        <v>11</v>
      </c>
      <c r="G426" s="10" t="s">
        <v>11</v>
      </c>
      <c r="H426" s="10" t="s">
        <v>11</v>
      </c>
      <c r="I426" s="10" t="s">
        <v>13</v>
      </c>
      <c r="J426" s="10" t="s">
        <v>11</v>
      </c>
      <c r="L426" s="6" t="str">
        <f>IFERROR(VLOOKUP($B426,'LISTA - Setembro2024'!$B$3:$F$539,5,0),"Campo eliminado")</f>
        <v>N</v>
      </c>
      <c r="M426" s="6" t="str">
        <f t="shared" si="31"/>
        <v>Igual</v>
      </c>
      <c r="N426" s="6" t="str">
        <f>IFERROR(VLOOKUP($B426,'LISTA - Setembro2024'!$B$3:$K$539,6,0),"Campo eliminado")</f>
        <v>N</v>
      </c>
      <c r="O426" s="6" t="str">
        <f t="shared" si="32"/>
        <v>Igual</v>
      </c>
      <c r="P426" s="6" t="str">
        <f>IFERROR(VLOOKUP($B426,'LISTA - Setembro2024'!$B$3:$K$539,7,0),"Campo eliminado")</f>
        <v>N</v>
      </c>
      <c r="Q426" s="6" t="str">
        <f t="shared" si="33"/>
        <v>Igual</v>
      </c>
      <c r="R426" s="6" t="str">
        <f>IFERROR(VLOOKUP($B426,'LISTA - Setembro2024'!$B$3:$K$539,9,0),"Campo eliminado")</f>
        <v>Y</v>
      </c>
      <c r="S426" s="6" t="str">
        <f t="shared" si="34"/>
        <v>Igual</v>
      </c>
      <c r="U426" s="6" t="e">
        <f>VLOOKUP(B426,DataLake!$A$4:$A$429,1,0)</f>
        <v>#N/A</v>
      </c>
    </row>
    <row r="427" spans="1:21" ht="15" hidden="1" customHeight="1" x14ac:dyDescent="0.25">
      <c r="A427" s="16" t="s">
        <v>1240</v>
      </c>
      <c r="B427" s="47" t="str">
        <f t="shared" si="30"/>
        <v>PROTECTION_VHCL_EMSSNS_LBL</v>
      </c>
      <c r="C427" s="8" t="s">
        <v>1114</v>
      </c>
      <c r="D427" s="9" t="s">
        <v>1241</v>
      </c>
      <c r="E427" s="27" t="s">
        <v>1242</v>
      </c>
      <c r="F427" s="10" t="s">
        <v>11</v>
      </c>
      <c r="G427" s="10" t="s">
        <v>11</v>
      </c>
      <c r="H427" s="10" t="s">
        <v>11</v>
      </c>
      <c r="I427" s="10" t="s">
        <v>13</v>
      </c>
      <c r="J427" s="10" t="s">
        <v>11</v>
      </c>
      <c r="L427" s="6" t="str">
        <f>IFERROR(VLOOKUP($B427,'LISTA - Setembro2024'!$B$3:$F$539,5,0),"Campo eliminado")</f>
        <v>N</v>
      </c>
      <c r="M427" s="6" t="str">
        <f t="shared" si="31"/>
        <v>Igual</v>
      </c>
      <c r="N427" s="6" t="str">
        <f>IFERROR(VLOOKUP($B427,'LISTA - Setembro2024'!$B$3:$K$539,6,0),"Campo eliminado")</f>
        <v>N</v>
      </c>
      <c r="O427" s="6" t="str">
        <f t="shared" si="32"/>
        <v>Igual</v>
      </c>
      <c r="P427" s="6" t="str">
        <f>IFERROR(VLOOKUP($B427,'LISTA - Setembro2024'!$B$3:$K$539,7,0),"Campo eliminado")</f>
        <v>N</v>
      </c>
      <c r="Q427" s="6" t="str">
        <f t="shared" si="33"/>
        <v>Igual</v>
      </c>
      <c r="R427" s="6" t="str">
        <f>IFERROR(VLOOKUP($B427,'LISTA - Setembro2024'!$B$3:$K$539,9,0),"Campo eliminado")</f>
        <v>Y</v>
      </c>
      <c r="S427" s="6" t="str">
        <f t="shared" si="34"/>
        <v>Igual</v>
      </c>
      <c r="U427" s="6" t="e">
        <f>VLOOKUP(B427,DataLake!$A$4:$A$429,1,0)</f>
        <v>#N/A</v>
      </c>
    </row>
    <row r="428" spans="1:21" ht="15" hidden="1" customHeight="1" x14ac:dyDescent="0.25">
      <c r="A428" s="16" t="s">
        <v>1243</v>
      </c>
      <c r="B428" s="47" t="str">
        <f t="shared" si="30"/>
        <v>PROTECTION_TYP_EMSSNS_SCR</v>
      </c>
      <c r="C428" s="8" t="s">
        <v>1114</v>
      </c>
      <c r="D428" s="9" t="s">
        <v>1244</v>
      </c>
      <c r="E428" s="11" t="s">
        <v>1245</v>
      </c>
      <c r="F428" s="10" t="s">
        <v>11</v>
      </c>
      <c r="G428" s="10" t="s">
        <v>11</v>
      </c>
      <c r="H428" s="10" t="s">
        <v>11</v>
      </c>
      <c r="I428" s="10" t="s">
        <v>13</v>
      </c>
      <c r="J428" s="10" t="s">
        <v>11</v>
      </c>
      <c r="L428" s="6" t="str">
        <f>IFERROR(VLOOKUP($B428,'LISTA - Setembro2024'!$B$3:$F$539,5,0),"Campo eliminado")</f>
        <v>N</v>
      </c>
      <c r="M428" s="6" t="str">
        <f t="shared" si="31"/>
        <v>Igual</v>
      </c>
      <c r="N428" s="6" t="str">
        <f>IFERROR(VLOOKUP($B428,'LISTA - Setembro2024'!$B$3:$K$539,6,0),"Campo eliminado")</f>
        <v>N</v>
      </c>
      <c r="O428" s="6" t="str">
        <f t="shared" si="32"/>
        <v>Igual</v>
      </c>
      <c r="P428" s="6" t="str">
        <f>IFERROR(VLOOKUP($B428,'LISTA - Setembro2024'!$B$3:$K$539,7,0),"Campo eliminado")</f>
        <v>N</v>
      </c>
      <c r="Q428" s="6" t="str">
        <f t="shared" si="33"/>
        <v>Igual</v>
      </c>
      <c r="R428" s="6" t="str">
        <f>IFERROR(VLOOKUP($B428,'LISTA - Setembro2024'!$B$3:$K$539,9,0),"Campo eliminado")</f>
        <v>Y</v>
      </c>
      <c r="S428" s="6" t="str">
        <f t="shared" si="34"/>
        <v>Igual</v>
      </c>
      <c r="U428" s="6" t="e">
        <f>VLOOKUP(B428,DataLake!$A$4:$A$429,1,0)</f>
        <v>#N/A</v>
      </c>
    </row>
    <row r="429" spans="1:21" ht="15" hidden="1" customHeight="1" x14ac:dyDescent="0.25">
      <c r="A429" s="16" t="s">
        <v>1246</v>
      </c>
      <c r="B429" s="47" t="str">
        <f t="shared" si="30"/>
        <v>PROTECTION_EPC_EMSSNS_SCR</v>
      </c>
      <c r="C429" s="8" t="s">
        <v>1114</v>
      </c>
      <c r="D429" s="9" t="s">
        <v>1247</v>
      </c>
      <c r="E429" s="18" t="s">
        <v>1248</v>
      </c>
      <c r="F429" s="10" t="s">
        <v>11</v>
      </c>
      <c r="G429" s="10" t="s">
        <v>11</v>
      </c>
      <c r="H429" s="10" t="s">
        <v>11</v>
      </c>
      <c r="I429" s="10" t="s">
        <v>13</v>
      </c>
      <c r="J429" s="10" t="s">
        <v>11</v>
      </c>
      <c r="L429" s="6" t="str">
        <f>IFERROR(VLOOKUP($B429,'LISTA - Setembro2024'!$B$3:$F$539,5,0),"Campo eliminado")</f>
        <v>N</v>
      </c>
      <c r="M429" s="6" t="str">
        <f t="shared" si="31"/>
        <v>Igual</v>
      </c>
      <c r="N429" s="6" t="str">
        <f>IFERROR(VLOOKUP($B429,'LISTA - Setembro2024'!$B$3:$K$539,6,0),"Campo eliminado")</f>
        <v>N</v>
      </c>
      <c r="O429" s="6" t="str">
        <f t="shared" si="32"/>
        <v>Igual</v>
      </c>
      <c r="P429" s="6" t="str">
        <f>IFERROR(VLOOKUP($B429,'LISTA - Setembro2024'!$B$3:$K$539,7,0),"Campo eliminado")</f>
        <v>N</v>
      </c>
      <c r="Q429" s="6" t="str">
        <f t="shared" si="33"/>
        <v>Igual</v>
      </c>
      <c r="R429" s="6" t="str">
        <f>IFERROR(VLOOKUP($B429,'LISTA - Setembro2024'!$B$3:$K$539,9,0),"Campo eliminado")</f>
        <v>Y</v>
      </c>
      <c r="S429" s="6" t="str">
        <f t="shared" si="34"/>
        <v>Igual</v>
      </c>
      <c r="U429" s="6" t="e">
        <f>VLOOKUP(B429,DataLake!$A$4:$A$429,1,0)</f>
        <v>#N/A</v>
      </c>
    </row>
    <row r="430" spans="1:21" ht="15" hidden="1" customHeight="1" x14ac:dyDescent="0.25">
      <c r="A430" s="16" t="s">
        <v>1249</v>
      </c>
      <c r="B430" s="47" t="str">
        <f t="shared" si="30"/>
        <v>PROTECTION_VHCL_EMSSNS_SCR</v>
      </c>
      <c r="C430" s="8" t="s">
        <v>1114</v>
      </c>
      <c r="D430" s="9" t="s">
        <v>1250</v>
      </c>
      <c r="E430" s="18" t="s">
        <v>1251</v>
      </c>
      <c r="F430" s="10" t="s">
        <v>11</v>
      </c>
      <c r="G430" s="10" t="s">
        <v>11</v>
      </c>
      <c r="H430" s="10" t="s">
        <v>11</v>
      </c>
      <c r="I430" s="10" t="s">
        <v>13</v>
      </c>
      <c r="J430" s="10" t="s">
        <v>11</v>
      </c>
      <c r="L430" s="6" t="str">
        <f>IFERROR(VLOOKUP($B430,'LISTA - Setembro2024'!$B$3:$F$539,5,0),"Campo eliminado")</f>
        <v>N</v>
      </c>
      <c r="M430" s="6" t="str">
        <f t="shared" si="31"/>
        <v>Igual</v>
      </c>
      <c r="N430" s="6" t="str">
        <f>IFERROR(VLOOKUP($B430,'LISTA - Setembro2024'!$B$3:$K$539,6,0),"Campo eliminado")</f>
        <v>N</v>
      </c>
      <c r="O430" s="6" t="str">
        <f t="shared" si="32"/>
        <v>Igual</v>
      </c>
      <c r="P430" s="6" t="str">
        <f>IFERROR(VLOOKUP($B430,'LISTA - Setembro2024'!$B$3:$K$539,7,0),"Campo eliminado")</f>
        <v>N</v>
      </c>
      <c r="Q430" s="6" t="str">
        <f t="shared" si="33"/>
        <v>Igual</v>
      </c>
      <c r="R430" s="6" t="str">
        <f>IFERROR(VLOOKUP($B430,'LISTA - Setembro2024'!$B$3:$K$539,9,0),"Campo eliminado")</f>
        <v>Y</v>
      </c>
      <c r="S430" s="6" t="str">
        <f t="shared" si="34"/>
        <v>Igual</v>
      </c>
      <c r="U430" s="6" t="e">
        <f>VLOOKUP(B430,DataLake!$A$4:$A$429,1,0)</f>
        <v>#N/A</v>
      </c>
    </row>
    <row r="431" spans="1:21" ht="15" hidden="1" customHeight="1" x14ac:dyDescent="0.25">
      <c r="A431" s="16" t="s">
        <v>1252</v>
      </c>
      <c r="B431" s="47" t="str">
        <f t="shared" si="30"/>
        <v>PROTECTION_EMSSNS_SCP1_PRTCTN</v>
      </c>
      <c r="C431" s="8" t="s">
        <v>1114</v>
      </c>
      <c r="D431" s="9" t="s">
        <v>1253</v>
      </c>
      <c r="E431" s="11" t="s">
        <v>1254</v>
      </c>
      <c r="F431" s="10" t="s">
        <v>11</v>
      </c>
      <c r="G431" s="10" t="s">
        <v>11</v>
      </c>
      <c r="H431" s="10" t="s">
        <v>13</v>
      </c>
      <c r="I431" s="10" t="s">
        <v>13</v>
      </c>
      <c r="J431" s="10" t="s">
        <v>11</v>
      </c>
      <c r="L431" s="6" t="str">
        <f>IFERROR(VLOOKUP($B431,'LISTA - Setembro2024'!$B$3:$F$539,5,0),"Campo eliminado")</f>
        <v>N</v>
      </c>
      <c r="M431" s="6" t="str">
        <f t="shared" si="31"/>
        <v>Igual</v>
      </c>
      <c r="N431" s="6" t="str">
        <f>IFERROR(VLOOKUP($B431,'LISTA - Setembro2024'!$B$3:$K$539,6,0),"Campo eliminado")</f>
        <v>N</v>
      </c>
      <c r="O431" s="6" t="str">
        <f t="shared" si="32"/>
        <v>Igual</v>
      </c>
      <c r="P431" s="6" t="str">
        <f>IFERROR(VLOOKUP($B431,'LISTA - Setembro2024'!$B$3:$K$539,7,0),"Campo eliminado")</f>
        <v>Y</v>
      </c>
      <c r="Q431" s="6" t="str">
        <f t="shared" si="33"/>
        <v>Igual</v>
      </c>
      <c r="R431" s="6" t="str">
        <f>IFERROR(VLOOKUP($B431,'LISTA - Setembro2024'!$B$3:$K$539,9,0),"Campo eliminado")</f>
        <v>Y</v>
      </c>
      <c r="S431" s="6" t="str">
        <f t="shared" si="34"/>
        <v>Igual</v>
      </c>
      <c r="U431" s="6" t="str">
        <f>VLOOKUP(B431,DataLake!$A$4:$A$429,1,0)</f>
        <v>PROTECTION_EMSSNS_SCP1_PRTCTN</v>
      </c>
    </row>
    <row r="432" spans="1:21" ht="15" hidden="1" customHeight="1" x14ac:dyDescent="0.25">
      <c r="A432" s="16" t="s">
        <v>1255</v>
      </c>
      <c r="B432" s="47" t="str">
        <f t="shared" si="30"/>
        <v>PROTECTION_EMSSNS_SCP2_PRTCTN</v>
      </c>
      <c r="C432" s="8" t="s">
        <v>1114</v>
      </c>
      <c r="D432" s="9" t="s">
        <v>1256</v>
      </c>
      <c r="E432" s="11" t="s">
        <v>1257</v>
      </c>
      <c r="F432" s="10" t="s">
        <v>11</v>
      </c>
      <c r="G432" s="10" t="s">
        <v>11</v>
      </c>
      <c r="H432" s="10" t="s">
        <v>13</v>
      </c>
      <c r="I432" s="10" t="s">
        <v>13</v>
      </c>
      <c r="J432" s="10" t="s">
        <v>11</v>
      </c>
      <c r="L432" s="6" t="str">
        <f>IFERROR(VLOOKUP($B432,'LISTA - Setembro2024'!$B$3:$F$539,5,0),"Campo eliminado")</f>
        <v>N</v>
      </c>
      <c r="M432" s="6" t="str">
        <f t="shared" si="31"/>
        <v>Igual</v>
      </c>
      <c r="N432" s="6" t="str">
        <f>IFERROR(VLOOKUP($B432,'LISTA - Setembro2024'!$B$3:$K$539,6,0),"Campo eliminado")</f>
        <v>N</v>
      </c>
      <c r="O432" s="6" t="str">
        <f t="shared" si="32"/>
        <v>Igual</v>
      </c>
      <c r="P432" s="6" t="str">
        <f>IFERROR(VLOOKUP($B432,'LISTA - Setembro2024'!$B$3:$K$539,7,0),"Campo eliminado")</f>
        <v>Y</v>
      </c>
      <c r="Q432" s="6" t="str">
        <f t="shared" si="33"/>
        <v>Igual</v>
      </c>
      <c r="R432" s="6" t="str">
        <f>IFERROR(VLOOKUP($B432,'LISTA - Setembro2024'!$B$3:$K$539,9,0),"Campo eliminado")</f>
        <v>Y</v>
      </c>
      <c r="S432" s="6" t="str">
        <f t="shared" si="34"/>
        <v>Igual</v>
      </c>
      <c r="U432" s="6" t="str">
        <f>VLOOKUP(B432,DataLake!$A$4:$A$429,1,0)</f>
        <v>PROTECTION_EMSSNS_SCP2_PRTCTN</v>
      </c>
    </row>
    <row r="433" spans="1:21" ht="15" hidden="1" customHeight="1" x14ac:dyDescent="0.25">
      <c r="A433" s="16" t="s">
        <v>1258</v>
      </c>
      <c r="B433" s="47" t="str">
        <f t="shared" si="30"/>
        <v>PROTECTION_EMSSNS_SCP3_PRTCTN</v>
      </c>
      <c r="C433" s="8" t="s">
        <v>1114</v>
      </c>
      <c r="D433" s="9" t="s">
        <v>1259</v>
      </c>
      <c r="E433" s="11" t="s">
        <v>1260</v>
      </c>
      <c r="F433" s="10" t="s">
        <v>11</v>
      </c>
      <c r="G433" s="10" t="s">
        <v>11</v>
      </c>
      <c r="H433" s="10" t="s">
        <v>13</v>
      </c>
      <c r="I433" s="10" t="s">
        <v>13</v>
      </c>
      <c r="J433" s="10" t="s">
        <v>11</v>
      </c>
      <c r="L433" s="6" t="str">
        <f>IFERROR(VLOOKUP($B433,'LISTA - Setembro2024'!$B$3:$F$539,5,0),"Campo eliminado")</f>
        <v>N</v>
      </c>
      <c r="M433" s="6" t="str">
        <f t="shared" si="31"/>
        <v>Igual</v>
      </c>
      <c r="N433" s="6" t="str">
        <f>IFERROR(VLOOKUP($B433,'LISTA - Setembro2024'!$B$3:$K$539,6,0),"Campo eliminado")</f>
        <v>N</v>
      </c>
      <c r="O433" s="6" t="str">
        <f t="shared" si="32"/>
        <v>Igual</v>
      </c>
      <c r="P433" s="6" t="str">
        <f>IFERROR(VLOOKUP($B433,'LISTA - Setembro2024'!$B$3:$K$539,7,0),"Campo eliminado")</f>
        <v>Y</v>
      </c>
      <c r="Q433" s="6" t="str">
        <f t="shared" si="33"/>
        <v>Igual</v>
      </c>
      <c r="R433" s="6" t="str">
        <f>IFERROR(VLOOKUP($B433,'LISTA - Setembro2024'!$B$3:$K$539,9,0),"Campo eliminado")</f>
        <v>Y</v>
      </c>
      <c r="S433" s="6" t="str">
        <f t="shared" si="34"/>
        <v>Igual</v>
      </c>
      <c r="U433" s="6" t="str">
        <f>VLOOKUP(B433,DataLake!$A$4:$A$429,1,0)</f>
        <v>PROTECTION_EMSSNS_SCP3_PRTCTN</v>
      </c>
    </row>
    <row r="434" spans="1:21" ht="15" hidden="1" customHeight="1" x14ac:dyDescent="0.25">
      <c r="A434" s="16" t="s">
        <v>1261</v>
      </c>
      <c r="B434" s="47" t="str">
        <f t="shared" si="30"/>
        <v>PROTECTION_MTHD_USD_PRTCTN_SCP_1</v>
      </c>
      <c r="C434" s="8" t="s">
        <v>1114</v>
      </c>
      <c r="D434" s="9" t="s">
        <v>1262</v>
      </c>
      <c r="E434" s="18" t="s">
        <v>1263</v>
      </c>
      <c r="F434" s="10" t="s">
        <v>11</v>
      </c>
      <c r="G434" s="10" t="s">
        <v>11</v>
      </c>
      <c r="H434" s="10" t="s">
        <v>13</v>
      </c>
      <c r="I434" s="10" t="s">
        <v>13</v>
      </c>
      <c r="J434" s="10" t="s">
        <v>11</v>
      </c>
      <c r="L434" s="6" t="str">
        <f>IFERROR(VLOOKUP($B434,'LISTA - Setembro2024'!$B$3:$F$539,5,0),"Campo eliminado")</f>
        <v>N</v>
      </c>
      <c r="M434" s="6" t="str">
        <f t="shared" si="31"/>
        <v>Igual</v>
      </c>
      <c r="N434" s="6" t="str">
        <f>IFERROR(VLOOKUP($B434,'LISTA - Setembro2024'!$B$3:$K$539,6,0),"Campo eliminado")</f>
        <v>N</v>
      </c>
      <c r="O434" s="6" t="str">
        <f t="shared" si="32"/>
        <v>Igual</v>
      </c>
      <c r="P434" s="6" t="str">
        <f>IFERROR(VLOOKUP($B434,'LISTA - Setembro2024'!$B$3:$K$539,7,0),"Campo eliminado")</f>
        <v>Y</v>
      </c>
      <c r="Q434" s="6" t="str">
        <f t="shared" si="33"/>
        <v>Igual</v>
      </c>
      <c r="R434" s="6" t="str">
        <f>IFERROR(VLOOKUP($B434,'LISTA - Setembro2024'!$B$3:$K$539,9,0),"Campo eliminado")</f>
        <v>Y</v>
      </c>
      <c r="S434" s="6" t="str">
        <f t="shared" si="34"/>
        <v>Igual</v>
      </c>
      <c r="U434" s="6" t="str">
        <f>VLOOKUP(B434,DataLake!$A$4:$A$429,1,0)</f>
        <v>PROTECTION_MTHD_USD_PRTCTN_SCP_1</v>
      </c>
    </row>
    <row r="435" spans="1:21" ht="15" hidden="1" customHeight="1" x14ac:dyDescent="0.25">
      <c r="A435" s="16" t="s">
        <v>1264</v>
      </c>
      <c r="B435" s="47" t="str">
        <f t="shared" si="30"/>
        <v>PROTECTION_MTHD_USD_PRTCTN_SCP_2</v>
      </c>
      <c r="C435" s="8" t="s">
        <v>1114</v>
      </c>
      <c r="D435" s="9" t="s">
        <v>1265</v>
      </c>
      <c r="E435" s="18" t="s">
        <v>1266</v>
      </c>
      <c r="F435" s="10" t="s">
        <v>11</v>
      </c>
      <c r="G435" s="10" t="s">
        <v>11</v>
      </c>
      <c r="H435" s="10" t="s">
        <v>13</v>
      </c>
      <c r="I435" s="10" t="s">
        <v>13</v>
      </c>
      <c r="J435" s="10" t="s">
        <v>11</v>
      </c>
      <c r="L435" s="6" t="str">
        <f>IFERROR(VLOOKUP($B435,'LISTA - Setembro2024'!$B$3:$F$539,5,0),"Campo eliminado")</f>
        <v>N</v>
      </c>
      <c r="M435" s="6" t="str">
        <f t="shared" si="31"/>
        <v>Igual</v>
      </c>
      <c r="N435" s="6" t="str">
        <f>IFERROR(VLOOKUP($B435,'LISTA - Setembro2024'!$B$3:$K$539,6,0),"Campo eliminado")</f>
        <v>N</v>
      </c>
      <c r="O435" s="6" t="str">
        <f t="shared" si="32"/>
        <v>Igual</v>
      </c>
      <c r="P435" s="6" t="str">
        <f>IFERROR(VLOOKUP($B435,'LISTA - Setembro2024'!$B$3:$K$539,7,0),"Campo eliminado")</f>
        <v>Y</v>
      </c>
      <c r="Q435" s="6" t="str">
        <f t="shared" si="33"/>
        <v>Igual</v>
      </c>
      <c r="R435" s="6" t="str">
        <f>IFERROR(VLOOKUP($B435,'LISTA - Setembro2024'!$B$3:$K$539,9,0),"Campo eliminado")</f>
        <v>Y</v>
      </c>
      <c r="S435" s="6" t="str">
        <f t="shared" si="34"/>
        <v>Igual</v>
      </c>
      <c r="U435" s="6" t="str">
        <f>VLOOKUP(B435,DataLake!$A$4:$A$429,1,0)</f>
        <v>PROTECTION_MTHD_USD_PRTCTN_SCP_2</v>
      </c>
    </row>
    <row r="436" spans="1:21" ht="15" hidden="1" customHeight="1" x14ac:dyDescent="0.25">
      <c r="A436" s="16" t="s">
        <v>1267</v>
      </c>
      <c r="B436" s="47" t="str">
        <f t="shared" si="30"/>
        <v>PROTECTION_MTHD_USD_PRTCTN_SCP_3</v>
      </c>
      <c r="C436" s="8" t="s">
        <v>1114</v>
      </c>
      <c r="D436" s="9" t="s">
        <v>1268</v>
      </c>
      <c r="E436" s="18" t="s">
        <v>1269</v>
      </c>
      <c r="F436" s="10" t="s">
        <v>11</v>
      </c>
      <c r="G436" s="10" t="s">
        <v>11</v>
      </c>
      <c r="H436" s="10" t="s">
        <v>13</v>
      </c>
      <c r="I436" s="10" t="s">
        <v>13</v>
      </c>
      <c r="J436" s="10" t="s">
        <v>11</v>
      </c>
      <c r="L436" s="6" t="str">
        <f>IFERROR(VLOOKUP($B436,'LISTA - Setembro2024'!$B$3:$F$539,5,0),"Campo eliminado")</f>
        <v>N</v>
      </c>
      <c r="M436" s="6" t="str">
        <f t="shared" si="31"/>
        <v>Igual</v>
      </c>
      <c r="N436" s="6" t="str">
        <f>IFERROR(VLOOKUP($B436,'LISTA - Setembro2024'!$B$3:$K$539,6,0),"Campo eliminado")</f>
        <v>N</v>
      </c>
      <c r="O436" s="6" t="str">
        <f t="shared" si="32"/>
        <v>Igual</v>
      </c>
      <c r="P436" s="6" t="str">
        <f>IFERROR(VLOOKUP($B436,'LISTA - Setembro2024'!$B$3:$K$539,7,0),"Campo eliminado")</f>
        <v>Y</v>
      </c>
      <c r="Q436" s="6" t="str">
        <f t="shared" si="33"/>
        <v>Igual</v>
      </c>
      <c r="R436" s="6" t="str">
        <f>IFERROR(VLOOKUP($B436,'LISTA - Setembro2024'!$B$3:$K$539,9,0),"Campo eliminado")</f>
        <v>Y</v>
      </c>
      <c r="S436" s="6" t="str">
        <f t="shared" si="34"/>
        <v>Igual</v>
      </c>
      <c r="U436" s="6" t="str">
        <f>VLOOKUP(B436,DataLake!$A$4:$A$429,1,0)</f>
        <v>PROTECTION_MTHD_USD_PRTCTN_SCP_3</v>
      </c>
    </row>
    <row r="437" spans="1:21" ht="15" hidden="1" customHeight="1" x14ac:dyDescent="0.25">
      <c r="A437" s="16" t="s">
        <v>1270</v>
      </c>
      <c r="B437" s="47" t="str">
        <f t="shared" si="30"/>
        <v>PROTECTION_FLG_ACT_PHYSCL_RSK</v>
      </c>
      <c r="C437" s="8" t="s">
        <v>1114</v>
      </c>
      <c r="D437" s="9" t="s">
        <v>376</v>
      </c>
      <c r="E437" s="18" t="s">
        <v>1271</v>
      </c>
      <c r="F437" s="10" t="s">
        <v>11</v>
      </c>
      <c r="G437" s="10" t="s">
        <v>11</v>
      </c>
      <c r="H437" s="10" t="s">
        <v>13</v>
      </c>
      <c r="I437" s="10" t="s">
        <v>11</v>
      </c>
      <c r="J437" s="10" t="s">
        <v>11</v>
      </c>
      <c r="L437" s="6" t="str">
        <f>IFERROR(VLOOKUP($B437,'LISTA - Setembro2024'!$B$3:$F$539,5,0),"Campo eliminado")</f>
        <v>N</v>
      </c>
      <c r="M437" s="6" t="str">
        <f t="shared" si="31"/>
        <v>Igual</v>
      </c>
      <c r="N437" s="6" t="str">
        <f>IFERROR(VLOOKUP($B437,'LISTA - Setembro2024'!$B$3:$K$539,6,0),"Campo eliminado")</f>
        <v>N</v>
      </c>
      <c r="O437" s="6" t="str">
        <f t="shared" si="32"/>
        <v>Igual</v>
      </c>
      <c r="P437" s="6" t="str">
        <f>IFERROR(VLOOKUP($B437,'LISTA - Setembro2024'!$B$3:$K$539,7,0),"Campo eliminado")</f>
        <v>Y</v>
      </c>
      <c r="Q437" s="6" t="str">
        <f t="shared" si="33"/>
        <v>Igual</v>
      </c>
      <c r="R437" s="6" t="str">
        <f>IFERROR(VLOOKUP($B437,'LISTA - Setembro2024'!$B$3:$K$539,9,0),"Campo eliminado")</f>
        <v>N</v>
      </c>
      <c r="S437" s="6" t="str">
        <f t="shared" si="34"/>
        <v>Igual</v>
      </c>
      <c r="U437" s="6" t="str">
        <f>VLOOKUP(B437,DataLake!$A$4:$A$429,1,0)</f>
        <v>PROTECTION_FLG_ACT_PHYSCL_RSK</v>
      </c>
    </row>
    <row r="438" spans="1:21" ht="15" hidden="1" customHeight="1" x14ac:dyDescent="0.25">
      <c r="A438" s="16" t="s">
        <v>1272</v>
      </c>
      <c r="B438" s="47" t="str">
        <f t="shared" si="30"/>
        <v>PROTECTION_FLG_CHRNC_PHYSCL_RSK</v>
      </c>
      <c r="C438" s="8" t="s">
        <v>1114</v>
      </c>
      <c r="D438" s="9" t="s">
        <v>379</v>
      </c>
      <c r="E438" s="18" t="s">
        <v>1273</v>
      </c>
      <c r="F438" s="10" t="s">
        <v>11</v>
      </c>
      <c r="G438" s="10" t="s">
        <v>11</v>
      </c>
      <c r="H438" s="10" t="s">
        <v>13</v>
      </c>
      <c r="I438" s="10" t="s">
        <v>11</v>
      </c>
      <c r="J438" s="10" t="s">
        <v>11</v>
      </c>
      <c r="L438" s="6" t="str">
        <f>IFERROR(VLOOKUP($B438,'LISTA - Setembro2024'!$B$3:$F$539,5,0),"Campo eliminado")</f>
        <v>N</v>
      </c>
      <c r="M438" s="6" t="str">
        <f t="shared" si="31"/>
        <v>Igual</v>
      </c>
      <c r="N438" s="6" t="str">
        <f>IFERROR(VLOOKUP($B438,'LISTA - Setembro2024'!$B$3:$K$539,6,0),"Campo eliminado")</f>
        <v>N</v>
      </c>
      <c r="O438" s="6" t="str">
        <f t="shared" si="32"/>
        <v>Igual</v>
      </c>
      <c r="P438" s="6" t="str">
        <f>IFERROR(VLOOKUP($B438,'LISTA - Setembro2024'!$B$3:$K$539,7,0),"Campo eliminado")</f>
        <v>Y</v>
      </c>
      <c r="Q438" s="6" t="str">
        <f t="shared" si="33"/>
        <v>Igual</v>
      </c>
      <c r="R438" s="6" t="str">
        <f>IFERROR(VLOOKUP($B438,'LISTA - Setembro2024'!$B$3:$K$539,9,0),"Campo eliminado")</f>
        <v>N</v>
      </c>
      <c r="S438" s="6" t="str">
        <f t="shared" si="34"/>
        <v>Igual</v>
      </c>
      <c r="U438" s="6" t="str">
        <f>VLOOKUP(B438,DataLake!$A$4:$A$429,1,0)</f>
        <v>PROTECTION_FLG_CHRNC_PHYSCL_RSK</v>
      </c>
    </row>
    <row r="439" spans="1:21" ht="15" hidden="1" customHeight="1" x14ac:dyDescent="0.25">
      <c r="A439" s="16" t="s">
        <v>1274</v>
      </c>
      <c r="B439" s="47" t="str">
        <f t="shared" si="30"/>
        <v>PROTECTION_INSRNC_ID</v>
      </c>
      <c r="C439" s="8" t="s">
        <v>1114</v>
      </c>
      <c r="D439" s="9" t="s">
        <v>1275</v>
      </c>
      <c r="E439" s="18" t="s">
        <v>1276</v>
      </c>
      <c r="F439" s="10" t="s">
        <v>11</v>
      </c>
      <c r="G439" s="10" t="s">
        <v>11</v>
      </c>
      <c r="H439" s="10" t="s">
        <v>11</v>
      </c>
      <c r="I439" s="10" t="s">
        <v>13</v>
      </c>
      <c r="J439" s="10" t="s">
        <v>11</v>
      </c>
      <c r="L439" s="6" t="str">
        <f>IFERROR(VLOOKUP($B439,'LISTA - Setembro2024'!$B$3:$F$539,5,0),"Campo eliminado")</f>
        <v>N</v>
      </c>
      <c r="M439" s="6" t="str">
        <f t="shared" si="31"/>
        <v>Igual</v>
      </c>
      <c r="N439" s="6" t="str">
        <f>IFERROR(VLOOKUP($B439,'LISTA - Setembro2024'!$B$3:$K$539,6,0),"Campo eliminado")</f>
        <v>N</v>
      </c>
      <c r="O439" s="6" t="str">
        <f t="shared" si="32"/>
        <v>Igual</v>
      </c>
      <c r="P439" s="6" t="str">
        <f>IFERROR(VLOOKUP($B439,'LISTA - Setembro2024'!$B$3:$K$539,7,0),"Campo eliminado")</f>
        <v>N</v>
      </c>
      <c r="Q439" s="6" t="str">
        <f t="shared" si="33"/>
        <v>Igual</v>
      </c>
      <c r="R439" s="6" t="str">
        <f>IFERROR(VLOOKUP($B439,'LISTA - Setembro2024'!$B$3:$K$539,9,0),"Campo eliminado")</f>
        <v>Y</v>
      </c>
      <c r="S439" s="6" t="str">
        <f t="shared" si="34"/>
        <v>Igual</v>
      </c>
      <c r="U439" s="6" t="e">
        <f>VLOOKUP(B439,DataLake!$A$4:$A$429,1,0)</f>
        <v>#N/A</v>
      </c>
    </row>
    <row r="440" spans="1:21" ht="15" hidden="1" customHeight="1" x14ac:dyDescent="0.25">
      <c r="A440" s="16" t="s">
        <v>1277</v>
      </c>
      <c r="B440" s="47" t="str">
        <f t="shared" si="30"/>
        <v>PROTECTION_TYP_HZRDS_INSRD</v>
      </c>
      <c r="C440" s="8" t="s">
        <v>1114</v>
      </c>
      <c r="D440" s="9" t="s">
        <v>1278</v>
      </c>
      <c r="E440" s="18" t="s">
        <v>1279</v>
      </c>
      <c r="F440" s="10" t="s">
        <v>11</v>
      </c>
      <c r="G440" s="10" t="s">
        <v>11</v>
      </c>
      <c r="H440" s="10" t="s">
        <v>11</v>
      </c>
      <c r="I440" s="10" t="s">
        <v>13</v>
      </c>
      <c r="J440" s="10" t="s">
        <v>11</v>
      </c>
      <c r="L440" s="6" t="str">
        <f>IFERROR(VLOOKUP($B440,'LISTA - Setembro2024'!$B$3:$F$539,5,0),"Campo eliminado")</f>
        <v>N</v>
      </c>
      <c r="M440" s="6" t="str">
        <f t="shared" si="31"/>
        <v>Igual</v>
      </c>
      <c r="N440" s="6" t="str">
        <f>IFERROR(VLOOKUP($B440,'LISTA - Setembro2024'!$B$3:$K$539,6,0),"Campo eliminado")</f>
        <v>N</v>
      </c>
      <c r="O440" s="6" t="str">
        <f t="shared" si="32"/>
        <v>Igual</v>
      </c>
      <c r="P440" s="6" t="str">
        <f>IFERROR(VLOOKUP($B440,'LISTA - Setembro2024'!$B$3:$K$539,7,0),"Campo eliminado")</f>
        <v>N</v>
      </c>
      <c r="Q440" s="6" t="str">
        <f t="shared" si="33"/>
        <v>Igual</v>
      </c>
      <c r="R440" s="6" t="str">
        <f>IFERROR(VLOOKUP($B440,'LISTA - Setembro2024'!$B$3:$K$539,9,0),"Campo eliminado")</f>
        <v>Y</v>
      </c>
      <c r="S440" s="6" t="str">
        <f t="shared" si="34"/>
        <v>Igual</v>
      </c>
      <c r="U440" s="6" t="e">
        <f>VLOOKUP(B440,DataLake!$A$4:$A$429,1,0)</f>
        <v>#N/A</v>
      </c>
    </row>
    <row r="441" spans="1:21" ht="15" hidden="1" customHeight="1" x14ac:dyDescent="0.25">
      <c r="A441" s="16" t="s">
        <v>1280</v>
      </c>
      <c r="B441" s="47" t="str">
        <f t="shared" si="30"/>
        <v>PROTECTION_AMNT_CVRD_INSRNC</v>
      </c>
      <c r="C441" s="8" t="s">
        <v>1114</v>
      </c>
      <c r="D441" s="9" t="s">
        <v>1281</v>
      </c>
      <c r="E441" s="18" t="s">
        <v>1282</v>
      </c>
      <c r="F441" s="10" t="s">
        <v>11</v>
      </c>
      <c r="G441" s="10" t="s">
        <v>11</v>
      </c>
      <c r="H441" s="10" t="s">
        <v>11</v>
      </c>
      <c r="I441" s="10" t="s">
        <v>13</v>
      </c>
      <c r="J441" s="10" t="s">
        <v>11</v>
      </c>
      <c r="L441" s="6" t="str">
        <f>IFERROR(VLOOKUP($B441,'LISTA - Setembro2024'!$B$3:$F$539,5,0),"Campo eliminado")</f>
        <v>N</v>
      </c>
      <c r="M441" s="6" t="str">
        <f t="shared" si="31"/>
        <v>Igual</v>
      </c>
      <c r="N441" s="6" t="str">
        <f>IFERROR(VLOOKUP($B441,'LISTA - Setembro2024'!$B$3:$K$539,6,0),"Campo eliminado")</f>
        <v>N</v>
      </c>
      <c r="O441" s="6" t="str">
        <f t="shared" si="32"/>
        <v>Igual</v>
      </c>
      <c r="P441" s="6" t="str">
        <f>IFERROR(VLOOKUP($B441,'LISTA - Setembro2024'!$B$3:$K$539,7,0),"Campo eliminado")</f>
        <v>N</v>
      </c>
      <c r="Q441" s="6" t="str">
        <f t="shared" si="33"/>
        <v>Igual</v>
      </c>
      <c r="R441" s="6" t="str">
        <f>IFERROR(VLOOKUP($B441,'LISTA - Setembro2024'!$B$3:$K$539,9,0),"Campo eliminado")</f>
        <v>Y</v>
      </c>
      <c r="S441" s="6" t="str">
        <f t="shared" si="34"/>
        <v>Igual</v>
      </c>
      <c r="U441" s="6" t="e">
        <f>VLOOKUP(B441,DataLake!$A$4:$A$429,1,0)</f>
        <v>#N/A</v>
      </c>
    </row>
    <row r="442" spans="1:21" ht="15" hidden="1" customHeight="1" x14ac:dyDescent="0.25">
      <c r="A442" s="16" t="s">
        <v>1283</v>
      </c>
      <c r="B442" s="47" t="str">
        <f t="shared" si="30"/>
        <v>PROTECTION_DT_MTRTY_INSRNC</v>
      </c>
      <c r="C442" s="8" t="s">
        <v>1114</v>
      </c>
      <c r="D442" s="9" t="s">
        <v>1284</v>
      </c>
      <c r="E442" s="18" t="s">
        <v>1285</v>
      </c>
      <c r="F442" s="10" t="s">
        <v>11</v>
      </c>
      <c r="G442" s="10" t="s">
        <v>11</v>
      </c>
      <c r="H442" s="10" t="s">
        <v>11</v>
      </c>
      <c r="I442" s="10" t="s">
        <v>13</v>
      </c>
      <c r="J442" s="10" t="s">
        <v>11</v>
      </c>
      <c r="L442" s="6" t="str">
        <f>IFERROR(VLOOKUP($B442,'LISTA - Setembro2024'!$B$3:$F$539,5,0),"Campo eliminado")</f>
        <v>N</v>
      </c>
      <c r="M442" s="6" t="str">
        <f t="shared" si="31"/>
        <v>Igual</v>
      </c>
      <c r="N442" s="6" t="str">
        <f>IFERROR(VLOOKUP($B442,'LISTA - Setembro2024'!$B$3:$K$539,6,0),"Campo eliminado")</f>
        <v>N</v>
      </c>
      <c r="O442" s="6" t="str">
        <f t="shared" si="32"/>
        <v>Igual</v>
      </c>
      <c r="P442" s="6" t="str">
        <f>IFERROR(VLOOKUP($B442,'LISTA - Setembro2024'!$B$3:$K$539,7,0),"Campo eliminado")</f>
        <v>N</v>
      </c>
      <c r="Q442" s="6" t="str">
        <f t="shared" si="33"/>
        <v>Igual</v>
      </c>
      <c r="R442" s="6" t="str">
        <f>IFERROR(VLOOKUP($B442,'LISTA - Setembro2024'!$B$3:$K$539,9,0),"Campo eliminado")</f>
        <v>Y</v>
      </c>
      <c r="S442" s="6" t="str">
        <f t="shared" si="34"/>
        <v>Igual</v>
      </c>
      <c r="U442" s="6" t="e">
        <f>VLOOKUP(B442,DataLake!$A$4:$A$429,1,0)</f>
        <v>#N/A</v>
      </c>
    </row>
    <row r="443" spans="1:21" ht="15" hidden="1" customHeight="1" x14ac:dyDescent="0.25">
      <c r="A443" s="16" t="s">
        <v>1286</v>
      </c>
      <c r="B443" s="47" t="str">
        <f t="shared" si="30"/>
        <v>PROTECTION_FLG_FRST_HM</v>
      </c>
      <c r="C443" s="8" t="s">
        <v>1114</v>
      </c>
      <c r="D443" s="9" t="s">
        <v>1287</v>
      </c>
      <c r="E443" s="18" t="s">
        <v>1288</v>
      </c>
      <c r="F443" s="10" t="s">
        <v>11</v>
      </c>
      <c r="G443" s="10" t="s">
        <v>11</v>
      </c>
      <c r="H443" s="10" t="s">
        <v>11</v>
      </c>
      <c r="I443" s="10" t="s">
        <v>13</v>
      </c>
      <c r="J443" s="10" t="s">
        <v>11</v>
      </c>
      <c r="L443" s="6" t="str">
        <f>IFERROR(VLOOKUP($B443,'LISTA - Setembro2024'!$B$3:$F$539,5,0),"Campo eliminado")</f>
        <v>N</v>
      </c>
      <c r="M443" s="6" t="str">
        <f t="shared" si="31"/>
        <v>Igual</v>
      </c>
      <c r="N443" s="6" t="str">
        <f>IFERROR(VLOOKUP($B443,'LISTA - Setembro2024'!$B$3:$K$539,6,0),"Campo eliminado")</f>
        <v>N</v>
      </c>
      <c r="O443" s="6" t="str">
        <f t="shared" si="32"/>
        <v>Igual</v>
      </c>
      <c r="P443" s="6" t="str">
        <f>IFERROR(VLOOKUP($B443,'LISTA - Setembro2024'!$B$3:$K$539,7,0),"Campo eliminado")</f>
        <v>N</v>
      </c>
      <c r="Q443" s="6" t="str">
        <f t="shared" si="33"/>
        <v>Igual</v>
      </c>
      <c r="R443" s="6" t="str">
        <f>IFERROR(VLOOKUP($B443,'LISTA - Setembro2024'!$B$3:$K$539,9,0),"Campo eliminado")</f>
        <v>Y</v>
      </c>
      <c r="S443" s="6" t="str">
        <f t="shared" si="34"/>
        <v>Igual</v>
      </c>
      <c r="U443" s="6" t="e">
        <f>VLOOKUP(B443,DataLake!$A$4:$A$429,1,0)</f>
        <v>#N/A</v>
      </c>
    </row>
    <row r="444" spans="1:21" ht="14.85" hidden="1" customHeight="1" x14ac:dyDescent="0.25">
      <c r="A444" s="16" t="s">
        <v>1289</v>
      </c>
      <c r="B444" s="47" t="str">
        <f t="shared" si="30"/>
        <v>PROTECTION_YR_CNSTRCTN</v>
      </c>
      <c r="C444" s="8" t="s">
        <v>1114</v>
      </c>
      <c r="D444" s="9" t="s">
        <v>1290</v>
      </c>
      <c r="E444" s="18" t="s">
        <v>1291</v>
      </c>
      <c r="F444" s="10" t="s">
        <v>13</v>
      </c>
      <c r="G444" s="10" t="s">
        <v>11</v>
      </c>
      <c r="H444" s="10" t="s">
        <v>11</v>
      </c>
      <c r="I444" s="10" t="s">
        <v>11</v>
      </c>
      <c r="J444" s="10" t="s">
        <v>11</v>
      </c>
      <c r="L444" s="6" t="str">
        <f>IFERROR(VLOOKUP($B444,'LISTA - Setembro2024'!$B$3:$F$539,5,0),"Campo eliminado")</f>
        <v>Y</v>
      </c>
      <c r="M444" s="6" t="str">
        <f t="shared" si="31"/>
        <v>Igual</v>
      </c>
      <c r="N444" s="6" t="str">
        <f>IFERROR(VLOOKUP($B444,'LISTA - Setembro2024'!$B$3:$K$539,6,0),"Campo eliminado")</f>
        <v>N</v>
      </c>
      <c r="O444" s="6" t="str">
        <f t="shared" si="32"/>
        <v>Igual</v>
      </c>
      <c r="P444" s="6" t="str">
        <f>IFERROR(VLOOKUP($B444,'LISTA - Setembro2024'!$B$3:$K$539,7,0),"Campo eliminado")</f>
        <v>Y</v>
      </c>
      <c r="Q444" s="6" t="str">
        <f t="shared" si="33"/>
        <v>Diferente</v>
      </c>
      <c r="R444" s="6" t="str">
        <f>IFERROR(VLOOKUP($B444,'LISTA - Setembro2024'!$B$3:$K$539,9,0),"Campo eliminado")</f>
        <v>Y</v>
      </c>
      <c r="S444" s="6" t="str">
        <f t="shared" si="34"/>
        <v>Diferente</v>
      </c>
      <c r="U444" s="6" t="str">
        <f>VLOOKUP(B444,DataLake!$A$4:$A$429,1,0)</f>
        <v>PROTECTION_YR_CNSTRCTN</v>
      </c>
    </row>
    <row r="445" spans="1:21" ht="14.85" customHeight="1" x14ac:dyDescent="0.25">
      <c r="B445" s="47"/>
    </row>
    <row r="446" spans="1:21" ht="14.85" customHeight="1" x14ac:dyDescent="0.25">
      <c r="B446" s="47"/>
    </row>
    <row r="447" spans="1:21" ht="14.85" customHeight="1" x14ac:dyDescent="0.25">
      <c r="B447" s="47"/>
    </row>
    <row r="448" spans="1:21" ht="14.85" customHeight="1" x14ac:dyDescent="0.25">
      <c r="B448" s="47"/>
    </row>
    <row r="449" spans="2:2" ht="14.85" customHeight="1" x14ac:dyDescent="0.25">
      <c r="B449" s="47"/>
    </row>
    <row r="450" spans="2:2" ht="14.85" customHeight="1" x14ac:dyDescent="0.25">
      <c r="B450" s="47"/>
    </row>
    <row r="451" spans="2:2" ht="14.85" customHeight="1" x14ac:dyDescent="0.25">
      <c r="B451" s="47"/>
    </row>
    <row r="452" spans="2:2" ht="14.85" customHeight="1" x14ac:dyDescent="0.25">
      <c r="B452" s="47"/>
    </row>
    <row r="453" spans="2:2" ht="14.85" customHeight="1" x14ac:dyDescent="0.25">
      <c r="B453" s="47"/>
    </row>
    <row r="454" spans="2:2" ht="14.85" customHeight="1" x14ac:dyDescent="0.25">
      <c r="B454" s="47"/>
    </row>
    <row r="455" spans="2:2" ht="14.85" customHeight="1" x14ac:dyDescent="0.25">
      <c r="B455" s="47"/>
    </row>
    <row r="456" spans="2:2" ht="14.85" customHeight="1" x14ac:dyDescent="0.25">
      <c r="B456" s="47"/>
    </row>
    <row r="457" spans="2:2" ht="14.85" customHeight="1" x14ac:dyDescent="0.25">
      <c r="B457" s="47"/>
    </row>
    <row r="458" spans="2:2" ht="14.85" customHeight="1" x14ac:dyDescent="0.25">
      <c r="B458" s="47"/>
    </row>
    <row r="459" spans="2:2" ht="14.85" customHeight="1" x14ac:dyDescent="0.25">
      <c r="B459" s="47"/>
    </row>
    <row r="460" spans="2:2" ht="14.85" customHeight="1" x14ac:dyDescent="0.25">
      <c r="B460" s="47"/>
    </row>
    <row r="461" spans="2:2" ht="14.85" customHeight="1" x14ac:dyDescent="0.25">
      <c r="B461" s="47"/>
    </row>
    <row r="462" spans="2:2" ht="13.8" x14ac:dyDescent="0.25">
      <c r="B462" s="47"/>
    </row>
    <row r="463" spans="2:2" ht="14.85" customHeight="1" x14ac:dyDescent="0.25">
      <c r="B463" s="47"/>
    </row>
    <row r="464" spans="2:2" ht="14.85" customHeight="1" x14ac:dyDescent="0.25">
      <c r="B464" s="47"/>
    </row>
    <row r="465" spans="2:2" ht="14.85" customHeight="1" x14ac:dyDescent="0.25">
      <c r="B465" s="47"/>
    </row>
    <row r="466" spans="2:2" ht="14.85" customHeight="1" x14ac:dyDescent="0.25">
      <c r="B466" s="47"/>
    </row>
    <row r="467" spans="2:2" ht="14.85" customHeight="1" x14ac:dyDescent="0.25">
      <c r="B467" s="47"/>
    </row>
    <row r="468" spans="2:2" ht="14.85" customHeight="1" x14ac:dyDescent="0.25">
      <c r="B468" s="47"/>
    </row>
    <row r="469" spans="2:2" ht="14.85" customHeight="1" x14ac:dyDescent="0.25">
      <c r="B469" s="47"/>
    </row>
    <row r="470" spans="2:2" ht="14.85" customHeight="1" x14ac:dyDescent="0.25">
      <c r="B470" s="47"/>
    </row>
    <row r="471" spans="2:2" ht="14.85" customHeight="1" x14ac:dyDescent="0.25">
      <c r="B471" s="47"/>
    </row>
    <row r="472" spans="2:2" ht="14.85" customHeight="1" x14ac:dyDescent="0.25">
      <c r="B472" s="47"/>
    </row>
    <row r="473" spans="2:2" ht="14.85" customHeight="1" x14ac:dyDescent="0.25">
      <c r="B473" s="47"/>
    </row>
    <row r="474" spans="2:2" ht="14.85" customHeight="1" x14ac:dyDescent="0.25">
      <c r="B474" s="47"/>
    </row>
    <row r="475" spans="2:2" ht="14.85" customHeight="1" x14ac:dyDescent="0.25">
      <c r="B475" s="47"/>
    </row>
    <row r="476" spans="2:2" ht="14.85" customHeight="1" x14ac:dyDescent="0.25">
      <c r="B476" s="47"/>
    </row>
    <row r="477" spans="2:2" ht="14.85" customHeight="1" x14ac:dyDescent="0.25">
      <c r="B477" s="47"/>
    </row>
    <row r="478" spans="2:2" ht="14.85" customHeight="1" x14ac:dyDescent="0.25">
      <c r="B478" s="47"/>
    </row>
    <row r="479" spans="2:2" ht="14.85" customHeight="1" x14ac:dyDescent="0.25">
      <c r="B479" s="47"/>
    </row>
    <row r="480" spans="2:2" ht="14.85" customHeight="1" x14ac:dyDescent="0.25">
      <c r="B480" s="47"/>
    </row>
    <row r="481" spans="2:2" ht="14.85" customHeight="1" x14ac:dyDescent="0.25">
      <c r="B481" s="47"/>
    </row>
    <row r="482" spans="2:2" ht="14.85" customHeight="1" x14ac:dyDescent="0.25">
      <c r="B482" s="47"/>
    </row>
    <row r="483" spans="2:2" ht="14.85" customHeight="1" x14ac:dyDescent="0.25">
      <c r="B483" s="47"/>
    </row>
    <row r="484" spans="2:2" ht="14.85" customHeight="1" x14ac:dyDescent="0.25">
      <c r="B484" s="47"/>
    </row>
    <row r="485" spans="2:2" ht="14.85" customHeight="1" x14ac:dyDescent="0.25">
      <c r="B485" s="47"/>
    </row>
    <row r="486" spans="2:2" ht="14.85" customHeight="1" x14ac:dyDescent="0.25">
      <c r="B486" s="47"/>
    </row>
    <row r="487" spans="2:2" ht="14.85" customHeight="1" x14ac:dyDescent="0.25">
      <c r="B487" s="47"/>
    </row>
    <row r="488" spans="2:2" ht="14.85" customHeight="1" x14ac:dyDescent="0.25">
      <c r="B488" s="47"/>
    </row>
    <row r="489" spans="2:2" ht="14.85" customHeight="1" x14ac:dyDescent="0.25">
      <c r="B489" s="47"/>
    </row>
    <row r="490" spans="2:2" ht="14.85" customHeight="1" x14ac:dyDescent="0.25">
      <c r="B490" s="47"/>
    </row>
    <row r="491" spans="2:2" ht="14.85" customHeight="1" x14ac:dyDescent="0.25">
      <c r="B491" s="47"/>
    </row>
    <row r="492" spans="2:2" ht="14.85" customHeight="1" x14ac:dyDescent="0.25">
      <c r="B492" s="47"/>
    </row>
    <row r="493" spans="2:2" ht="14.85" customHeight="1" x14ac:dyDescent="0.25">
      <c r="B493" s="47"/>
    </row>
    <row r="494" spans="2:2" ht="14.85" customHeight="1" x14ac:dyDescent="0.25">
      <c r="B494" s="47"/>
    </row>
    <row r="495" spans="2:2" ht="14.85" customHeight="1" x14ac:dyDescent="0.25">
      <c r="B495" s="47"/>
    </row>
    <row r="496" spans="2:2" ht="14.85" customHeight="1" x14ac:dyDescent="0.25">
      <c r="B496" s="47"/>
    </row>
    <row r="497" spans="2:2" ht="14.85" customHeight="1" x14ac:dyDescent="0.25">
      <c r="B497" s="47"/>
    </row>
    <row r="498" spans="2:2" ht="14.85" customHeight="1" x14ac:dyDescent="0.25">
      <c r="B498" s="47"/>
    </row>
    <row r="499" spans="2:2" ht="14.85" customHeight="1" x14ac:dyDescent="0.25">
      <c r="B499" s="47"/>
    </row>
    <row r="500" spans="2:2" ht="14.85" customHeight="1" x14ac:dyDescent="0.25">
      <c r="B500" s="47"/>
    </row>
    <row r="501" spans="2:2" ht="14.85" customHeight="1" x14ac:dyDescent="0.25">
      <c r="B501" s="47"/>
    </row>
    <row r="502" spans="2:2" ht="14.85" customHeight="1" x14ac:dyDescent="0.25">
      <c r="B502" s="47"/>
    </row>
    <row r="503" spans="2:2" ht="14.85" customHeight="1" x14ac:dyDescent="0.25">
      <c r="B503" s="47"/>
    </row>
    <row r="504" spans="2:2" ht="14.85" customHeight="1" x14ac:dyDescent="0.25">
      <c r="B504" s="47"/>
    </row>
    <row r="505" spans="2:2" ht="14.85" customHeight="1" x14ac:dyDescent="0.25">
      <c r="B505" s="47"/>
    </row>
    <row r="506" spans="2:2" ht="14.85" customHeight="1" x14ac:dyDescent="0.25">
      <c r="B506" s="47"/>
    </row>
    <row r="507" spans="2:2" ht="14.85" customHeight="1" x14ac:dyDescent="0.25">
      <c r="B507" s="47"/>
    </row>
    <row r="508" spans="2:2" ht="14.85" customHeight="1" x14ac:dyDescent="0.25">
      <c r="B508" s="47"/>
    </row>
    <row r="509" spans="2:2" ht="14.85" customHeight="1" x14ac:dyDescent="0.25">
      <c r="B509" s="47"/>
    </row>
    <row r="510" spans="2:2" ht="14.85" customHeight="1" x14ac:dyDescent="0.25">
      <c r="B510" s="47"/>
    </row>
    <row r="511" spans="2:2" ht="14.85" customHeight="1" x14ac:dyDescent="0.25">
      <c r="B511" s="47"/>
    </row>
    <row r="512" spans="2:2" ht="14.85" customHeight="1" x14ac:dyDescent="0.25">
      <c r="B512" s="47"/>
    </row>
    <row r="513" spans="2:2" ht="14.85" customHeight="1" x14ac:dyDescent="0.25">
      <c r="B513" s="47"/>
    </row>
    <row r="514" spans="2:2" ht="14.85" customHeight="1" x14ac:dyDescent="0.25">
      <c r="B514" s="47"/>
    </row>
    <row r="515" spans="2:2" ht="14.85" customHeight="1" x14ac:dyDescent="0.25">
      <c r="B515" s="47"/>
    </row>
    <row r="516" spans="2:2" ht="14.85" customHeight="1" x14ac:dyDescent="0.25">
      <c r="B516" s="47"/>
    </row>
    <row r="517" spans="2:2" ht="14.85" customHeight="1" x14ac:dyDescent="0.25">
      <c r="B517" s="47"/>
    </row>
    <row r="518" spans="2:2" ht="14.85" customHeight="1" x14ac:dyDescent="0.25">
      <c r="B518" s="47"/>
    </row>
    <row r="519" spans="2:2" ht="14.85" customHeight="1" x14ac:dyDescent="0.25">
      <c r="B519" s="47"/>
    </row>
    <row r="520" spans="2:2" ht="14.85" customHeight="1" x14ac:dyDescent="0.25">
      <c r="B520" s="47"/>
    </row>
    <row r="521" spans="2:2" ht="14.85" customHeight="1" x14ac:dyDescent="0.25">
      <c r="B521" s="47"/>
    </row>
    <row r="522" spans="2:2" ht="14.85" customHeight="1" x14ac:dyDescent="0.25">
      <c r="B522" s="47"/>
    </row>
    <row r="523" spans="2:2" ht="14.85" customHeight="1" x14ac:dyDescent="0.25">
      <c r="B523" s="47"/>
    </row>
    <row r="524" spans="2:2" ht="14.85" customHeight="1" x14ac:dyDescent="0.25">
      <c r="B524" s="47"/>
    </row>
    <row r="525" spans="2:2" ht="14.85" customHeight="1" x14ac:dyDescent="0.25">
      <c r="B525" s="47"/>
    </row>
    <row r="526" spans="2:2" ht="14.85" customHeight="1" x14ac:dyDescent="0.25">
      <c r="B526" s="47"/>
    </row>
    <row r="527" spans="2:2" ht="14.85" customHeight="1" x14ac:dyDescent="0.25">
      <c r="B527" s="47"/>
    </row>
    <row r="528" spans="2:2" ht="14.85" customHeight="1" x14ac:dyDescent="0.25">
      <c r="B528" s="47"/>
    </row>
    <row r="529" spans="2:2" ht="14.85" customHeight="1" x14ac:dyDescent="0.25">
      <c r="B529" s="47"/>
    </row>
    <row r="530" spans="2:2" ht="14.85" customHeight="1" x14ac:dyDescent="0.25">
      <c r="B530" s="47"/>
    </row>
    <row r="531" spans="2:2" ht="14.85" customHeight="1" x14ac:dyDescent="0.25">
      <c r="B531" s="47"/>
    </row>
    <row r="532" spans="2:2" ht="14.85" customHeight="1" x14ac:dyDescent="0.25">
      <c r="B532" s="47"/>
    </row>
    <row r="533" spans="2:2" ht="14.85" customHeight="1" x14ac:dyDescent="0.25">
      <c r="B533" s="47"/>
    </row>
    <row r="534" spans="2:2" ht="14.85" customHeight="1" x14ac:dyDescent="0.25">
      <c r="B534" s="47"/>
    </row>
    <row r="535" spans="2:2" ht="14.85" customHeight="1" x14ac:dyDescent="0.25">
      <c r="B535" s="47"/>
    </row>
    <row r="536" spans="2:2" ht="14.85" customHeight="1" x14ac:dyDescent="0.25">
      <c r="B536" s="47"/>
    </row>
    <row r="537" spans="2:2" ht="14.85" customHeight="1" x14ac:dyDescent="0.25">
      <c r="B537" s="47"/>
    </row>
    <row r="539" spans="2:2" ht="14.85" customHeight="1" x14ac:dyDescent="0.25">
      <c r="B539" s="37"/>
    </row>
    <row r="540" spans="2:2" ht="14.85" customHeight="1" x14ac:dyDescent="0.25">
      <c r="B540" s="37"/>
    </row>
    <row r="541" spans="2:2" ht="14.85" customHeight="1" x14ac:dyDescent="0.25">
      <c r="B541" s="37"/>
    </row>
    <row r="542" spans="2:2" ht="14.85" customHeight="1" x14ac:dyDescent="0.25">
      <c r="B542" s="37"/>
    </row>
    <row r="543" spans="2:2" ht="14.85" customHeight="1" x14ac:dyDescent="0.25">
      <c r="B543" s="37"/>
    </row>
    <row r="544" spans="2:2" ht="14.85" customHeight="1" x14ac:dyDescent="0.25">
      <c r="B544" s="37"/>
    </row>
    <row r="545" spans="2:2" ht="14.85" customHeight="1" x14ac:dyDescent="0.25">
      <c r="B545" s="37"/>
    </row>
    <row r="546" spans="2:2" ht="14.85" customHeight="1" x14ac:dyDescent="0.25">
      <c r="B546" s="37"/>
    </row>
    <row r="547" spans="2:2" ht="14.85" customHeight="1" x14ac:dyDescent="0.25">
      <c r="B547" s="37"/>
    </row>
  </sheetData>
  <autoFilter ref="A1:U444">
    <filterColumn colId="3">
      <filters>
        <filter val="FLG_NFRD_APPLCBLTY"/>
      </filters>
    </filterColumn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0"/>
  <sheetViews>
    <sheetView showGridLines="0" zoomScale="115" zoomScaleNormal="115" workbookViewId="0">
      <selection activeCell="E12" sqref="E12"/>
    </sheetView>
  </sheetViews>
  <sheetFormatPr defaultColWidth="0" defaultRowHeight="13.8" x14ac:dyDescent="0.25"/>
  <cols>
    <col min="1" max="1" width="2.69921875" customWidth="1"/>
    <col min="2" max="2" width="35.19921875" customWidth="1"/>
    <col min="3" max="3" width="100.69921875" customWidth="1"/>
    <col min="4" max="4" width="5.69921875" customWidth="1"/>
    <col min="5" max="5" width="7.3984375" bestFit="1" customWidth="1"/>
    <col min="6" max="11" width="8.69921875" customWidth="1"/>
    <col min="12" max="15" width="0" hidden="1" customWidth="1"/>
    <col min="16" max="16384" width="8.69921875" hidden="1"/>
  </cols>
  <sheetData>
    <row r="2" spans="2:10" x14ac:dyDescent="0.25">
      <c r="B2" s="127" t="s">
        <v>1634</v>
      </c>
    </row>
    <row r="3" spans="2:10" x14ac:dyDescent="0.25">
      <c r="C3" s="118"/>
      <c r="D3" s="126" t="s">
        <v>1633</v>
      </c>
      <c r="E3" s="126"/>
      <c r="F3" s="119"/>
      <c r="G3" s="119"/>
      <c r="H3" s="119"/>
      <c r="I3" s="119"/>
      <c r="J3" s="6"/>
    </row>
    <row r="4" spans="2:10" x14ac:dyDescent="0.25">
      <c r="B4" s="120" t="s">
        <v>1635</v>
      </c>
      <c r="C4" s="120" t="s">
        <v>1572</v>
      </c>
      <c r="D4" s="121" t="s">
        <v>1625</v>
      </c>
      <c r="E4" s="121" t="s">
        <v>1674</v>
      </c>
      <c r="F4" s="121" t="s">
        <v>1636</v>
      </c>
      <c r="G4" s="121" t="s">
        <v>1637</v>
      </c>
      <c r="H4" s="121" t="s">
        <v>1638</v>
      </c>
      <c r="I4" s="121" t="s">
        <v>1677</v>
      </c>
    </row>
    <row r="5" spans="2:10" x14ac:dyDescent="0.25">
      <c r="B5" s="122" t="s">
        <v>1670</v>
      </c>
      <c r="C5" s="123" t="s">
        <v>1671</v>
      </c>
      <c r="D5" s="124">
        <v>0</v>
      </c>
      <c r="E5" s="124">
        <v>1</v>
      </c>
      <c r="F5" s="124">
        <v>2</v>
      </c>
      <c r="G5" s="124">
        <v>4</v>
      </c>
      <c r="H5" s="124">
        <v>8</v>
      </c>
      <c r="I5" s="124">
        <v>10</v>
      </c>
    </row>
    <row r="6" spans="2:10" ht="26.4" x14ac:dyDescent="0.25">
      <c r="B6" s="122" t="s">
        <v>1676</v>
      </c>
      <c r="C6" s="123" t="s">
        <v>1639</v>
      </c>
      <c r="D6" s="124">
        <v>0</v>
      </c>
      <c r="E6" s="124">
        <v>1</v>
      </c>
      <c r="F6" s="124">
        <v>1.5</v>
      </c>
      <c r="G6" s="124">
        <v>3</v>
      </c>
      <c r="H6" s="124">
        <v>6</v>
      </c>
      <c r="I6" s="124">
        <v>8</v>
      </c>
    </row>
    <row r="7" spans="2:10" x14ac:dyDescent="0.25">
      <c r="B7" s="122" t="s">
        <v>1645</v>
      </c>
      <c r="C7" s="123" t="s">
        <v>1640</v>
      </c>
      <c r="D7" s="124">
        <v>0</v>
      </c>
      <c r="E7" s="124">
        <v>1</v>
      </c>
      <c r="F7" s="124">
        <v>1.5</v>
      </c>
      <c r="G7" s="124">
        <v>3</v>
      </c>
      <c r="H7" s="124">
        <v>6</v>
      </c>
      <c r="I7" s="124">
        <v>3</v>
      </c>
    </row>
    <row r="8" spans="2:10" x14ac:dyDescent="0.25">
      <c r="B8" s="122" t="s">
        <v>1646</v>
      </c>
      <c r="C8" s="123" t="s">
        <v>1643</v>
      </c>
      <c r="D8" s="124">
        <v>0</v>
      </c>
      <c r="E8" s="124">
        <v>0.5</v>
      </c>
      <c r="F8" s="124">
        <v>0.5</v>
      </c>
      <c r="G8" s="124">
        <v>0.5</v>
      </c>
      <c r="H8" s="124">
        <v>0.5</v>
      </c>
      <c r="I8" s="124">
        <f t="shared" ref="I8:I10" si="0">H8*2</f>
        <v>1</v>
      </c>
    </row>
    <row r="9" spans="2:10" ht="35.4" customHeight="1" x14ac:dyDescent="0.25">
      <c r="B9" s="122" t="s">
        <v>1647</v>
      </c>
      <c r="C9" s="123" t="s">
        <v>1641</v>
      </c>
      <c r="D9" s="124">
        <v>0</v>
      </c>
      <c r="E9" s="124">
        <v>0.5</v>
      </c>
      <c r="F9" s="124">
        <v>0.5</v>
      </c>
      <c r="G9" s="124">
        <v>0.5</v>
      </c>
      <c r="H9" s="124">
        <v>0.5</v>
      </c>
      <c r="I9" s="124">
        <f t="shared" si="0"/>
        <v>1</v>
      </c>
    </row>
    <row r="10" spans="2:10" x14ac:dyDescent="0.25">
      <c r="B10" s="125" t="s">
        <v>1648</v>
      </c>
      <c r="C10" s="123" t="s">
        <v>1642</v>
      </c>
      <c r="D10" s="124">
        <v>0</v>
      </c>
      <c r="E10" s="124">
        <v>1</v>
      </c>
      <c r="F10" s="124">
        <v>1</v>
      </c>
      <c r="G10" s="124">
        <v>1</v>
      </c>
      <c r="H10" s="124">
        <v>1</v>
      </c>
      <c r="I10" s="124">
        <f t="shared" si="0"/>
        <v>2</v>
      </c>
    </row>
    <row r="11" spans="2:10" x14ac:dyDescent="0.25">
      <c r="B11" s="125" t="s">
        <v>1699</v>
      </c>
      <c r="C11" s="123" t="s">
        <v>1700</v>
      </c>
      <c r="D11" s="124">
        <v>0</v>
      </c>
      <c r="E11" s="124">
        <v>0.1</v>
      </c>
      <c r="F11" s="124">
        <v>0.1</v>
      </c>
      <c r="G11" s="124">
        <v>0.1</v>
      </c>
      <c r="H11" s="124">
        <v>0.1</v>
      </c>
      <c r="I11" s="124">
        <v>0.1</v>
      </c>
    </row>
    <row r="12" spans="2:10" x14ac:dyDescent="0.25">
      <c r="B12" s="125" t="s">
        <v>1712</v>
      </c>
      <c r="C12" s="123"/>
      <c r="D12" s="124">
        <v>0</v>
      </c>
      <c r="E12" s="124">
        <v>0.2</v>
      </c>
      <c r="F12" s="124">
        <v>0.2</v>
      </c>
      <c r="G12" s="124">
        <v>0.2</v>
      </c>
      <c r="H12" s="124">
        <v>0.2</v>
      </c>
      <c r="I12" s="124">
        <v>0.2</v>
      </c>
    </row>
    <row r="15" spans="2:10" x14ac:dyDescent="0.25">
      <c r="B15" s="127" t="s">
        <v>1713</v>
      </c>
    </row>
    <row r="16" spans="2:10" x14ac:dyDescent="0.25">
      <c r="B16" s="138"/>
    </row>
    <row r="17" spans="2:2" x14ac:dyDescent="0.25">
      <c r="B17" s="138"/>
    </row>
    <row r="18" spans="2:2" x14ac:dyDescent="0.25">
      <c r="B18" s="69" t="s">
        <v>1715</v>
      </c>
    </row>
    <row r="19" spans="2:2" x14ac:dyDescent="0.25">
      <c r="B19" s="166" t="s">
        <v>1714</v>
      </c>
    </row>
    <row r="20" spans="2:2" x14ac:dyDescent="0.25">
      <c r="B20" s="166" t="s">
        <v>1716</v>
      </c>
    </row>
    <row r="21" spans="2:2" x14ac:dyDescent="0.25">
      <c r="B21" s="138"/>
    </row>
    <row r="22" spans="2:2" x14ac:dyDescent="0.25">
      <c r="B22" s="138"/>
    </row>
    <row r="23" spans="2:2" x14ac:dyDescent="0.25">
      <c r="B23" s="69" t="s">
        <v>1709</v>
      </c>
    </row>
    <row r="24" spans="2:2" x14ac:dyDescent="0.25">
      <c r="B24" s="166" t="s">
        <v>1717</v>
      </c>
    </row>
    <row r="25" spans="2:2" x14ac:dyDescent="0.25">
      <c r="B25" s="166" t="s">
        <v>1718</v>
      </c>
    </row>
    <row r="26" spans="2:2" x14ac:dyDescent="0.25">
      <c r="B26" s="166" t="s">
        <v>1719</v>
      </c>
    </row>
    <row r="27" spans="2:2" x14ac:dyDescent="0.25">
      <c r="B27" s="138"/>
    </row>
    <row r="28" spans="2:2" x14ac:dyDescent="0.25">
      <c r="B28" s="138"/>
    </row>
    <row r="29" spans="2:2" x14ac:dyDescent="0.25">
      <c r="B29" s="138"/>
    </row>
    <row r="30" spans="2:2" x14ac:dyDescent="0.25">
      <c r="B30" s="138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CQ239"/>
  <sheetViews>
    <sheetView showGridLines="0" tabSelected="1" zoomScale="90" zoomScaleNormal="90" workbookViewId="0">
      <pane xSplit="9" ySplit="6" topLeftCell="O140" activePane="bottomRight" state="frozen"/>
      <selection pane="topRight" activeCell="J1" sqref="J1"/>
      <selection pane="bottomLeft" activeCell="A9" sqref="A9"/>
      <selection pane="bottomRight" activeCell="S156" sqref="S156"/>
    </sheetView>
  </sheetViews>
  <sheetFormatPr defaultColWidth="5.59765625" defaultRowHeight="13.8" outlineLevelRow="1" x14ac:dyDescent="0.25"/>
  <cols>
    <col min="1" max="1" width="2.69921875" style="145" customWidth="1"/>
    <col min="2" max="2" width="2.69921875" style="142" customWidth="1"/>
    <col min="3" max="3" width="59.19921875" style="143" bestFit="1" customWidth="1"/>
    <col min="4" max="4" width="20.69921875" style="144" customWidth="1"/>
    <col min="5" max="5" width="3.59765625" style="144" customWidth="1"/>
    <col min="6" max="6" width="15.69921875" style="173" customWidth="1"/>
    <col min="7" max="7" width="18.69921875" style="144" customWidth="1"/>
    <col min="8" max="8" width="18.69921875" style="187" customWidth="1"/>
    <col min="9" max="9" width="9.5" style="145" hidden="1" customWidth="1"/>
    <col min="10" max="10" width="5.8984375" style="145" bestFit="1" customWidth="1"/>
    <col min="11" max="14" width="5.59765625" style="145"/>
  </cols>
  <sheetData>
    <row r="1" spans="1:95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 spans="1:9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 spans="1:95" x14ac:dyDescent="0.25">
      <c r="A3"/>
      <c r="B3"/>
      <c r="C3"/>
      <c r="D3"/>
      <c r="E3"/>
      <c r="F3"/>
      <c r="G3"/>
      <c r="H3"/>
      <c r="I3"/>
      <c r="J3" s="146" t="s">
        <v>1701</v>
      </c>
      <c r="K3" s="146"/>
      <c r="L3" s="146"/>
      <c r="M3" s="146"/>
      <c r="N3" s="146"/>
      <c r="O3" s="146"/>
      <c r="P3" s="146"/>
      <c r="Q3" s="146"/>
      <c r="R3" s="146"/>
      <c r="S3" s="146"/>
      <c r="T3" s="146" t="s">
        <v>1702</v>
      </c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 t="s">
        <v>1703</v>
      </c>
      <c r="AN3" s="146"/>
      <c r="AO3" s="146"/>
      <c r="AP3" s="146"/>
      <c r="AQ3" s="146"/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6"/>
      <c r="BD3" s="146"/>
      <c r="BE3" s="146"/>
      <c r="BF3" s="146"/>
      <c r="BG3" s="146"/>
      <c r="BH3" s="146" t="s">
        <v>1704</v>
      </c>
      <c r="BI3" s="146"/>
      <c r="BJ3" s="146"/>
      <c r="BK3" s="146"/>
      <c r="BL3" s="146"/>
      <c r="BM3" s="146"/>
      <c r="BN3" s="146"/>
      <c r="BO3" s="146"/>
      <c r="BP3" s="146"/>
      <c r="BQ3" s="146"/>
      <c r="BR3" s="146"/>
      <c r="BS3" s="146"/>
      <c r="BT3" s="146"/>
      <c r="BU3" s="146"/>
      <c r="BV3" s="146"/>
      <c r="BW3" s="146"/>
      <c r="BX3" s="146"/>
      <c r="BY3" s="146"/>
      <c r="BZ3" s="146"/>
      <c r="CA3" s="146"/>
      <c r="CB3" s="146"/>
      <c r="CC3" s="146"/>
    </row>
    <row r="4" spans="1:95" ht="16.2" x14ac:dyDescent="0.25">
      <c r="A4"/>
      <c r="B4"/>
      <c r="C4"/>
      <c r="D4"/>
      <c r="E4"/>
      <c r="F4"/>
      <c r="G4"/>
      <c r="H4"/>
      <c r="I4"/>
      <c r="J4" s="167">
        <v>45677</v>
      </c>
      <c r="K4" s="167">
        <v>45678</v>
      </c>
      <c r="L4" s="167">
        <v>45679</v>
      </c>
      <c r="M4" s="167">
        <v>45680</v>
      </c>
      <c r="N4" s="167">
        <v>45681</v>
      </c>
      <c r="O4" s="167">
        <v>45684</v>
      </c>
      <c r="P4" s="167">
        <v>45685</v>
      </c>
      <c r="Q4" s="167">
        <v>45686</v>
      </c>
      <c r="R4" s="167">
        <v>45687</v>
      </c>
      <c r="S4" s="167">
        <v>45688</v>
      </c>
      <c r="T4" s="167">
        <v>45691</v>
      </c>
      <c r="U4" s="167">
        <v>45692</v>
      </c>
      <c r="V4" s="167">
        <v>45693</v>
      </c>
      <c r="W4" s="167">
        <v>45694</v>
      </c>
      <c r="X4" s="167">
        <v>45695</v>
      </c>
      <c r="Y4" s="167">
        <v>45698</v>
      </c>
      <c r="Z4" s="167">
        <v>45699</v>
      </c>
      <c r="AA4" s="167">
        <v>45700</v>
      </c>
      <c r="AB4" s="167">
        <v>45701</v>
      </c>
      <c r="AC4" s="167">
        <v>45702</v>
      </c>
      <c r="AD4" s="167">
        <v>45705</v>
      </c>
      <c r="AE4" s="167">
        <v>45706</v>
      </c>
      <c r="AF4" s="167">
        <v>45707</v>
      </c>
      <c r="AG4" s="167">
        <v>45708</v>
      </c>
      <c r="AH4" s="167">
        <v>45709</v>
      </c>
      <c r="AI4" s="167">
        <v>45712</v>
      </c>
      <c r="AJ4" s="167">
        <v>45713</v>
      </c>
      <c r="AK4" s="167">
        <v>45714</v>
      </c>
      <c r="AL4" s="167">
        <v>45715</v>
      </c>
      <c r="AM4" s="167">
        <v>45716</v>
      </c>
      <c r="AN4" s="167">
        <v>45719</v>
      </c>
      <c r="AO4" s="167">
        <v>45720</v>
      </c>
      <c r="AP4" s="167">
        <v>45721</v>
      </c>
      <c r="AQ4" s="167">
        <v>45722</v>
      </c>
      <c r="AR4" s="167">
        <v>45723</v>
      </c>
      <c r="AS4" s="167">
        <v>45726</v>
      </c>
      <c r="AT4" s="167">
        <v>45727</v>
      </c>
      <c r="AU4" s="167">
        <v>45728</v>
      </c>
      <c r="AV4" s="167">
        <v>45729</v>
      </c>
      <c r="AW4" s="167">
        <v>45730</v>
      </c>
      <c r="AX4" s="167">
        <v>45733</v>
      </c>
      <c r="AY4" s="167">
        <v>45734</v>
      </c>
      <c r="AZ4" s="167">
        <v>45735</v>
      </c>
      <c r="BA4" s="167">
        <v>45736</v>
      </c>
      <c r="BB4" s="167">
        <v>45737</v>
      </c>
      <c r="BC4" s="167">
        <v>45740</v>
      </c>
      <c r="BD4" s="167">
        <v>45741</v>
      </c>
      <c r="BE4" s="167">
        <v>45742</v>
      </c>
      <c r="BF4" s="167">
        <v>45743</v>
      </c>
      <c r="BG4" s="167">
        <v>45744</v>
      </c>
      <c r="BH4" s="167">
        <v>45747</v>
      </c>
      <c r="BI4" s="167">
        <v>45748</v>
      </c>
      <c r="BJ4" s="167">
        <v>45749</v>
      </c>
      <c r="BK4" s="167">
        <v>45750</v>
      </c>
      <c r="BL4" s="167">
        <v>45751</v>
      </c>
      <c r="BM4" s="167">
        <v>45754</v>
      </c>
      <c r="BN4" s="167">
        <v>45755</v>
      </c>
      <c r="BO4" s="167">
        <v>45756</v>
      </c>
      <c r="BP4" s="167">
        <v>45757</v>
      </c>
      <c r="BQ4" s="167">
        <v>45758</v>
      </c>
      <c r="BR4" s="167">
        <v>45761</v>
      </c>
      <c r="BS4" s="167">
        <v>45762</v>
      </c>
      <c r="BT4" s="167">
        <v>45763</v>
      </c>
      <c r="BU4" s="167">
        <v>45764</v>
      </c>
      <c r="BV4" s="167">
        <v>45765</v>
      </c>
      <c r="BW4" s="167">
        <v>45768</v>
      </c>
      <c r="BX4" s="167">
        <v>45769</v>
      </c>
      <c r="BY4" s="167">
        <v>45770</v>
      </c>
      <c r="BZ4" s="167">
        <v>45771</v>
      </c>
      <c r="CA4" s="167">
        <v>45772</v>
      </c>
      <c r="CB4" s="167">
        <v>45775</v>
      </c>
      <c r="CC4" s="167">
        <v>45776</v>
      </c>
      <c r="CD4">
        <v>45777</v>
      </c>
    </row>
    <row r="5" spans="1:95" ht="17.399999999999999" hidden="1" x14ac:dyDescent="0.25">
      <c r="D5" s="143"/>
      <c r="E5" s="143"/>
      <c r="G5" s="143"/>
      <c r="H5" s="188"/>
      <c r="I5" s="169">
        <v>45657</v>
      </c>
      <c r="J5" s="168">
        <v>18</v>
      </c>
      <c r="K5">
        <v>19</v>
      </c>
      <c r="L5"/>
      <c r="M5"/>
      <c r="N5"/>
    </row>
    <row r="6" spans="1:95" ht="17.399999999999999" x14ac:dyDescent="0.25">
      <c r="D6" s="143"/>
      <c r="E6" s="143"/>
      <c r="F6" s="173" t="s">
        <v>1613</v>
      </c>
      <c r="G6" s="173" t="s">
        <v>1708</v>
      </c>
      <c r="H6" s="192" t="s">
        <v>1728</v>
      </c>
      <c r="I6" s="202" t="s">
        <v>1707</v>
      </c>
      <c r="J6" s="168">
        <v>45677</v>
      </c>
      <c r="K6" s="168">
        <v>45678</v>
      </c>
      <c r="L6" s="168">
        <v>45679</v>
      </c>
      <c r="M6" s="168">
        <v>45680</v>
      </c>
      <c r="N6" s="168">
        <v>45681</v>
      </c>
      <c r="O6" s="168">
        <v>45684</v>
      </c>
      <c r="P6" s="168">
        <v>45685</v>
      </c>
      <c r="Q6" s="168">
        <v>45686</v>
      </c>
      <c r="R6" s="168">
        <v>45687</v>
      </c>
      <c r="S6" s="168">
        <v>45688</v>
      </c>
      <c r="T6" s="168">
        <v>45691</v>
      </c>
      <c r="U6" s="168">
        <v>45692</v>
      </c>
      <c r="V6" s="168">
        <v>45693</v>
      </c>
      <c r="W6" s="168">
        <v>45694</v>
      </c>
      <c r="X6" s="168">
        <v>45695</v>
      </c>
      <c r="Y6" s="168">
        <v>45698</v>
      </c>
      <c r="Z6" s="168">
        <v>45699</v>
      </c>
      <c r="AA6" s="168">
        <v>45700</v>
      </c>
      <c r="AB6" s="168">
        <v>45701</v>
      </c>
      <c r="AC6" s="168">
        <v>45702</v>
      </c>
      <c r="AD6" s="168">
        <v>45705</v>
      </c>
      <c r="AE6" s="168">
        <v>45706</v>
      </c>
      <c r="AF6" s="168">
        <v>45707</v>
      </c>
      <c r="AG6" s="168">
        <v>45708</v>
      </c>
      <c r="AH6" s="168">
        <v>45709</v>
      </c>
      <c r="AI6" s="168">
        <v>45712</v>
      </c>
      <c r="AJ6" s="168">
        <v>45713</v>
      </c>
      <c r="AK6" s="168">
        <v>45714</v>
      </c>
      <c r="AL6" s="168">
        <v>45715</v>
      </c>
      <c r="AM6" s="168">
        <v>45716</v>
      </c>
      <c r="AN6" s="168">
        <v>45719</v>
      </c>
      <c r="AO6" s="168">
        <v>45720</v>
      </c>
      <c r="AP6" s="168">
        <v>45721</v>
      </c>
      <c r="AQ6" s="168">
        <v>45722</v>
      </c>
      <c r="AR6" s="168">
        <v>45723</v>
      </c>
      <c r="AS6" s="168">
        <v>45726</v>
      </c>
      <c r="AT6" s="168">
        <v>45727</v>
      </c>
      <c r="AU6" s="168">
        <v>45728</v>
      </c>
      <c r="AV6" s="168">
        <v>45729</v>
      </c>
      <c r="AW6" s="168">
        <v>45730</v>
      </c>
      <c r="AX6" s="168">
        <v>45733</v>
      </c>
      <c r="AY6" s="168">
        <v>45734</v>
      </c>
      <c r="AZ6" s="168">
        <v>45735</v>
      </c>
      <c r="BA6" s="168">
        <v>45736</v>
      </c>
      <c r="BB6" s="168">
        <v>45737</v>
      </c>
      <c r="BC6" s="168">
        <v>45740</v>
      </c>
      <c r="BD6" s="168">
        <v>45741</v>
      </c>
      <c r="BE6" s="168">
        <v>45742</v>
      </c>
      <c r="BF6" s="168">
        <v>45743</v>
      </c>
      <c r="BG6" s="168">
        <v>45744</v>
      </c>
      <c r="BH6" s="168">
        <v>45747</v>
      </c>
      <c r="BI6" s="168">
        <v>45748</v>
      </c>
      <c r="BJ6" s="168">
        <v>45749</v>
      </c>
      <c r="BK6" s="168">
        <v>45750</v>
      </c>
      <c r="BL6" s="168">
        <v>45751</v>
      </c>
      <c r="BM6" s="168">
        <v>45754</v>
      </c>
      <c r="BN6" s="168">
        <v>45755</v>
      </c>
      <c r="BO6" s="168">
        <v>45756</v>
      </c>
      <c r="BP6" s="168">
        <v>45757</v>
      </c>
      <c r="BQ6" s="168">
        <v>45758</v>
      </c>
      <c r="BR6" s="168">
        <v>45761</v>
      </c>
      <c r="BS6" s="168">
        <v>45762</v>
      </c>
      <c r="BT6" s="168">
        <v>45763</v>
      </c>
      <c r="BU6" s="168">
        <v>45764</v>
      </c>
      <c r="BV6" s="168">
        <v>45765</v>
      </c>
      <c r="BW6" s="168">
        <v>45768</v>
      </c>
      <c r="BX6" s="168">
        <v>45769</v>
      </c>
      <c r="BY6" s="168">
        <v>45770</v>
      </c>
      <c r="BZ6" s="168">
        <v>45771</v>
      </c>
      <c r="CA6" s="168">
        <v>45772</v>
      </c>
      <c r="CB6" s="168">
        <v>45775</v>
      </c>
      <c r="CC6" s="168">
        <v>45776</v>
      </c>
      <c r="CD6" s="168">
        <v>45777</v>
      </c>
      <c r="CE6" s="168">
        <f t="shared" ref="CE6:CQ6" si="0">WORKDAY(CD6,1)</f>
        <v>45778</v>
      </c>
      <c r="CF6" s="168">
        <f t="shared" si="0"/>
        <v>45779</v>
      </c>
      <c r="CG6" s="168">
        <f t="shared" si="0"/>
        <v>45782</v>
      </c>
      <c r="CH6" s="168">
        <f t="shared" si="0"/>
        <v>45783</v>
      </c>
      <c r="CI6" s="168">
        <f t="shared" si="0"/>
        <v>45784</v>
      </c>
      <c r="CJ6" s="168">
        <f t="shared" si="0"/>
        <v>45785</v>
      </c>
      <c r="CK6" s="168">
        <f t="shared" si="0"/>
        <v>45786</v>
      </c>
      <c r="CL6" s="168">
        <f t="shared" si="0"/>
        <v>45789</v>
      </c>
      <c r="CM6" s="168">
        <f t="shared" si="0"/>
        <v>45790</v>
      </c>
      <c r="CN6" s="168">
        <f t="shared" si="0"/>
        <v>45791</v>
      </c>
      <c r="CO6" s="168">
        <f t="shared" si="0"/>
        <v>45792</v>
      </c>
      <c r="CP6" s="168">
        <f t="shared" si="0"/>
        <v>45793</v>
      </c>
      <c r="CQ6" s="168">
        <f t="shared" si="0"/>
        <v>45796</v>
      </c>
    </row>
    <row r="7" spans="1:95" x14ac:dyDescent="0.25">
      <c r="G7" s="142"/>
      <c r="H7" s="18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165"/>
      <c r="AZ7" s="165"/>
      <c r="BA7" s="165"/>
      <c r="BB7" s="165"/>
      <c r="BC7" s="165"/>
      <c r="BD7" s="165"/>
      <c r="BE7" s="165"/>
      <c r="BF7" s="165"/>
      <c r="BG7" s="165"/>
      <c r="BH7" s="165"/>
      <c r="BI7" s="165"/>
      <c r="BJ7" s="165"/>
      <c r="BK7" s="165"/>
      <c r="BL7" s="165"/>
      <c r="BM7" s="165"/>
      <c r="BN7" s="165"/>
      <c r="BO7" s="165"/>
      <c r="BP7" s="165"/>
      <c r="BQ7" s="165"/>
      <c r="BR7" s="165"/>
      <c r="BS7" s="165"/>
      <c r="BT7" s="165"/>
      <c r="BU7" s="165"/>
      <c r="BV7" s="165"/>
      <c r="BW7" s="165"/>
      <c r="BX7" s="165"/>
      <c r="BY7" s="165"/>
      <c r="BZ7" s="165"/>
      <c r="CA7" s="165"/>
      <c r="CB7" s="165"/>
      <c r="CC7" s="165"/>
      <c r="CD7" s="165"/>
      <c r="CE7" s="165"/>
      <c r="CF7" s="165"/>
      <c r="CG7" s="165"/>
      <c r="CH7" s="165"/>
      <c r="CI7" s="165"/>
      <c r="CJ7" s="165"/>
      <c r="CK7" s="165"/>
      <c r="CL7" s="165"/>
      <c r="CM7" s="165"/>
      <c r="CN7" s="165"/>
      <c r="CO7" s="165"/>
      <c r="CP7" s="165"/>
      <c r="CQ7" s="165"/>
    </row>
    <row r="8" spans="1:95" hidden="1" x14ac:dyDescent="0.25">
      <c r="C8" s="196" t="s">
        <v>1710</v>
      </c>
      <c r="D8" s="197"/>
      <c r="E8" s="198"/>
      <c r="F8" s="216" t="s">
        <v>1625</v>
      </c>
      <c r="G8" s="199">
        <f>H8*8*5</f>
        <v>0</v>
      </c>
      <c r="H8" s="200">
        <f>SUM(J8:M8)</f>
        <v>0</v>
      </c>
      <c r="I8" s="201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5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165"/>
      <c r="BA8" s="165"/>
      <c r="BB8" s="165"/>
      <c r="BC8" s="165"/>
      <c r="BD8" s="165"/>
      <c r="BE8" s="165"/>
      <c r="BF8" s="165"/>
      <c r="BG8" s="165"/>
      <c r="BH8" s="165"/>
      <c r="BI8" s="165"/>
      <c r="BJ8" s="165"/>
      <c r="BK8" s="165"/>
      <c r="BL8" s="165"/>
      <c r="BM8" s="165"/>
      <c r="BN8" s="165"/>
      <c r="BO8" s="165"/>
      <c r="BP8" s="165"/>
      <c r="BQ8" s="165"/>
      <c r="BR8" s="165"/>
      <c r="BS8" s="165"/>
      <c r="BT8" s="165"/>
      <c r="BU8" s="165"/>
      <c r="BV8" s="165"/>
      <c r="BW8" s="165"/>
      <c r="BX8" s="165"/>
      <c r="BY8" s="165"/>
      <c r="BZ8" s="165"/>
      <c r="CA8" s="165"/>
      <c r="CB8" s="165"/>
      <c r="CC8" s="165"/>
      <c r="CD8" s="165"/>
      <c r="CE8" s="165"/>
      <c r="CF8" s="165"/>
      <c r="CG8" s="165"/>
      <c r="CH8" s="165"/>
      <c r="CI8" s="165"/>
      <c r="CJ8" s="165"/>
      <c r="CK8" s="165"/>
      <c r="CL8" s="165"/>
      <c r="CM8" s="165"/>
      <c r="CN8" s="165"/>
      <c r="CO8" s="165"/>
      <c r="CP8" s="165"/>
      <c r="CQ8" s="165"/>
    </row>
    <row r="9" spans="1:95" x14ac:dyDescent="0.25">
      <c r="C9" s="175" t="s">
        <v>1710</v>
      </c>
      <c r="E9" s="143"/>
      <c r="F9" s="173" t="s">
        <v>1625</v>
      </c>
      <c r="G9" s="142">
        <f>H9*8</f>
        <v>40</v>
      </c>
      <c r="H9" s="185">
        <f>SUM(J9:BU9)</f>
        <v>5</v>
      </c>
      <c r="I9" s="221">
        <f>SUM(J9:BU9)-H9</f>
        <v>0</v>
      </c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>
        <v>1</v>
      </c>
      <c r="U9" s="165">
        <v>1</v>
      </c>
      <c r="V9" s="165">
        <v>1</v>
      </c>
      <c r="W9" s="165">
        <v>1</v>
      </c>
      <c r="X9" s="165">
        <v>1</v>
      </c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5"/>
      <c r="BE9" s="165"/>
      <c r="BF9" s="165"/>
      <c r="BG9" s="165"/>
      <c r="BH9" s="165"/>
      <c r="BI9" s="165"/>
      <c r="BJ9" s="165"/>
      <c r="BK9" s="165"/>
      <c r="BL9" s="165"/>
      <c r="BM9" s="165"/>
      <c r="BN9" s="165"/>
      <c r="BO9" s="165"/>
      <c r="BP9" s="165"/>
      <c r="BQ9" s="165"/>
      <c r="BR9" s="165"/>
      <c r="BS9" s="165"/>
      <c r="BT9" s="165"/>
      <c r="BU9" s="165"/>
      <c r="BV9" s="165"/>
      <c r="BW9" s="165"/>
      <c r="BX9" s="165"/>
      <c r="BY9" s="165"/>
      <c r="BZ9" s="165"/>
      <c r="CA9" s="165"/>
      <c r="CB9" s="165"/>
      <c r="CC9" s="165"/>
      <c r="CD9" s="165"/>
      <c r="CE9" s="165"/>
      <c r="CF9" s="165"/>
      <c r="CG9" s="165"/>
      <c r="CH9" s="165"/>
      <c r="CI9" s="165"/>
      <c r="CJ9" s="165"/>
      <c r="CK9" s="165"/>
      <c r="CL9" s="165"/>
      <c r="CM9" s="165"/>
      <c r="CN9" s="165"/>
      <c r="CO9" s="165"/>
      <c r="CP9" s="165"/>
      <c r="CQ9" s="165"/>
    </row>
    <row r="10" spans="1:95" x14ac:dyDescent="0.25">
      <c r="C10" s="177" t="s">
        <v>1739</v>
      </c>
      <c r="D10" s="178"/>
      <c r="E10" s="179"/>
      <c r="F10" s="205"/>
      <c r="G10" s="180">
        <f>SUM(G11:G11)</f>
        <v>16</v>
      </c>
      <c r="H10" s="189">
        <f>ROUND(SUM(H11:H11),1)</f>
        <v>2</v>
      </c>
      <c r="I10" s="226">
        <f>SUM(J10:CQ10)-H10</f>
        <v>-2</v>
      </c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165"/>
      <c r="AZ10" s="165"/>
      <c r="BA10" s="165"/>
      <c r="BB10" s="165"/>
      <c r="BC10" s="165"/>
      <c r="BD10" s="165"/>
      <c r="BE10" s="165"/>
      <c r="BF10" s="165"/>
      <c r="BG10" s="165"/>
      <c r="BH10" s="165"/>
      <c r="BI10" s="165"/>
      <c r="BJ10" s="165"/>
      <c r="BK10" s="165"/>
      <c r="BL10" s="165"/>
      <c r="BM10" s="165"/>
      <c r="BN10" s="165"/>
      <c r="BO10" s="165"/>
      <c r="BP10" s="165"/>
      <c r="BQ10" s="165"/>
      <c r="BR10" s="165"/>
      <c r="BS10" s="165"/>
      <c r="BT10" s="165"/>
      <c r="BU10" s="165"/>
      <c r="BV10" s="165"/>
      <c r="BW10" s="165"/>
      <c r="BX10" s="165"/>
      <c r="BY10" s="165"/>
      <c r="BZ10" s="165"/>
      <c r="CA10" s="165"/>
      <c r="CB10" s="165"/>
      <c r="CC10" s="165"/>
      <c r="CD10" s="165"/>
      <c r="CE10" s="165"/>
      <c r="CF10" s="165"/>
      <c r="CG10" s="165"/>
      <c r="CH10" s="165"/>
      <c r="CI10" s="165"/>
      <c r="CJ10" s="165"/>
      <c r="CK10" s="165"/>
      <c r="CL10" s="165"/>
      <c r="CM10" s="165"/>
      <c r="CN10" s="165"/>
      <c r="CO10" s="165"/>
      <c r="CP10" s="165"/>
      <c r="CQ10" s="165"/>
    </row>
    <row r="11" spans="1:95" outlineLevel="1" x14ac:dyDescent="0.25">
      <c r="B11" s="171"/>
      <c r="C11" s="183" t="s">
        <v>1755</v>
      </c>
      <c r="D11" s="182"/>
      <c r="E11" s="153"/>
      <c r="F11" s="172"/>
      <c r="G11" s="171">
        <v>16</v>
      </c>
      <c r="H11" s="190">
        <f>ROUNDUP(G11/8,1)</f>
        <v>2</v>
      </c>
      <c r="I11" s="193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65"/>
      <c r="AZ11" s="165"/>
      <c r="BA11" s="165"/>
      <c r="BB11" s="165"/>
      <c r="BC11" s="165"/>
      <c r="BD11" s="165"/>
      <c r="BE11" s="165"/>
      <c r="BF11" s="165"/>
      <c r="BG11" s="165"/>
      <c r="BH11" s="165"/>
      <c r="BI11" s="165"/>
      <c r="BJ11" s="165"/>
      <c r="BK11" s="165"/>
      <c r="BL11" s="165"/>
      <c r="BM11" s="165"/>
      <c r="BN11" s="165"/>
      <c r="BO11" s="165"/>
      <c r="BP11" s="165"/>
      <c r="BQ11" s="165"/>
      <c r="BR11" s="165"/>
      <c r="BS11" s="165"/>
      <c r="BT11" s="165"/>
      <c r="BU11" s="165"/>
      <c r="BV11" s="165"/>
      <c r="BW11" s="165"/>
      <c r="BX11" s="165"/>
      <c r="BY11" s="165"/>
      <c r="BZ11" s="165"/>
      <c r="CA11" s="165"/>
      <c r="CB11" s="165"/>
      <c r="CC11" s="165"/>
      <c r="CD11" s="165"/>
      <c r="CE11" s="165"/>
      <c r="CF11" s="165"/>
      <c r="CG11" s="165"/>
      <c r="CH11" s="165"/>
      <c r="CI11" s="165"/>
      <c r="CJ11" s="165"/>
      <c r="CK11" s="165"/>
      <c r="CL11" s="165"/>
      <c r="CM11" s="165"/>
      <c r="CN11" s="165"/>
      <c r="CO11" s="165"/>
      <c r="CP11" s="165"/>
      <c r="CQ11" s="165"/>
    </row>
    <row r="12" spans="1:95" x14ac:dyDescent="0.25">
      <c r="C12" s="177" t="s">
        <v>1740</v>
      </c>
      <c r="D12" s="178"/>
      <c r="E12" s="179"/>
      <c r="F12" s="205"/>
      <c r="G12" s="180">
        <f>SUM(G13:G17)</f>
        <v>60</v>
      </c>
      <c r="H12" s="189">
        <f>ROUND(SUM(H13:H17),1)</f>
        <v>7.5</v>
      </c>
      <c r="I12" s="226">
        <f>SUM(I13:I17)</f>
        <v>-2.5</v>
      </c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65"/>
      <c r="AZ12" s="165"/>
      <c r="BA12" s="165"/>
      <c r="BB12" s="165"/>
      <c r="BC12" s="165"/>
      <c r="BD12" s="165"/>
      <c r="BE12" s="165"/>
      <c r="BF12" s="165"/>
      <c r="BG12" s="165"/>
      <c r="BH12" s="165"/>
      <c r="BI12" s="165"/>
      <c r="BJ12" s="165"/>
      <c r="BK12" s="165"/>
      <c r="BL12" s="165"/>
      <c r="BM12" s="165"/>
      <c r="BN12" s="165"/>
      <c r="BO12" s="165"/>
      <c r="BP12" s="165"/>
      <c r="BQ12" s="165"/>
      <c r="BR12" s="165"/>
      <c r="BS12" s="165"/>
      <c r="BT12" s="165"/>
      <c r="BU12" s="165"/>
      <c r="BV12" s="165"/>
      <c r="BW12" s="165"/>
      <c r="BX12" s="165"/>
      <c r="BY12" s="165"/>
      <c r="BZ12" s="165"/>
      <c r="CA12" s="165"/>
      <c r="CB12" s="165"/>
      <c r="CC12" s="165"/>
      <c r="CD12" s="165"/>
      <c r="CE12" s="165"/>
      <c r="CF12" s="165"/>
      <c r="CG12" s="165"/>
      <c r="CH12" s="165"/>
      <c r="CI12" s="165"/>
      <c r="CJ12" s="165"/>
      <c r="CK12" s="165"/>
      <c r="CL12" s="165"/>
      <c r="CM12" s="165"/>
      <c r="CN12" s="165"/>
      <c r="CO12" s="165"/>
      <c r="CP12" s="165"/>
      <c r="CQ12" s="165"/>
    </row>
    <row r="13" spans="1:95" outlineLevel="1" x14ac:dyDescent="0.25">
      <c r="B13" s="171"/>
      <c r="C13" s="183" t="s">
        <v>1733</v>
      </c>
      <c r="D13" s="182"/>
      <c r="E13" s="153"/>
      <c r="F13" s="172"/>
      <c r="G13" s="171">
        <v>4</v>
      </c>
      <c r="H13" s="190">
        <f t="shared" ref="H13:H17" si="1">ROUND(G13/8,2)</f>
        <v>0.5</v>
      </c>
      <c r="I13" s="193">
        <f t="shared" ref="I13:I17" si="2">SUM(J13:CQ13)-H13</f>
        <v>0.5</v>
      </c>
      <c r="J13" s="165"/>
      <c r="K13" s="165"/>
      <c r="L13" s="165"/>
      <c r="M13" s="165"/>
      <c r="N13" s="165"/>
      <c r="O13" s="165">
        <v>1</v>
      </c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65"/>
      <c r="AZ13" s="165"/>
      <c r="BA13" s="165"/>
      <c r="BB13" s="165"/>
      <c r="BC13" s="165"/>
      <c r="BD13" s="165"/>
      <c r="BE13" s="165"/>
      <c r="BF13" s="165"/>
      <c r="BG13" s="165"/>
      <c r="BH13" s="165"/>
      <c r="BI13" s="165"/>
      <c r="BJ13" s="165"/>
      <c r="BK13" s="165"/>
      <c r="BL13" s="165"/>
      <c r="BM13" s="165"/>
      <c r="BN13" s="165"/>
      <c r="BO13" s="165"/>
      <c r="BP13" s="165"/>
      <c r="BQ13" s="165"/>
      <c r="BR13" s="165"/>
      <c r="BS13" s="165"/>
      <c r="BT13" s="165"/>
      <c r="BU13" s="165"/>
      <c r="BV13" s="165"/>
      <c r="BW13" s="165"/>
      <c r="BX13" s="165"/>
      <c r="BY13" s="165"/>
      <c r="BZ13" s="165"/>
      <c r="CA13" s="165"/>
      <c r="CB13" s="165"/>
      <c r="CC13" s="165"/>
      <c r="CD13" s="165"/>
      <c r="CE13" s="165"/>
      <c r="CF13" s="165"/>
      <c r="CG13" s="165"/>
      <c r="CH13" s="165"/>
      <c r="CI13" s="165"/>
      <c r="CJ13" s="165"/>
      <c r="CK13" s="165"/>
      <c r="CL13" s="165"/>
      <c r="CM13" s="165"/>
      <c r="CN13" s="165"/>
      <c r="CO13" s="165"/>
      <c r="CP13" s="165"/>
      <c r="CQ13" s="165"/>
    </row>
    <row r="14" spans="1:95" outlineLevel="1" x14ac:dyDescent="0.25">
      <c r="B14" s="171"/>
      <c r="C14" s="183" t="s">
        <v>1735</v>
      </c>
      <c r="D14" s="182"/>
      <c r="E14" s="153"/>
      <c r="F14" s="172"/>
      <c r="G14" s="171">
        <v>8</v>
      </c>
      <c r="H14" s="190">
        <f t="shared" si="1"/>
        <v>1</v>
      </c>
      <c r="I14" s="193">
        <f t="shared" si="2"/>
        <v>0</v>
      </c>
      <c r="J14" s="165"/>
      <c r="K14" s="165"/>
      <c r="L14" s="165"/>
      <c r="M14" s="165"/>
      <c r="N14" s="165"/>
      <c r="O14" s="165">
        <v>1</v>
      </c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5"/>
      <c r="AX14" s="165"/>
      <c r="AY14" s="165"/>
      <c r="AZ14" s="165"/>
      <c r="BA14" s="165"/>
      <c r="BB14" s="165"/>
      <c r="BC14" s="165"/>
      <c r="BD14" s="165"/>
      <c r="BE14" s="165"/>
      <c r="BF14" s="165"/>
      <c r="BG14" s="165"/>
      <c r="BH14" s="165"/>
      <c r="BI14" s="165"/>
      <c r="BJ14" s="165"/>
      <c r="BK14" s="165"/>
      <c r="BL14" s="165"/>
      <c r="BM14" s="165"/>
      <c r="BN14" s="165"/>
      <c r="BO14" s="165"/>
      <c r="BP14" s="165"/>
      <c r="BQ14" s="165"/>
      <c r="BR14" s="165"/>
      <c r="BS14" s="165"/>
      <c r="BT14" s="165"/>
      <c r="BU14" s="165"/>
      <c r="BV14" s="165"/>
      <c r="BW14" s="165"/>
      <c r="BX14" s="165"/>
      <c r="BY14" s="165"/>
      <c r="BZ14" s="165"/>
      <c r="CA14" s="165"/>
      <c r="CB14" s="165"/>
      <c r="CC14" s="165"/>
      <c r="CD14" s="165"/>
      <c r="CE14" s="165"/>
      <c r="CF14" s="165"/>
      <c r="CG14" s="165"/>
      <c r="CH14" s="165"/>
      <c r="CI14" s="165"/>
      <c r="CJ14" s="165"/>
      <c r="CK14" s="165"/>
      <c r="CL14" s="165"/>
      <c r="CM14" s="165"/>
      <c r="CN14" s="165"/>
      <c r="CO14" s="165"/>
      <c r="CP14" s="165"/>
      <c r="CQ14" s="165"/>
    </row>
    <row r="15" spans="1:95" outlineLevel="1" x14ac:dyDescent="0.25">
      <c r="A15" s="145" t="s">
        <v>1738</v>
      </c>
      <c r="B15" s="171"/>
      <c r="C15" s="183" t="s">
        <v>1734</v>
      </c>
      <c r="D15" s="182"/>
      <c r="E15" s="153"/>
      <c r="F15" s="172"/>
      <c r="G15" s="171">
        <v>8</v>
      </c>
      <c r="H15" s="190">
        <f t="shared" si="1"/>
        <v>1</v>
      </c>
      <c r="I15" s="193">
        <f t="shared" si="2"/>
        <v>0</v>
      </c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>
        <v>1</v>
      </c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5"/>
      <c r="AW15" s="165"/>
      <c r="AX15" s="165"/>
      <c r="AY15" s="165"/>
      <c r="AZ15" s="165"/>
      <c r="BA15" s="165"/>
      <c r="BB15" s="165"/>
      <c r="BC15" s="165"/>
      <c r="BD15" s="165"/>
      <c r="BE15" s="165"/>
      <c r="BF15" s="165"/>
      <c r="BG15" s="165"/>
      <c r="BH15" s="165"/>
      <c r="BI15" s="165"/>
      <c r="BJ15" s="165"/>
      <c r="BK15" s="165"/>
      <c r="BL15" s="165"/>
      <c r="BM15" s="165"/>
      <c r="BN15" s="165"/>
      <c r="BO15" s="165"/>
      <c r="BP15" s="165"/>
      <c r="BQ15" s="165"/>
      <c r="BR15" s="165"/>
      <c r="BS15" s="165"/>
      <c r="BT15" s="165"/>
      <c r="BU15" s="165"/>
      <c r="BV15" s="165"/>
      <c r="BW15" s="165"/>
      <c r="BX15" s="165"/>
      <c r="BY15" s="165"/>
      <c r="BZ15" s="165"/>
      <c r="CA15" s="165"/>
      <c r="CB15" s="165"/>
      <c r="CC15" s="165"/>
      <c r="CD15" s="165"/>
      <c r="CE15" s="165"/>
      <c r="CF15" s="165"/>
      <c r="CG15" s="165"/>
      <c r="CH15" s="165"/>
      <c r="CI15" s="165"/>
      <c r="CJ15" s="165"/>
      <c r="CK15" s="165"/>
      <c r="CL15" s="165"/>
      <c r="CM15" s="165"/>
      <c r="CN15" s="165"/>
      <c r="CO15" s="165"/>
      <c r="CP15" s="165"/>
      <c r="CQ15" s="165"/>
    </row>
    <row r="16" spans="1:95" outlineLevel="1" x14ac:dyDescent="0.25">
      <c r="A16" s="145" t="s">
        <v>1738</v>
      </c>
      <c r="B16" s="171"/>
      <c r="C16" s="183" t="s">
        <v>1736</v>
      </c>
      <c r="D16" s="182"/>
      <c r="E16" s="153"/>
      <c r="F16" s="172"/>
      <c r="G16" s="171">
        <f>5*8</f>
        <v>40</v>
      </c>
      <c r="H16" s="190">
        <f t="shared" si="1"/>
        <v>5</v>
      </c>
      <c r="I16" s="193">
        <f t="shared" si="2"/>
        <v>-4</v>
      </c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>
        <v>1</v>
      </c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  <c r="BD16" s="165"/>
      <c r="BE16" s="165"/>
      <c r="BF16" s="165"/>
      <c r="BG16" s="165"/>
      <c r="BH16" s="165"/>
      <c r="BI16" s="165"/>
      <c r="BJ16" s="165"/>
      <c r="BK16" s="165"/>
      <c r="BL16" s="165"/>
      <c r="BM16" s="165"/>
      <c r="BN16" s="165"/>
      <c r="BO16" s="165"/>
      <c r="BP16" s="165"/>
      <c r="BQ16" s="165"/>
      <c r="BR16" s="165"/>
      <c r="BS16" s="165"/>
      <c r="BT16" s="165"/>
      <c r="BU16" s="165"/>
      <c r="BV16" s="165"/>
      <c r="BW16" s="165"/>
      <c r="BX16" s="165"/>
      <c r="BY16" s="165"/>
      <c r="BZ16" s="165"/>
      <c r="CA16" s="165"/>
      <c r="CB16" s="165"/>
      <c r="CC16" s="165"/>
      <c r="CD16" s="165"/>
      <c r="CE16" s="165"/>
      <c r="CF16" s="165"/>
      <c r="CG16" s="165"/>
      <c r="CH16" s="165"/>
      <c r="CI16" s="165"/>
      <c r="CJ16" s="165"/>
      <c r="CK16" s="165"/>
      <c r="CL16" s="165"/>
      <c r="CM16" s="165"/>
      <c r="CN16" s="165"/>
      <c r="CO16" s="165"/>
      <c r="CP16" s="165"/>
      <c r="CQ16" s="165"/>
    </row>
    <row r="17" spans="1:95" outlineLevel="1" x14ac:dyDescent="0.25">
      <c r="A17" s="228" t="s">
        <v>1738</v>
      </c>
      <c r="B17" s="229"/>
      <c r="C17" s="230" t="s">
        <v>1737</v>
      </c>
      <c r="D17" s="231"/>
      <c r="E17" s="232"/>
      <c r="F17" s="233"/>
      <c r="G17" s="229">
        <v>0</v>
      </c>
      <c r="H17" s="234">
        <f t="shared" si="1"/>
        <v>0</v>
      </c>
      <c r="I17" s="235">
        <f t="shared" si="2"/>
        <v>1</v>
      </c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>
        <v>1</v>
      </c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5"/>
      <c r="BE17" s="165"/>
      <c r="BF17" s="165"/>
      <c r="BG17" s="165"/>
      <c r="BH17" s="165"/>
      <c r="BI17" s="165"/>
      <c r="BJ17" s="165"/>
      <c r="BK17" s="165"/>
      <c r="BL17" s="165"/>
      <c r="BM17" s="165"/>
      <c r="BN17" s="165"/>
      <c r="BO17" s="165"/>
      <c r="BP17" s="165"/>
      <c r="BQ17" s="165"/>
      <c r="BR17" s="165"/>
      <c r="BS17" s="165"/>
      <c r="BT17" s="165"/>
      <c r="BU17" s="165"/>
      <c r="BV17" s="165"/>
      <c r="BW17" s="165"/>
      <c r="BX17" s="165"/>
      <c r="BY17" s="165"/>
      <c r="BZ17" s="165"/>
      <c r="CA17" s="165"/>
      <c r="CB17" s="165"/>
      <c r="CC17" s="165"/>
      <c r="CD17" s="165"/>
      <c r="CE17" s="165"/>
      <c r="CF17" s="165"/>
      <c r="CG17" s="165"/>
      <c r="CH17" s="165"/>
      <c r="CI17" s="165"/>
      <c r="CJ17" s="165"/>
      <c r="CK17" s="165"/>
      <c r="CL17" s="165"/>
      <c r="CM17" s="165"/>
      <c r="CN17" s="165"/>
      <c r="CO17" s="165"/>
      <c r="CP17" s="165"/>
      <c r="CQ17" s="165"/>
    </row>
    <row r="18" spans="1:95" x14ac:dyDescent="0.25">
      <c r="C18" s="177" t="s">
        <v>1725</v>
      </c>
      <c r="D18" s="178"/>
      <c r="E18" s="179"/>
      <c r="F18" s="205">
        <f>F19+F68</f>
        <v>54</v>
      </c>
      <c r="G18" s="180">
        <f>G19+G68+G89+G158+G227</f>
        <v>367.5</v>
      </c>
      <c r="H18" s="180">
        <f>H19+H68+H89+H158+H227</f>
        <v>46.2</v>
      </c>
      <c r="I18" s="204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165"/>
      <c r="AT18" s="165"/>
      <c r="AU18" s="165"/>
      <c r="AV18" s="165"/>
      <c r="AW18" s="165"/>
      <c r="AX18" s="165"/>
      <c r="AY18" s="165"/>
      <c r="AZ18" s="165"/>
      <c r="BA18" s="165"/>
      <c r="BB18" s="165"/>
      <c r="BC18" s="165"/>
      <c r="BD18" s="165"/>
      <c r="BE18" s="165"/>
      <c r="BF18" s="165"/>
      <c r="BG18" s="165"/>
      <c r="BH18" s="165"/>
      <c r="BI18" s="165"/>
      <c r="BJ18" s="165"/>
      <c r="BK18" s="165"/>
      <c r="BL18" s="165"/>
      <c r="BM18" s="165"/>
      <c r="BN18" s="165"/>
      <c r="BO18" s="165"/>
      <c r="BP18" s="165"/>
      <c r="BQ18" s="165"/>
      <c r="BR18" s="165"/>
      <c r="BS18" s="165"/>
      <c r="BT18" s="165"/>
      <c r="BU18" s="165"/>
      <c r="BV18" s="165"/>
      <c r="BW18" s="165"/>
      <c r="BX18" s="165"/>
      <c r="BY18" s="165"/>
      <c r="BZ18" s="165"/>
      <c r="CA18" s="165"/>
      <c r="CB18" s="165"/>
      <c r="CC18" s="165"/>
      <c r="CD18" s="165"/>
      <c r="CE18" s="165"/>
      <c r="CF18" s="165"/>
      <c r="CG18" s="165"/>
      <c r="CH18" s="165"/>
      <c r="CI18" s="165"/>
      <c r="CJ18" s="165"/>
      <c r="CK18" s="165"/>
      <c r="CL18" s="165"/>
      <c r="CM18" s="165"/>
      <c r="CN18" s="165"/>
      <c r="CO18" s="165"/>
      <c r="CP18" s="165"/>
      <c r="CQ18" s="165"/>
    </row>
    <row r="19" spans="1:95" x14ac:dyDescent="0.25">
      <c r="B19" s="156"/>
      <c r="C19" s="212" t="s">
        <v>1720</v>
      </c>
      <c r="D19" s="178"/>
      <c r="E19" s="179"/>
      <c r="F19" s="205">
        <f>COUNTA(E20:E61)</f>
        <v>42</v>
      </c>
      <c r="G19" s="205">
        <f>SUM(G20:G61)</f>
        <v>112</v>
      </c>
      <c r="H19" s="208">
        <f>ROUND(SUM(H20:H61),1)</f>
        <v>14.2</v>
      </c>
      <c r="I19" s="222">
        <f>SUM(J19:CQ19)-H19</f>
        <v>-14.2</v>
      </c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65"/>
      <c r="AU19" s="165"/>
      <c r="AV19" s="165"/>
      <c r="AW19" s="165"/>
      <c r="AX19" s="165"/>
      <c r="AY19" s="165"/>
      <c r="AZ19" s="165"/>
      <c r="BA19" s="165"/>
      <c r="BB19" s="165"/>
      <c r="BC19" s="165"/>
      <c r="BD19" s="165"/>
      <c r="BE19" s="165"/>
      <c r="BF19" s="165"/>
      <c r="BG19" s="165"/>
      <c r="BH19" s="165"/>
      <c r="BI19" s="165"/>
      <c r="BJ19" s="165"/>
      <c r="BK19" s="165"/>
      <c r="BL19" s="165"/>
      <c r="BM19" s="165"/>
      <c r="BN19" s="165"/>
      <c r="BO19" s="165"/>
      <c r="BP19" s="165"/>
      <c r="BQ19" s="165"/>
      <c r="BR19" s="165"/>
      <c r="BS19" s="165"/>
      <c r="BT19" s="165"/>
      <c r="BU19" s="165"/>
      <c r="BV19" s="165"/>
      <c r="BW19" s="165"/>
      <c r="BX19" s="165"/>
      <c r="BY19" s="165"/>
      <c r="BZ19" s="165"/>
      <c r="CA19" s="165"/>
      <c r="CB19" s="165"/>
      <c r="CC19" s="165"/>
      <c r="CD19" s="165"/>
      <c r="CE19" s="165"/>
      <c r="CF19" s="165"/>
      <c r="CG19" s="165"/>
      <c r="CH19" s="165"/>
      <c r="CI19" s="165"/>
      <c r="CJ19" s="165"/>
      <c r="CK19" s="165"/>
      <c r="CL19" s="165"/>
      <c r="CM19" s="165"/>
      <c r="CN19" s="165"/>
      <c r="CO19" s="165"/>
      <c r="CP19" s="165"/>
      <c r="CQ19" s="165"/>
    </row>
    <row r="20" spans="1:95" outlineLevel="1" x14ac:dyDescent="0.25">
      <c r="B20" s="156" t="str">
        <f>Table1[[#Headers],[Especificação]]</f>
        <v>Especificação</v>
      </c>
      <c r="C20" s="253" t="str">
        <f t="shared" ref="C20:C83" si="3">D20&amp;"_"&amp;E20</f>
        <v>ENTITY_TXNMY_ELGBL_CAPEX_W</v>
      </c>
      <c r="D20" s="153" t="s">
        <v>10</v>
      </c>
      <c r="E20" s="153" t="s">
        <v>1402</v>
      </c>
      <c r="G20" s="172">
        <f>INDEX(Table1[[Especificação]:[Total Testes]],MATCH('Planemaneto rev.equipa'!C20,Table1[CONCAT],0),MATCH('Planemaneto rev.equipa'!B20,Table1[[#Headers],[Especificação]:[Total Testes]],0))</f>
        <v>8</v>
      </c>
      <c r="H20" s="191">
        <f>ROUND(G20/8,2)</f>
        <v>1</v>
      </c>
      <c r="I20" s="222"/>
      <c r="J20" s="165"/>
      <c r="K20" s="165"/>
      <c r="L20" s="165"/>
      <c r="M20" s="165"/>
      <c r="N20" s="252">
        <v>1</v>
      </c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5"/>
      <c r="BE20" s="165"/>
      <c r="BF20" s="165"/>
      <c r="BG20" s="165"/>
      <c r="BH20" s="165"/>
      <c r="BI20" s="165"/>
      <c r="BJ20" s="165"/>
      <c r="BK20" s="165"/>
      <c r="BL20" s="165"/>
      <c r="BM20" s="165"/>
      <c r="BN20" s="165"/>
      <c r="BO20" s="165"/>
      <c r="BP20" s="165"/>
      <c r="BQ20" s="165"/>
      <c r="BR20" s="165"/>
      <c r="BS20" s="165"/>
      <c r="BT20" s="165"/>
      <c r="BU20" s="165"/>
      <c r="BV20" s="165"/>
      <c r="BW20" s="165"/>
      <c r="BX20" s="165"/>
      <c r="BY20" s="165"/>
      <c r="BZ20" s="165"/>
      <c r="CA20" s="165"/>
      <c r="CB20" s="165"/>
      <c r="CC20" s="165"/>
      <c r="CD20" s="165"/>
      <c r="CE20" s="165"/>
      <c r="CF20" s="165"/>
      <c r="CG20" s="165"/>
      <c r="CH20" s="165"/>
      <c r="CI20" s="165"/>
      <c r="CJ20" s="165"/>
      <c r="CK20" s="165"/>
      <c r="CL20" s="165"/>
      <c r="CM20" s="165"/>
      <c r="CN20" s="165"/>
      <c r="CO20" s="165"/>
      <c r="CP20" s="165"/>
      <c r="CQ20" s="165"/>
    </row>
    <row r="21" spans="1:95" outlineLevel="1" x14ac:dyDescent="0.25">
      <c r="B21" s="156" t="str">
        <f>Table1[[#Headers],[Especificação]]</f>
        <v>Especificação</v>
      </c>
      <c r="C21" s="253" t="str">
        <f t="shared" si="3"/>
        <v>ENTITY_TXNMY_ELGBL_TRNVR_W</v>
      </c>
      <c r="D21" s="153" t="s">
        <v>10</v>
      </c>
      <c r="E21" s="153" t="s">
        <v>1405</v>
      </c>
      <c r="G21" s="172">
        <f>INDEX(Table1[[Especificação]:[Total Testes]],MATCH('Planemaneto rev.equipa'!C21,Table1[CONCAT],0),MATCH('Planemaneto rev.equipa'!B21,Table1[[#Headers],[Especificação]:[Total Testes]],0))</f>
        <v>8</v>
      </c>
      <c r="H21" s="191">
        <f t="shared" ref="H21:H67" si="4">ROUND(G21/8,2)</f>
        <v>1</v>
      </c>
      <c r="I21" s="222"/>
      <c r="J21" s="165"/>
      <c r="K21" s="165"/>
      <c r="L21" s="165"/>
      <c r="M21" s="165"/>
      <c r="N21" s="252">
        <v>1</v>
      </c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5"/>
      <c r="BB21" s="165"/>
      <c r="BC21" s="165"/>
      <c r="BD21" s="165"/>
      <c r="BE21" s="165"/>
      <c r="BF21" s="165"/>
      <c r="BG21" s="165"/>
      <c r="BH21" s="165"/>
      <c r="BI21" s="165"/>
      <c r="BJ21" s="165"/>
      <c r="BK21" s="165"/>
      <c r="BL21" s="165"/>
      <c r="BM21" s="165"/>
      <c r="BN21" s="165"/>
      <c r="BO21" s="165"/>
      <c r="BP21" s="165"/>
      <c r="BQ21" s="165"/>
      <c r="BR21" s="165"/>
      <c r="BS21" s="165"/>
      <c r="BT21" s="165"/>
      <c r="BU21" s="165"/>
      <c r="BV21" s="165"/>
      <c r="BW21" s="165"/>
      <c r="BX21" s="165"/>
      <c r="BY21" s="165"/>
      <c r="BZ21" s="165"/>
      <c r="CA21" s="165"/>
      <c r="CB21" s="165"/>
      <c r="CC21" s="165"/>
      <c r="CD21" s="165"/>
      <c r="CE21" s="165"/>
      <c r="CF21" s="165"/>
      <c r="CG21" s="165"/>
      <c r="CH21" s="165"/>
      <c r="CI21" s="165"/>
      <c r="CJ21" s="165"/>
      <c r="CK21" s="165"/>
      <c r="CL21" s="165"/>
      <c r="CM21" s="165"/>
      <c r="CN21" s="165"/>
      <c r="CO21" s="165"/>
      <c r="CP21" s="165"/>
      <c r="CQ21" s="165"/>
    </row>
    <row r="22" spans="1:95" outlineLevel="1" x14ac:dyDescent="0.25">
      <c r="B22" s="156" t="str">
        <f>Table1[[#Headers],[Especificação]]</f>
        <v>Especificação</v>
      </c>
      <c r="C22" s="253" t="str">
        <f t="shared" si="3"/>
        <v>ENTITY_TXNMY_ELGBL_CAPEX_P</v>
      </c>
      <c r="D22" s="153" t="s">
        <v>10</v>
      </c>
      <c r="E22" s="153" t="s">
        <v>1408</v>
      </c>
      <c r="G22" s="172">
        <f>INDEX(Table1[[Especificação]:[Total Testes]],MATCH('Planemaneto rev.equipa'!C22,Table1[CONCAT],0),MATCH('Planemaneto rev.equipa'!B22,Table1[[#Headers],[Especificação]:[Total Testes]],0))</f>
        <v>1</v>
      </c>
      <c r="H22" s="191">
        <f t="shared" si="4"/>
        <v>0.13</v>
      </c>
      <c r="I22" s="222"/>
      <c r="J22" s="165"/>
      <c r="K22" s="165"/>
      <c r="L22" s="165"/>
      <c r="M22" s="165"/>
      <c r="N22" s="252">
        <v>1</v>
      </c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  <c r="AD22" s="165"/>
      <c r="AE22" s="165"/>
      <c r="AF22" s="165"/>
      <c r="AG22" s="165"/>
      <c r="AH22" s="165"/>
      <c r="AI22" s="165"/>
      <c r="AJ22" s="165"/>
      <c r="AK22" s="165"/>
      <c r="AL22" s="165"/>
      <c r="AM22" s="165"/>
      <c r="AN22" s="165"/>
      <c r="AO22" s="165"/>
      <c r="AP22" s="165"/>
      <c r="AQ22" s="165"/>
      <c r="AR22" s="165"/>
      <c r="AS22" s="165"/>
      <c r="AT22" s="165"/>
      <c r="AU22" s="165"/>
      <c r="AV22" s="165"/>
      <c r="AW22" s="165"/>
      <c r="AX22" s="165"/>
      <c r="AY22" s="165"/>
      <c r="AZ22" s="165"/>
      <c r="BA22" s="165"/>
      <c r="BB22" s="165"/>
      <c r="BC22" s="165"/>
      <c r="BD22" s="165"/>
      <c r="BE22" s="165"/>
      <c r="BF22" s="165"/>
      <c r="BG22" s="165"/>
      <c r="BH22" s="165"/>
      <c r="BI22" s="165"/>
      <c r="BJ22" s="165"/>
      <c r="BK22" s="165"/>
      <c r="BL22" s="165"/>
      <c r="BM22" s="165"/>
      <c r="BN22" s="165"/>
      <c r="BO22" s="165"/>
      <c r="BP22" s="165"/>
      <c r="BQ22" s="165"/>
      <c r="BR22" s="165"/>
      <c r="BS22" s="165"/>
      <c r="BT22" s="165"/>
      <c r="BU22" s="165"/>
      <c r="BV22" s="165"/>
      <c r="BW22" s="165"/>
      <c r="BX22" s="165"/>
      <c r="BY22" s="165"/>
      <c r="BZ22" s="165"/>
      <c r="CA22" s="165"/>
      <c r="CB22" s="165"/>
      <c r="CC22" s="165"/>
      <c r="CD22" s="165"/>
      <c r="CE22" s="165"/>
      <c r="CF22" s="165"/>
      <c r="CG22" s="165"/>
      <c r="CH22" s="165"/>
      <c r="CI22" s="165"/>
      <c r="CJ22" s="165"/>
      <c r="CK22" s="165"/>
      <c r="CL22" s="165"/>
      <c r="CM22" s="165"/>
      <c r="CN22" s="165"/>
      <c r="CO22" s="165"/>
      <c r="CP22" s="165"/>
      <c r="CQ22" s="165"/>
    </row>
    <row r="23" spans="1:95" outlineLevel="1" x14ac:dyDescent="0.25">
      <c r="B23" s="156" t="str">
        <f>Table1[[#Headers],[Especificação]]</f>
        <v>Especificação</v>
      </c>
      <c r="C23" s="253" t="str">
        <f t="shared" si="3"/>
        <v>ENTITY_TXNMY_ELGBL_TRNVR_P</v>
      </c>
      <c r="D23" s="153" t="s">
        <v>10</v>
      </c>
      <c r="E23" s="153" t="s">
        <v>1411</v>
      </c>
      <c r="G23" s="172">
        <f>INDEX(Table1[[Especificação]:[Total Testes]],MATCH('Planemaneto rev.equipa'!C23,Table1[CONCAT],0),MATCH('Planemaneto rev.equipa'!B23,Table1[[#Headers],[Especificação]:[Total Testes]],0))</f>
        <v>1</v>
      </c>
      <c r="H23" s="191">
        <f t="shared" si="4"/>
        <v>0.13</v>
      </c>
      <c r="I23" s="222"/>
      <c r="J23" s="165"/>
      <c r="K23" s="165"/>
      <c r="L23" s="165"/>
      <c r="M23" s="165"/>
      <c r="N23" s="252">
        <v>1</v>
      </c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5"/>
      <c r="AO23" s="165"/>
      <c r="AP23" s="165"/>
      <c r="AQ23" s="165"/>
      <c r="AR23" s="165"/>
      <c r="AS23" s="165"/>
      <c r="AT23" s="165"/>
      <c r="AU23" s="165"/>
      <c r="AV23" s="165"/>
      <c r="AW23" s="165"/>
      <c r="AX23" s="165"/>
      <c r="AY23" s="165"/>
      <c r="AZ23" s="165"/>
      <c r="BA23" s="165"/>
      <c r="BB23" s="165"/>
      <c r="BC23" s="165"/>
      <c r="BD23" s="165"/>
      <c r="BE23" s="165"/>
      <c r="BF23" s="165"/>
      <c r="BG23" s="165"/>
      <c r="BH23" s="165"/>
      <c r="BI23" s="165"/>
      <c r="BJ23" s="165"/>
      <c r="BK23" s="165"/>
      <c r="BL23" s="165"/>
      <c r="BM23" s="165"/>
      <c r="BN23" s="165"/>
      <c r="BO23" s="165"/>
      <c r="BP23" s="165"/>
      <c r="BQ23" s="165"/>
      <c r="BR23" s="165"/>
      <c r="BS23" s="165"/>
      <c r="BT23" s="165"/>
      <c r="BU23" s="165"/>
      <c r="BV23" s="165"/>
      <c r="BW23" s="165"/>
      <c r="BX23" s="165"/>
      <c r="BY23" s="165"/>
      <c r="BZ23" s="165"/>
      <c r="CA23" s="165"/>
      <c r="CB23" s="165"/>
      <c r="CC23" s="165"/>
      <c r="CD23" s="165"/>
      <c r="CE23" s="165"/>
      <c r="CF23" s="165"/>
      <c r="CG23" s="165"/>
      <c r="CH23" s="165"/>
      <c r="CI23" s="165"/>
      <c r="CJ23" s="165"/>
      <c r="CK23" s="165"/>
      <c r="CL23" s="165"/>
      <c r="CM23" s="165"/>
      <c r="CN23" s="165"/>
      <c r="CO23" s="165"/>
      <c r="CP23" s="165"/>
      <c r="CQ23" s="165"/>
    </row>
    <row r="24" spans="1:95" outlineLevel="1" x14ac:dyDescent="0.25">
      <c r="B24" s="156" t="str">
        <f>Table1[[#Headers],[Especificação]]</f>
        <v>Especificação</v>
      </c>
      <c r="C24" s="253" t="str">
        <f t="shared" si="3"/>
        <v>ENTITY_TXNMY_ELGBL_CAPEX_B</v>
      </c>
      <c r="D24" s="153" t="s">
        <v>10</v>
      </c>
      <c r="E24" s="153" t="s">
        <v>1414</v>
      </c>
      <c r="G24" s="172">
        <f>INDEX(Table1[[Especificação]:[Total Testes]],MATCH('Planemaneto rev.equipa'!C24,Table1[CONCAT],0),MATCH('Planemaneto rev.equipa'!B24,Table1[[#Headers],[Especificação]:[Total Testes]],0))</f>
        <v>1</v>
      </c>
      <c r="H24" s="191">
        <f t="shared" si="4"/>
        <v>0.13</v>
      </c>
      <c r="I24" s="222"/>
      <c r="J24" s="165"/>
      <c r="K24" s="165"/>
      <c r="L24" s="165"/>
      <c r="M24" s="165"/>
      <c r="N24" s="252">
        <v>1</v>
      </c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5"/>
      <c r="AX24" s="165"/>
      <c r="AY24" s="165"/>
      <c r="AZ24" s="165"/>
      <c r="BA24" s="165"/>
      <c r="BB24" s="165"/>
      <c r="BC24" s="165"/>
      <c r="BD24" s="165"/>
      <c r="BE24" s="165"/>
      <c r="BF24" s="165"/>
      <c r="BG24" s="165"/>
      <c r="BH24" s="165"/>
      <c r="BI24" s="165"/>
      <c r="BJ24" s="165"/>
      <c r="BK24" s="165"/>
      <c r="BL24" s="165"/>
      <c r="BM24" s="165"/>
      <c r="BN24" s="165"/>
      <c r="BO24" s="165"/>
      <c r="BP24" s="165"/>
      <c r="BQ24" s="165"/>
      <c r="BR24" s="165"/>
      <c r="BS24" s="165"/>
      <c r="BT24" s="165"/>
      <c r="BU24" s="165"/>
      <c r="BV24" s="165"/>
      <c r="BW24" s="165"/>
      <c r="BX24" s="165"/>
      <c r="BY24" s="165"/>
      <c r="BZ24" s="165"/>
      <c r="CA24" s="165"/>
      <c r="CB24" s="165"/>
      <c r="CC24" s="165"/>
      <c r="CD24" s="165"/>
      <c r="CE24" s="165"/>
      <c r="CF24" s="165"/>
      <c r="CG24" s="165"/>
      <c r="CH24" s="165"/>
      <c r="CI24" s="165"/>
      <c r="CJ24" s="165"/>
      <c r="CK24" s="165"/>
      <c r="CL24" s="165"/>
      <c r="CM24" s="165"/>
      <c r="CN24" s="165"/>
      <c r="CO24" s="165"/>
      <c r="CP24" s="165"/>
      <c r="CQ24" s="165"/>
    </row>
    <row r="25" spans="1:95" outlineLevel="1" x14ac:dyDescent="0.25">
      <c r="B25" s="156" t="str">
        <f>Table1[[#Headers],[Especificação]]</f>
        <v>Especificação</v>
      </c>
      <c r="C25" s="253" t="str">
        <f t="shared" si="3"/>
        <v>ENTITY_TXNMY_ELGBL_TRNVR_B</v>
      </c>
      <c r="D25" s="153" t="s">
        <v>10</v>
      </c>
      <c r="E25" s="153" t="s">
        <v>1417</v>
      </c>
      <c r="G25" s="172">
        <f>INDEX(Table1[[Especificação]:[Total Testes]],MATCH('Planemaneto rev.equipa'!C25,Table1[CONCAT],0),MATCH('Planemaneto rev.equipa'!B25,Table1[[#Headers],[Especificação]:[Total Testes]],0))</f>
        <v>1</v>
      </c>
      <c r="H25" s="191">
        <f t="shared" si="4"/>
        <v>0.13</v>
      </c>
      <c r="I25" s="222"/>
      <c r="J25" s="165"/>
      <c r="K25" s="165"/>
      <c r="L25" s="165"/>
      <c r="M25" s="165"/>
      <c r="N25" s="252">
        <v>1</v>
      </c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  <c r="AO25" s="165"/>
      <c r="AP25" s="165"/>
      <c r="AQ25" s="165"/>
      <c r="AR25" s="165"/>
      <c r="AS25" s="165"/>
      <c r="AT25" s="165"/>
      <c r="AU25" s="165"/>
      <c r="AV25" s="165"/>
      <c r="AW25" s="165"/>
      <c r="AX25" s="165"/>
      <c r="AY25" s="165"/>
      <c r="AZ25" s="165"/>
      <c r="BA25" s="165"/>
      <c r="BB25" s="165"/>
      <c r="BC25" s="165"/>
      <c r="BD25" s="165"/>
      <c r="BE25" s="165"/>
      <c r="BF25" s="165"/>
      <c r="BG25" s="165"/>
      <c r="BH25" s="165"/>
      <c r="BI25" s="165"/>
      <c r="BJ25" s="165"/>
      <c r="BK25" s="165"/>
      <c r="BL25" s="165"/>
      <c r="BM25" s="165"/>
      <c r="BN25" s="165"/>
      <c r="BO25" s="165"/>
      <c r="BP25" s="165"/>
      <c r="BQ25" s="165"/>
      <c r="BR25" s="165"/>
      <c r="BS25" s="165"/>
      <c r="BT25" s="165"/>
      <c r="BU25" s="165"/>
      <c r="BV25" s="165"/>
      <c r="BW25" s="165"/>
      <c r="BX25" s="165"/>
      <c r="BY25" s="165"/>
      <c r="BZ25" s="165"/>
      <c r="CA25" s="165"/>
      <c r="CB25" s="165"/>
      <c r="CC25" s="165"/>
      <c r="CD25" s="165"/>
      <c r="CE25" s="165"/>
      <c r="CF25" s="165"/>
      <c r="CG25" s="165"/>
      <c r="CH25" s="165"/>
      <c r="CI25" s="165"/>
      <c r="CJ25" s="165"/>
      <c r="CK25" s="165"/>
      <c r="CL25" s="165"/>
      <c r="CM25" s="165"/>
      <c r="CN25" s="165"/>
      <c r="CO25" s="165"/>
      <c r="CP25" s="165"/>
      <c r="CQ25" s="165"/>
    </row>
    <row r="26" spans="1:95" outlineLevel="1" x14ac:dyDescent="0.25">
      <c r="B26" s="156" t="str">
        <f>Table1[[#Headers],[Especificação]]</f>
        <v>Especificação</v>
      </c>
      <c r="C26" s="253" t="str">
        <f t="shared" si="3"/>
        <v>ENTITY_TXNMY_ELGBL_CAPEX_CE</v>
      </c>
      <c r="D26" s="153" t="s">
        <v>10</v>
      </c>
      <c r="E26" s="153" t="s">
        <v>1420</v>
      </c>
      <c r="G26" s="172">
        <f>INDEX(Table1[[Especificação]:[Total Testes]],MATCH('Planemaneto rev.equipa'!C26,Table1[CONCAT],0),MATCH('Planemaneto rev.equipa'!B26,Table1[[#Headers],[Especificação]:[Total Testes]],0))</f>
        <v>1</v>
      </c>
      <c r="H26" s="191">
        <f t="shared" si="4"/>
        <v>0.13</v>
      </c>
      <c r="I26" s="222"/>
      <c r="J26" s="165"/>
      <c r="K26" s="165"/>
      <c r="L26" s="165"/>
      <c r="M26" s="165"/>
      <c r="N26" s="252">
        <v>1</v>
      </c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5"/>
      <c r="BB26" s="165"/>
      <c r="BC26" s="165"/>
      <c r="BD26" s="165"/>
      <c r="BE26" s="165"/>
      <c r="BF26" s="165"/>
      <c r="BG26" s="165"/>
      <c r="BH26" s="165"/>
      <c r="BI26" s="165"/>
      <c r="BJ26" s="165"/>
      <c r="BK26" s="165"/>
      <c r="BL26" s="165"/>
      <c r="BM26" s="165"/>
      <c r="BN26" s="165"/>
      <c r="BO26" s="165"/>
      <c r="BP26" s="165"/>
      <c r="BQ26" s="165"/>
      <c r="BR26" s="165"/>
      <c r="BS26" s="165"/>
      <c r="BT26" s="165"/>
      <c r="BU26" s="165"/>
      <c r="BV26" s="165"/>
      <c r="BW26" s="165"/>
      <c r="BX26" s="165"/>
      <c r="BY26" s="165"/>
      <c r="BZ26" s="165"/>
      <c r="CA26" s="165"/>
      <c r="CB26" s="165"/>
      <c r="CC26" s="165"/>
      <c r="CD26" s="165"/>
      <c r="CE26" s="165"/>
      <c r="CF26" s="165"/>
      <c r="CG26" s="165"/>
      <c r="CH26" s="165"/>
      <c r="CI26" s="165"/>
      <c r="CJ26" s="165"/>
      <c r="CK26" s="165"/>
      <c r="CL26" s="165"/>
      <c r="CM26" s="165"/>
      <c r="CN26" s="165"/>
      <c r="CO26" s="165"/>
      <c r="CP26" s="165"/>
      <c r="CQ26" s="165"/>
    </row>
    <row r="27" spans="1:95" outlineLevel="1" x14ac:dyDescent="0.25">
      <c r="B27" s="156" t="str">
        <f>Table1[[#Headers],[Especificação]]</f>
        <v>Especificação</v>
      </c>
      <c r="C27" s="253" t="str">
        <f t="shared" si="3"/>
        <v>ENTITY_TXNMY_ELGBL_TRNVR_CE</v>
      </c>
      <c r="D27" s="153" t="s">
        <v>10</v>
      </c>
      <c r="E27" s="153" t="s">
        <v>1423</v>
      </c>
      <c r="G27" s="172">
        <f>INDEX(Table1[[Especificação]:[Total Testes]],MATCH('Planemaneto rev.equipa'!C27,Table1[CONCAT],0),MATCH('Planemaneto rev.equipa'!B27,Table1[[#Headers],[Especificação]:[Total Testes]],0))</f>
        <v>1</v>
      </c>
      <c r="H27" s="191">
        <f t="shared" si="4"/>
        <v>0.13</v>
      </c>
      <c r="I27" s="222"/>
      <c r="J27" s="165"/>
      <c r="K27" s="165"/>
      <c r="L27" s="165"/>
      <c r="M27" s="165"/>
      <c r="N27" s="252">
        <v>1</v>
      </c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65"/>
      <c r="BA27" s="165"/>
      <c r="BB27" s="165"/>
      <c r="BC27" s="165"/>
      <c r="BD27" s="165"/>
      <c r="BE27" s="165"/>
      <c r="BF27" s="165"/>
      <c r="BG27" s="165"/>
      <c r="BH27" s="165"/>
      <c r="BI27" s="165"/>
      <c r="BJ27" s="165"/>
      <c r="BK27" s="165"/>
      <c r="BL27" s="165"/>
      <c r="BM27" s="165"/>
      <c r="BN27" s="165"/>
      <c r="BO27" s="165"/>
      <c r="BP27" s="165"/>
      <c r="BQ27" s="165"/>
      <c r="BR27" s="165"/>
      <c r="BS27" s="165"/>
      <c r="BT27" s="165"/>
      <c r="BU27" s="165"/>
      <c r="BV27" s="165"/>
      <c r="BW27" s="165"/>
      <c r="BX27" s="165"/>
      <c r="BY27" s="165"/>
      <c r="BZ27" s="165"/>
      <c r="CA27" s="165"/>
      <c r="CB27" s="165"/>
      <c r="CC27" s="165"/>
      <c r="CD27" s="165"/>
      <c r="CE27" s="165"/>
      <c r="CF27" s="165"/>
      <c r="CG27" s="165"/>
      <c r="CH27" s="165"/>
      <c r="CI27" s="165"/>
      <c r="CJ27" s="165"/>
      <c r="CK27" s="165"/>
      <c r="CL27" s="165"/>
      <c r="CM27" s="165"/>
      <c r="CN27" s="165"/>
      <c r="CO27" s="165"/>
      <c r="CP27" s="165"/>
      <c r="CQ27" s="165"/>
    </row>
    <row r="28" spans="1:95" outlineLevel="1" x14ac:dyDescent="0.25">
      <c r="B28" s="156" t="str">
        <f>Table1[[#Headers],[Especificação]]</f>
        <v>Especificação</v>
      </c>
      <c r="C28" s="253" t="str">
        <f t="shared" si="3"/>
        <v>ENTITY_PURE_CAPEX_P</v>
      </c>
      <c r="D28" s="153" t="s">
        <v>10</v>
      </c>
      <c r="E28" s="153" t="s">
        <v>1426</v>
      </c>
      <c r="G28" s="172">
        <f>INDEX(Table1[[Especificação]:[Total Testes]],MATCH('Planemaneto rev.equipa'!C28,Table1[CONCAT],0),MATCH('Planemaneto rev.equipa'!B28,Table1[[#Headers],[Especificação]:[Total Testes]],0))</f>
        <v>1</v>
      </c>
      <c r="H28" s="191">
        <f t="shared" si="4"/>
        <v>0.13</v>
      </c>
      <c r="I28" s="222"/>
      <c r="J28" s="165"/>
      <c r="K28" s="165"/>
      <c r="L28" s="165"/>
      <c r="M28" s="165"/>
      <c r="N28" s="252">
        <v>1</v>
      </c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5"/>
      <c r="BB28" s="165"/>
      <c r="BC28" s="165"/>
      <c r="BD28" s="165"/>
      <c r="BE28" s="165"/>
      <c r="BF28" s="165"/>
      <c r="BG28" s="165"/>
      <c r="BH28" s="165"/>
      <c r="BI28" s="165"/>
      <c r="BJ28" s="165"/>
      <c r="BK28" s="165"/>
      <c r="BL28" s="165"/>
      <c r="BM28" s="165"/>
      <c r="BN28" s="165"/>
      <c r="BO28" s="165"/>
      <c r="BP28" s="165"/>
      <c r="BQ28" s="165"/>
      <c r="BR28" s="165"/>
      <c r="BS28" s="165"/>
      <c r="BT28" s="165"/>
      <c r="BU28" s="165"/>
      <c r="BV28" s="165"/>
      <c r="BW28" s="165"/>
      <c r="BX28" s="165"/>
      <c r="BY28" s="165"/>
      <c r="BZ28" s="165"/>
      <c r="CA28" s="165"/>
      <c r="CB28" s="165"/>
      <c r="CC28" s="165"/>
      <c r="CD28" s="165"/>
      <c r="CE28" s="165"/>
      <c r="CF28" s="165"/>
      <c r="CG28" s="165"/>
      <c r="CH28" s="165"/>
      <c r="CI28" s="165"/>
      <c r="CJ28" s="165"/>
      <c r="CK28" s="165"/>
      <c r="CL28" s="165"/>
      <c r="CM28" s="165"/>
      <c r="CN28" s="165"/>
      <c r="CO28" s="165"/>
      <c r="CP28" s="165"/>
      <c r="CQ28" s="165"/>
    </row>
    <row r="29" spans="1:95" outlineLevel="1" x14ac:dyDescent="0.25">
      <c r="B29" s="156" t="str">
        <f>Table1[[#Headers],[Especificação]]</f>
        <v>Especificação</v>
      </c>
      <c r="C29" s="253" t="str">
        <f t="shared" si="3"/>
        <v>ENTITY_PURE_TRNVR_P</v>
      </c>
      <c r="D29" s="153" t="s">
        <v>10</v>
      </c>
      <c r="E29" s="153" t="s">
        <v>1429</v>
      </c>
      <c r="G29" s="172">
        <f>INDEX(Table1[[Especificação]:[Total Testes]],MATCH('Planemaneto rev.equipa'!C29,Table1[CONCAT],0),MATCH('Planemaneto rev.equipa'!B29,Table1[[#Headers],[Especificação]:[Total Testes]],0))</f>
        <v>1</v>
      </c>
      <c r="H29" s="191">
        <f t="shared" si="4"/>
        <v>0.13</v>
      </c>
      <c r="I29" s="222"/>
      <c r="J29" s="165"/>
      <c r="K29" s="165"/>
      <c r="L29" s="165"/>
      <c r="M29" s="165"/>
      <c r="N29" s="252">
        <v>1</v>
      </c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65"/>
      <c r="AY29" s="165"/>
      <c r="AZ29" s="165"/>
      <c r="BA29" s="165"/>
      <c r="BB29" s="165"/>
      <c r="BC29" s="165"/>
      <c r="BD29" s="165"/>
      <c r="BE29" s="165"/>
      <c r="BF29" s="165"/>
      <c r="BG29" s="165"/>
      <c r="BH29" s="165"/>
      <c r="BI29" s="165"/>
      <c r="BJ29" s="165"/>
      <c r="BK29" s="165"/>
      <c r="BL29" s="165"/>
      <c r="BM29" s="165"/>
      <c r="BN29" s="165"/>
      <c r="BO29" s="165"/>
      <c r="BP29" s="165"/>
      <c r="BQ29" s="165"/>
      <c r="BR29" s="165"/>
      <c r="BS29" s="165"/>
      <c r="BT29" s="165"/>
      <c r="BU29" s="165"/>
      <c r="BV29" s="165"/>
      <c r="BW29" s="165"/>
      <c r="BX29" s="165"/>
      <c r="BY29" s="165"/>
      <c r="BZ29" s="165"/>
      <c r="CA29" s="165"/>
      <c r="CB29" s="165"/>
      <c r="CC29" s="165"/>
      <c r="CD29" s="165"/>
      <c r="CE29" s="165"/>
      <c r="CF29" s="165"/>
      <c r="CG29" s="165"/>
      <c r="CH29" s="165"/>
      <c r="CI29" s="165"/>
      <c r="CJ29" s="165"/>
      <c r="CK29" s="165"/>
      <c r="CL29" s="165"/>
      <c r="CM29" s="165"/>
      <c r="CN29" s="165"/>
      <c r="CO29" s="165"/>
      <c r="CP29" s="165"/>
      <c r="CQ29" s="165"/>
    </row>
    <row r="30" spans="1:95" outlineLevel="1" x14ac:dyDescent="0.25">
      <c r="B30" s="156" t="str">
        <f>Table1[[#Headers],[Especificação]]</f>
        <v>Especificação</v>
      </c>
      <c r="C30" s="253" t="str">
        <f t="shared" si="3"/>
        <v>ENTITY_PURE_CAPEX_B</v>
      </c>
      <c r="D30" s="153" t="s">
        <v>10</v>
      </c>
      <c r="E30" s="153" t="s">
        <v>1432</v>
      </c>
      <c r="G30" s="172">
        <f>INDEX(Table1[[Especificação]:[Total Testes]],MATCH('Planemaneto rev.equipa'!C30,Table1[CONCAT],0),MATCH('Planemaneto rev.equipa'!B30,Table1[[#Headers],[Especificação]:[Total Testes]],0))</f>
        <v>1</v>
      </c>
      <c r="H30" s="191">
        <f t="shared" si="4"/>
        <v>0.13</v>
      </c>
      <c r="I30" s="222"/>
      <c r="J30" s="165"/>
      <c r="K30" s="165"/>
      <c r="L30" s="165"/>
      <c r="M30" s="165"/>
      <c r="N30" s="252">
        <v>1</v>
      </c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5"/>
      <c r="AY30" s="165"/>
      <c r="AZ30" s="165"/>
      <c r="BA30" s="165"/>
      <c r="BB30" s="165"/>
      <c r="BC30" s="165"/>
      <c r="BD30" s="165"/>
      <c r="BE30" s="165"/>
      <c r="BF30" s="165"/>
      <c r="BG30" s="165"/>
      <c r="BH30" s="165"/>
      <c r="BI30" s="165"/>
      <c r="BJ30" s="165"/>
      <c r="BK30" s="165"/>
      <c r="BL30" s="165"/>
      <c r="BM30" s="165"/>
      <c r="BN30" s="165"/>
      <c r="BO30" s="165"/>
      <c r="BP30" s="165"/>
      <c r="BQ30" s="165"/>
      <c r="BR30" s="165"/>
      <c r="BS30" s="165"/>
      <c r="BT30" s="165"/>
      <c r="BU30" s="165"/>
      <c r="BV30" s="165"/>
      <c r="BW30" s="165"/>
      <c r="BX30" s="165"/>
      <c r="BY30" s="165"/>
      <c r="BZ30" s="165"/>
      <c r="CA30" s="165"/>
      <c r="CB30" s="165"/>
      <c r="CC30" s="165"/>
      <c r="CD30" s="165"/>
      <c r="CE30" s="165"/>
      <c r="CF30" s="165"/>
      <c r="CG30" s="165"/>
      <c r="CH30" s="165"/>
      <c r="CI30" s="165"/>
      <c r="CJ30" s="165"/>
      <c r="CK30" s="165"/>
      <c r="CL30" s="165"/>
      <c r="CM30" s="165"/>
      <c r="CN30" s="165"/>
      <c r="CO30" s="165"/>
      <c r="CP30" s="165"/>
      <c r="CQ30" s="165"/>
    </row>
    <row r="31" spans="1:95" outlineLevel="1" x14ac:dyDescent="0.25">
      <c r="B31" s="156" t="str">
        <f>Table1[[#Headers],[Especificação]]</f>
        <v>Especificação</v>
      </c>
      <c r="C31" s="253" t="str">
        <f t="shared" si="3"/>
        <v>ENTITY_PURE_TRNVR_B</v>
      </c>
      <c r="D31" s="153" t="s">
        <v>10</v>
      </c>
      <c r="E31" s="153" t="s">
        <v>1435</v>
      </c>
      <c r="G31" s="172">
        <f>INDEX(Table1[[Especificação]:[Total Testes]],MATCH('Planemaneto rev.equipa'!C31,Table1[CONCAT],0),MATCH('Planemaneto rev.equipa'!B31,Table1[[#Headers],[Especificação]:[Total Testes]],0))</f>
        <v>1</v>
      </c>
      <c r="H31" s="191">
        <f t="shared" si="4"/>
        <v>0.13</v>
      </c>
      <c r="I31" s="222"/>
      <c r="J31" s="165"/>
      <c r="K31" s="165"/>
      <c r="L31" s="165"/>
      <c r="M31" s="165"/>
      <c r="N31" s="252">
        <v>1</v>
      </c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5"/>
      <c r="AZ31" s="165"/>
      <c r="BA31" s="165"/>
      <c r="BB31" s="165"/>
      <c r="BC31" s="165"/>
      <c r="BD31" s="165"/>
      <c r="BE31" s="165"/>
      <c r="BF31" s="165"/>
      <c r="BG31" s="165"/>
      <c r="BH31" s="165"/>
      <c r="BI31" s="165"/>
      <c r="BJ31" s="165"/>
      <c r="BK31" s="165"/>
      <c r="BL31" s="165"/>
      <c r="BM31" s="165"/>
      <c r="BN31" s="165"/>
      <c r="BO31" s="165"/>
      <c r="BP31" s="165"/>
      <c r="BQ31" s="165"/>
      <c r="BR31" s="165"/>
      <c r="BS31" s="165"/>
      <c r="BT31" s="165"/>
      <c r="BU31" s="165"/>
      <c r="BV31" s="165"/>
      <c r="BW31" s="165"/>
      <c r="BX31" s="165"/>
      <c r="BY31" s="165"/>
      <c r="BZ31" s="165"/>
      <c r="CA31" s="165"/>
      <c r="CB31" s="165"/>
      <c r="CC31" s="165"/>
      <c r="CD31" s="165"/>
      <c r="CE31" s="165"/>
      <c r="CF31" s="165"/>
      <c r="CG31" s="165"/>
      <c r="CH31" s="165"/>
      <c r="CI31" s="165"/>
      <c r="CJ31" s="165"/>
      <c r="CK31" s="165"/>
      <c r="CL31" s="165"/>
      <c r="CM31" s="165"/>
      <c r="CN31" s="165"/>
      <c r="CO31" s="165"/>
      <c r="CP31" s="165"/>
      <c r="CQ31" s="165"/>
    </row>
    <row r="32" spans="1:95" outlineLevel="1" x14ac:dyDescent="0.25">
      <c r="B32" s="156" t="str">
        <f>Table1[[#Headers],[Especificação]]</f>
        <v>Especificação</v>
      </c>
      <c r="C32" s="253" t="str">
        <f t="shared" si="3"/>
        <v>ENTITY_PURE_CAPEX_W</v>
      </c>
      <c r="D32" s="153" t="s">
        <v>10</v>
      </c>
      <c r="E32" s="153" t="s">
        <v>1438</v>
      </c>
      <c r="G32" s="172">
        <f>INDEX(Table1[[Especificação]:[Total Testes]],MATCH('Planemaneto rev.equipa'!C32,Table1[CONCAT],0),MATCH('Planemaneto rev.equipa'!B32,Table1[[#Headers],[Especificação]:[Total Testes]],0))</f>
        <v>1</v>
      </c>
      <c r="H32" s="191">
        <f t="shared" si="4"/>
        <v>0.13</v>
      </c>
      <c r="I32" s="222"/>
      <c r="J32" s="165"/>
      <c r="K32" s="165"/>
      <c r="L32" s="165"/>
      <c r="M32" s="165"/>
      <c r="N32" s="252">
        <v>1</v>
      </c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65"/>
      <c r="BD32" s="165"/>
      <c r="BE32" s="165"/>
      <c r="BF32" s="165"/>
      <c r="BG32" s="165"/>
      <c r="BH32" s="165"/>
      <c r="BI32" s="165"/>
      <c r="BJ32" s="165"/>
      <c r="BK32" s="165"/>
      <c r="BL32" s="165"/>
      <c r="BM32" s="165"/>
      <c r="BN32" s="165"/>
      <c r="BO32" s="165"/>
      <c r="BP32" s="165"/>
      <c r="BQ32" s="165"/>
      <c r="BR32" s="165"/>
      <c r="BS32" s="165"/>
      <c r="BT32" s="165"/>
      <c r="BU32" s="165"/>
      <c r="BV32" s="165"/>
      <c r="BW32" s="165"/>
      <c r="BX32" s="165"/>
      <c r="BY32" s="165"/>
      <c r="BZ32" s="165"/>
      <c r="CA32" s="165"/>
      <c r="CB32" s="165"/>
      <c r="CC32" s="165"/>
      <c r="CD32" s="165"/>
      <c r="CE32" s="165"/>
      <c r="CF32" s="165"/>
      <c r="CG32" s="165"/>
      <c r="CH32" s="165"/>
      <c r="CI32" s="165"/>
      <c r="CJ32" s="165"/>
      <c r="CK32" s="165"/>
      <c r="CL32" s="165"/>
      <c r="CM32" s="165"/>
      <c r="CN32" s="165"/>
      <c r="CO32" s="165"/>
      <c r="CP32" s="165"/>
      <c r="CQ32" s="165"/>
    </row>
    <row r="33" spans="2:95" outlineLevel="1" x14ac:dyDescent="0.25">
      <c r="B33" s="156" t="str">
        <f>Table1[[#Headers],[Especificação]]</f>
        <v>Especificação</v>
      </c>
      <c r="C33" s="253" t="str">
        <f t="shared" si="3"/>
        <v>ENTITY_PURE_TRNVR_W</v>
      </c>
      <c r="D33" s="153" t="s">
        <v>10</v>
      </c>
      <c r="E33" s="153" t="s">
        <v>1441</v>
      </c>
      <c r="G33" s="172">
        <f>INDEX(Table1[[Especificação]:[Total Testes]],MATCH('Planemaneto rev.equipa'!C33,Table1[CONCAT],0),MATCH('Planemaneto rev.equipa'!B33,Table1[[#Headers],[Especificação]:[Total Testes]],0))</f>
        <v>1</v>
      </c>
      <c r="H33" s="191">
        <f t="shared" si="4"/>
        <v>0.13</v>
      </c>
      <c r="I33" s="222"/>
      <c r="J33" s="165"/>
      <c r="K33" s="165"/>
      <c r="L33" s="165"/>
      <c r="M33" s="165"/>
      <c r="N33" s="252">
        <v>1</v>
      </c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5"/>
      <c r="AY33" s="165"/>
      <c r="AZ33" s="165"/>
      <c r="BA33" s="165"/>
      <c r="BB33" s="165"/>
      <c r="BC33" s="165"/>
      <c r="BD33" s="165"/>
      <c r="BE33" s="165"/>
      <c r="BF33" s="165"/>
      <c r="BG33" s="165"/>
      <c r="BH33" s="165"/>
      <c r="BI33" s="165"/>
      <c r="BJ33" s="165"/>
      <c r="BK33" s="165"/>
      <c r="BL33" s="165"/>
      <c r="BM33" s="165"/>
      <c r="BN33" s="165"/>
      <c r="BO33" s="165"/>
      <c r="BP33" s="165"/>
      <c r="BQ33" s="165"/>
      <c r="BR33" s="165"/>
      <c r="BS33" s="165"/>
      <c r="BT33" s="165"/>
      <c r="BU33" s="165"/>
      <c r="BV33" s="165"/>
      <c r="BW33" s="165"/>
      <c r="BX33" s="165"/>
      <c r="BY33" s="165"/>
      <c r="BZ33" s="165"/>
      <c r="CA33" s="165"/>
      <c r="CB33" s="165"/>
      <c r="CC33" s="165"/>
      <c r="CD33" s="165"/>
      <c r="CE33" s="165"/>
      <c r="CF33" s="165"/>
      <c r="CG33" s="165"/>
      <c r="CH33" s="165"/>
      <c r="CI33" s="165"/>
      <c r="CJ33" s="165"/>
      <c r="CK33" s="165"/>
      <c r="CL33" s="165"/>
      <c r="CM33" s="165"/>
      <c r="CN33" s="165"/>
      <c r="CO33" s="165"/>
      <c r="CP33" s="165"/>
      <c r="CQ33" s="165"/>
    </row>
    <row r="34" spans="2:95" outlineLevel="1" x14ac:dyDescent="0.25">
      <c r="B34" s="156" t="str">
        <f>Table1[[#Headers],[Especificação]]</f>
        <v>Especificação</v>
      </c>
      <c r="C34" s="253" t="str">
        <f t="shared" si="3"/>
        <v>ENTITY_PURE_CAPEX_CE</v>
      </c>
      <c r="D34" s="153" t="s">
        <v>10</v>
      </c>
      <c r="E34" s="153" t="s">
        <v>1444</v>
      </c>
      <c r="G34" s="172">
        <f>INDEX(Table1[[Especificação]:[Total Testes]],MATCH('Planemaneto rev.equipa'!C34,Table1[CONCAT],0),MATCH('Planemaneto rev.equipa'!B34,Table1[[#Headers],[Especificação]:[Total Testes]],0))</f>
        <v>1</v>
      </c>
      <c r="H34" s="191">
        <f t="shared" si="4"/>
        <v>0.13</v>
      </c>
      <c r="I34" s="222"/>
      <c r="J34" s="165"/>
      <c r="K34" s="165"/>
      <c r="L34" s="165"/>
      <c r="M34" s="165"/>
      <c r="N34" s="252">
        <v>1</v>
      </c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5"/>
      <c r="AW34" s="165"/>
      <c r="AX34" s="165"/>
      <c r="AY34" s="165"/>
      <c r="AZ34" s="165"/>
      <c r="BA34" s="165"/>
      <c r="BB34" s="165"/>
      <c r="BC34" s="165"/>
      <c r="BD34" s="165"/>
      <c r="BE34" s="165"/>
      <c r="BF34" s="165"/>
      <c r="BG34" s="165"/>
      <c r="BH34" s="165"/>
      <c r="BI34" s="165"/>
      <c r="BJ34" s="165"/>
      <c r="BK34" s="165"/>
      <c r="BL34" s="165"/>
      <c r="BM34" s="165"/>
      <c r="BN34" s="165"/>
      <c r="BO34" s="165"/>
      <c r="BP34" s="165"/>
      <c r="BQ34" s="165"/>
      <c r="BR34" s="165"/>
      <c r="BS34" s="165"/>
      <c r="BT34" s="165"/>
      <c r="BU34" s="165"/>
      <c r="BV34" s="165"/>
      <c r="BW34" s="165"/>
      <c r="BX34" s="165"/>
      <c r="BY34" s="165"/>
      <c r="BZ34" s="165"/>
      <c r="CA34" s="165"/>
      <c r="CB34" s="165"/>
      <c r="CC34" s="165"/>
      <c r="CD34" s="165"/>
      <c r="CE34" s="165"/>
      <c r="CF34" s="165"/>
      <c r="CG34" s="165"/>
      <c r="CH34" s="165"/>
      <c r="CI34" s="165"/>
      <c r="CJ34" s="165"/>
      <c r="CK34" s="165"/>
      <c r="CL34" s="165"/>
      <c r="CM34" s="165"/>
      <c r="CN34" s="165"/>
      <c r="CO34" s="165"/>
      <c r="CP34" s="165"/>
      <c r="CQ34" s="165"/>
    </row>
    <row r="35" spans="2:95" outlineLevel="1" x14ac:dyDescent="0.25">
      <c r="B35" s="156" t="str">
        <f>Table1[[#Headers],[Especificação]]</f>
        <v>Especificação</v>
      </c>
      <c r="C35" s="253" t="str">
        <f t="shared" si="3"/>
        <v>ENTITY_PURE_TRNVR_CE</v>
      </c>
      <c r="D35" s="153" t="s">
        <v>10</v>
      </c>
      <c r="E35" s="153" t="s">
        <v>1447</v>
      </c>
      <c r="G35" s="172">
        <f>INDEX(Table1[[Especificação]:[Total Testes]],MATCH('Planemaneto rev.equipa'!C35,Table1[CONCAT],0),MATCH('Planemaneto rev.equipa'!B35,Table1[[#Headers],[Especificação]:[Total Testes]],0))</f>
        <v>1</v>
      </c>
      <c r="H35" s="191">
        <f t="shared" si="4"/>
        <v>0.13</v>
      </c>
      <c r="I35" s="222"/>
      <c r="J35" s="165"/>
      <c r="K35" s="165"/>
      <c r="L35" s="165"/>
      <c r="M35" s="165"/>
      <c r="N35" s="252">
        <v>1</v>
      </c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5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65"/>
      <c r="BC35" s="165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65"/>
      <c r="BP35" s="165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65"/>
      <c r="CC35" s="165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65"/>
      <c r="CP35" s="165"/>
      <c r="CQ35" s="165"/>
    </row>
    <row r="36" spans="2:95" outlineLevel="1" x14ac:dyDescent="0.25">
      <c r="B36" s="156" t="str">
        <f>Table1[[#Headers],[Especificação]]</f>
        <v>Especificação</v>
      </c>
      <c r="C36" s="253" t="str">
        <f t="shared" si="3"/>
        <v>ENTITY_ENBLNG_CAPEX_W</v>
      </c>
      <c r="D36" s="153" t="s">
        <v>10</v>
      </c>
      <c r="E36" s="153" t="s">
        <v>1450</v>
      </c>
      <c r="G36" s="172">
        <f>INDEX(Table1[[Especificação]:[Total Testes]],MATCH('Planemaneto rev.equipa'!C36,Table1[CONCAT],0),MATCH('Planemaneto rev.equipa'!B36,Table1[[#Headers],[Especificação]:[Total Testes]],0))</f>
        <v>1</v>
      </c>
      <c r="H36" s="191">
        <f t="shared" si="4"/>
        <v>0.13</v>
      </c>
      <c r="I36" s="222"/>
      <c r="J36" s="165"/>
      <c r="K36" s="165"/>
      <c r="L36" s="165"/>
      <c r="M36" s="165"/>
      <c r="N36" s="252">
        <v>1</v>
      </c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5"/>
      <c r="AV36" s="165"/>
      <c r="AW36" s="165"/>
      <c r="AX36" s="165"/>
      <c r="AY36" s="165"/>
      <c r="AZ36" s="165"/>
      <c r="BA36" s="165"/>
      <c r="BB36" s="165"/>
      <c r="BC36" s="165"/>
      <c r="BD36" s="165"/>
      <c r="BE36" s="165"/>
      <c r="BF36" s="165"/>
      <c r="BG36" s="165"/>
      <c r="BH36" s="165"/>
      <c r="BI36" s="165"/>
      <c r="BJ36" s="165"/>
      <c r="BK36" s="165"/>
      <c r="BL36" s="165"/>
      <c r="BM36" s="165"/>
      <c r="BN36" s="165"/>
      <c r="BO36" s="165"/>
      <c r="BP36" s="165"/>
      <c r="BQ36" s="165"/>
      <c r="BR36" s="165"/>
      <c r="BS36" s="165"/>
      <c r="BT36" s="165"/>
      <c r="BU36" s="165"/>
      <c r="BV36" s="165"/>
      <c r="BW36" s="165"/>
      <c r="BX36" s="165"/>
      <c r="BY36" s="165"/>
      <c r="BZ36" s="165"/>
      <c r="CA36" s="165"/>
      <c r="CB36" s="165"/>
      <c r="CC36" s="165"/>
      <c r="CD36" s="165"/>
      <c r="CE36" s="165"/>
      <c r="CF36" s="165"/>
      <c r="CG36" s="165"/>
      <c r="CH36" s="165"/>
      <c r="CI36" s="165"/>
      <c r="CJ36" s="165"/>
      <c r="CK36" s="165"/>
      <c r="CL36" s="165"/>
      <c r="CM36" s="165"/>
      <c r="CN36" s="165"/>
      <c r="CO36" s="165"/>
      <c r="CP36" s="165"/>
      <c r="CQ36" s="165"/>
    </row>
    <row r="37" spans="2:95" outlineLevel="1" x14ac:dyDescent="0.25">
      <c r="B37" s="156" t="str">
        <f>Table1[[#Headers],[Especificação]]</f>
        <v>Especificação</v>
      </c>
      <c r="C37" s="253" t="str">
        <f t="shared" si="3"/>
        <v>ENTITY_ENBLNG_TRNVR_W</v>
      </c>
      <c r="D37" s="153" t="s">
        <v>10</v>
      </c>
      <c r="E37" s="153" t="s">
        <v>1453</v>
      </c>
      <c r="G37" s="172">
        <f>INDEX(Table1[[Especificação]:[Total Testes]],MATCH('Planemaneto rev.equipa'!C37,Table1[CONCAT],0),MATCH('Planemaneto rev.equipa'!B37,Table1[[#Headers],[Especificação]:[Total Testes]],0))</f>
        <v>1</v>
      </c>
      <c r="H37" s="191">
        <f t="shared" si="4"/>
        <v>0.13</v>
      </c>
      <c r="I37" s="222"/>
      <c r="J37" s="165"/>
      <c r="K37" s="165"/>
      <c r="L37" s="165"/>
      <c r="M37" s="165"/>
      <c r="N37" s="252">
        <v>1</v>
      </c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5"/>
      <c r="AV37" s="165"/>
      <c r="AW37" s="165"/>
      <c r="AX37" s="165"/>
      <c r="AY37" s="165"/>
      <c r="AZ37" s="165"/>
      <c r="BA37" s="165"/>
      <c r="BB37" s="165"/>
      <c r="BC37" s="165"/>
      <c r="BD37" s="165"/>
      <c r="BE37" s="165"/>
      <c r="BF37" s="165"/>
      <c r="BG37" s="165"/>
      <c r="BH37" s="165"/>
      <c r="BI37" s="165"/>
      <c r="BJ37" s="165"/>
      <c r="BK37" s="165"/>
      <c r="BL37" s="165"/>
      <c r="BM37" s="165"/>
      <c r="BN37" s="165"/>
      <c r="BO37" s="165"/>
      <c r="BP37" s="165"/>
      <c r="BQ37" s="165"/>
      <c r="BR37" s="165"/>
      <c r="BS37" s="165"/>
      <c r="BT37" s="165"/>
      <c r="BU37" s="165"/>
      <c r="BV37" s="165"/>
      <c r="BW37" s="165"/>
      <c r="BX37" s="165"/>
      <c r="BY37" s="165"/>
      <c r="BZ37" s="165"/>
      <c r="CA37" s="165"/>
      <c r="CB37" s="165"/>
      <c r="CC37" s="165"/>
      <c r="CD37" s="165"/>
      <c r="CE37" s="165"/>
      <c r="CF37" s="165"/>
      <c r="CG37" s="165"/>
      <c r="CH37" s="165"/>
      <c r="CI37" s="165"/>
      <c r="CJ37" s="165"/>
      <c r="CK37" s="165"/>
      <c r="CL37" s="165"/>
      <c r="CM37" s="165"/>
      <c r="CN37" s="165"/>
      <c r="CO37" s="165"/>
      <c r="CP37" s="165"/>
      <c r="CQ37" s="165"/>
    </row>
    <row r="38" spans="2:95" outlineLevel="1" x14ac:dyDescent="0.25">
      <c r="B38" s="156" t="str">
        <f>Table1[[#Headers],[Especificação]]</f>
        <v>Especificação</v>
      </c>
      <c r="C38" s="253" t="str">
        <f t="shared" si="3"/>
        <v>ENTITY_ENBLNG_CAPEX_CE</v>
      </c>
      <c r="D38" s="153" t="s">
        <v>10</v>
      </c>
      <c r="E38" s="153" t="s">
        <v>1456</v>
      </c>
      <c r="G38" s="172">
        <f>INDEX(Table1[[Especificação]:[Total Testes]],MATCH('Planemaneto rev.equipa'!C38,Table1[CONCAT],0),MATCH('Planemaneto rev.equipa'!B38,Table1[[#Headers],[Especificação]:[Total Testes]],0))</f>
        <v>1</v>
      </c>
      <c r="H38" s="191">
        <f t="shared" si="4"/>
        <v>0.13</v>
      </c>
      <c r="I38" s="222"/>
      <c r="J38" s="165"/>
      <c r="K38" s="165"/>
      <c r="L38" s="165"/>
      <c r="M38" s="165"/>
      <c r="N38" s="252">
        <v>1</v>
      </c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5"/>
      <c r="AO38" s="165"/>
      <c r="AP38" s="165"/>
      <c r="AQ38" s="165"/>
      <c r="AR38" s="165"/>
      <c r="AS38" s="165"/>
      <c r="AT38" s="165"/>
      <c r="AU38" s="165"/>
      <c r="AV38" s="165"/>
      <c r="AW38" s="165"/>
      <c r="AX38" s="165"/>
      <c r="AY38" s="165"/>
      <c r="AZ38" s="165"/>
      <c r="BA38" s="165"/>
      <c r="BB38" s="165"/>
      <c r="BC38" s="165"/>
      <c r="BD38" s="165"/>
      <c r="BE38" s="165"/>
      <c r="BF38" s="165"/>
      <c r="BG38" s="165"/>
      <c r="BH38" s="165"/>
      <c r="BI38" s="165"/>
      <c r="BJ38" s="165"/>
      <c r="BK38" s="165"/>
      <c r="BL38" s="165"/>
      <c r="BM38" s="165"/>
      <c r="BN38" s="165"/>
      <c r="BO38" s="165"/>
      <c r="BP38" s="165"/>
      <c r="BQ38" s="165"/>
      <c r="BR38" s="165"/>
      <c r="BS38" s="165"/>
      <c r="BT38" s="165"/>
      <c r="BU38" s="165"/>
      <c r="BV38" s="165"/>
      <c r="BW38" s="165"/>
      <c r="BX38" s="165"/>
      <c r="BY38" s="165"/>
      <c r="BZ38" s="165"/>
      <c r="CA38" s="165"/>
      <c r="CB38" s="165"/>
      <c r="CC38" s="165"/>
      <c r="CD38" s="165"/>
      <c r="CE38" s="165"/>
      <c r="CF38" s="165"/>
      <c r="CG38" s="165"/>
      <c r="CH38" s="165"/>
      <c r="CI38" s="165"/>
      <c r="CJ38" s="165"/>
      <c r="CK38" s="165"/>
      <c r="CL38" s="165"/>
      <c r="CM38" s="165"/>
      <c r="CN38" s="165"/>
      <c r="CO38" s="165"/>
      <c r="CP38" s="165"/>
      <c r="CQ38" s="165"/>
    </row>
    <row r="39" spans="2:95" outlineLevel="1" x14ac:dyDescent="0.25">
      <c r="B39" s="156" t="str">
        <f>Table1[[#Headers],[Especificação]]</f>
        <v>Especificação</v>
      </c>
      <c r="C39" s="253" t="str">
        <f t="shared" si="3"/>
        <v>ENTITY_ENBLNG_TRNVR_CE</v>
      </c>
      <c r="D39" s="153" t="s">
        <v>10</v>
      </c>
      <c r="E39" s="153" t="s">
        <v>1459</v>
      </c>
      <c r="G39" s="172">
        <f>INDEX(Table1[[Especificação]:[Total Testes]],MATCH('Planemaneto rev.equipa'!C39,Table1[CONCAT],0),MATCH('Planemaneto rev.equipa'!B39,Table1[[#Headers],[Especificação]:[Total Testes]],0))</f>
        <v>1</v>
      </c>
      <c r="H39" s="191">
        <f t="shared" si="4"/>
        <v>0.13</v>
      </c>
      <c r="I39" s="222"/>
      <c r="J39" s="165"/>
      <c r="K39" s="165"/>
      <c r="L39" s="165"/>
      <c r="M39" s="165"/>
      <c r="N39" s="252">
        <v>1</v>
      </c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  <c r="AK39" s="165"/>
      <c r="AL39" s="165"/>
      <c r="AM39" s="165"/>
      <c r="AN39" s="165"/>
      <c r="AO39" s="165"/>
      <c r="AP39" s="165"/>
      <c r="AQ39" s="165"/>
      <c r="AR39" s="165"/>
      <c r="AS39" s="165"/>
      <c r="AT39" s="165"/>
      <c r="AU39" s="165"/>
      <c r="AV39" s="165"/>
      <c r="AW39" s="165"/>
      <c r="AX39" s="165"/>
      <c r="AY39" s="165"/>
      <c r="AZ39" s="165"/>
      <c r="BA39" s="165"/>
      <c r="BB39" s="165"/>
      <c r="BC39" s="165"/>
      <c r="BD39" s="165"/>
      <c r="BE39" s="165"/>
      <c r="BF39" s="165"/>
      <c r="BG39" s="165"/>
      <c r="BH39" s="165"/>
      <c r="BI39" s="165"/>
      <c r="BJ39" s="165"/>
      <c r="BK39" s="165"/>
      <c r="BL39" s="165"/>
      <c r="BM39" s="165"/>
      <c r="BN39" s="165"/>
      <c r="BO39" s="165"/>
      <c r="BP39" s="165"/>
      <c r="BQ39" s="165"/>
      <c r="BR39" s="165"/>
      <c r="BS39" s="165"/>
      <c r="BT39" s="165"/>
      <c r="BU39" s="165"/>
      <c r="BV39" s="165"/>
      <c r="BW39" s="165"/>
      <c r="BX39" s="165"/>
      <c r="BY39" s="165"/>
      <c r="BZ39" s="165"/>
      <c r="CA39" s="165"/>
      <c r="CB39" s="165"/>
      <c r="CC39" s="165"/>
      <c r="CD39" s="165"/>
      <c r="CE39" s="165"/>
      <c r="CF39" s="165"/>
      <c r="CG39" s="165"/>
      <c r="CH39" s="165"/>
      <c r="CI39" s="165"/>
      <c r="CJ39" s="165"/>
      <c r="CK39" s="165"/>
      <c r="CL39" s="165"/>
      <c r="CM39" s="165"/>
      <c r="CN39" s="165"/>
      <c r="CO39" s="165"/>
      <c r="CP39" s="165"/>
      <c r="CQ39" s="165"/>
    </row>
    <row r="40" spans="2:95" outlineLevel="1" x14ac:dyDescent="0.25">
      <c r="B40" s="156" t="str">
        <f>Table1[[#Headers],[Especificação]]</f>
        <v>Especificação</v>
      </c>
      <c r="C40" s="255" t="str">
        <f t="shared" si="3"/>
        <v>PROTECTION_BLDNG_AR</v>
      </c>
      <c r="D40" s="153" t="s">
        <v>1114</v>
      </c>
      <c r="E40" s="153" t="s">
        <v>1387</v>
      </c>
      <c r="G40" s="172">
        <f>INDEX(Table1[[Especificação]:[Total Testes]],MATCH('Planemaneto rev.equipa'!C40,Table1[CONCAT],0),MATCH('Planemaneto rev.equipa'!B40,Table1[[#Headers],[Especificação]:[Total Testes]],0))</f>
        <v>2</v>
      </c>
      <c r="H40" s="191">
        <f t="shared" si="4"/>
        <v>0.25</v>
      </c>
      <c r="I40" s="222"/>
      <c r="J40" s="165"/>
      <c r="K40" s="165"/>
      <c r="L40" s="165"/>
      <c r="M40" s="165"/>
      <c r="N40" s="165"/>
      <c r="O40" s="165"/>
      <c r="P40" s="165"/>
      <c r="Q40" s="165"/>
      <c r="R40" s="165"/>
      <c r="S40" s="258">
        <v>1</v>
      </c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  <c r="AF40" s="165"/>
      <c r="AG40" s="165"/>
      <c r="AH40" s="165"/>
      <c r="AI40" s="165"/>
      <c r="AJ40" s="165"/>
      <c r="AK40" s="165"/>
      <c r="AL40" s="165"/>
      <c r="AM40" s="165"/>
      <c r="AN40" s="165"/>
      <c r="AO40" s="165"/>
      <c r="AP40" s="165"/>
      <c r="AQ40" s="165"/>
      <c r="AR40" s="165"/>
      <c r="AS40" s="165"/>
      <c r="AT40" s="165"/>
      <c r="AU40" s="165"/>
      <c r="AV40" s="165"/>
      <c r="AW40" s="165"/>
      <c r="AX40" s="165"/>
      <c r="AY40" s="165"/>
      <c r="AZ40" s="165"/>
      <c r="BA40" s="165"/>
      <c r="BB40" s="165"/>
      <c r="BC40" s="165"/>
      <c r="BD40" s="165"/>
      <c r="BE40" s="165"/>
      <c r="BF40" s="165"/>
      <c r="BG40" s="165"/>
      <c r="BH40" s="165"/>
      <c r="BI40" s="165"/>
      <c r="BJ40" s="165"/>
      <c r="BK40" s="165"/>
      <c r="BL40" s="165"/>
      <c r="BM40" s="165"/>
      <c r="BN40" s="165"/>
      <c r="BO40" s="165"/>
      <c r="BP40" s="165"/>
      <c r="BQ40" s="165"/>
      <c r="BR40" s="165"/>
      <c r="BS40" s="165"/>
      <c r="BT40" s="165"/>
      <c r="BU40" s="165"/>
      <c r="BV40" s="165"/>
      <c r="BW40" s="165"/>
      <c r="BX40" s="165"/>
      <c r="BY40" s="165"/>
      <c r="BZ40" s="165"/>
      <c r="CA40" s="165"/>
      <c r="CB40" s="165"/>
      <c r="CC40" s="165"/>
      <c r="CD40" s="165"/>
      <c r="CE40" s="165"/>
      <c r="CF40" s="165"/>
      <c r="CG40" s="165"/>
      <c r="CH40" s="165"/>
      <c r="CI40" s="165"/>
      <c r="CJ40" s="165"/>
      <c r="CK40" s="165"/>
      <c r="CL40" s="165"/>
      <c r="CM40" s="165"/>
      <c r="CN40" s="165"/>
      <c r="CO40" s="165"/>
      <c r="CP40" s="165"/>
      <c r="CQ40" s="165"/>
    </row>
    <row r="41" spans="2:95" outlineLevel="1" x14ac:dyDescent="0.25">
      <c r="B41" s="156" t="str">
        <f>Table1[[#Headers],[Especificação]]</f>
        <v>Especificação</v>
      </c>
      <c r="C41" s="254" t="str">
        <f t="shared" si="3"/>
        <v>PROTECTION_PRMRY_ENRGY_DMND_NN_RNWBL</v>
      </c>
      <c r="D41" s="153" t="s">
        <v>1114</v>
      </c>
      <c r="E41" s="153" t="s">
        <v>1521</v>
      </c>
      <c r="G41" s="172">
        <f>INDEX(Table1[[Especificação]:[Total Testes]],MATCH('Planemaneto rev.equipa'!C41,Table1[CONCAT],0),MATCH('Planemaneto rev.equipa'!B41,Table1[[#Headers],[Especificação]:[Total Testes]],0))</f>
        <v>10</v>
      </c>
      <c r="H41" s="191">
        <f t="shared" si="4"/>
        <v>1.25</v>
      </c>
      <c r="I41" s="222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259">
        <v>1</v>
      </c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5"/>
      <c r="AO41" s="165"/>
      <c r="AP41" s="165"/>
      <c r="AQ41" s="165"/>
      <c r="AR41" s="165"/>
      <c r="AS41" s="165"/>
      <c r="AT41" s="165"/>
      <c r="AU41" s="165"/>
      <c r="AV41" s="165"/>
      <c r="AW41" s="165"/>
      <c r="AX41" s="165"/>
      <c r="AY41" s="165"/>
      <c r="AZ41" s="165"/>
      <c r="BA41" s="165"/>
      <c r="BB41" s="165"/>
      <c r="BC41" s="165"/>
      <c r="BD41" s="165"/>
      <c r="BE41" s="165"/>
      <c r="BF41" s="165"/>
      <c r="BG41" s="165"/>
      <c r="BH41" s="165"/>
      <c r="BI41" s="165"/>
      <c r="BJ41" s="165"/>
      <c r="BK41" s="165"/>
      <c r="BL41" s="165"/>
      <c r="BM41" s="165"/>
      <c r="BN41" s="165"/>
      <c r="BO41" s="165"/>
      <c r="BP41" s="165"/>
      <c r="BQ41" s="165"/>
      <c r="BR41" s="165"/>
      <c r="BS41" s="165"/>
      <c r="BT41" s="165"/>
      <c r="BU41" s="165"/>
      <c r="BV41" s="165"/>
      <c r="BW41" s="165"/>
      <c r="BX41" s="165"/>
      <c r="BY41" s="165"/>
      <c r="BZ41" s="165"/>
      <c r="CA41" s="165"/>
      <c r="CB41" s="165"/>
      <c r="CC41" s="165"/>
      <c r="CD41" s="165"/>
      <c r="CE41" s="165"/>
      <c r="CF41" s="165"/>
      <c r="CG41" s="165"/>
      <c r="CH41" s="165"/>
      <c r="CI41" s="165"/>
      <c r="CJ41" s="165"/>
      <c r="CK41" s="165"/>
      <c r="CL41" s="165"/>
      <c r="CM41" s="165"/>
      <c r="CN41" s="165"/>
      <c r="CO41" s="165"/>
      <c r="CP41" s="165"/>
      <c r="CQ41" s="165"/>
    </row>
    <row r="42" spans="2:95" outlineLevel="1" x14ac:dyDescent="0.25">
      <c r="B42" s="156" t="str">
        <f>Table1[[#Headers],[Especificação]]</f>
        <v>Especificação</v>
      </c>
      <c r="C42" s="254" t="str">
        <f>D42&amp;"_"&amp;E42</f>
        <v>PROTECTION_PRMRY_ENRGY_DMND_TTL</v>
      </c>
      <c r="D42" s="153" t="s">
        <v>1114</v>
      </c>
      <c r="E42" s="153" t="s">
        <v>1524</v>
      </c>
      <c r="G42" s="172">
        <f>INDEX(Table1[[Especificação]:[Total Testes]],MATCH('Planemaneto rev.equipa'!C42,Table1[CONCAT],0),MATCH('Planemaneto rev.equipa'!B42,Table1[[#Headers],[Especificação]:[Total Testes]],0))</f>
        <v>8</v>
      </c>
      <c r="H42" s="191">
        <f t="shared" si="4"/>
        <v>1</v>
      </c>
      <c r="I42" s="222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259">
        <v>1</v>
      </c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  <c r="AS42" s="165"/>
      <c r="AT42" s="165"/>
      <c r="AU42" s="165"/>
      <c r="AV42" s="165"/>
      <c r="AW42" s="165"/>
      <c r="AX42" s="165"/>
      <c r="AY42" s="165"/>
      <c r="AZ42" s="165"/>
      <c r="BA42" s="165"/>
      <c r="BB42" s="165"/>
      <c r="BC42" s="165"/>
      <c r="BD42" s="165"/>
      <c r="BE42" s="165"/>
      <c r="BF42" s="165"/>
      <c r="BG42" s="165"/>
      <c r="BH42" s="165"/>
      <c r="BI42" s="165"/>
      <c r="BJ42" s="165"/>
      <c r="BK42" s="165"/>
      <c r="BL42" s="165"/>
      <c r="BM42" s="165"/>
      <c r="BN42" s="165"/>
      <c r="BO42" s="165"/>
      <c r="BP42" s="165"/>
      <c r="BQ42" s="165"/>
      <c r="BR42" s="165"/>
      <c r="BS42" s="165"/>
      <c r="BT42" s="165"/>
      <c r="BU42" s="165"/>
      <c r="BV42" s="165"/>
      <c r="BW42" s="165"/>
      <c r="BX42" s="165"/>
      <c r="BY42" s="165"/>
      <c r="BZ42" s="165"/>
      <c r="CA42" s="165"/>
      <c r="CB42" s="165"/>
      <c r="CC42" s="165"/>
      <c r="CD42" s="165"/>
      <c r="CE42" s="165"/>
      <c r="CF42" s="165"/>
      <c r="CG42" s="165"/>
      <c r="CH42" s="165"/>
      <c r="CI42" s="165"/>
      <c r="CJ42" s="165"/>
      <c r="CK42" s="165"/>
      <c r="CL42" s="165"/>
      <c r="CM42" s="165"/>
      <c r="CN42" s="165"/>
      <c r="CO42" s="165"/>
      <c r="CP42" s="165"/>
      <c r="CQ42" s="165"/>
    </row>
    <row r="43" spans="2:95" outlineLevel="1" x14ac:dyDescent="0.25">
      <c r="B43" s="156" t="str">
        <f>Table1[[#Headers],[Especificação]]</f>
        <v>Especificação</v>
      </c>
      <c r="C43" s="254" t="str">
        <f t="shared" si="3"/>
        <v>PROTECTION_PRMRY_ENRGY_DMND_RFRNC_VL</v>
      </c>
      <c r="D43" s="153" t="s">
        <v>1114</v>
      </c>
      <c r="E43" s="153" t="s">
        <v>1527</v>
      </c>
      <c r="G43" s="172">
        <f>INDEX(Table1[[Especificação]:[Total Testes]],MATCH('Planemaneto rev.equipa'!C43,Table1[CONCAT],0),MATCH('Planemaneto rev.equipa'!B43,Table1[[#Headers],[Especificação]:[Total Testes]],0))</f>
        <v>8</v>
      </c>
      <c r="H43" s="191">
        <f t="shared" si="4"/>
        <v>1</v>
      </c>
      <c r="I43" s="222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259">
        <v>1</v>
      </c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  <c r="AK43" s="165"/>
      <c r="AL43" s="165"/>
      <c r="AM43" s="165"/>
      <c r="AN43" s="165"/>
      <c r="AO43" s="165"/>
      <c r="AP43" s="165"/>
      <c r="AQ43" s="165"/>
      <c r="AR43" s="165"/>
      <c r="AS43" s="165"/>
      <c r="AT43" s="165"/>
      <c r="AU43" s="165"/>
      <c r="AV43" s="165"/>
      <c r="AW43" s="165"/>
      <c r="AX43" s="165"/>
      <c r="AY43" s="165"/>
      <c r="AZ43" s="165"/>
      <c r="BA43" s="165"/>
      <c r="BB43" s="165"/>
      <c r="BC43" s="165"/>
      <c r="BD43" s="165"/>
      <c r="BE43" s="165"/>
      <c r="BF43" s="165"/>
      <c r="BG43" s="165"/>
      <c r="BH43" s="165"/>
      <c r="BI43" s="165"/>
      <c r="BJ43" s="165"/>
      <c r="BK43" s="165"/>
      <c r="BL43" s="165"/>
      <c r="BM43" s="165"/>
      <c r="BN43" s="165"/>
      <c r="BO43" s="165"/>
      <c r="BP43" s="165"/>
      <c r="BQ43" s="165"/>
      <c r="BR43" s="165"/>
      <c r="BS43" s="165"/>
      <c r="BT43" s="165"/>
      <c r="BU43" s="165"/>
      <c r="BV43" s="165"/>
      <c r="BW43" s="165"/>
      <c r="BX43" s="165"/>
      <c r="BY43" s="165"/>
      <c r="BZ43" s="165"/>
      <c r="CA43" s="165"/>
      <c r="CB43" s="165"/>
      <c r="CC43" s="165"/>
      <c r="CD43" s="165"/>
      <c r="CE43" s="165"/>
      <c r="CF43" s="165"/>
      <c r="CG43" s="165"/>
      <c r="CH43" s="165"/>
      <c r="CI43" s="165"/>
      <c r="CJ43" s="165"/>
      <c r="CK43" s="165"/>
      <c r="CL43" s="165"/>
      <c r="CM43" s="165"/>
      <c r="CN43" s="165"/>
      <c r="CO43" s="165"/>
      <c r="CP43" s="165"/>
      <c r="CQ43" s="165"/>
    </row>
    <row r="44" spans="2:95" outlineLevel="1" x14ac:dyDescent="0.25">
      <c r="B44" s="156" t="str">
        <f>Table1[[#Headers],[Especificação]]</f>
        <v>Especificação</v>
      </c>
      <c r="C44" s="257" t="str">
        <f t="shared" si="3"/>
        <v>PROTECTION_RL_ESTT_CLMT_ZN</v>
      </c>
      <c r="D44" s="153" t="s">
        <v>1114</v>
      </c>
      <c r="E44" s="153" t="s">
        <v>1530</v>
      </c>
      <c r="G44" s="172">
        <f>INDEX(Table1[[Especificação]:[Total Testes]],MATCH('Planemaneto rev.equipa'!C44,Table1[CONCAT],0),MATCH('Planemaneto rev.equipa'!B44,Table1[[#Headers],[Especificação]:[Total Testes]],0))</f>
        <v>8</v>
      </c>
      <c r="H44" s="191">
        <f t="shared" si="4"/>
        <v>1</v>
      </c>
      <c r="I44" s="222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260">
        <v>1</v>
      </c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5"/>
      <c r="AO44" s="165"/>
      <c r="AP44" s="165"/>
      <c r="AQ44" s="165"/>
      <c r="AR44" s="165"/>
      <c r="AS44" s="165"/>
      <c r="AT44" s="165"/>
      <c r="AU44" s="165"/>
      <c r="AV44" s="165"/>
      <c r="AW44" s="165"/>
      <c r="AX44" s="165"/>
      <c r="AY44" s="165"/>
      <c r="AZ44" s="165"/>
      <c r="BA44" s="165"/>
      <c r="BB44" s="165"/>
      <c r="BC44" s="165"/>
      <c r="BD44" s="165"/>
      <c r="BE44" s="165"/>
      <c r="BF44" s="165"/>
      <c r="BG44" s="165"/>
      <c r="BH44" s="165"/>
      <c r="BI44" s="165"/>
      <c r="BJ44" s="165"/>
      <c r="BK44" s="165"/>
      <c r="BL44" s="165"/>
      <c r="BM44" s="165"/>
      <c r="BN44" s="165"/>
      <c r="BO44" s="165"/>
      <c r="BP44" s="165"/>
      <c r="BQ44" s="165"/>
      <c r="BR44" s="165"/>
      <c r="BS44" s="165"/>
      <c r="BT44" s="165"/>
      <c r="BU44" s="165"/>
      <c r="BV44" s="165"/>
      <c r="BW44" s="165"/>
      <c r="BX44" s="165"/>
      <c r="BY44" s="165"/>
      <c r="BZ44" s="165"/>
      <c r="CA44" s="165"/>
      <c r="CB44" s="165"/>
      <c r="CC44" s="165"/>
      <c r="CD44" s="165"/>
      <c r="CE44" s="165"/>
      <c r="CF44" s="165"/>
      <c r="CG44" s="165"/>
      <c r="CH44" s="165"/>
      <c r="CI44" s="165"/>
      <c r="CJ44" s="165"/>
      <c r="CK44" s="165"/>
      <c r="CL44" s="165"/>
      <c r="CM44" s="165"/>
      <c r="CN44" s="165"/>
      <c r="CO44" s="165"/>
      <c r="CP44" s="165"/>
      <c r="CQ44" s="165"/>
    </row>
    <row r="45" spans="2:95" outlineLevel="1" x14ac:dyDescent="0.25">
      <c r="B45" s="156" t="str">
        <f>Table1[[#Headers],[Especificação]]</f>
        <v>Especificação</v>
      </c>
      <c r="C45" s="255" t="str">
        <f t="shared" si="3"/>
        <v>INSTR_ACTIVITY_FLG_SBSTNTL_CNTRBTN</v>
      </c>
      <c r="D45" s="153" t="s">
        <v>1542</v>
      </c>
      <c r="E45" s="153" t="s">
        <v>1554</v>
      </c>
      <c r="G45" s="172">
        <f>INDEX(Table1[[Especificação]:[Total Testes]],MATCH('Planemaneto rev.equipa'!C45,Table1[CONCAT],0),MATCH('Planemaneto rev.equipa'!B45,Table1[[#Headers],[Especificação]:[Total Testes]],0))</f>
        <v>4</v>
      </c>
      <c r="H45" s="191">
        <f t="shared" si="4"/>
        <v>0.5</v>
      </c>
      <c r="I45" s="222"/>
      <c r="J45" s="165"/>
      <c r="K45" s="165"/>
      <c r="L45" s="165"/>
      <c r="M45" s="165"/>
      <c r="N45" s="165"/>
      <c r="O45" s="165"/>
      <c r="P45" s="165"/>
      <c r="Q45" s="165"/>
      <c r="R45" s="165"/>
      <c r="S45" s="258">
        <v>1</v>
      </c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  <c r="AK45" s="165"/>
      <c r="AL45" s="165"/>
      <c r="AM45" s="165"/>
      <c r="AN45" s="165"/>
      <c r="AO45" s="165"/>
      <c r="AP45" s="165"/>
      <c r="AQ45" s="165"/>
      <c r="AR45" s="165"/>
      <c r="AS45" s="165"/>
      <c r="AT45" s="165"/>
      <c r="AU45" s="165"/>
      <c r="AV45" s="165"/>
      <c r="AW45" s="165"/>
      <c r="AX45" s="165"/>
      <c r="AY45" s="165"/>
      <c r="AZ45" s="165"/>
      <c r="BA45" s="165"/>
      <c r="BB45" s="165"/>
      <c r="BC45" s="165"/>
      <c r="BD45" s="165"/>
      <c r="BE45" s="165"/>
      <c r="BF45" s="165"/>
      <c r="BG45" s="165"/>
      <c r="BH45" s="165"/>
      <c r="BI45" s="165"/>
      <c r="BJ45" s="165"/>
      <c r="BK45" s="165"/>
      <c r="BL45" s="165"/>
      <c r="BM45" s="165"/>
      <c r="BN45" s="165"/>
      <c r="BO45" s="165"/>
      <c r="BP45" s="165"/>
      <c r="BQ45" s="165"/>
      <c r="BR45" s="165"/>
      <c r="BS45" s="165"/>
      <c r="BT45" s="165"/>
      <c r="BU45" s="165"/>
      <c r="BV45" s="165"/>
      <c r="BW45" s="165"/>
      <c r="BX45" s="165"/>
      <c r="BY45" s="165"/>
      <c r="BZ45" s="165"/>
      <c r="CA45" s="165"/>
      <c r="CB45" s="165"/>
      <c r="CC45" s="165"/>
      <c r="CD45" s="165"/>
      <c r="CE45" s="165"/>
      <c r="CF45" s="165"/>
      <c r="CG45" s="165"/>
      <c r="CH45" s="165"/>
      <c r="CI45" s="165"/>
      <c r="CJ45" s="165"/>
      <c r="CK45" s="165"/>
      <c r="CL45" s="165"/>
      <c r="CM45" s="165"/>
      <c r="CN45" s="165"/>
      <c r="CO45" s="165"/>
      <c r="CP45" s="165"/>
      <c r="CQ45" s="165"/>
    </row>
    <row r="46" spans="2:95" outlineLevel="1" x14ac:dyDescent="0.25">
      <c r="B46" s="156" t="str">
        <f>Table1[[#Headers],[Especificação]]</f>
        <v>Especificação</v>
      </c>
      <c r="C46" s="255" t="str">
        <f t="shared" si="3"/>
        <v>INSTRUMENT_IFRS9_BHVRL_MTRTY</v>
      </c>
      <c r="D46" s="153" t="s">
        <v>414</v>
      </c>
      <c r="E46" s="153" t="s">
        <v>614</v>
      </c>
      <c r="G46" s="172">
        <f>INDEX(Table1[[Especificação]:[Total Testes]],MATCH('Planemaneto rev.equipa'!C46,Table1[CONCAT],0),MATCH('Planemaneto rev.equipa'!B46,Table1[[#Headers],[Especificação]:[Total Testes]],0))</f>
        <v>1</v>
      </c>
      <c r="H46" s="191">
        <f t="shared" si="4"/>
        <v>0.13</v>
      </c>
      <c r="I46" s="222"/>
      <c r="J46" s="165"/>
      <c r="K46" s="165"/>
      <c r="L46" s="165"/>
      <c r="M46" s="165"/>
      <c r="N46" s="165"/>
      <c r="O46" s="165"/>
      <c r="P46" s="165"/>
      <c r="Q46" s="165"/>
      <c r="R46" s="165"/>
      <c r="S46" s="258">
        <v>1</v>
      </c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  <c r="AF46" s="165"/>
      <c r="AG46" s="165"/>
      <c r="AH46" s="165"/>
      <c r="AI46" s="165"/>
      <c r="AJ46" s="165"/>
      <c r="AK46" s="165"/>
      <c r="AL46" s="165"/>
      <c r="AM46" s="165"/>
      <c r="AN46" s="165"/>
      <c r="AO46" s="165"/>
      <c r="AP46" s="165"/>
      <c r="AQ46" s="165"/>
      <c r="AR46" s="165"/>
      <c r="AS46" s="165"/>
      <c r="AT46" s="165"/>
      <c r="AU46" s="165"/>
      <c r="AV46" s="165"/>
      <c r="AW46" s="165"/>
      <c r="AX46" s="165"/>
      <c r="AY46" s="165"/>
      <c r="AZ46" s="165"/>
      <c r="BA46" s="165"/>
      <c r="BB46" s="165"/>
      <c r="BC46" s="165"/>
      <c r="BD46" s="165"/>
      <c r="BE46" s="165"/>
      <c r="BF46" s="165"/>
      <c r="BG46" s="165"/>
      <c r="BH46" s="165"/>
      <c r="BI46" s="165"/>
      <c r="BJ46" s="165"/>
      <c r="BK46" s="165"/>
      <c r="BL46" s="165"/>
      <c r="BM46" s="165"/>
      <c r="BN46" s="165"/>
      <c r="BO46" s="165"/>
      <c r="BP46" s="165"/>
      <c r="BQ46" s="165"/>
      <c r="BR46" s="165"/>
      <c r="BS46" s="165"/>
      <c r="BT46" s="165"/>
      <c r="BU46" s="165"/>
      <c r="BV46" s="165"/>
      <c r="BW46" s="165"/>
      <c r="BX46" s="165"/>
      <c r="BY46" s="165"/>
      <c r="BZ46" s="165"/>
      <c r="CA46" s="165"/>
      <c r="CB46" s="165"/>
      <c r="CC46" s="165"/>
      <c r="CD46" s="165"/>
      <c r="CE46" s="165"/>
      <c r="CF46" s="165"/>
      <c r="CG46" s="165"/>
      <c r="CH46" s="165"/>
      <c r="CI46" s="165"/>
      <c r="CJ46" s="165"/>
      <c r="CK46" s="165"/>
      <c r="CL46" s="165"/>
      <c r="CM46" s="165"/>
      <c r="CN46" s="165"/>
      <c r="CO46" s="165"/>
      <c r="CP46" s="165"/>
      <c r="CQ46" s="165"/>
    </row>
    <row r="47" spans="2:95" outlineLevel="1" x14ac:dyDescent="0.25">
      <c r="B47" s="156" t="str">
        <f>Table1[[#Headers],[Especificação]]</f>
        <v>Especificação</v>
      </c>
      <c r="C47" s="255" t="str">
        <f t="shared" si="3"/>
        <v>INSTRUMENT_LTV</v>
      </c>
      <c r="D47" s="153" t="s">
        <v>414</v>
      </c>
      <c r="E47" s="153" t="s">
        <v>724</v>
      </c>
      <c r="G47" s="172">
        <f>INDEX(Table1[[Especificação]:[Total Testes]],MATCH('Planemaneto rev.equipa'!C47,Table1[CONCAT],0),MATCH('Planemaneto rev.equipa'!B47,Table1[[#Headers],[Especificação]:[Total Testes]],0))</f>
        <v>1</v>
      </c>
      <c r="H47" s="191">
        <f t="shared" si="4"/>
        <v>0.13</v>
      </c>
      <c r="I47" s="222"/>
      <c r="J47" s="165"/>
      <c r="K47" s="165"/>
      <c r="L47" s="165"/>
      <c r="M47" s="165"/>
      <c r="N47" s="165"/>
      <c r="O47" s="165"/>
      <c r="P47" s="165"/>
      <c r="Q47" s="165"/>
      <c r="R47" s="165"/>
      <c r="S47" s="258">
        <v>1</v>
      </c>
      <c r="T47" s="165"/>
      <c r="U47" s="165"/>
      <c r="V47" s="165"/>
      <c r="W47" s="165"/>
      <c r="X47" s="165"/>
      <c r="Y47" s="165"/>
      <c r="Z47" s="165"/>
      <c r="AA47" s="165"/>
      <c r="AB47" s="165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5"/>
      <c r="AO47" s="165"/>
      <c r="AP47" s="165"/>
      <c r="AQ47" s="165"/>
      <c r="AR47" s="165"/>
      <c r="AS47" s="165"/>
      <c r="AT47" s="165"/>
      <c r="AU47" s="165"/>
      <c r="AV47" s="165"/>
      <c r="AW47" s="165"/>
      <c r="AX47" s="165"/>
      <c r="AY47" s="165"/>
      <c r="AZ47" s="165"/>
      <c r="BA47" s="165"/>
      <c r="BB47" s="165"/>
      <c r="BC47" s="165"/>
      <c r="BD47" s="165"/>
      <c r="BE47" s="165"/>
      <c r="BF47" s="165"/>
      <c r="BG47" s="165"/>
      <c r="BH47" s="165"/>
      <c r="BI47" s="165"/>
      <c r="BJ47" s="165"/>
      <c r="BK47" s="165"/>
      <c r="BL47" s="165"/>
      <c r="BM47" s="165"/>
      <c r="BN47" s="165"/>
      <c r="BO47" s="165"/>
      <c r="BP47" s="165"/>
      <c r="BQ47" s="165"/>
      <c r="BR47" s="165"/>
      <c r="BS47" s="165"/>
      <c r="BT47" s="165"/>
      <c r="BU47" s="165"/>
      <c r="BV47" s="165"/>
      <c r="BW47" s="165"/>
      <c r="BX47" s="165"/>
      <c r="BY47" s="165"/>
      <c r="BZ47" s="165"/>
      <c r="CA47" s="165"/>
      <c r="CB47" s="165"/>
      <c r="CC47" s="165"/>
      <c r="CD47" s="165"/>
      <c r="CE47" s="165"/>
      <c r="CF47" s="165"/>
      <c r="CG47" s="165"/>
      <c r="CH47" s="165"/>
      <c r="CI47" s="165"/>
      <c r="CJ47" s="165"/>
      <c r="CK47" s="165"/>
      <c r="CL47" s="165"/>
      <c r="CM47" s="165"/>
      <c r="CN47" s="165"/>
      <c r="CO47" s="165"/>
      <c r="CP47" s="165"/>
      <c r="CQ47" s="165"/>
    </row>
    <row r="48" spans="2:95" outlineLevel="1" x14ac:dyDescent="0.25">
      <c r="B48" s="156" t="str">
        <f>Table1[[#Headers],[Especificação]]</f>
        <v>Especificação</v>
      </c>
      <c r="C48" s="255" t="str">
        <f t="shared" si="3"/>
        <v>INSTRUMENT_LTV_INCPTN</v>
      </c>
      <c r="D48" s="153" t="s">
        <v>414</v>
      </c>
      <c r="E48" s="153" t="s">
        <v>727</v>
      </c>
      <c r="G48" s="172">
        <f>INDEX(Table1[[Especificação]:[Total Testes]],MATCH('Planemaneto rev.equipa'!C48,Table1[CONCAT],0),MATCH('Planemaneto rev.equipa'!B48,Table1[[#Headers],[Especificação]:[Total Testes]],0))</f>
        <v>1</v>
      </c>
      <c r="H48" s="191">
        <f t="shared" si="4"/>
        <v>0.13</v>
      </c>
      <c r="I48" s="222"/>
      <c r="J48" s="165"/>
      <c r="K48" s="165"/>
      <c r="L48" s="165"/>
      <c r="M48" s="165"/>
      <c r="N48" s="165"/>
      <c r="O48" s="165"/>
      <c r="P48" s="165"/>
      <c r="Q48" s="165"/>
      <c r="R48" s="165"/>
      <c r="S48" s="258">
        <v>1</v>
      </c>
      <c r="T48" s="165"/>
      <c r="U48" s="165"/>
      <c r="V48" s="165"/>
      <c r="W48" s="165"/>
      <c r="X48" s="165"/>
      <c r="Y48" s="165"/>
      <c r="Z48" s="165"/>
      <c r="AA48" s="165"/>
      <c r="AB48" s="165"/>
      <c r="AC48" s="165"/>
      <c r="AD48" s="165"/>
      <c r="AE48" s="165"/>
      <c r="AF48" s="165"/>
      <c r="AG48" s="165"/>
      <c r="AH48" s="165"/>
      <c r="AI48" s="165"/>
      <c r="AJ48" s="165"/>
      <c r="AK48" s="165"/>
      <c r="AL48" s="165"/>
      <c r="AM48" s="165"/>
      <c r="AN48" s="165"/>
      <c r="AO48" s="165"/>
      <c r="AP48" s="165"/>
      <c r="AQ48" s="165"/>
      <c r="AR48" s="165"/>
      <c r="AS48" s="165"/>
      <c r="AT48" s="165"/>
      <c r="AU48" s="165"/>
      <c r="AV48" s="165"/>
      <c r="AW48" s="165"/>
      <c r="AX48" s="165"/>
      <c r="AY48" s="165"/>
      <c r="AZ48" s="165"/>
      <c r="BA48" s="165"/>
      <c r="BB48" s="165"/>
      <c r="BC48" s="165"/>
      <c r="BD48" s="165"/>
      <c r="BE48" s="165"/>
      <c r="BF48" s="165"/>
      <c r="BG48" s="165"/>
      <c r="BH48" s="165"/>
      <c r="BI48" s="165"/>
      <c r="BJ48" s="165"/>
      <c r="BK48" s="165"/>
      <c r="BL48" s="165"/>
      <c r="BM48" s="165"/>
      <c r="BN48" s="165"/>
      <c r="BO48" s="165"/>
      <c r="BP48" s="165"/>
      <c r="BQ48" s="165"/>
      <c r="BR48" s="165"/>
      <c r="BS48" s="165"/>
      <c r="BT48" s="165"/>
      <c r="BU48" s="165"/>
      <c r="BV48" s="165"/>
      <c r="BW48" s="165"/>
      <c r="BX48" s="165"/>
      <c r="BY48" s="165"/>
      <c r="BZ48" s="165"/>
      <c r="CA48" s="165"/>
      <c r="CB48" s="165"/>
      <c r="CC48" s="165"/>
      <c r="CD48" s="165"/>
      <c r="CE48" s="165"/>
      <c r="CF48" s="165"/>
      <c r="CG48" s="165"/>
      <c r="CH48" s="165"/>
      <c r="CI48" s="165"/>
      <c r="CJ48" s="165"/>
      <c r="CK48" s="165"/>
      <c r="CL48" s="165"/>
      <c r="CM48" s="165"/>
      <c r="CN48" s="165"/>
      <c r="CO48" s="165"/>
      <c r="CP48" s="165"/>
      <c r="CQ48" s="165"/>
    </row>
    <row r="49" spans="1:95" outlineLevel="1" x14ac:dyDescent="0.25">
      <c r="B49" s="156" t="str">
        <f>Table1[[#Headers],[Especificação]]</f>
        <v>Especificação</v>
      </c>
      <c r="C49" s="255" t="str">
        <f t="shared" si="3"/>
        <v>INSTRUMENT_ANNLSD_AGRD_RT</v>
      </c>
      <c r="D49" s="153" t="s">
        <v>414</v>
      </c>
      <c r="E49" s="153" t="s">
        <v>757</v>
      </c>
      <c r="G49" s="172">
        <f>INDEX(Table1[[Especificação]:[Total Testes]],MATCH('Planemaneto rev.equipa'!C49,Table1[CONCAT],0),MATCH('Planemaneto rev.equipa'!B49,Table1[[#Headers],[Especificação]:[Total Testes]],0))</f>
        <v>1</v>
      </c>
      <c r="H49" s="191">
        <f t="shared" si="4"/>
        <v>0.13</v>
      </c>
      <c r="I49" s="222"/>
      <c r="J49" s="165"/>
      <c r="K49" s="165"/>
      <c r="L49" s="165"/>
      <c r="M49" s="165"/>
      <c r="N49" s="165"/>
      <c r="O49" s="165"/>
      <c r="P49" s="165"/>
      <c r="Q49" s="165"/>
      <c r="R49" s="165"/>
      <c r="S49" s="258">
        <v>1</v>
      </c>
      <c r="T49" s="165"/>
      <c r="U49" s="165"/>
      <c r="V49" s="165"/>
      <c r="W49" s="165"/>
      <c r="X49" s="165"/>
      <c r="Y49" s="165"/>
      <c r="Z49" s="165"/>
      <c r="AA49" s="165"/>
      <c r="AB49" s="165"/>
      <c r="AC49" s="165"/>
      <c r="AD49" s="165"/>
      <c r="AE49" s="165"/>
      <c r="AF49" s="165"/>
      <c r="AG49" s="165"/>
      <c r="AH49" s="165"/>
      <c r="AI49" s="165"/>
      <c r="AJ49" s="165"/>
      <c r="AK49" s="165"/>
      <c r="AL49" s="165"/>
      <c r="AM49" s="165"/>
      <c r="AN49" s="165"/>
      <c r="AO49" s="165"/>
      <c r="AP49" s="165"/>
      <c r="AQ49" s="165"/>
      <c r="AR49" s="165"/>
      <c r="AS49" s="165"/>
      <c r="AT49" s="165"/>
      <c r="AU49" s="165"/>
      <c r="AV49" s="165"/>
      <c r="AW49" s="165"/>
      <c r="AX49" s="165"/>
      <c r="AY49" s="165"/>
      <c r="AZ49" s="165"/>
      <c r="BA49" s="165"/>
      <c r="BB49" s="165"/>
      <c r="BC49" s="165"/>
      <c r="BD49" s="165"/>
      <c r="BE49" s="165"/>
      <c r="BF49" s="165"/>
      <c r="BG49" s="165"/>
      <c r="BH49" s="165"/>
      <c r="BI49" s="165"/>
      <c r="BJ49" s="165"/>
      <c r="BK49" s="165"/>
      <c r="BL49" s="165"/>
      <c r="BM49" s="165"/>
      <c r="BN49" s="165"/>
      <c r="BO49" s="165"/>
      <c r="BP49" s="165"/>
      <c r="BQ49" s="165"/>
      <c r="BR49" s="165"/>
      <c r="BS49" s="165"/>
      <c r="BT49" s="165"/>
      <c r="BU49" s="165"/>
      <c r="BV49" s="165"/>
      <c r="BW49" s="165"/>
      <c r="BX49" s="165"/>
      <c r="BY49" s="165"/>
      <c r="BZ49" s="165"/>
      <c r="CA49" s="165"/>
      <c r="CB49" s="165"/>
      <c r="CC49" s="165"/>
      <c r="CD49" s="165"/>
      <c r="CE49" s="165"/>
      <c r="CF49" s="165"/>
      <c r="CG49" s="165"/>
      <c r="CH49" s="165"/>
      <c r="CI49" s="165"/>
      <c r="CJ49" s="165"/>
      <c r="CK49" s="165"/>
      <c r="CL49" s="165"/>
      <c r="CM49" s="165"/>
      <c r="CN49" s="165"/>
      <c r="CO49" s="165"/>
      <c r="CP49" s="165"/>
      <c r="CQ49" s="165"/>
    </row>
    <row r="50" spans="1:95" outlineLevel="1" x14ac:dyDescent="0.25">
      <c r="B50" s="156" t="str">
        <f>Table1[[#Headers],[Especificação]]</f>
        <v>Especificação</v>
      </c>
      <c r="C50" s="255" t="str">
        <f t="shared" si="3"/>
        <v>INSTRUMENT_EIR_INCPTN</v>
      </c>
      <c r="D50" s="153" t="s">
        <v>414</v>
      </c>
      <c r="E50" s="153" t="s">
        <v>763</v>
      </c>
      <c r="G50" s="172">
        <f>INDEX(Table1[[Especificação]:[Total Testes]],MATCH('Planemaneto rev.equipa'!C50,Table1[CONCAT],0),MATCH('Planemaneto rev.equipa'!B50,Table1[[#Headers],[Especificação]:[Total Testes]],0))</f>
        <v>1</v>
      </c>
      <c r="H50" s="191">
        <f t="shared" si="4"/>
        <v>0.13</v>
      </c>
      <c r="I50" s="222"/>
      <c r="J50" s="165"/>
      <c r="K50" s="165"/>
      <c r="L50" s="165"/>
      <c r="M50" s="165"/>
      <c r="N50" s="165"/>
      <c r="O50" s="165"/>
      <c r="P50" s="165"/>
      <c r="Q50" s="165"/>
      <c r="R50" s="165"/>
      <c r="S50" s="258">
        <v>1</v>
      </c>
      <c r="T50" s="165"/>
      <c r="U50" s="165"/>
      <c r="V50" s="165"/>
      <c r="W50" s="165"/>
      <c r="X50" s="165"/>
      <c r="Y50" s="165"/>
      <c r="Z50" s="165"/>
      <c r="AA50" s="165"/>
      <c r="AB50" s="165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5"/>
      <c r="AO50" s="165"/>
      <c r="AP50" s="165"/>
      <c r="AQ50" s="165"/>
      <c r="AR50" s="165"/>
      <c r="AS50" s="165"/>
      <c r="AT50" s="165"/>
      <c r="AU50" s="165"/>
      <c r="AV50" s="165"/>
      <c r="AW50" s="165"/>
      <c r="AX50" s="165"/>
      <c r="AY50" s="165"/>
      <c r="AZ50" s="165"/>
      <c r="BA50" s="165"/>
      <c r="BB50" s="165"/>
      <c r="BC50" s="165"/>
      <c r="BD50" s="165"/>
      <c r="BE50" s="165"/>
      <c r="BF50" s="165"/>
      <c r="BG50" s="165"/>
      <c r="BH50" s="165"/>
      <c r="BI50" s="165"/>
      <c r="BJ50" s="165"/>
      <c r="BK50" s="165"/>
      <c r="BL50" s="165"/>
      <c r="BM50" s="165"/>
      <c r="BN50" s="165"/>
      <c r="BO50" s="165"/>
      <c r="BP50" s="165"/>
      <c r="BQ50" s="165"/>
      <c r="BR50" s="165"/>
      <c r="BS50" s="165"/>
      <c r="BT50" s="165"/>
      <c r="BU50" s="165"/>
      <c r="BV50" s="165"/>
      <c r="BW50" s="165"/>
      <c r="BX50" s="165"/>
      <c r="BY50" s="165"/>
      <c r="BZ50" s="165"/>
      <c r="CA50" s="165"/>
      <c r="CB50" s="165"/>
      <c r="CC50" s="165"/>
      <c r="CD50" s="165"/>
      <c r="CE50" s="165"/>
      <c r="CF50" s="165"/>
      <c r="CG50" s="165"/>
      <c r="CH50" s="165"/>
      <c r="CI50" s="165"/>
      <c r="CJ50" s="165"/>
      <c r="CK50" s="165"/>
      <c r="CL50" s="165"/>
      <c r="CM50" s="165"/>
      <c r="CN50" s="165"/>
      <c r="CO50" s="165"/>
      <c r="CP50" s="165"/>
      <c r="CQ50" s="165"/>
    </row>
    <row r="51" spans="1:95" outlineLevel="1" x14ac:dyDescent="0.25">
      <c r="B51" s="156" t="str">
        <f>Table1[[#Headers],[Especificação]]</f>
        <v>Especificação</v>
      </c>
      <c r="C51" s="256" t="str">
        <f t="shared" si="3"/>
        <v>INSTRUMENT_NW_BSNSS</v>
      </c>
      <c r="D51" s="153" t="s">
        <v>414</v>
      </c>
      <c r="E51" s="153" t="s">
        <v>973</v>
      </c>
      <c r="G51" s="172">
        <f>INDEX(Table1[[Especificação]:[Total Testes]],MATCH('Planemaneto rev.equipa'!C51,Table1[CONCAT],0),MATCH('Planemaneto rev.equipa'!B51,Table1[[#Headers],[Especificação]:[Total Testes]],0))</f>
        <v>10</v>
      </c>
      <c r="H51" s="191">
        <f t="shared" si="4"/>
        <v>1.25</v>
      </c>
      <c r="I51" s="222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260">
        <v>1</v>
      </c>
      <c r="AD51" s="165"/>
      <c r="AE51" s="165"/>
      <c r="AF51" s="165"/>
      <c r="AG51" s="165"/>
      <c r="AH51" s="165"/>
      <c r="AI51" s="165"/>
      <c r="AJ51" s="165"/>
      <c r="AK51" s="165"/>
      <c r="AL51" s="165"/>
      <c r="AM51" s="165"/>
      <c r="AN51" s="165"/>
      <c r="AO51" s="165"/>
      <c r="AP51" s="165"/>
      <c r="AQ51" s="165"/>
      <c r="AR51" s="165"/>
      <c r="AS51" s="165"/>
      <c r="AT51" s="165"/>
      <c r="AU51" s="165"/>
      <c r="AV51" s="165"/>
      <c r="AW51" s="165"/>
      <c r="AX51" s="165"/>
      <c r="AY51" s="165"/>
      <c r="AZ51" s="165"/>
      <c r="BA51" s="165"/>
      <c r="BB51" s="165"/>
      <c r="BC51" s="165"/>
      <c r="BD51" s="165"/>
      <c r="BE51" s="165"/>
      <c r="BF51" s="165"/>
      <c r="BG51" s="165"/>
      <c r="BH51" s="165"/>
      <c r="BI51" s="165"/>
      <c r="BJ51" s="165"/>
      <c r="BK51" s="165"/>
      <c r="BL51" s="165"/>
      <c r="BM51" s="165"/>
      <c r="BN51" s="165"/>
      <c r="BO51" s="165"/>
      <c r="BP51" s="165"/>
      <c r="BQ51" s="165"/>
      <c r="BR51" s="165"/>
      <c r="BS51" s="165"/>
      <c r="BT51" s="165"/>
      <c r="BU51" s="165"/>
      <c r="BV51" s="165"/>
      <c r="BW51" s="165"/>
      <c r="BX51" s="165"/>
      <c r="BY51" s="165"/>
      <c r="BZ51" s="165"/>
      <c r="CA51" s="165"/>
      <c r="CB51" s="165"/>
      <c r="CC51" s="165"/>
      <c r="CD51" s="165"/>
      <c r="CE51" s="165"/>
      <c r="CF51" s="165"/>
      <c r="CG51" s="165"/>
      <c r="CH51" s="165"/>
      <c r="CI51" s="165"/>
      <c r="CJ51" s="165"/>
      <c r="CK51" s="165"/>
      <c r="CL51" s="165"/>
      <c r="CM51" s="165"/>
      <c r="CN51" s="165"/>
      <c r="CO51" s="165"/>
      <c r="CP51" s="165"/>
      <c r="CQ51" s="165"/>
    </row>
    <row r="52" spans="1:95" outlineLevel="1" x14ac:dyDescent="0.25">
      <c r="B52" s="156" t="str">
        <f>Table1[[#Headers],[Especificação]]</f>
        <v>Especificação</v>
      </c>
      <c r="C52" s="255" t="str">
        <f t="shared" si="3"/>
        <v>PROTECTION_YR_CNSTRCTN</v>
      </c>
      <c r="D52" s="153" t="s">
        <v>1114</v>
      </c>
      <c r="E52" s="153" t="s">
        <v>1290</v>
      </c>
      <c r="G52" s="172">
        <f>INDEX(Table1[[Especificação]:[Total Testes]],MATCH('Planemaneto rev.equipa'!C52,Table1[CONCAT],0),MATCH('Planemaneto rev.equipa'!B52,Table1[[#Headers],[Especificação]:[Total Testes]],0))</f>
        <v>8</v>
      </c>
      <c r="H52" s="191">
        <f t="shared" si="4"/>
        <v>1</v>
      </c>
      <c r="I52" s="222"/>
      <c r="J52" s="165"/>
      <c r="K52" s="165"/>
      <c r="L52" s="165"/>
      <c r="M52" s="165"/>
      <c r="N52" s="165"/>
      <c r="O52" s="165"/>
      <c r="P52" s="165"/>
      <c r="Q52" s="165"/>
      <c r="R52" s="165"/>
      <c r="S52" s="258">
        <v>1</v>
      </c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5"/>
      <c r="AP52" s="165"/>
      <c r="AQ52" s="165"/>
      <c r="AR52" s="165"/>
      <c r="AS52" s="165"/>
      <c r="AT52" s="165"/>
      <c r="AU52" s="165"/>
      <c r="AV52" s="165"/>
      <c r="AW52" s="165"/>
      <c r="AX52" s="165"/>
      <c r="AY52" s="165"/>
      <c r="AZ52" s="165"/>
      <c r="BA52" s="165"/>
      <c r="BB52" s="165"/>
      <c r="BC52" s="165"/>
      <c r="BD52" s="165"/>
      <c r="BE52" s="165"/>
      <c r="BF52" s="165"/>
      <c r="BG52" s="165"/>
      <c r="BH52" s="165"/>
      <c r="BI52" s="165"/>
      <c r="BJ52" s="165"/>
      <c r="BK52" s="165"/>
      <c r="BL52" s="165"/>
      <c r="BM52" s="165"/>
      <c r="BN52" s="165"/>
      <c r="BO52" s="165"/>
      <c r="BP52" s="165"/>
      <c r="BQ52" s="165"/>
      <c r="BR52" s="165"/>
      <c r="BS52" s="165"/>
      <c r="BT52" s="165"/>
      <c r="BU52" s="165"/>
      <c r="BV52" s="165"/>
      <c r="BW52" s="165"/>
      <c r="BX52" s="165"/>
      <c r="BY52" s="165"/>
      <c r="BZ52" s="165"/>
      <c r="CA52" s="165"/>
      <c r="CB52" s="165"/>
      <c r="CC52" s="165"/>
      <c r="CD52" s="165"/>
      <c r="CE52" s="165"/>
      <c r="CF52" s="165"/>
      <c r="CG52" s="165"/>
      <c r="CH52" s="165"/>
      <c r="CI52" s="165"/>
      <c r="CJ52" s="165"/>
      <c r="CK52" s="165"/>
      <c r="CL52" s="165"/>
      <c r="CM52" s="165"/>
      <c r="CN52" s="165"/>
      <c r="CO52" s="165"/>
      <c r="CP52" s="165"/>
      <c r="CQ52" s="165"/>
    </row>
    <row r="53" spans="1:95" outlineLevel="1" x14ac:dyDescent="0.25">
      <c r="B53" s="156" t="str">
        <f>Table1[[#Headers],[Especificação]]</f>
        <v>Especificação</v>
      </c>
      <c r="C53" s="254" t="str">
        <f t="shared" si="3"/>
        <v>INSTRUMENT_TYP_OFF_BLNC_PRDCT</v>
      </c>
      <c r="D53" s="153" t="s">
        <v>414</v>
      </c>
      <c r="E53" s="153" t="s">
        <v>1351</v>
      </c>
      <c r="G53" s="172">
        <f>INDEX(Table1[[Especificação]:[Total Testes]],MATCH('Planemaneto rev.equipa'!C53,Table1[CONCAT],0),MATCH('Planemaneto rev.equipa'!B53,Table1[[#Headers],[Especificação]:[Total Testes]],0))</f>
        <v>1</v>
      </c>
      <c r="H53" s="191">
        <f t="shared" si="4"/>
        <v>0.13</v>
      </c>
      <c r="I53" s="222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259">
        <v>1</v>
      </c>
      <c r="Y53" s="165"/>
      <c r="Z53" s="165"/>
      <c r="AA53" s="165"/>
      <c r="AB53" s="165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5"/>
      <c r="AO53" s="165"/>
      <c r="AP53" s="165"/>
      <c r="AQ53" s="165"/>
      <c r="AR53" s="165"/>
      <c r="AS53" s="165"/>
      <c r="AT53" s="165"/>
      <c r="AU53" s="165"/>
      <c r="AV53" s="165"/>
      <c r="AW53" s="165"/>
      <c r="AX53" s="165"/>
      <c r="AY53" s="165"/>
      <c r="AZ53" s="165"/>
      <c r="BA53" s="165"/>
      <c r="BB53" s="165"/>
      <c r="BC53" s="165"/>
      <c r="BD53" s="165"/>
      <c r="BE53" s="165"/>
      <c r="BF53" s="165"/>
      <c r="BG53" s="165"/>
      <c r="BH53" s="165"/>
      <c r="BI53" s="165"/>
      <c r="BJ53" s="165"/>
      <c r="BK53" s="165"/>
      <c r="BL53" s="165"/>
      <c r="BM53" s="165"/>
      <c r="BN53" s="165"/>
      <c r="BO53" s="165"/>
      <c r="BP53" s="165"/>
      <c r="BQ53" s="165"/>
      <c r="BR53" s="165"/>
      <c r="BS53" s="165"/>
      <c r="BT53" s="165"/>
      <c r="BU53" s="165"/>
      <c r="BV53" s="165"/>
      <c r="BW53" s="165"/>
      <c r="BX53" s="165"/>
      <c r="BY53" s="165"/>
      <c r="BZ53" s="165"/>
      <c r="CA53" s="165"/>
      <c r="CB53" s="165"/>
      <c r="CC53" s="165"/>
      <c r="CD53" s="165"/>
      <c r="CE53" s="165"/>
      <c r="CF53" s="165"/>
      <c r="CG53" s="165"/>
      <c r="CH53" s="165"/>
      <c r="CI53" s="165"/>
      <c r="CJ53" s="165"/>
      <c r="CK53" s="165"/>
      <c r="CL53" s="165"/>
      <c r="CM53" s="165"/>
      <c r="CN53" s="165"/>
      <c r="CO53" s="165"/>
      <c r="CP53" s="165"/>
      <c r="CQ53" s="165"/>
    </row>
    <row r="54" spans="1:95" outlineLevel="1" x14ac:dyDescent="0.25">
      <c r="B54" s="156" t="str">
        <f>Table1[[#Headers],[Especificação]]</f>
        <v>Especificação</v>
      </c>
      <c r="C54" s="256" t="str">
        <f t="shared" si="3"/>
        <v>INSTR_PROTECTION_TYP_RLTN</v>
      </c>
      <c r="D54" s="153" t="s">
        <v>1101</v>
      </c>
      <c r="E54" s="153" t="s">
        <v>1384</v>
      </c>
      <c r="G54" s="172">
        <f>INDEX(Table1[[Especificação]:[Total Testes]],MATCH('Planemaneto rev.equipa'!C54,Table1[CONCAT],0),MATCH('Planemaneto rev.equipa'!B54,Table1[[#Headers],[Especificação]:[Total Testes]],0))</f>
        <v>4</v>
      </c>
      <c r="H54" s="191">
        <f t="shared" si="4"/>
        <v>0.5</v>
      </c>
      <c r="I54" s="222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260">
        <v>1</v>
      </c>
      <c r="AD54" s="165"/>
      <c r="AE54" s="165"/>
      <c r="AF54" s="165"/>
      <c r="AG54" s="165"/>
      <c r="AH54" s="165"/>
      <c r="AI54" s="165"/>
      <c r="AJ54" s="165"/>
      <c r="AK54" s="165"/>
      <c r="AL54" s="165"/>
      <c r="AM54" s="165"/>
      <c r="AN54" s="165"/>
      <c r="AO54" s="165"/>
      <c r="AP54" s="165"/>
      <c r="AQ54" s="165"/>
      <c r="AR54" s="165"/>
      <c r="AS54" s="165"/>
      <c r="AT54" s="165"/>
      <c r="AU54" s="165"/>
      <c r="AV54" s="165"/>
      <c r="AW54" s="165"/>
      <c r="AX54" s="165"/>
      <c r="AY54" s="165"/>
      <c r="AZ54" s="165"/>
      <c r="BA54" s="165"/>
      <c r="BB54" s="165"/>
      <c r="BC54" s="165"/>
      <c r="BD54" s="165"/>
      <c r="BE54" s="165"/>
      <c r="BF54" s="165"/>
      <c r="BG54" s="165"/>
      <c r="BH54" s="165"/>
      <c r="BI54" s="165"/>
      <c r="BJ54" s="165"/>
      <c r="BK54" s="165"/>
      <c r="BL54" s="165"/>
      <c r="BM54" s="165"/>
      <c r="BN54" s="165"/>
      <c r="BO54" s="165"/>
      <c r="BP54" s="165"/>
      <c r="BQ54" s="165"/>
      <c r="BR54" s="165"/>
      <c r="BS54" s="165"/>
      <c r="BT54" s="165"/>
      <c r="BU54" s="165"/>
      <c r="BV54" s="165"/>
      <c r="BW54" s="165"/>
      <c r="BX54" s="165"/>
      <c r="BY54" s="165"/>
      <c r="BZ54" s="165"/>
      <c r="CA54" s="165"/>
      <c r="CB54" s="165"/>
      <c r="CC54" s="165"/>
      <c r="CD54" s="165"/>
      <c r="CE54" s="165"/>
      <c r="CF54" s="165"/>
      <c r="CG54" s="165"/>
      <c r="CH54" s="165"/>
      <c r="CI54" s="165"/>
      <c r="CJ54" s="165"/>
      <c r="CK54" s="165"/>
      <c r="CL54" s="165"/>
      <c r="CM54" s="165"/>
      <c r="CN54" s="165"/>
      <c r="CO54" s="165"/>
      <c r="CP54" s="165"/>
      <c r="CQ54" s="165"/>
    </row>
    <row r="55" spans="1:95" outlineLevel="1" x14ac:dyDescent="0.25">
      <c r="B55" s="156" t="str">
        <f>Table1[[#Headers],[Especificação]]</f>
        <v>Especificação</v>
      </c>
      <c r="C55" s="255" t="str">
        <f t="shared" si="3"/>
        <v>INSTR_ACTIVITY_COD_SOC</v>
      </c>
      <c r="D55" s="153" t="s">
        <v>1542</v>
      </c>
      <c r="E55" s="153" t="s">
        <v>12</v>
      </c>
      <c r="G55" s="172">
        <f>INDEX(Table1[[Especificação]:[Total Testes]],MATCH('Planemaneto rev.equipa'!C55,Table1[CONCAT],0),MATCH('Planemaneto rev.equipa'!B55,Table1[[#Headers],[Especificação]:[Total Testes]],0))</f>
        <v>1</v>
      </c>
      <c r="H55" s="191">
        <f t="shared" si="4"/>
        <v>0.13</v>
      </c>
      <c r="I55" s="222"/>
      <c r="J55" s="165"/>
      <c r="K55" s="165"/>
      <c r="L55" s="165"/>
      <c r="M55" s="165"/>
      <c r="N55" s="165"/>
      <c r="O55" s="165"/>
      <c r="P55" s="165"/>
      <c r="Q55" s="165"/>
      <c r="R55" s="165"/>
      <c r="S55" s="258">
        <v>1</v>
      </c>
      <c r="T55" s="165"/>
      <c r="U55" s="165"/>
      <c r="V55" s="165"/>
      <c r="W55" s="165"/>
      <c r="X55" s="165"/>
      <c r="Y55" s="165"/>
      <c r="Z55" s="165"/>
      <c r="AA55" s="165"/>
      <c r="AB55" s="165"/>
      <c r="AC55" s="165"/>
      <c r="AD55" s="165"/>
      <c r="AE55" s="165"/>
      <c r="AF55" s="165"/>
      <c r="AG55" s="165"/>
      <c r="AH55" s="165"/>
      <c r="AI55" s="165"/>
      <c r="AJ55" s="165"/>
      <c r="AK55" s="165"/>
      <c r="AL55" s="165"/>
      <c r="AM55" s="165"/>
      <c r="AN55" s="165"/>
      <c r="AO55" s="165"/>
      <c r="AP55" s="165"/>
      <c r="AQ55" s="165"/>
      <c r="AR55" s="165"/>
      <c r="AS55" s="165"/>
      <c r="AT55" s="165"/>
      <c r="AU55" s="165"/>
      <c r="AV55" s="165"/>
      <c r="AW55" s="165"/>
      <c r="AX55" s="165"/>
      <c r="AY55" s="165"/>
      <c r="AZ55" s="165"/>
      <c r="BA55" s="165"/>
      <c r="BB55" s="165"/>
      <c r="BC55" s="165"/>
      <c r="BD55" s="165"/>
      <c r="BE55" s="165"/>
      <c r="BF55" s="165"/>
      <c r="BG55" s="165"/>
      <c r="BH55" s="165"/>
      <c r="BI55" s="165"/>
      <c r="BJ55" s="165"/>
      <c r="BK55" s="165"/>
      <c r="BL55" s="165"/>
      <c r="BM55" s="165"/>
      <c r="BN55" s="165"/>
      <c r="BO55" s="165"/>
      <c r="BP55" s="165"/>
      <c r="BQ55" s="165"/>
      <c r="BR55" s="165"/>
      <c r="BS55" s="165"/>
      <c r="BT55" s="165"/>
      <c r="BU55" s="165"/>
      <c r="BV55" s="165"/>
      <c r="BW55" s="165"/>
      <c r="BX55" s="165"/>
      <c r="BY55" s="165"/>
      <c r="BZ55" s="165"/>
      <c r="CA55" s="165"/>
      <c r="CB55" s="165"/>
      <c r="CC55" s="165"/>
      <c r="CD55" s="165"/>
      <c r="CE55" s="165"/>
      <c r="CF55" s="165"/>
      <c r="CG55" s="165"/>
      <c r="CH55" s="165"/>
      <c r="CI55" s="165"/>
      <c r="CJ55" s="165"/>
      <c r="CK55" s="165"/>
      <c r="CL55" s="165"/>
      <c r="CM55" s="165"/>
      <c r="CN55" s="165"/>
      <c r="CO55" s="165"/>
      <c r="CP55" s="165"/>
      <c r="CQ55" s="165"/>
    </row>
    <row r="56" spans="1:95" outlineLevel="1" x14ac:dyDescent="0.25">
      <c r="B56" s="156" t="str">
        <f>Table1[[#Headers],[Especificação]]</f>
        <v>Especificação</v>
      </c>
      <c r="C56" s="255" t="str">
        <f t="shared" si="3"/>
        <v>INSTR_ACTIVITY_DT_RFRNC</v>
      </c>
      <c r="D56" s="153" t="s">
        <v>1542</v>
      </c>
      <c r="E56" s="153" t="s">
        <v>38</v>
      </c>
      <c r="G56" s="172">
        <f>INDEX(Table1[[Especificação]:[Total Testes]],MATCH('Planemaneto rev.equipa'!C56,Table1[CONCAT],0),MATCH('Planemaneto rev.equipa'!B56,Table1[[#Headers],[Especificação]:[Total Testes]],0))</f>
        <v>1</v>
      </c>
      <c r="H56" s="191">
        <f t="shared" si="4"/>
        <v>0.13</v>
      </c>
      <c r="I56" s="222"/>
      <c r="J56" s="165"/>
      <c r="K56" s="165"/>
      <c r="L56" s="165"/>
      <c r="M56" s="165"/>
      <c r="N56" s="165"/>
      <c r="O56" s="165"/>
      <c r="P56" s="165"/>
      <c r="Q56" s="165"/>
      <c r="R56" s="165"/>
      <c r="S56" s="258">
        <v>1</v>
      </c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5"/>
      <c r="AO56" s="165"/>
      <c r="AP56" s="165"/>
      <c r="AQ56" s="165"/>
      <c r="AR56" s="165"/>
      <c r="AS56" s="165"/>
      <c r="AT56" s="165"/>
      <c r="AU56" s="165"/>
      <c r="AV56" s="165"/>
      <c r="AW56" s="165"/>
      <c r="AX56" s="165"/>
      <c r="AY56" s="165"/>
      <c r="AZ56" s="165"/>
      <c r="BA56" s="165"/>
      <c r="BB56" s="165"/>
      <c r="BC56" s="165"/>
      <c r="BD56" s="165"/>
      <c r="BE56" s="165"/>
      <c r="BF56" s="165"/>
      <c r="BG56" s="165"/>
      <c r="BH56" s="165"/>
      <c r="BI56" s="165"/>
      <c r="BJ56" s="165"/>
      <c r="BK56" s="165"/>
      <c r="BL56" s="165"/>
      <c r="BM56" s="165"/>
      <c r="BN56" s="165"/>
      <c r="BO56" s="165"/>
      <c r="BP56" s="165"/>
      <c r="BQ56" s="165"/>
      <c r="BR56" s="165"/>
      <c r="BS56" s="165"/>
      <c r="BT56" s="165"/>
      <c r="BU56" s="165"/>
      <c r="BV56" s="165"/>
      <c r="BW56" s="165"/>
      <c r="BX56" s="165"/>
      <c r="BY56" s="165"/>
      <c r="BZ56" s="165"/>
      <c r="CA56" s="165"/>
      <c r="CB56" s="165"/>
      <c r="CC56" s="165"/>
      <c r="CD56" s="165"/>
      <c r="CE56" s="165"/>
      <c r="CF56" s="165"/>
      <c r="CG56" s="165"/>
      <c r="CH56" s="165"/>
      <c r="CI56" s="165"/>
      <c r="CJ56" s="165"/>
      <c r="CK56" s="165"/>
      <c r="CL56" s="165"/>
      <c r="CM56" s="165"/>
      <c r="CN56" s="165"/>
      <c r="CO56" s="165"/>
      <c r="CP56" s="165"/>
      <c r="CQ56" s="165"/>
    </row>
    <row r="57" spans="1:95" outlineLevel="1" x14ac:dyDescent="0.25">
      <c r="B57" s="156" t="str">
        <f>Table1[[#Headers],[Especificação]]</f>
        <v>Especificação</v>
      </c>
      <c r="C57" s="255" t="str">
        <f t="shared" si="3"/>
        <v>INSTR_ACTIVITY_INSTRMNT_ID</v>
      </c>
      <c r="D57" s="153" t="s">
        <v>1542</v>
      </c>
      <c r="E57" s="153" t="s">
        <v>405</v>
      </c>
      <c r="G57" s="172">
        <f>INDEX(Table1[[Especificação]:[Total Testes]],MATCH('Planemaneto rev.equipa'!C57,Table1[CONCAT],0),MATCH('Planemaneto rev.equipa'!B57,Table1[[#Headers],[Especificação]:[Total Testes]],0))</f>
        <v>1</v>
      </c>
      <c r="H57" s="191">
        <f t="shared" si="4"/>
        <v>0.13</v>
      </c>
      <c r="I57" s="222"/>
      <c r="J57" s="165"/>
      <c r="K57" s="165"/>
      <c r="L57" s="165"/>
      <c r="M57" s="165"/>
      <c r="N57" s="165"/>
      <c r="O57" s="165"/>
      <c r="P57" s="165"/>
      <c r="Q57" s="165"/>
      <c r="R57" s="165"/>
      <c r="S57" s="258">
        <v>1</v>
      </c>
      <c r="T57" s="165"/>
      <c r="U57" s="165"/>
      <c r="V57" s="165"/>
      <c r="W57" s="165"/>
      <c r="X57" s="165"/>
      <c r="Y57" s="165"/>
      <c r="Z57" s="165"/>
      <c r="AA57" s="165"/>
      <c r="AB57" s="165"/>
      <c r="AC57" s="165"/>
      <c r="AD57" s="165"/>
      <c r="AE57" s="165"/>
      <c r="AF57" s="165"/>
      <c r="AG57" s="165"/>
      <c r="AH57" s="165"/>
      <c r="AI57" s="165"/>
      <c r="AJ57" s="165"/>
      <c r="AK57" s="165"/>
      <c r="AL57" s="165"/>
      <c r="AM57" s="165"/>
      <c r="AN57" s="165"/>
      <c r="AO57" s="165"/>
      <c r="AP57" s="165"/>
      <c r="AQ57" s="165"/>
      <c r="AR57" s="165"/>
      <c r="AS57" s="165"/>
      <c r="AT57" s="165"/>
      <c r="AU57" s="165"/>
      <c r="AV57" s="165"/>
      <c r="AW57" s="165"/>
      <c r="AX57" s="165"/>
      <c r="AY57" s="165"/>
      <c r="AZ57" s="165"/>
      <c r="BA57" s="165"/>
      <c r="BB57" s="165"/>
      <c r="BC57" s="165"/>
      <c r="BD57" s="165"/>
      <c r="BE57" s="165"/>
      <c r="BF57" s="165"/>
      <c r="BG57" s="165"/>
      <c r="BH57" s="165"/>
      <c r="BI57" s="165"/>
      <c r="BJ57" s="165"/>
      <c r="BK57" s="165"/>
      <c r="BL57" s="165"/>
      <c r="BM57" s="165"/>
      <c r="BN57" s="165"/>
      <c r="BO57" s="165"/>
      <c r="BP57" s="165"/>
      <c r="BQ57" s="165"/>
      <c r="BR57" s="165"/>
      <c r="BS57" s="165"/>
      <c r="BT57" s="165"/>
      <c r="BU57" s="165"/>
      <c r="BV57" s="165"/>
      <c r="BW57" s="165"/>
      <c r="BX57" s="165"/>
      <c r="BY57" s="165"/>
      <c r="BZ57" s="165"/>
      <c r="CA57" s="165"/>
      <c r="CB57" s="165"/>
      <c r="CC57" s="165"/>
      <c r="CD57" s="165"/>
      <c r="CE57" s="165"/>
      <c r="CF57" s="165"/>
      <c r="CG57" s="165"/>
      <c r="CH57" s="165"/>
      <c r="CI57" s="165"/>
      <c r="CJ57" s="165"/>
      <c r="CK57" s="165"/>
      <c r="CL57" s="165"/>
      <c r="CM57" s="165"/>
      <c r="CN57" s="165"/>
      <c r="CO57" s="165"/>
      <c r="CP57" s="165"/>
      <c r="CQ57" s="165"/>
    </row>
    <row r="58" spans="1:95" outlineLevel="1" x14ac:dyDescent="0.25">
      <c r="B58" s="156" t="str">
        <f>Table1[[#Headers],[Especificação]]</f>
        <v>Especificação</v>
      </c>
      <c r="C58" s="255" t="str">
        <f t="shared" si="3"/>
        <v>INSTR_ACTIVITY_PRCNTG_ACTVTY</v>
      </c>
      <c r="D58" s="153" t="s">
        <v>1542</v>
      </c>
      <c r="E58" s="153" t="s">
        <v>1548</v>
      </c>
      <c r="G58" s="172">
        <f>INDEX(Table1[[Especificação]:[Total Testes]],MATCH('Planemaneto rev.equipa'!C58,Table1[CONCAT],0),MATCH('Planemaneto rev.equipa'!B58,Table1[[#Headers],[Especificação]:[Total Testes]],0))</f>
        <v>4</v>
      </c>
      <c r="H58" s="191">
        <f t="shared" si="4"/>
        <v>0.5</v>
      </c>
      <c r="I58" s="222"/>
      <c r="J58" s="165"/>
      <c r="K58" s="165"/>
      <c r="L58" s="165"/>
      <c r="M58" s="165"/>
      <c r="N58" s="165"/>
      <c r="O58" s="165"/>
      <c r="P58" s="165"/>
      <c r="Q58" s="165"/>
      <c r="R58" s="165"/>
      <c r="S58" s="258">
        <v>1</v>
      </c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  <c r="AK58" s="165"/>
      <c r="AL58" s="165"/>
      <c r="AM58" s="165"/>
      <c r="AN58" s="165"/>
      <c r="AO58" s="165"/>
      <c r="AP58" s="165"/>
      <c r="AQ58" s="165"/>
      <c r="AR58" s="165"/>
      <c r="AS58" s="165"/>
      <c r="AT58" s="165"/>
      <c r="AU58" s="165"/>
      <c r="AV58" s="165"/>
      <c r="AW58" s="165"/>
      <c r="AX58" s="165"/>
      <c r="AY58" s="165"/>
      <c r="AZ58" s="165"/>
      <c r="BA58" s="165"/>
      <c r="BB58" s="165"/>
      <c r="BC58" s="165"/>
      <c r="BD58" s="165"/>
      <c r="BE58" s="165"/>
      <c r="BF58" s="165"/>
      <c r="BG58" s="165"/>
      <c r="BH58" s="165"/>
      <c r="BI58" s="165"/>
      <c r="BJ58" s="165"/>
      <c r="BK58" s="165"/>
      <c r="BL58" s="165"/>
      <c r="BM58" s="165"/>
      <c r="BN58" s="165"/>
      <c r="BO58" s="165"/>
      <c r="BP58" s="165"/>
      <c r="BQ58" s="165"/>
      <c r="BR58" s="165"/>
      <c r="BS58" s="165"/>
      <c r="BT58" s="165"/>
      <c r="BU58" s="165"/>
      <c r="BV58" s="165"/>
      <c r="BW58" s="165"/>
      <c r="BX58" s="165"/>
      <c r="BY58" s="165"/>
      <c r="BZ58" s="165"/>
      <c r="CA58" s="165"/>
      <c r="CB58" s="165"/>
      <c r="CC58" s="165"/>
      <c r="CD58" s="165"/>
      <c r="CE58" s="165"/>
      <c r="CF58" s="165"/>
      <c r="CG58" s="165"/>
      <c r="CH58" s="165"/>
      <c r="CI58" s="165"/>
      <c r="CJ58" s="165"/>
      <c r="CK58" s="165"/>
      <c r="CL58" s="165"/>
      <c r="CM58" s="165"/>
      <c r="CN58" s="165"/>
      <c r="CO58" s="165"/>
      <c r="CP58" s="165"/>
      <c r="CQ58" s="165"/>
    </row>
    <row r="59" spans="1:95" outlineLevel="1" x14ac:dyDescent="0.25">
      <c r="B59" s="156" t="str">
        <f>Table1[[#Headers],[Especificação]]</f>
        <v>Especificação</v>
      </c>
      <c r="C59" s="255" t="str">
        <f t="shared" si="3"/>
        <v>ENTITY_ENTTY_NM</v>
      </c>
      <c r="D59" s="153" t="s">
        <v>10</v>
      </c>
      <c r="E59" s="153" t="s">
        <v>59</v>
      </c>
      <c r="G59" s="172">
        <f>INDEX(Table1[[Especificação]:[Total Testes]],MATCH('Planemaneto rev.equipa'!C59,Table1[CONCAT],0),MATCH('Planemaneto rev.equipa'!B59,Table1[[#Headers],[Especificação]:[Total Testes]],0))</f>
        <v>1</v>
      </c>
      <c r="H59" s="191">
        <f t="shared" si="4"/>
        <v>0.13</v>
      </c>
      <c r="I59" s="222"/>
      <c r="J59" s="165"/>
      <c r="K59" s="165"/>
      <c r="L59" s="165"/>
      <c r="M59" s="165"/>
      <c r="N59" s="165"/>
      <c r="O59" s="165"/>
      <c r="P59" s="165"/>
      <c r="Q59" s="165"/>
      <c r="R59" s="165"/>
      <c r="S59" s="258">
        <v>1</v>
      </c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65"/>
      <c r="AZ59" s="165"/>
      <c r="BA59" s="165"/>
      <c r="BB59" s="165"/>
      <c r="BC59" s="165"/>
      <c r="BD59" s="165"/>
      <c r="BE59" s="165"/>
      <c r="BF59" s="165"/>
      <c r="BG59" s="165"/>
      <c r="BH59" s="165"/>
      <c r="BI59" s="165"/>
      <c r="BJ59" s="165"/>
      <c r="BK59" s="165"/>
      <c r="BL59" s="165"/>
      <c r="BM59" s="165"/>
      <c r="BN59" s="165"/>
      <c r="BO59" s="165"/>
      <c r="BP59" s="165"/>
      <c r="BQ59" s="165"/>
      <c r="BR59" s="165"/>
      <c r="BS59" s="165"/>
      <c r="BT59" s="165"/>
      <c r="BU59" s="165"/>
      <c r="BV59" s="165"/>
      <c r="BW59" s="165"/>
      <c r="BX59" s="165"/>
      <c r="BY59" s="165"/>
      <c r="BZ59" s="165"/>
      <c r="CA59" s="165"/>
      <c r="CB59" s="165"/>
      <c r="CC59" s="165"/>
      <c r="CD59" s="165"/>
      <c r="CE59" s="165"/>
      <c r="CF59" s="165"/>
      <c r="CG59" s="165"/>
      <c r="CH59" s="165"/>
      <c r="CI59" s="165"/>
      <c r="CJ59" s="165"/>
      <c r="CK59" s="165"/>
      <c r="CL59" s="165"/>
      <c r="CM59" s="165"/>
      <c r="CN59" s="165"/>
      <c r="CO59" s="165"/>
      <c r="CP59" s="165"/>
      <c r="CQ59" s="165"/>
    </row>
    <row r="60" spans="1:95" outlineLevel="1" x14ac:dyDescent="0.25">
      <c r="B60" s="156" t="str">
        <f>Table1[[#Headers],[Especificação]]</f>
        <v>Especificação</v>
      </c>
      <c r="C60" s="255" t="str">
        <f t="shared" si="3"/>
        <v>ENTITY_EC_GRP_NM</v>
      </c>
      <c r="D60" s="153" t="s">
        <v>10</v>
      </c>
      <c r="E60" s="153" t="s">
        <v>284</v>
      </c>
      <c r="G60" s="172">
        <f>INDEX(Table1[[Especificação]:[Total Testes]],MATCH('Planemaneto rev.equipa'!C60,Table1[CONCAT],0),MATCH('Planemaneto rev.equipa'!B60,Table1[[#Headers],[Especificação]:[Total Testes]],0))</f>
        <v>1</v>
      </c>
      <c r="H60" s="191">
        <f t="shared" si="4"/>
        <v>0.13</v>
      </c>
      <c r="I60" s="222"/>
      <c r="J60" s="165"/>
      <c r="K60" s="165"/>
      <c r="L60" s="165"/>
      <c r="M60" s="165"/>
      <c r="N60" s="165"/>
      <c r="O60" s="165"/>
      <c r="P60" s="165"/>
      <c r="Q60" s="165"/>
      <c r="R60" s="165"/>
      <c r="S60" s="258">
        <v>1</v>
      </c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5"/>
      <c r="AX60" s="165"/>
      <c r="AY60" s="165"/>
      <c r="AZ60" s="165"/>
      <c r="BA60" s="165"/>
      <c r="BB60" s="165"/>
      <c r="BC60" s="165"/>
      <c r="BD60" s="165"/>
      <c r="BE60" s="165"/>
      <c r="BF60" s="165"/>
      <c r="BG60" s="165"/>
      <c r="BH60" s="165"/>
      <c r="BI60" s="165"/>
      <c r="BJ60" s="165"/>
      <c r="BK60" s="165"/>
      <c r="BL60" s="165"/>
      <c r="BM60" s="165"/>
      <c r="BN60" s="165"/>
      <c r="BO60" s="165"/>
      <c r="BP60" s="165"/>
      <c r="BQ60" s="165"/>
      <c r="BR60" s="165"/>
      <c r="BS60" s="165"/>
      <c r="BT60" s="165"/>
      <c r="BU60" s="165"/>
      <c r="BV60" s="165"/>
      <c r="BW60" s="165"/>
      <c r="BX60" s="165"/>
      <c r="BY60" s="165"/>
      <c r="BZ60" s="165"/>
      <c r="CA60" s="165"/>
      <c r="CB60" s="165"/>
      <c r="CC60" s="165"/>
      <c r="CD60" s="165"/>
      <c r="CE60" s="165"/>
      <c r="CF60" s="165"/>
      <c r="CG60" s="165"/>
      <c r="CH60" s="165"/>
      <c r="CI60" s="165"/>
      <c r="CJ60" s="165"/>
      <c r="CK60" s="165"/>
      <c r="CL60" s="165"/>
      <c r="CM60" s="165"/>
      <c r="CN60" s="165"/>
      <c r="CO60" s="165"/>
      <c r="CP60" s="165"/>
      <c r="CQ60" s="165"/>
    </row>
    <row r="61" spans="1:95" outlineLevel="1" x14ac:dyDescent="0.25">
      <c r="B61" s="156" t="str">
        <f>Table1[[#Headers],[Especificação]]</f>
        <v>Especificação</v>
      </c>
      <c r="C61" s="255" t="str">
        <f t="shared" si="3"/>
        <v>INSTRUMENT_FRBRNC_STTS_INSTRMNT</v>
      </c>
      <c r="D61" s="153" t="s">
        <v>414</v>
      </c>
      <c r="E61" s="153" t="s">
        <v>501</v>
      </c>
      <c r="G61" s="172">
        <f>INDEX(Table1[[Especificação]:[Total Testes]],MATCH('Planemaneto rev.equipa'!C61,Table1[CONCAT],0),MATCH('Planemaneto rev.equipa'!B61,Table1[[#Headers],[Especificação]:[Total Testes]],0))</f>
        <v>1</v>
      </c>
      <c r="H61" s="191">
        <f t="shared" si="4"/>
        <v>0.13</v>
      </c>
      <c r="I61" s="222"/>
      <c r="J61" s="165"/>
      <c r="K61" s="165"/>
      <c r="L61" s="165"/>
      <c r="M61" s="165"/>
      <c r="N61" s="165"/>
      <c r="O61" s="165"/>
      <c r="P61" s="165"/>
      <c r="Q61" s="165"/>
      <c r="R61" s="165"/>
      <c r="S61" s="258">
        <v>1</v>
      </c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65"/>
      <c r="AG61" s="165"/>
      <c r="AH61" s="165"/>
      <c r="AI61" s="165"/>
      <c r="AJ61" s="165"/>
      <c r="AK61" s="165"/>
      <c r="AL61" s="165"/>
      <c r="AM61" s="165"/>
      <c r="AN61" s="165"/>
      <c r="AO61" s="165"/>
      <c r="AP61" s="165"/>
      <c r="AQ61" s="165"/>
      <c r="AR61" s="165"/>
      <c r="AS61" s="165"/>
      <c r="AT61" s="165"/>
      <c r="AU61" s="165"/>
      <c r="AV61" s="165"/>
      <c r="AW61" s="165"/>
      <c r="AX61" s="165"/>
      <c r="AY61" s="165"/>
      <c r="AZ61" s="165"/>
      <c r="BA61" s="165"/>
      <c r="BB61" s="165"/>
      <c r="BC61" s="165"/>
      <c r="BD61" s="165"/>
      <c r="BE61" s="165"/>
      <c r="BF61" s="165"/>
      <c r="BG61" s="165"/>
      <c r="BH61" s="165"/>
      <c r="BI61" s="165"/>
      <c r="BJ61" s="165"/>
      <c r="BK61" s="165"/>
      <c r="BL61" s="165"/>
      <c r="BM61" s="165"/>
      <c r="BN61" s="165"/>
      <c r="BO61" s="165"/>
      <c r="BP61" s="165"/>
      <c r="BQ61" s="165"/>
      <c r="BR61" s="165"/>
      <c r="BS61" s="165"/>
      <c r="BT61" s="165"/>
      <c r="BU61" s="165"/>
      <c r="BV61" s="165"/>
      <c r="BW61" s="165"/>
      <c r="BX61" s="165"/>
      <c r="BY61" s="165"/>
      <c r="BZ61" s="165"/>
      <c r="CA61" s="165"/>
      <c r="CB61" s="165"/>
      <c r="CC61" s="165"/>
      <c r="CD61" s="165"/>
      <c r="CE61" s="165"/>
      <c r="CF61" s="165"/>
      <c r="CG61" s="165"/>
      <c r="CH61" s="165"/>
      <c r="CI61" s="165"/>
      <c r="CJ61" s="165"/>
      <c r="CK61" s="165"/>
      <c r="CL61" s="165"/>
      <c r="CM61" s="165"/>
      <c r="CN61" s="165"/>
      <c r="CO61" s="165"/>
      <c r="CP61" s="165"/>
      <c r="CQ61" s="165"/>
    </row>
    <row r="62" spans="1:95" outlineLevel="1" x14ac:dyDescent="0.25">
      <c r="A62" s="228"/>
      <c r="B62" s="236" t="str">
        <f>Table1[[#Headers],[Especificação]]</f>
        <v>Especificação</v>
      </c>
      <c r="C62" s="241" t="str">
        <f t="shared" si="3"/>
        <v>INSTRUMENT_FLG_MNMM_SFGRDS</v>
      </c>
      <c r="D62" s="232" t="s">
        <v>414</v>
      </c>
      <c r="E62" s="232" t="s">
        <v>1480</v>
      </c>
      <c r="F62" s="238"/>
      <c r="G62" s="233">
        <f>INDEX(Table1[[Especificação]:[Total Testes]],MATCH('Planemaneto rev.equipa'!C62,Table1[CONCAT],0),MATCH('Planemaneto rev.equipa'!B62,Table1[[#Headers],[Especificação]:[Total Testes]],0))</f>
        <v>0</v>
      </c>
      <c r="H62" s="239">
        <f t="shared" si="4"/>
        <v>0</v>
      </c>
      <c r="I62" s="240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94">
        <v>1</v>
      </c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5"/>
      <c r="AO62" s="165"/>
      <c r="AP62" s="165"/>
      <c r="AQ62" s="165"/>
      <c r="AR62" s="165"/>
      <c r="AS62" s="165"/>
      <c r="AT62" s="165"/>
      <c r="AU62" s="165"/>
      <c r="AV62" s="165"/>
      <c r="AW62" s="165"/>
      <c r="AX62" s="165"/>
      <c r="AY62" s="165"/>
      <c r="AZ62" s="165"/>
      <c r="BA62" s="165"/>
      <c r="BB62" s="165"/>
      <c r="BC62" s="165"/>
      <c r="BD62" s="165"/>
      <c r="BE62" s="165"/>
      <c r="BF62" s="165"/>
      <c r="BG62" s="165"/>
      <c r="BH62" s="165"/>
      <c r="BI62" s="165"/>
      <c r="BJ62" s="165"/>
      <c r="BK62" s="165"/>
      <c r="BL62" s="165"/>
      <c r="BM62" s="165"/>
      <c r="BN62" s="165"/>
      <c r="BO62" s="165"/>
      <c r="BP62" s="165"/>
      <c r="BQ62" s="165"/>
      <c r="BR62" s="165"/>
      <c r="BS62" s="165"/>
      <c r="BT62" s="165"/>
      <c r="BU62" s="165"/>
      <c r="BV62" s="165"/>
      <c r="BW62" s="165"/>
      <c r="BX62" s="165"/>
      <c r="BY62" s="165"/>
      <c r="BZ62" s="165"/>
      <c r="CA62" s="165"/>
      <c r="CB62" s="165"/>
      <c r="CC62" s="165"/>
      <c r="CD62" s="165"/>
      <c r="CE62" s="165"/>
      <c r="CF62" s="165"/>
      <c r="CG62" s="165"/>
      <c r="CH62" s="165"/>
      <c r="CI62" s="165"/>
      <c r="CJ62" s="165"/>
      <c r="CK62" s="165"/>
      <c r="CL62" s="165"/>
      <c r="CM62" s="165"/>
      <c r="CN62" s="165"/>
      <c r="CO62" s="165"/>
      <c r="CP62" s="165"/>
      <c r="CQ62" s="165"/>
    </row>
    <row r="63" spans="1:95" outlineLevel="1" x14ac:dyDescent="0.25">
      <c r="A63" s="228"/>
      <c r="B63" s="236" t="str">
        <f>Table1[[#Headers],[Especificação]]</f>
        <v>Especificação</v>
      </c>
      <c r="C63" s="241" t="str">
        <f t="shared" si="3"/>
        <v>PROTECTION_RL_ESTT_CRTFCTN</v>
      </c>
      <c r="D63" s="232" t="s">
        <v>1114</v>
      </c>
      <c r="E63" s="232" t="s">
        <v>1512</v>
      </c>
      <c r="F63" s="238"/>
      <c r="G63" s="233">
        <f>INDEX(Table1[[Especificação]:[Total Testes]],MATCH('Planemaneto rev.equipa'!C63,Table1[CONCAT],0),MATCH('Planemaneto rev.equipa'!B63,Table1[[#Headers],[Especificação]:[Total Testes]],0))</f>
        <v>0</v>
      </c>
      <c r="H63" s="239">
        <f t="shared" si="4"/>
        <v>0</v>
      </c>
      <c r="I63" s="240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94">
        <v>1</v>
      </c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  <c r="AK63" s="165"/>
      <c r="AL63" s="165"/>
      <c r="AM63" s="165"/>
      <c r="AN63" s="165"/>
      <c r="AO63" s="165"/>
      <c r="AP63" s="165"/>
      <c r="AQ63" s="165"/>
      <c r="AR63" s="165"/>
      <c r="AS63" s="165"/>
      <c r="AT63" s="165"/>
      <c r="AU63" s="165"/>
      <c r="AV63" s="165"/>
      <c r="AW63" s="165"/>
      <c r="AX63" s="165"/>
      <c r="AY63" s="165"/>
      <c r="AZ63" s="165"/>
      <c r="BA63" s="165"/>
      <c r="BB63" s="165"/>
      <c r="BC63" s="165"/>
      <c r="BD63" s="165"/>
      <c r="BE63" s="165"/>
      <c r="BF63" s="165"/>
      <c r="BG63" s="165"/>
      <c r="BH63" s="165"/>
      <c r="BI63" s="165"/>
      <c r="BJ63" s="165"/>
      <c r="BK63" s="165"/>
      <c r="BL63" s="165"/>
      <c r="BM63" s="165"/>
      <c r="BN63" s="165"/>
      <c r="BO63" s="165"/>
      <c r="BP63" s="165"/>
      <c r="BQ63" s="165"/>
      <c r="BR63" s="165"/>
      <c r="BS63" s="165"/>
      <c r="BT63" s="165"/>
      <c r="BU63" s="165"/>
      <c r="BV63" s="165"/>
      <c r="BW63" s="165"/>
      <c r="BX63" s="165"/>
      <c r="BY63" s="165"/>
      <c r="BZ63" s="165"/>
      <c r="CA63" s="165"/>
      <c r="CB63" s="165"/>
      <c r="CC63" s="165"/>
      <c r="CD63" s="165"/>
      <c r="CE63" s="165"/>
      <c r="CF63" s="165"/>
      <c r="CG63" s="165"/>
      <c r="CH63" s="165"/>
      <c r="CI63" s="165"/>
      <c r="CJ63" s="165"/>
      <c r="CK63" s="165"/>
      <c r="CL63" s="165"/>
      <c r="CM63" s="165"/>
      <c r="CN63" s="165"/>
      <c r="CO63" s="165"/>
      <c r="CP63" s="165"/>
      <c r="CQ63" s="165"/>
    </row>
    <row r="64" spans="1:95" outlineLevel="1" x14ac:dyDescent="0.25">
      <c r="A64" s="228"/>
      <c r="B64" s="236" t="str">
        <f>Table1[[#Headers],[Especificação]]</f>
        <v>Especificação</v>
      </c>
      <c r="C64" s="241" t="str">
        <f t="shared" si="3"/>
        <v>PROTECTION_TYP_VHCL</v>
      </c>
      <c r="D64" s="232" t="s">
        <v>1114</v>
      </c>
      <c r="E64" s="232" t="s">
        <v>1515</v>
      </c>
      <c r="F64" s="238"/>
      <c r="G64" s="233">
        <f>INDEX(Table1[[Especificação]:[Total Testes]],MATCH('Planemaneto rev.equipa'!C64,Table1[CONCAT],0),MATCH('Planemaneto rev.equipa'!B64,Table1[[#Headers],[Especificação]:[Total Testes]],0))</f>
        <v>0</v>
      </c>
      <c r="H64" s="239">
        <f t="shared" si="4"/>
        <v>0</v>
      </c>
      <c r="I64" s="240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94">
        <v>1</v>
      </c>
      <c r="W64" s="165"/>
      <c r="X64" s="165"/>
      <c r="Y64" s="165"/>
      <c r="Z64" s="165"/>
      <c r="AA64" s="165"/>
      <c r="AB64" s="165"/>
      <c r="AC64" s="165"/>
      <c r="AD64" s="165"/>
      <c r="AE64" s="165"/>
      <c r="AF64" s="165"/>
      <c r="AG64" s="165"/>
      <c r="AH64" s="165"/>
      <c r="AI64" s="165"/>
      <c r="AJ64" s="165"/>
      <c r="AK64" s="165"/>
      <c r="AL64" s="165"/>
      <c r="AM64" s="165"/>
      <c r="AN64" s="165"/>
      <c r="AO64" s="165"/>
      <c r="AP64" s="165"/>
      <c r="AQ64" s="165"/>
      <c r="AR64" s="165"/>
      <c r="AS64" s="165"/>
      <c r="AT64" s="165"/>
      <c r="AU64" s="165"/>
      <c r="AV64" s="165"/>
      <c r="AW64" s="165"/>
      <c r="AX64" s="165"/>
      <c r="AY64" s="165"/>
      <c r="AZ64" s="165"/>
      <c r="BA64" s="165"/>
      <c r="BB64" s="165"/>
      <c r="BC64" s="165"/>
      <c r="BD64" s="165"/>
      <c r="BE64" s="165"/>
      <c r="BF64" s="165"/>
      <c r="BG64" s="165"/>
      <c r="BH64" s="165"/>
      <c r="BI64" s="165"/>
      <c r="BJ64" s="165"/>
      <c r="BK64" s="165"/>
      <c r="BL64" s="165"/>
      <c r="BM64" s="165"/>
      <c r="BN64" s="165"/>
      <c r="BO64" s="165"/>
      <c r="BP64" s="165"/>
      <c r="BQ64" s="165"/>
      <c r="BR64" s="165"/>
      <c r="BS64" s="165"/>
      <c r="BT64" s="165"/>
      <c r="BU64" s="165"/>
      <c r="BV64" s="165"/>
      <c r="BW64" s="165"/>
      <c r="BX64" s="165"/>
      <c r="BY64" s="165"/>
      <c r="BZ64" s="165"/>
      <c r="CA64" s="165"/>
      <c r="CB64" s="165"/>
      <c r="CC64" s="165"/>
      <c r="CD64" s="165"/>
      <c r="CE64" s="165"/>
      <c r="CF64" s="165"/>
      <c r="CG64" s="165"/>
      <c r="CH64" s="165"/>
      <c r="CI64" s="165"/>
      <c r="CJ64" s="165"/>
      <c r="CK64" s="165"/>
      <c r="CL64" s="165"/>
      <c r="CM64" s="165"/>
      <c r="CN64" s="165"/>
      <c r="CO64" s="165"/>
      <c r="CP64" s="165"/>
      <c r="CQ64" s="165"/>
    </row>
    <row r="65" spans="1:95" outlineLevel="1" x14ac:dyDescent="0.25">
      <c r="A65" s="228"/>
      <c r="B65" s="236" t="str">
        <f>Table1[[#Headers],[Especificação]]</f>
        <v>Especificação</v>
      </c>
      <c r="C65" s="241" t="str">
        <f t="shared" si="3"/>
        <v>PROTECTION_DT_RGSTRTN</v>
      </c>
      <c r="D65" s="232" t="s">
        <v>1114</v>
      </c>
      <c r="E65" s="232" t="s">
        <v>1518</v>
      </c>
      <c r="F65" s="238"/>
      <c r="G65" s="233">
        <f>INDEX(Table1[[Especificação]:[Total Testes]],MATCH('Planemaneto rev.equipa'!C65,Table1[CONCAT],0),MATCH('Planemaneto rev.equipa'!B65,Table1[[#Headers],[Especificação]:[Total Testes]],0))</f>
        <v>0</v>
      </c>
      <c r="H65" s="239">
        <f t="shared" si="4"/>
        <v>0</v>
      </c>
      <c r="I65" s="240"/>
      <c r="J65" s="165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94">
        <v>1</v>
      </c>
      <c r="W65" s="165"/>
      <c r="X65" s="165"/>
      <c r="Y65" s="165"/>
      <c r="Z65" s="165"/>
      <c r="AA65" s="165"/>
      <c r="AB65" s="165"/>
      <c r="AC65" s="165"/>
      <c r="AD65" s="165"/>
      <c r="AE65" s="165"/>
      <c r="AF65" s="165"/>
      <c r="AG65" s="165"/>
      <c r="AH65" s="165"/>
      <c r="AI65" s="165"/>
      <c r="AJ65" s="165"/>
      <c r="AK65" s="165"/>
      <c r="AL65" s="165"/>
      <c r="AM65" s="165"/>
      <c r="AN65" s="165"/>
      <c r="AO65" s="165"/>
      <c r="AP65" s="165"/>
      <c r="AQ65" s="165"/>
      <c r="AR65" s="165"/>
      <c r="AS65" s="165"/>
      <c r="AT65" s="165"/>
      <c r="AU65" s="165"/>
      <c r="AV65" s="165"/>
      <c r="AW65" s="165"/>
      <c r="AX65" s="165"/>
      <c r="AY65" s="165"/>
      <c r="AZ65" s="165"/>
      <c r="BA65" s="165"/>
      <c r="BB65" s="165"/>
      <c r="BC65" s="165"/>
      <c r="BD65" s="165"/>
      <c r="BE65" s="165"/>
      <c r="BF65" s="165"/>
      <c r="BG65" s="165"/>
      <c r="BH65" s="165"/>
      <c r="BI65" s="165"/>
      <c r="BJ65" s="165"/>
      <c r="BK65" s="165"/>
      <c r="BL65" s="165"/>
      <c r="BM65" s="165"/>
      <c r="BN65" s="165"/>
      <c r="BO65" s="165"/>
      <c r="BP65" s="165"/>
      <c r="BQ65" s="165"/>
      <c r="BR65" s="165"/>
      <c r="BS65" s="165"/>
      <c r="BT65" s="165"/>
      <c r="BU65" s="165"/>
      <c r="BV65" s="165"/>
      <c r="BW65" s="165"/>
      <c r="BX65" s="165"/>
      <c r="BY65" s="165"/>
      <c r="BZ65" s="165"/>
      <c r="CA65" s="165"/>
      <c r="CB65" s="165"/>
      <c r="CC65" s="165"/>
      <c r="CD65" s="165"/>
      <c r="CE65" s="165"/>
      <c r="CF65" s="165"/>
      <c r="CG65" s="165"/>
      <c r="CH65" s="165"/>
      <c r="CI65" s="165"/>
      <c r="CJ65" s="165"/>
      <c r="CK65" s="165"/>
      <c r="CL65" s="165"/>
      <c r="CM65" s="165"/>
      <c r="CN65" s="165"/>
      <c r="CO65" s="165"/>
      <c r="CP65" s="165"/>
      <c r="CQ65" s="165"/>
    </row>
    <row r="66" spans="1:95" outlineLevel="1" x14ac:dyDescent="0.25">
      <c r="A66" s="228"/>
      <c r="B66" s="236" t="str">
        <f>Table1[[#Headers],[Especificação]]</f>
        <v>Especificação</v>
      </c>
      <c r="C66" s="241" t="str">
        <f t="shared" si="3"/>
        <v>INSTR_ACTIVITY_FLG_DNSH_CMPLNC</v>
      </c>
      <c r="D66" s="232" t="s">
        <v>1542</v>
      </c>
      <c r="E66" s="232" t="s">
        <v>1557</v>
      </c>
      <c r="F66" s="238"/>
      <c r="G66" s="233">
        <f>INDEX(Table1[[Especificação]:[Total Testes]],MATCH('Planemaneto rev.equipa'!C66,Table1[CONCAT],0),MATCH('Planemaneto rev.equipa'!B66,Table1[[#Headers],[Especificação]:[Total Testes]],0))</f>
        <v>0</v>
      </c>
      <c r="H66" s="239">
        <f t="shared" si="4"/>
        <v>0</v>
      </c>
      <c r="I66" s="240"/>
      <c r="J66" s="165"/>
      <c r="K66" s="165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94">
        <v>1</v>
      </c>
      <c r="W66" s="165"/>
      <c r="X66" s="165"/>
      <c r="Y66" s="165"/>
      <c r="Z66" s="165"/>
      <c r="AA66" s="165"/>
      <c r="AB66" s="165"/>
      <c r="AC66" s="165"/>
      <c r="AD66" s="165"/>
      <c r="AE66" s="165"/>
      <c r="AF66" s="165"/>
      <c r="AG66" s="165"/>
      <c r="AH66" s="165"/>
      <c r="AI66" s="165"/>
      <c r="AJ66" s="165"/>
      <c r="AK66" s="165"/>
      <c r="AL66" s="165"/>
      <c r="AM66" s="165"/>
      <c r="AN66" s="165"/>
      <c r="AO66" s="165"/>
      <c r="AP66" s="165"/>
      <c r="AQ66" s="165"/>
      <c r="AR66" s="165"/>
      <c r="AS66" s="165"/>
      <c r="AT66" s="165"/>
      <c r="AU66" s="165"/>
      <c r="AV66" s="165"/>
      <c r="AW66" s="165"/>
      <c r="AX66" s="165"/>
      <c r="AY66" s="165"/>
      <c r="AZ66" s="165"/>
      <c r="BA66" s="165"/>
      <c r="BB66" s="165"/>
      <c r="BC66" s="165"/>
      <c r="BD66" s="165"/>
      <c r="BE66" s="165"/>
      <c r="BF66" s="165"/>
      <c r="BG66" s="165"/>
      <c r="BH66" s="165"/>
      <c r="BI66" s="165"/>
      <c r="BJ66" s="165"/>
      <c r="BK66" s="165"/>
      <c r="BL66" s="165"/>
      <c r="BM66" s="165"/>
      <c r="BN66" s="165"/>
      <c r="BO66" s="165"/>
      <c r="BP66" s="165"/>
      <c r="BQ66" s="165"/>
      <c r="BR66" s="165"/>
      <c r="BS66" s="165"/>
      <c r="BT66" s="165"/>
      <c r="BU66" s="165"/>
      <c r="BV66" s="165"/>
      <c r="BW66" s="165"/>
      <c r="BX66" s="165"/>
      <c r="BY66" s="165"/>
      <c r="BZ66" s="165"/>
      <c r="CA66" s="165"/>
      <c r="CB66" s="165"/>
      <c r="CC66" s="165"/>
      <c r="CD66" s="165"/>
      <c r="CE66" s="165"/>
      <c r="CF66" s="165"/>
      <c r="CG66" s="165"/>
      <c r="CH66" s="165"/>
      <c r="CI66" s="165"/>
      <c r="CJ66" s="165"/>
      <c r="CK66" s="165"/>
      <c r="CL66" s="165"/>
      <c r="CM66" s="165"/>
      <c r="CN66" s="165"/>
      <c r="CO66" s="165"/>
      <c r="CP66" s="165"/>
      <c r="CQ66" s="165"/>
    </row>
    <row r="67" spans="1:95" outlineLevel="1" x14ac:dyDescent="0.25">
      <c r="A67" s="228"/>
      <c r="B67" s="236" t="str">
        <f>Table1[[#Headers],[Especificação]]</f>
        <v>Especificação</v>
      </c>
      <c r="C67" s="241" t="str">
        <f t="shared" si="3"/>
        <v>INSTR_ACTIVITY_DNSH_DTL</v>
      </c>
      <c r="D67" s="232" t="s">
        <v>1542</v>
      </c>
      <c r="E67" s="232" t="s">
        <v>1560</v>
      </c>
      <c r="F67" s="238"/>
      <c r="G67" s="233">
        <f>INDEX(Table1[[Especificação]:[Total Testes]],MATCH('Planemaneto rev.equipa'!C67,Table1[CONCAT],0),MATCH('Planemaneto rev.equipa'!B67,Table1[[#Headers],[Especificação]:[Total Testes]],0))</f>
        <v>0</v>
      </c>
      <c r="H67" s="239">
        <f t="shared" si="4"/>
        <v>0</v>
      </c>
      <c r="I67" s="240"/>
      <c r="J67" s="165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94">
        <v>1</v>
      </c>
      <c r="W67" s="165"/>
      <c r="X67" s="165"/>
      <c r="Y67" s="165"/>
      <c r="Z67" s="165"/>
      <c r="AA67" s="165"/>
      <c r="AB67" s="165"/>
      <c r="AC67" s="165"/>
      <c r="AD67" s="165"/>
      <c r="AE67" s="165"/>
      <c r="AF67" s="165"/>
      <c r="AG67" s="165"/>
      <c r="AH67" s="165"/>
      <c r="AI67" s="165"/>
      <c r="AJ67" s="165"/>
      <c r="AK67" s="165"/>
      <c r="AL67" s="165"/>
      <c r="AM67" s="165"/>
      <c r="AN67" s="165"/>
      <c r="AO67" s="165"/>
      <c r="AP67" s="165"/>
      <c r="AQ67" s="165"/>
      <c r="AR67" s="165"/>
      <c r="AS67" s="165"/>
      <c r="AT67" s="165"/>
      <c r="AU67" s="165"/>
      <c r="AV67" s="165"/>
      <c r="AW67" s="165"/>
      <c r="AX67" s="165"/>
      <c r="AY67" s="165"/>
      <c r="AZ67" s="165"/>
      <c r="BA67" s="165"/>
      <c r="BB67" s="165"/>
      <c r="BC67" s="165"/>
      <c r="BD67" s="165"/>
      <c r="BE67" s="165"/>
      <c r="BF67" s="165"/>
      <c r="BG67" s="165"/>
      <c r="BH67" s="165"/>
      <c r="BI67" s="165"/>
      <c r="BJ67" s="165"/>
      <c r="BK67" s="165"/>
      <c r="BL67" s="165"/>
      <c r="BM67" s="165"/>
      <c r="BN67" s="165"/>
      <c r="BO67" s="165"/>
      <c r="BP67" s="165"/>
      <c r="BQ67" s="165"/>
      <c r="BR67" s="165"/>
      <c r="BS67" s="165"/>
      <c r="BT67" s="165"/>
      <c r="BU67" s="165"/>
      <c r="BV67" s="165"/>
      <c r="BW67" s="165"/>
      <c r="BX67" s="165"/>
      <c r="BY67" s="165"/>
      <c r="BZ67" s="165"/>
      <c r="CA67" s="165"/>
      <c r="CB67" s="165"/>
      <c r="CC67" s="165"/>
      <c r="CD67" s="165"/>
      <c r="CE67" s="165"/>
      <c r="CF67" s="165"/>
      <c r="CG67" s="165"/>
      <c r="CH67" s="165"/>
      <c r="CI67" s="165"/>
      <c r="CJ67" s="165"/>
      <c r="CK67" s="165"/>
      <c r="CL67" s="165"/>
      <c r="CM67" s="165"/>
      <c r="CN67" s="165"/>
      <c r="CO67" s="165"/>
      <c r="CP67" s="165"/>
      <c r="CQ67" s="165"/>
    </row>
    <row r="68" spans="1:95" x14ac:dyDescent="0.25">
      <c r="B68" s="156"/>
      <c r="C68" s="212" t="s">
        <v>1721</v>
      </c>
      <c r="D68" s="178"/>
      <c r="E68" s="179"/>
      <c r="F68" s="205">
        <f>+COUNTA(E69:E80)</f>
        <v>12</v>
      </c>
      <c r="G68" s="205">
        <f>SUM(G69:G80)</f>
        <v>25</v>
      </c>
      <c r="H68" s="208">
        <f>ROUND(SUM(H69:H80),1)</f>
        <v>3.1</v>
      </c>
      <c r="I68" s="222">
        <f t="shared" ref="I68:I89" si="5">SUM(J68:CQ68)-H68</f>
        <v>-3.1</v>
      </c>
      <c r="J68" s="165"/>
      <c r="K68" s="165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  <c r="AF68" s="165"/>
      <c r="AG68" s="165"/>
      <c r="AH68" s="165"/>
      <c r="AI68" s="165"/>
      <c r="AJ68" s="165"/>
      <c r="AK68" s="165"/>
      <c r="AL68" s="165"/>
      <c r="AM68" s="165"/>
      <c r="AN68" s="165"/>
      <c r="AO68" s="165"/>
      <c r="AP68" s="165"/>
      <c r="AQ68" s="165"/>
      <c r="AR68" s="165"/>
      <c r="AS68" s="165"/>
      <c r="AT68" s="165"/>
      <c r="AU68" s="165"/>
      <c r="AV68" s="165"/>
      <c r="AW68" s="165"/>
      <c r="AX68" s="165"/>
      <c r="AY68" s="165"/>
      <c r="AZ68" s="165"/>
      <c r="BA68" s="165"/>
      <c r="BB68" s="165"/>
      <c r="BC68" s="165"/>
      <c r="BD68" s="165"/>
      <c r="BE68" s="165"/>
      <c r="BF68" s="165"/>
      <c r="BG68" s="165"/>
      <c r="BH68" s="165"/>
      <c r="BI68" s="165"/>
      <c r="BJ68" s="165"/>
      <c r="BK68" s="165"/>
      <c r="BL68" s="165"/>
      <c r="BM68" s="165"/>
      <c r="BN68" s="165"/>
      <c r="BO68" s="165"/>
      <c r="BP68" s="165"/>
      <c r="BQ68" s="165"/>
      <c r="BR68" s="165"/>
      <c r="BS68" s="165"/>
      <c r="BT68" s="165"/>
      <c r="BU68" s="165"/>
      <c r="BV68" s="165"/>
      <c r="BW68" s="165"/>
      <c r="BX68" s="165"/>
      <c r="BY68" s="165"/>
      <c r="BZ68" s="165"/>
      <c r="CA68" s="165"/>
      <c r="CB68" s="165"/>
      <c r="CC68" s="165"/>
      <c r="CD68" s="165"/>
      <c r="CE68" s="165"/>
      <c r="CF68" s="165"/>
      <c r="CG68" s="165"/>
      <c r="CH68" s="165"/>
      <c r="CI68" s="165"/>
      <c r="CJ68" s="165"/>
      <c r="CK68" s="165"/>
      <c r="CL68" s="165"/>
      <c r="CM68" s="165"/>
      <c r="CN68" s="165"/>
      <c r="CO68" s="165"/>
      <c r="CP68" s="165"/>
      <c r="CQ68" s="165"/>
    </row>
    <row r="69" spans="1:95" outlineLevel="1" x14ac:dyDescent="0.25">
      <c r="B69" s="156" t="str">
        <f>Table1[[#Headers],[Especificação]]</f>
        <v>Especificação</v>
      </c>
      <c r="C69" s="261" t="str">
        <f t="shared" si="3"/>
        <v>ENTITY_GRP_ECNMC_ACTVTY</v>
      </c>
      <c r="D69" s="153" t="s">
        <v>10</v>
      </c>
      <c r="E69" s="153" t="s">
        <v>382</v>
      </c>
      <c r="G69" s="172">
        <f>INDEX(Table1[[Especificação]:[Total Testes]],MATCH('Planemaneto rev.equipa'!C69,Table1[CONCAT],0),MATCH('Planemaneto rev.equipa'!B69,Table1[[#Headers],[Especificação]:[Total Testes]],0))</f>
        <v>2</v>
      </c>
      <c r="H69" s="191">
        <f t="shared" ref="H69:H88" si="6">ROUND(G69/8,2)</f>
        <v>0.25</v>
      </c>
      <c r="I69" s="222"/>
      <c r="J69" s="165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260">
        <v>1</v>
      </c>
      <c r="AD69" s="165"/>
      <c r="AE69" s="165"/>
      <c r="AF69" s="165"/>
      <c r="AG69" s="165"/>
      <c r="AH69" s="165"/>
      <c r="AI69" s="165"/>
      <c r="AJ69" s="165"/>
      <c r="AK69" s="165"/>
      <c r="AL69" s="165"/>
      <c r="AM69" s="165"/>
      <c r="AN69" s="165"/>
      <c r="AO69" s="165"/>
      <c r="AP69" s="165"/>
      <c r="AQ69" s="165"/>
      <c r="AR69" s="165"/>
      <c r="AS69" s="165"/>
      <c r="AT69" s="165"/>
      <c r="AU69" s="165"/>
      <c r="AV69" s="165"/>
      <c r="AW69" s="165"/>
      <c r="AX69" s="165"/>
      <c r="AY69" s="165"/>
      <c r="AZ69" s="165"/>
      <c r="BA69" s="165"/>
      <c r="BB69" s="165"/>
      <c r="BC69" s="165"/>
      <c r="BD69" s="165"/>
      <c r="BE69" s="165"/>
      <c r="BF69" s="165"/>
      <c r="BG69" s="165"/>
      <c r="BH69" s="165"/>
      <c r="BI69" s="165"/>
      <c r="BJ69" s="165"/>
      <c r="BK69" s="165"/>
      <c r="BL69" s="165"/>
      <c r="BM69" s="165"/>
      <c r="BN69" s="165"/>
      <c r="BO69" s="165"/>
      <c r="BP69" s="165"/>
      <c r="BQ69" s="165"/>
      <c r="BR69" s="165"/>
      <c r="BS69" s="165"/>
      <c r="BT69" s="165"/>
      <c r="BU69" s="165"/>
      <c r="BV69" s="165"/>
      <c r="BW69" s="165"/>
      <c r="BX69" s="165"/>
      <c r="BY69" s="165"/>
      <c r="BZ69" s="165"/>
      <c r="CA69" s="165"/>
      <c r="CB69" s="165"/>
      <c r="CC69" s="165"/>
      <c r="CD69" s="165"/>
      <c r="CE69" s="165"/>
      <c r="CF69" s="165"/>
      <c r="CG69" s="165"/>
      <c r="CH69" s="165"/>
      <c r="CI69" s="165"/>
      <c r="CJ69" s="165"/>
      <c r="CK69" s="165"/>
      <c r="CL69" s="165"/>
      <c r="CM69" s="165"/>
      <c r="CN69" s="165"/>
      <c r="CO69" s="165"/>
      <c r="CP69" s="165"/>
      <c r="CQ69" s="165"/>
    </row>
    <row r="70" spans="1:95" outlineLevel="1" x14ac:dyDescent="0.25">
      <c r="B70" s="156" t="str">
        <f>Table1[[#Headers],[Especificação]]</f>
        <v>Especificação</v>
      </c>
      <c r="C70" s="263" t="str">
        <f t="shared" si="3"/>
        <v>PROTECTION_EPC_EMSSNS_LBL</v>
      </c>
      <c r="D70" s="153" t="s">
        <v>1114</v>
      </c>
      <c r="E70" s="153" t="s">
        <v>1238</v>
      </c>
      <c r="G70" s="172">
        <f>INDEX(Table1[[Especificação]:[Total Testes]],MATCH('Planemaneto rev.equipa'!C70,Table1[CONCAT],0),MATCH('Planemaneto rev.equipa'!B70,Table1[[#Headers],[Especificação]:[Total Testes]],0))</f>
        <v>2</v>
      </c>
      <c r="H70" s="191">
        <f t="shared" si="6"/>
        <v>0.25</v>
      </c>
      <c r="I70" s="222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259">
        <v>1</v>
      </c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  <c r="AK70" s="165"/>
      <c r="AL70" s="165"/>
      <c r="AM70" s="165"/>
      <c r="AN70" s="165"/>
      <c r="AO70" s="165"/>
      <c r="AP70" s="165"/>
      <c r="AQ70" s="165"/>
      <c r="AR70" s="165"/>
      <c r="AS70" s="165"/>
      <c r="AT70" s="165"/>
      <c r="AU70" s="165"/>
      <c r="AV70" s="165"/>
      <c r="AW70" s="165"/>
      <c r="AX70" s="165"/>
      <c r="AY70" s="165"/>
      <c r="AZ70" s="165"/>
      <c r="BA70" s="165"/>
      <c r="BB70" s="165"/>
      <c r="BC70" s="165"/>
      <c r="BD70" s="165"/>
      <c r="BE70" s="165"/>
      <c r="BF70" s="165"/>
      <c r="BG70" s="165"/>
      <c r="BH70" s="165"/>
      <c r="BI70" s="165"/>
      <c r="BJ70" s="165"/>
      <c r="BK70" s="165"/>
      <c r="BL70" s="165"/>
      <c r="BM70" s="165"/>
      <c r="BN70" s="165"/>
      <c r="BO70" s="165"/>
      <c r="BP70" s="165"/>
      <c r="BQ70" s="165"/>
      <c r="BR70" s="165"/>
      <c r="BS70" s="165"/>
      <c r="BT70" s="165"/>
      <c r="BU70" s="165"/>
      <c r="BV70" s="165"/>
      <c r="BW70" s="165"/>
      <c r="BX70" s="165"/>
      <c r="BY70" s="165"/>
      <c r="BZ70" s="165"/>
      <c r="CA70" s="165"/>
      <c r="CB70" s="165"/>
      <c r="CC70" s="165"/>
      <c r="CD70" s="165"/>
      <c r="CE70" s="165"/>
      <c r="CF70" s="165"/>
      <c r="CG70" s="165"/>
      <c r="CH70" s="165"/>
      <c r="CI70" s="165"/>
      <c r="CJ70" s="165"/>
      <c r="CK70" s="165"/>
      <c r="CL70" s="165"/>
      <c r="CM70" s="165"/>
      <c r="CN70" s="165"/>
      <c r="CO70" s="165"/>
      <c r="CP70" s="165"/>
      <c r="CQ70" s="165"/>
    </row>
    <row r="71" spans="1:95" outlineLevel="1" x14ac:dyDescent="0.25">
      <c r="B71" s="156" t="str">
        <f>Table1[[#Headers],[Especificação]]</f>
        <v>Especificação</v>
      </c>
      <c r="C71" s="263" t="str">
        <f t="shared" si="3"/>
        <v>PROTECTION_TYP_EMSSNS_SCR</v>
      </c>
      <c r="D71" s="153" t="s">
        <v>1114</v>
      </c>
      <c r="E71" s="153" t="s">
        <v>1244</v>
      </c>
      <c r="G71" s="172">
        <f>INDEX(Table1[[Especificação]:[Total Testes]],MATCH('Planemaneto rev.equipa'!C71,Table1[CONCAT],0),MATCH('Planemaneto rev.equipa'!B71,Table1[[#Headers],[Especificação]:[Total Testes]],0))</f>
        <v>2</v>
      </c>
      <c r="H71" s="191">
        <f t="shared" si="6"/>
        <v>0.25</v>
      </c>
      <c r="I71" s="222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259">
        <v>1</v>
      </c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5"/>
      <c r="AL71" s="165"/>
      <c r="AM71" s="165"/>
      <c r="AN71" s="165"/>
      <c r="AO71" s="165"/>
      <c r="AP71" s="165"/>
      <c r="AQ71" s="165"/>
      <c r="AR71" s="165"/>
      <c r="AS71" s="165"/>
      <c r="AT71" s="165"/>
      <c r="AU71" s="165"/>
      <c r="AV71" s="165"/>
      <c r="AW71" s="165"/>
      <c r="AX71" s="165"/>
      <c r="AY71" s="165"/>
      <c r="AZ71" s="165"/>
      <c r="BA71" s="165"/>
      <c r="BB71" s="165"/>
      <c r="BC71" s="165"/>
      <c r="BD71" s="165"/>
      <c r="BE71" s="165"/>
      <c r="BF71" s="165"/>
      <c r="BG71" s="165"/>
      <c r="BH71" s="165"/>
      <c r="BI71" s="165"/>
      <c r="BJ71" s="165"/>
      <c r="BK71" s="165"/>
      <c r="BL71" s="165"/>
      <c r="BM71" s="165"/>
      <c r="BN71" s="165"/>
      <c r="BO71" s="165"/>
      <c r="BP71" s="165"/>
      <c r="BQ71" s="165"/>
      <c r="BR71" s="165"/>
      <c r="BS71" s="165"/>
      <c r="BT71" s="165"/>
      <c r="BU71" s="165"/>
      <c r="BV71" s="165"/>
      <c r="BW71" s="165"/>
      <c r="BX71" s="165"/>
      <c r="BY71" s="165"/>
      <c r="BZ71" s="165"/>
      <c r="CA71" s="165"/>
      <c r="CB71" s="165"/>
      <c r="CC71" s="165"/>
      <c r="CD71" s="165"/>
      <c r="CE71" s="165"/>
      <c r="CF71" s="165"/>
      <c r="CG71" s="165"/>
      <c r="CH71" s="165"/>
      <c r="CI71" s="165"/>
      <c r="CJ71" s="165"/>
      <c r="CK71" s="165"/>
      <c r="CL71" s="165"/>
      <c r="CM71" s="165"/>
      <c r="CN71" s="165"/>
      <c r="CO71" s="165"/>
      <c r="CP71" s="165"/>
      <c r="CQ71" s="165"/>
    </row>
    <row r="72" spans="1:95" outlineLevel="1" x14ac:dyDescent="0.25">
      <c r="B72" s="156" t="str">
        <f>Table1[[#Headers],[Especificação]]</f>
        <v>Especificação</v>
      </c>
      <c r="C72" s="263" t="str">
        <f t="shared" si="3"/>
        <v>PROTECTION_EPC_EMSSNS_SCR</v>
      </c>
      <c r="D72" s="153" t="s">
        <v>1114</v>
      </c>
      <c r="E72" s="153" t="s">
        <v>1247</v>
      </c>
      <c r="G72" s="172">
        <f>INDEX(Table1[[Especificação]:[Total Testes]],MATCH('Planemaneto rev.equipa'!C72,Table1[CONCAT],0),MATCH('Planemaneto rev.equipa'!B72,Table1[[#Headers],[Especificação]:[Total Testes]],0))</f>
        <v>4</v>
      </c>
      <c r="H72" s="191">
        <f t="shared" si="6"/>
        <v>0.5</v>
      </c>
      <c r="I72" s="222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259">
        <v>1</v>
      </c>
      <c r="Y72" s="165"/>
      <c r="Z72" s="165"/>
      <c r="AA72" s="165"/>
      <c r="AB72" s="165"/>
      <c r="AC72" s="165"/>
      <c r="AD72" s="165"/>
      <c r="AE72" s="165"/>
      <c r="AF72" s="165"/>
      <c r="AG72" s="165"/>
      <c r="AH72" s="165"/>
      <c r="AI72" s="165"/>
      <c r="AJ72" s="165"/>
      <c r="AK72" s="165"/>
      <c r="AL72" s="165"/>
      <c r="AM72" s="165"/>
      <c r="AN72" s="165"/>
      <c r="AO72" s="165"/>
      <c r="AP72" s="165"/>
      <c r="AQ72" s="165"/>
      <c r="AR72" s="165"/>
      <c r="AS72" s="165"/>
      <c r="AT72" s="165"/>
      <c r="AU72" s="165"/>
      <c r="AV72" s="165"/>
      <c r="AW72" s="165"/>
      <c r="AX72" s="165"/>
      <c r="AY72" s="165"/>
      <c r="AZ72" s="165"/>
      <c r="BA72" s="165"/>
      <c r="BB72" s="165"/>
      <c r="BC72" s="165"/>
      <c r="BD72" s="165"/>
      <c r="BE72" s="165"/>
      <c r="BF72" s="165"/>
      <c r="BG72" s="165"/>
      <c r="BH72" s="165"/>
      <c r="BI72" s="165"/>
      <c r="BJ72" s="165"/>
      <c r="BK72" s="165"/>
      <c r="BL72" s="165"/>
      <c r="BM72" s="165"/>
      <c r="BN72" s="165"/>
      <c r="BO72" s="165"/>
      <c r="BP72" s="165"/>
      <c r="BQ72" s="165"/>
      <c r="BR72" s="165"/>
      <c r="BS72" s="165"/>
      <c r="BT72" s="165"/>
      <c r="BU72" s="165"/>
      <c r="BV72" s="165"/>
      <c r="BW72" s="165"/>
      <c r="BX72" s="165"/>
      <c r="BY72" s="165"/>
      <c r="BZ72" s="165"/>
      <c r="CA72" s="165"/>
      <c r="CB72" s="165"/>
      <c r="CC72" s="165"/>
      <c r="CD72" s="165"/>
      <c r="CE72" s="165"/>
      <c r="CF72" s="165"/>
      <c r="CG72" s="165"/>
      <c r="CH72" s="165"/>
      <c r="CI72" s="165"/>
      <c r="CJ72" s="165"/>
      <c r="CK72" s="165"/>
      <c r="CL72" s="165"/>
      <c r="CM72" s="165"/>
      <c r="CN72" s="165"/>
      <c r="CO72" s="165"/>
      <c r="CP72" s="165"/>
      <c r="CQ72" s="165"/>
    </row>
    <row r="73" spans="1:95" outlineLevel="1" x14ac:dyDescent="0.25">
      <c r="B73" s="156" t="str">
        <f>Table1[[#Headers],[Especificação]]</f>
        <v>Especificação</v>
      </c>
      <c r="C73" s="263" t="str">
        <f t="shared" si="3"/>
        <v>INSTRUMENT_INTRNL_SGMNT</v>
      </c>
      <c r="D73" s="153" t="s">
        <v>414</v>
      </c>
      <c r="E73" s="153" t="s">
        <v>50</v>
      </c>
      <c r="G73" s="172">
        <f>INDEX(Table1[[Especificação]:[Total Testes]],MATCH('Planemaneto rev.equipa'!C73,Table1[CONCAT],0),MATCH('Planemaneto rev.equipa'!B73,Table1[[#Headers],[Especificação]:[Total Testes]],0))</f>
        <v>2</v>
      </c>
      <c r="H73" s="191">
        <f t="shared" si="6"/>
        <v>0.25</v>
      </c>
      <c r="I73" s="222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259">
        <v>1</v>
      </c>
      <c r="Y73" s="165"/>
      <c r="Z73" s="165"/>
      <c r="AA73" s="165"/>
      <c r="AB73" s="165"/>
      <c r="AC73" s="165"/>
      <c r="AD73" s="165"/>
      <c r="AE73" s="165"/>
      <c r="AF73" s="165"/>
      <c r="AG73" s="165"/>
      <c r="AH73" s="165"/>
      <c r="AI73" s="165"/>
      <c r="AJ73" s="165"/>
      <c r="AK73" s="165"/>
      <c r="AL73" s="165"/>
      <c r="AM73" s="165"/>
      <c r="AN73" s="165"/>
      <c r="AO73" s="165"/>
      <c r="AP73" s="165"/>
      <c r="AQ73" s="165"/>
      <c r="AR73" s="165"/>
      <c r="AS73" s="165"/>
      <c r="AT73" s="165"/>
      <c r="AU73" s="165"/>
      <c r="AV73" s="165"/>
      <c r="AW73" s="165"/>
      <c r="AX73" s="165"/>
      <c r="AY73" s="165"/>
      <c r="AZ73" s="165"/>
      <c r="BA73" s="165"/>
      <c r="BB73" s="165"/>
      <c r="BC73" s="165"/>
      <c r="BD73" s="165"/>
      <c r="BE73" s="165"/>
      <c r="BF73" s="165"/>
      <c r="BG73" s="165"/>
      <c r="BH73" s="165"/>
      <c r="BI73" s="165"/>
      <c r="BJ73" s="165"/>
      <c r="BK73" s="165"/>
      <c r="BL73" s="165"/>
      <c r="BM73" s="165"/>
      <c r="BN73" s="165"/>
      <c r="BO73" s="165"/>
      <c r="BP73" s="165"/>
      <c r="BQ73" s="165"/>
      <c r="BR73" s="165"/>
      <c r="BS73" s="165"/>
      <c r="BT73" s="165"/>
      <c r="BU73" s="165"/>
      <c r="BV73" s="165"/>
      <c r="BW73" s="165"/>
      <c r="BX73" s="165"/>
      <c r="BY73" s="165"/>
      <c r="BZ73" s="165"/>
      <c r="CA73" s="165"/>
      <c r="CB73" s="165"/>
      <c r="CC73" s="165"/>
      <c r="CD73" s="165"/>
      <c r="CE73" s="165"/>
      <c r="CF73" s="165"/>
      <c r="CG73" s="165"/>
      <c r="CH73" s="165"/>
      <c r="CI73" s="165"/>
      <c r="CJ73" s="165"/>
      <c r="CK73" s="165"/>
      <c r="CL73" s="165"/>
      <c r="CM73" s="165"/>
      <c r="CN73" s="165"/>
      <c r="CO73" s="165"/>
      <c r="CP73" s="165"/>
      <c r="CQ73" s="165"/>
    </row>
    <row r="74" spans="1:95" outlineLevel="1" x14ac:dyDescent="0.25">
      <c r="B74" s="156" t="str">
        <f>Table1[[#Headers],[Especificação]]</f>
        <v>Especificação</v>
      </c>
      <c r="C74" s="263" t="str">
        <f t="shared" si="3"/>
        <v>INSTRUMENT_EAD</v>
      </c>
      <c r="D74" s="153" t="s">
        <v>414</v>
      </c>
      <c r="E74" s="153" t="s">
        <v>617</v>
      </c>
      <c r="G74" s="172">
        <f>INDEX(Table1[[Especificação]:[Total Testes]],MATCH('Planemaneto rev.equipa'!C74,Table1[CONCAT],0),MATCH('Planemaneto rev.equipa'!B74,Table1[[#Headers],[Especificação]:[Total Testes]],0))</f>
        <v>1</v>
      </c>
      <c r="H74" s="191">
        <f t="shared" si="6"/>
        <v>0.13</v>
      </c>
      <c r="I74" s="222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259">
        <v>1</v>
      </c>
      <c r="Y74" s="165"/>
      <c r="Z74" s="165"/>
      <c r="AA74" s="165"/>
      <c r="AB74" s="165"/>
      <c r="AC74" s="165"/>
      <c r="AD74" s="165"/>
      <c r="AE74" s="165"/>
      <c r="AF74" s="165"/>
      <c r="AG74" s="165"/>
      <c r="AH74" s="165"/>
      <c r="AI74" s="165"/>
      <c r="AJ74" s="165"/>
      <c r="AK74" s="165"/>
      <c r="AL74" s="165"/>
      <c r="AM74" s="165"/>
      <c r="AN74" s="165"/>
      <c r="AO74" s="165"/>
      <c r="AP74" s="165"/>
      <c r="AQ74" s="165"/>
      <c r="AR74" s="165"/>
      <c r="AS74" s="165"/>
      <c r="AT74" s="165"/>
      <c r="AU74" s="165"/>
      <c r="AV74" s="165"/>
      <c r="AW74" s="165"/>
      <c r="AX74" s="165"/>
      <c r="AY74" s="165"/>
      <c r="AZ74" s="165"/>
      <c r="BA74" s="165"/>
      <c r="BB74" s="165"/>
      <c r="BC74" s="165"/>
      <c r="BD74" s="165"/>
      <c r="BE74" s="165"/>
      <c r="BF74" s="165"/>
      <c r="BG74" s="165"/>
      <c r="BH74" s="165"/>
      <c r="BI74" s="165"/>
      <c r="BJ74" s="165"/>
      <c r="BK74" s="165"/>
      <c r="BL74" s="165"/>
      <c r="BM74" s="165"/>
      <c r="BN74" s="165"/>
      <c r="BO74" s="165"/>
      <c r="BP74" s="165"/>
      <c r="BQ74" s="165"/>
      <c r="BR74" s="165"/>
      <c r="BS74" s="165"/>
      <c r="BT74" s="165"/>
      <c r="BU74" s="165"/>
      <c r="BV74" s="165"/>
      <c r="BW74" s="165"/>
      <c r="BX74" s="165"/>
      <c r="BY74" s="165"/>
      <c r="BZ74" s="165"/>
      <c r="CA74" s="165"/>
      <c r="CB74" s="165"/>
      <c r="CC74" s="165"/>
      <c r="CD74" s="165"/>
      <c r="CE74" s="165"/>
      <c r="CF74" s="165"/>
      <c r="CG74" s="165"/>
      <c r="CH74" s="165"/>
      <c r="CI74" s="165"/>
      <c r="CJ74" s="165"/>
      <c r="CK74" s="165"/>
      <c r="CL74" s="165"/>
      <c r="CM74" s="165"/>
      <c r="CN74" s="165"/>
      <c r="CO74" s="165"/>
      <c r="CP74" s="165"/>
      <c r="CQ74" s="165"/>
    </row>
    <row r="75" spans="1:95" outlineLevel="1" x14ac:dyDescent="0.25">
      <c r="B75" s="156" t="str">
        <f>Table1[[#Headers],[Especificação]]</f>
        <v>Especificação</v>
      </c>
      <c r="C75" s="263" t="str">
        <f t="shared" si="3"/>
        <v>INSTRUMENT_OFF_BLNC_SHT_AMNT_INSTRMNT</v>
      </c>
      <c r="D75" s="153" t="s">
        <v>414</v>
      </c>
      <c r="E75" s="153" t="s">
        <v>629</v>
      </c>
      <c r="G75" s="172">
        <f>INDEX(Table1[[Especificação]:[Total Testes]],MATCH('Planemaneto rev.equipa'!C75,Table1[CONCAT],0),MATCH('Planemaneto rev.equipa'!B75,Table1[[#Headers],[Especificação]:[Total Testes]],0))</f>
        <v>2</v>
      </c>
      <c r="H75" s="191">
        <f t="shared" si="6"/>
        <v>0.25</v>
      </c>
      <c r="I75" s="222"/>
      <c r="J75" s="165"/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259">
        <v>1</v>
      </c>
      <c r="Y75" s="165"/>
      <c r="Z75" s="165"/>
      <c r="AA75" s="165"/>
      <c r="AB75" s="165"/>
      <c r="AC75" s="165"/>
      <c r="AD75" s="165"/>
      <c r="AE75" s="165"/>
      <c r="AF75" s="165"/>
      <c r="AG75" s="165"/>
      <c r="AH75" s="165"/>
      <c r="AI75" s="165"/>
      <c r="AJ75" s="165"/>
      <c r="AK75" s="165"/>
      <c r="AL75" s="165"/>
      <c r="AM75" s="165"/>
      <c r="AN75" s="165"/>
      <c r="AO75" s="165"/>
      <c r="AP75" s="165"/>
      <c r="AQ75" s="165"/>
      <c r="AR75" s="165"/>
      <c r="AS75" s="165"/>
      <c r="AT75" s="165"/>
      <c r="AU75" s="165"/>
      <c r="AV75" s="165"/>
      <c r="AW75" s="165"/>
      <c r="AX75" s="165"/>
      <c r="AY75" s="165"/>
      <c r="AZ75" s="165"/>
      <c r="BA75" s="165"/>
      <c r="BB75" s="165"/>
      <c r="BC75" s="165"/>
      <c r="BD75" s="165"/>
      <c r="BE75" s="165"/>
      <c r="BF75" s="165"/>
      <c r="BG75" s="165"/>
      <c r="BH75" s="165"/>
      <c r="BI75" s="165"/>
      <c r="BJ75" s="165"/>
      <c r="BK75" s="165"/>
      <c r="BL75" s="165"/>
      <c r="BM75" s="165"/>
      <c r="BN75" s="165"/>
      <c r="BO75" s="165"/>
      <c r="BP75" s="165"/>
      <c r="BQ75" s="165"/>
      <c r="BR75" s="165"/>
      <c r="BS75" s="165"/>
      <c r="BT75" s="165"/>
      <c r="BU75" s="165"/>
      <c r="BV75" s="165"/>
      <c r="BW75" s="165"/>
      <c r="BX75" s="165"/>
      <c r="BY75" s="165"/>
      <c r="BZ75" s="165"/>
      <c r="CA75" s="165"/>
      <c r="CB75" s="165"/>
      <c r="CC75" s="165"/>
      <c r="CD75" s="165"/>
      <c r="CE75" s="165"/>
      <c r="CF75" s="165"/>
      <c r="CG75" s="165"/>
      <c r="CH75" s="165"/>
      <c r="CI75" s="165"/>
      <c r="CJ75" s="165"/>
      <c r="CK75" s="165"/>
      <c r="CL75" s="165"/>
      <c r="CM75" s="165"/>
      <c r="CN75" s="165"/>
      <c r="CO75" s="165"/>
      <c r="CP75" s="165"/>
      <c r="CQ75" s="165"/>
    </row>
    <row r="76" spans="1:95" outlineLevel="1" x14ac:dyDescent="0.25">
      <c r="B76" s="156" t="str">
        <f>Table1[[#Headers],[Especificação]]</f>
        <v>Especificação</v>
      </c>
      <c r="C76" s="261" t="str">
        <f t="shared" si="3"/>
        <v>INSTRUMENT_INTRNL_SGMNT_CAT_MSTA</v>
      </c>
      <c r="D76" s="153" t="s">
        <v>414</v>
      </c>
      <c r="E76" s="153" t="s">
        <v>943</v>
      </c>
      <c r="G76" s="172">
        <f>INDEX(Table1[[Especificação]:[Total Testes]],MATCH('Planemaneto rev.equipa'!C76,Table1[CONCAT],0),MATCH('Planemaneto rev.equipa'!B76,Table1[[#Headers],[Especificação]:[Total Testes]],0))</f>
        <v>2</v>
      </c>
      <c r="H76" s="191">
        <f t="shared" si="6"/>
        <v>0.25</v>
      </c>
      <c r="I76" s="222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260">
        <v>1</v>
      </c>
      <c r="AD76" s="165"/>
      <c r="AE76" s="165"/>
      <c r="AF76" s="165"/>
      <c r="AG76" s="165"/>
      <c r="AH76" s="165"/>
      <c r="AI76" s="165"/>
      <c r="AJ76" s="165"/>
      <c r="AK76" s="165"/>
      <c r="AL76" s="165"/>
      <c r="AM76" s="165"/>
      <c r="AN76" s="165"/>
      <c r="AO76" s="165"/>
      <c r="AP76" s="165"/>
      <c r="AQ76" s="165"/>
      <c r="AR76" s="165"/>
      <c r="AS76" s="165"/>
      <c r="AT76" s="165"/>
      <c r="AU76" s="165"/>
      <c r="AV76" s="165"/>
      <c r="AW76" s="165"/>
      <c r="AX76" s="165"/>
      <c r="AY76" s="165"/>
      <c r="AZ76" s="165"/>
      <c r="BA76" s="165"/>
      <c r="BB76" s="165"/>
      <c r="BC76" s="165"/>
      <c r="BD76" s="165"/>
      <c r="BE76" s="165"/>
      <c r="BF76" s="165"/>
      <c r="BG76" s="165"/>
      <c r="BH76" s="165"/>
      <c r="BI76" s="165"/>
      <c r="BJ76" s="165"/>
      <c r="BK76" s="165"/>
      <c r="BL76" s="165"/>
      <c r="BM76" s="165"/>
      <c r="BN76" s="165"/>
      <c r="BO76" s="165"/>
      <c r="BP76" s="165"/>
      <c r="BQ76" s="165"/>
      <c r="BR76" s="165"/>
      <c r="BS76" s="165"/>
      <c r="BT76" s="165"/>
      <c r="BU76" s="165"/>
      <c r="BV76" s="165"/>
      <c r="BW76" s="165"/>
      <c r="BX76" s="165"/>
      <c r="BY76" s="165"/>
      <c r="BZ76" s="165"/>
      <c r="CA76" s="165"/>
      <c r="CB76" s="165"/>
      <c r="CC76" s="165"/>
      <c r="CD76" s="165"/>
      <c r="CE76" s="165"/>
      <c r="CF76" s="165"/>
      <c r="CG76" s="165"/>
      <c r="CH76" s="165"/>
      <c r="CI76" s="165"/>
      <c r="CJ76" s="165"/>
      <c r="CK76" s="165"/>
      <c r="CL76" s="165"/>
      <c r="CM76" s="165"/>
      <c r="CN76" s="165"/>
      <c r="CO76" s="165"/>
      <c r="CP76" s="165"/>
      <c r="CQ76" s="165"/>
    </row>
    <row r="77" spans="1:95" outlineLevel="1" x14ac:dyDescent="0.25">
      <c r="B77" s="156" t="str">
        <f>Table1[[#Headers],[Especificação]]</f>
        <v>Especificação</v>
      </c>
      <c r="C77" s="261" t="str">
        <f t="shared" si="3"/>
        <v>INSTRUMENT_INTRNL_SGMNT_CATGSUB</v>
      </c>
      <c r="D77" s="153" t="s">
        <v>414</v>
      </c>
      <c r="E77" s="153" t="s">
        <v>946</v>
      </c>
      <c r="G77" s="172">
        <f>INDEX(Table1[[Especificação]:[Total Testes]],MATCH('Planemaneto rev.equipa'!C77,Table1[CONCAT],0),MATCH('Planemaneto rev.equipa'!B77,Table1[[#Headers],[Especificação]:[Total Testes]],0))</f>
        <v>2</v>
      </c>
      <c r="H77" s="191">
        <f t="shared" si="6"/>
        <v>0.25</v>
      </c>
      <c r="I77" s="222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  <c r="AA77" s="165"/>
      <c r="AB77" s="165"/>
      <c r="AC77" s="260">
        <v>1</v>
      </c>
      <c r="AD77" s="165"/>
      <c r="AE77" s="165"/>
      <c r="AF77" s="165"/>
      <c r="AG77" s="165"/>
      <c r="AH77" s="165"/>
      <c r="AI77" s="165"/>
      <c r="AJ77" s="165"/>
      <c r="AK77" s="165"/>
      <c r="AL77" s="165"/>
      <c r="AM77" s="165"/>
      <c r="AN77" s="165"/>
      <c r="AO77" s="165"/>
      <c r="AP77" s="165"/>
      <c r="AQ77" s="165"/>
      <c r="AR77" s="165"/>
      <c r="AS77" s="165"/>
      <c r="AT77" s="165"/>
      <c r="AU77" s="165"/>
      <c r="AV77" s="165"/>
      <c r="AW77" s="165"/>
      <c r="AX77" s="165"/>
      <c r="AY77" s="165"/>
      <c r="AZ77" s="165"/>
      <c r="BA77" s="165"/>
      <c r="BB77" s="165"/>
      <c r="BC77" s="165"/>
      <c r="BD77" s="165"/>
      <c r="BE77" s="165"/>
      <c r="BF77" s="165"/>
      <c r="BG77" s="165"/>
      <c r="BH77" s="165"/>
      <c r="BI77" s="165"/>
      <c r="BJ77" s="165"/>
      <c r="BK77" s="165"/>
      <c r="BL77" s="165"/>
      <c r="BM77" s="165"/>
      <c r="BN77" s="165"/>
      <c r="BO77" s="165"/>
      <c r="BP77" s="165"/>
      <c r="BQ77" s="165"/>
      <c r="BR77" s="165"/>
      <c r="BS77" s="165"/>
      <c r="BT77" s="165"/>
      <c r="BU77" s="165"/>
      <c r="BV77" s="165"/>
      <c r="BW77" s="165"/>
      <c r="BX77" s="165"/>
      <c r="BY77" s="165"/>
      <c r="BZ77" s="165"/>
      <c r="CA77" s="165"/>
      <c r="CB77" s="165"/>
      <c r="CC77" s="165"/>
      <c r="CD77" s="165"/>
      <c r="CE77" s="165"/>
      <c r="CF77" s="165"/>
      <c r="CG77" s="165"/>
      <c r="CH77" s="165"/>
      <c r="CI77" s="165"/>
      <c r="CJ77" s="165"/>
      <c r="CK77" s="165"/>
      <c r="CL77" s="165"/>
      <c r="CM77" s="165"/>
      <c r="CN77" s="165"/>
      <c r="CO77" s="165"/>
      <c r="CP77" s="165"/>
      <c r="CQ77" s="165"/>
    </row>
    <row r="78" spans="1:95" outlineLevel="1" x14ac:dyDescent="0.25">
      <c r="B78" s="156" t="str">
        <f>Table1[[#Headers],[Especificação]]</f>
        <v>Especificação</v>
      </c>
      <c r="C78" s="263" t="str">
        <f t="shared" si="3"/>
        <v>PROTECTION_RL_ESTT_ADDRSS</v>
      </c>
      <c r="D78" s="153" t="s">
        <v>1114</v>
      </c>
      <c r="E78" s="153" t="s">
        <v>1127</v>
      </c>
      <c r="G78" s="172">
        <f>INDEX(Table1[[Especificação]:[Total Testes]],MATCH('Planemaneto rev.equipa'!C78,Table1[CONCAT],0),MATCH('Planemaneto rev.equipa'!B78,Table1[[#Headers],[Especificação]:[Total Testes]],0))</f>
        <v>2</v>
      </c>
      <c r="H78" s="191">
        <f t="shared" si="6"/>
        <v>0.25</v>
      </c>
      <c r="I78" s="222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259">
        <v>1</v>
      </c>
      <c r="Y78" s="165"/>
      <c r="Z78" s="165"/>
      <c r="AA78" s="165"/>
      <c r="AB78" s="165"/>
      <c r="AC78" s="165"/>
      <c r="AD78" s="165"/>
      <c r="AE78" s="165"/>
      <c r="AF78" s="165"/>
      <c r="AG78" s="165"/>
      <c r="AH78" s="165"/>
      <c r="AI78" s="165"/>
      <c r="AJ78" s="165"/>
      <c r="AK78" s="165"/>
      <c r="AL78" s="165"/>
      <c r="AM78" s="165"/>
      <c r="AN78" s="165"/>
      <c r="AO78" s="165"/>
      <c r="AP78" s="165"/>
      <c r="AQ78" s="165"/>
      <c r="AR78" s="165"/>
      <c r="AS78" s="165"/>
      <c r="AT78" s="165"/>
      <c r="AU78" s="165"/>
      <c r="AV78" s="165"/>
      <c r="AW78" s="165"/>
      <c r="AX78" s="165"/>
      <c r="AY78" s="165"/>
      <c r="AZ78" s="165"/>
      <c r="BA78" s="165"/>
      <c r="BB78" s="165"/>
      <c r="BC78" s="165"/>
      <c r="BD78" s="165"/>
      <c r="BE78" s="165"/>
      <c r="BF78" s="165"/>
      <c r="BG78" s="165"/>
      <c r="BH78" s="165"/>
      <c r="BI78" s="165"/>
      <c r="BJ78" s="165"/>
      <c r="BK78" s="165"/>
      <c r="BL78" s="165"/>
      <c r="BM78" s="165"/>
      <c r="BN78" s="165"/>
      <c r="BO78" s="165"/>
      <c r="BP78" s="165"/>
      <c r="BQ78" s="165"/>
      <c r="BR78" s="165"/>
      <c r="BS78" s="165"/>
      <c r="BT78" s="165"/>
      <c r="BU78" s="165"/>
      <c r="BV78" s="165"/>
      <c r="BW78" s="165"/>
      <c r="BX78" s="165"/>
      <c r="BY78" s="165"/>
      <c r="BZ78" s="165"/>
      <c r="CA78" s="165"/>
      <c r="CB78" s="165"/>
      <c r="CC78" s="165"/>
      <c r="CD78" s="165"/>
      <c r="CE78" s="165"/>
      <c r="CF78" s="165"/>
      <c r="CG78" s="165"/>
      <c r="CH78" s="165"/>
      <c r="CI78" s="165"/>
      <c r="CJ78" s="165"/>
      <c r="CK78" s="165"/>
      <c r="CL78" s="165"/>
      <c r="CM78" s="165"/>
      <c r="CN78" s="165"/>
      <c r="CO78" s="165"/>
      <c r="CP78" s="165"/>
      <c r="CQ78" s="165"/>
    </row>
    <row r="79" spans="1:95" outlineLevel="1" x14ac:dyDescent="0.25">
      <c r="B79" s="156" t="str">
        <f>Table1[[#Headers],[Especificação]]</f>
        <v>Especificação</v>
      </c>
      <c r="C79" s="263" t="str">
        <f t="shared" si="3"/>
        <v>PROTECTION_RL_ESTT_CLLTRL_LCTN_INT</v>
      </c>
      <c r="D79" s="153" t="s">
        <v>1114</v>
      </c>
      <c r="E79" s="153" t="s">
        <v>1133</v>
      </c>
      <c r="G79" s="172">
        <f>INDEX(Table1[[Especificação]:[Total Testes]],MATCH('Planemaneto rev.equipa'!C79,Table1[CONCAT],0),MATCH('Planemaneto rev.equipa'!B79,Table1[[#Headers],[Especificação]:[Total Testes]],0))</f>
        <v>2</v>
      </c>
      <c r="H79" s="191">
        <f t="shared" si="6"/>
        <v>0.25</v>
      </c>
      <c r="I79" s="222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259">
        <v>1</v>
      </c>
      <c r="Y79" s="165"/>
      <c r="Z79" s="165"/>
      <c r="AA79" s="165"/>
      <c r="AB79" s="165"/>
      <c r="AC79" s="165"/>
      <c r="AD79" s="165"/>
      <c r="AE79" s="165"/>
      <c r="AF79" s="165"/>
      <c r="AG79" s="165"/>
      <c r="AH79" s="165"/>
      <c r="AI79" s="165"/>
      <c r="AJ79" s="165"/>
      <c r="AK79" s="165"/>
      <c r="AL79" s="165"/>
      <c r="AM79" s="165"/>
      <c r="AN79" s="165"/>
      <c r="AO79" s="165"/>
      <c r="AP79" s="165"/>
      <c r="AQ79" s="165"/>
      <c r="AR79" s="165"/>
      <c r="AS79" s="165"/>
      <c r="AT79" s="165"/>
      <c r="AU79" s="165"/>
      <c r="AV79" s="165"/>
      <c r="AW79" s="165"/>
      <c r="AX79" s="165"/>
      <c r="AY79" s="165"/>
      <c r="AZ79" s="165"/>
      <c r="BA79" s="165"/>
      <c r="BB79" s="165"/>
      <c r="BC79" s="165"/>
      <c r="BD79" s="165"/>
      <c r="BE79" s="165"/>
      <c r="BF79" s="165"/>
      <c r="BG79" s="165"/>
      <c r="BH79" s="165"/>
      <c r="BI79" s="165"/>
      <c r="BJ79" s="165"/>
      <c r="BK79" s="165"/>
      <c r="BL79" s="165"/>
      <c r="BM79" s="165"/>
      <c r="BN79" s="165"/>
      <c r="BO79" s="165"/>
      <c r="BP79" s="165"/>
      <c r="BQ79" s="165"/>
      <c r="BR79" s="165"/>
      <c r="BS79" s="165"/>
      <c r="BT79" s="165"/>
      <c r="BU79" s="165"/>
      <c r="BV79" s="165"/>
      <c r="BW79" s="165"/>
      <c r="BX79" s="165"/>
      <c r="BY79" s="165"/>
      <c r="BZ79" s="165"/>
      <c r="CA79" s="165"/>
      <c r="CB79" s="165"/>
      <c r="CC79" s="165"/>
      <c r="CD79" s="165"/>
      <c r="CE79" s="165"/>
      <c r="CF79" s="165"/>
      <c r="CG79" s="165"/>
      <c r="CH79" s="165"/>
      <c r="CI79" s="165"/>
      <c r="CJ79" s="165"/>
      <c r="CK79" s="165"/>
      <c r="CL79" s="165"/>
      <c r="CM79" s="165"/>
      <c r="CN79" s="165"/>
      <c r="CO79" s="165"/>
      <c r="CP79" s="165"/>
      <c r="CQ79" s="165"/>
    </row>
    <row r="80" spans="1:95" outlineLevel="1" x14ac:dyDescent="0.25">
      <c r="B80" s="156" t="str">
        <f>Table1[[#Headers],[Especificação]]</f>
        <v>Especificação</v>
      </c>
      <c r="C80" s="263" t="str">
        <f t="shared" si="3"/>
        <v>PROTECTION_RL_ESTT_CTY</v>
      </c>
      <c r="D80" s="153" t="s">
        <v>1114</v>
      </c>
      <c r="E80" s="153" t="s">
        <v>1136</v>
      </c>
      <c r="G80" s="172">
        <f>INDEX(Table1[[Especificação]:[Total Testes]],MATCH('Planemaneto rev.equipa'!C80,Table1[CONCAT],0),MATCH('Planemaneto rev.equipa'!B80,Table1[[#Headers],[Especificação]:[Total Testes]],0))</f>
        <v>2</v>
      </c>
      <c r="H80" s="191">
        <f t="shared" si="6"/>
        <v>0.25</v>
      </c>
      <c r="I80" s="222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259">
        <v>1</v>
      </c>
      <c r="Y80" s="165"/>
      <c r="Z80" s="165"/>
      <c r="AA80" s="165"/>
      <c r="AB80" s="165"/>
      <c r="AC80" s="165"/>
      <c r="AD80" s="165"/>
      <c r="AE80" s="165"/>
      <c r="AF80" s="165"/>
      <c r="AG80" s="165"/>
      <c r="AH80" s="165"/>
      <c r="AI80" s="165"/>
      <c r="AJ80" s="165"/>
      <c r="AK80" s="165"/>
      <c r="AL80" s="165"/>
      <c r="AM80" s="165"/>
      <c r="AN80" s="165"/>
      <c r="AO80" s="165"/>
      <c r="AP80" s="165"/>
      <c r="AQ80" s="165"/>
      <c r="AR80" s="165"/>
      <c r="AS80" s="165"/>
      <c r="AT80" s="165"/>
      <c r="AU80" s="165"/>
      <c r="AV80" s="165"/>
      <c r="AW80" s="165"/>
      <c r="AX80" s="165"/>
      <c r="AY80" s="165"/>
      <c r="AZ80" s="165"/>
      <c r="BA80" s="165"/>
      <c r="BB80" s="165"/>
      <c r="BC80" s="165"/>
      <c r="BD80" s="165"/>
      <c r="BE80" s="165"/>
      <c r="BF80" s="165"/>
      <c r="BG80" s="165"/>
      <c r="BH80" s="165"/>
      <c r="BI80" s="165"/>
      <c r="BJ80" s="165"/>
      <c r="BK80" s="165"/>
      <c r="BL80" s="165"/>
      <c r="BM80" s="165"/>
      <c r="BN80" s="165"/>
      <c r="BO80" s="165"/>
      <c r="BP80" s="165"/>
      <c r="BQ80" s="165"/>
      <c r="BR80" s="165"/>
      <c r="BS80" s="165"/>
      <c r="BT80" s="165"/>
      <c r="BU80" s="165"/>
      <c r="BV80" s="165"/>
      <c r="BW80" s="165"/>
      <c r="BX80" s="165"/>
      <c r="BY80" s="165"/>
      <c r="BZ80" s="165"/>
      <c r="CA80" s="165"/>
      <c r="CB80" s="165"/>
      <c r="CC80" s="165"/>
      <c r="CD80" s="165"/>
      <c r="CE80" s="165"/>
      <c r="CF80" s="165"/>
      <c r="CG80" s="165"/>
      <c r="CH80" s="165"/>
      <c r="CI80" s="165"/>
      <c r="CJ80" s="165"/>
      <c r="CK80" s="165"/>
      <c r="CL80" s="165"/>
      <c r="CM80" s="165"/>
      <c r="CN80" s="165"/>
      <c r="CO80" s="165"/>
      <c r="CP80" s="165"/>
      <c r="CQ80" s="165"/>
    </row>
    <row r="81" spans="1:95" outlineLevel="1" x14ac:dyDescent="0.25">
      <c r="A81" s="228"/>
      <c r="B81" s="236" t="str">
        <f>Table1[[#Headers],[Especificação]]</f>
        <v>Especificação</v>
      </c>
      <c r="C81" s="237" t="str">
        <f t="shared" si="3"/>
        <v>PROTECTION_TYP_EMSSNS_LBL</v>
      </c>
      <c r="D81" s="232" t="s">
        <v>1114</v>
      </c>
      <c r="E81" s="232" t="s">
        <v>1235</v>
      </c>
      <c r="F81" s="238"/>
      <c r="G81" s="233">
        <f>INDEX(Table1[[Especificação]:[Total Testes]],MATCH('Planemaneto rev.equipa'!C81,Table1[CONCAT],0),MATCH('Planemaneto rev.equipa'!B81,Table1[[#Headers],[Especificação]:[Total Testes]],0))</f>
        <v>0</v>
      </c>
      <c r="H81" s="239">
        <f t="shared" si="6"/>
        <v>0</v>
      </c>
      <c r="I81" s="240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94">
        <v>1</v>
      </c>
      <c r="W81" s="165"/>
      <c r="X81" s="165"/>
      <c r="Y81" s="165"/>
      <c r="Z81" s="165"/>
      <c r="AA81" s="165"/>
      <c r="AB81" s="165"/>
      <c r="AC81" s="165"/>
      <c r="AD81" s="165"/>
      <c r="AE81" s="165"/>
      <c r="AF81" s="165"/>
      <c r="AG81" s="165"/>
      <c r="AH81" s="165"/>
      <c r="AI81" s="165"/>
      <c r="AJ81" s="165"/>
      <c r="AK81" s="165"/>
      <c r="AL81" s="165"/>
      <c r="AM81" s="165"/>
      <c r="AN81" s="165"/>
      <c r="AO81" s="165"/>
      <c r="AP81" s="165"/>
      <c r="AQ81" s="165"/>
      <c r="AR81" s="165"/>
      <c r="AS81" s="165"/>
      <c r="AT81" s="165"/>
      <c r="AU81" s="165"/>
      <c r="AV81" s="165"/>
      <c r="AW81" s="165"/>
      <c r="AX81" s="165"/>
      <c r="AY81" s="165"/>
      <c r="AZ81" s="165"/>
      <c r="BA81" s="165"/>
      <c r="BB81" s="165"/>
      <c r="BC81" s="165"/>
      <c r="BD81" s="165"/>
      <c r="BE81" s="165"/>
      <c r="BF81" s="165"/>
      <c r="BG81" s="165"/>
      <c r="BH81" s="165"/>
      <c r="BI81" s="165"/>
      <c r="BJ81" s="165"/>
      <c r="BK81" s="165"/>
      <c r="BL81" s="165"/>
      <c r="BM81" s="165"/>
      <c r="BN81" s="165"/>
      <c r="BO81" s="165"/>
      <c r="BP81" s="165"/>
      <c r="BQ81" s="165"/>
      <c r="BR81" s="165"/>
      <c r="BS81" s="165"/>
      <c r="BT81" s="165"/>
      <c r="BU81" s="165"/>
      <c r="BV81" s="165"/>
      <c r="BW81" s="165"/>
      <c r="BX81" s="165"/>
      <c r="BY81" s="165"/>
      <c r="BZ81" s="165"/>
      <c r="CA81" s="165"/>
      <c r="CB81" s="165"/>
      <c r="CC81" s="165"/>
      <c r="CD81" s="165"/>
      <c r="CE81" s="165"/>
      <c r="CF81" s="165"/>
      <c r="CG81" s="165"/>
      <c r="CH81" s="165"/>
      <c r="CI81" s="165"/>
      <c r="CJ81" s="165"/>
      <c r="CK81" s="165"/>
      <c r="CL81" s="165"/>
      <c r="CM81" s="165"/>
      <c r="CN81" s="165"/>
      <c r="CO81" s="165"/>
      <c r="CP81" s="165"/>
      <c r="CQ81" s="165"/>
    </row>
    <row r="82" spans="1:95" outlineLevel="1" x14ac:dyDescent="0.25">
      <c r="A82" s="228"/>
      <c r="B82" s="236" t="str">
        <f>Table1[[#Headers],[Especificação]]</f>
        <v>Especificação</v>
      </c>
      <c r="C82" s="237" t="str">
        <f t="shared" si="3"/>
        <v>PROTECTION_VHCL_EMSSNS_LBL</v>
      </c>
      <c r="D82" s="232" t="s">
        <v>1114</v>
      </c>
      <c r="E82" s="232" t="s">
        <v>1241</v>
      </c>
      <c r="F82" s="238"/>
      <c r="G82" s="233">
        <f>INDEX(Table1[[Especificação]:[Total Testes]],MATCH('Planemaneto rev.equipa'!C82,Table1[CONCAT],0),MATCH('Planemaneto rev.equipa'!B82,Table1[[#Headers],[Especificação]:[Total Testes]],0))</f>
        <v>0</v>
      </c>
      <c r="H82" s="239">
        <f t="shared" si="6"/>
        <v>0</v>
      </c>
      <c r="I82" s="240"/>
      <c r="J82" s="165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94">
        <v>1</v>
      </c>
      <c r="W82" s="165"/>
      <c r="X82" s="165"/>
      <c r="Y82" s="165"/>
      <c r="Z82" s="165"/>
      <c r="AA82" s="165"/>
      <c r="AB82" s="165"/>
      <c r="AC82" s="165"/>
      <c r="AD82" s="165"/>
      <c r="AE82" s="165"/>
      <c r="AF82" s="165"/>
      <c r="AG82" s="165"/>
      <c r="AH82" s="165"/>
      <c r="AI82" s="165"/>
      <c r="AJ82" s="165"/>
      <c r="AK82" s="165"/>
      <c r="AL82" s="165"/>
      <c r="AM82" s="165"/>
      <c r="AN82" s="165"/>
      <c r="AO82" s="165"/>
      <c r="AP82" s="165"/>
      <c r="AQ82" s="165"/>
      <c r="AR82" s="165"/>
      <c r="AS82" s="165"/>
      <c r="AT82" s="165"/>
      <c r="AU82" s="165"/>
      <c r="AV82" s="165"/>
      <c r="AW82" s="165"/>
      <c r="AX82" s="165"/>
      <c r="AY82" s="165"/>
      <c r="AZ82" s="165"/>
      <c r="BA82" s="165"/>
      <c r="BB82" s="165"/>
      <c r="BC82" s="165"/>
      <c r="BD82" s="165"/>
      <c r="BE82" s="165"/>
      <c r="BF82" s="165"/>
      <c r="BG82" s="165"/>
      <c r="BH82" s="165"/>
      <c r="BI82" s="165"/>
      <c r="BJ82" s="165"/>
      <c r="BK82" s="165"/>
      <c r="BL82" s="165"/>
      <c r="BM82" s="165"/>
      <c r="BN82" s="165"/>
      <c r="BO82" s="165"/>
      <c r="BP82" s="165"/>
      <c r="BQ82" s="165"/>
      <c r="BR82" s="165"/>
      <c r="BS82" s="165"/>
      <c r="BT82" s="165"/>
      <c r="BU82" s="165"/>
      <c r="BV82" s="165"/>
      <c r="BW82" s="165"/>
      <c r="BX82" s="165"/>
      <c r="BY82" s="165"/>
      <c r="BZ82" s="165"/>
      <c r="CA82" s="165"/>
      <c r="CB82" s="165"/>
      <c r="CC82" s="165"/>
      <c r="CD82" s="165"/>
      <c r="CE82" s="165"/>
      <c r="CF82" s="165"/>
      <c r="CG82" s="165"/>
      <c r="CH82" s="165"/>
      <c r="CI82" s="165"/>
      <c r="CJ82" s="165"/>
      <c r="CK82" s="165"/>
      <c r="CL82" s="165"/>
      <c r="CM82" s="165"/>
      <c r="CN82" s="165"/>
      <c r="CO82" s="165"/>
      <c r="CP82" s="165"/>
      <c r="CQ82" s="165"/>
    </row>
    <row r="83" spans="1:95" outlineLevel="1" x14ac:dyDescent="0.25">
      <c r="A83" s="228"/>
      <c r="B83" s="236" t="str">
        <f>Table1[[#Headers],[Especificação]]</f>
        <v>Especificação</v>
      </c>
      <c r="C83" s="237" t="str">
        <f t="shared" si="3"/>
        <v>PROTECTION_VHCL_EMSSNS_SCR</v>
      </c>
      <c r="D83" s="232" t="s">
        <v>1114</v>
      </c>
      <c r="E83" s="232" t="s">
        <v>1250</v>
      </c>
      <c r="F83" s="238"/>
      <c r="G83" s="233">
        <f>INDEX(Table1[[Especificação]:[Total Testes]],MATCH('Planemaneto rev.equipa'!C83,Table1[CONCAT],0),MATCH('Planemaneto rev.equipa'!B83,Table1[[#Headers],[Especificação]:[Total Testes]],0))</f>
        <v>0</v>
      </c>
      <c r="H83" s="239">
        <f t="shared" si="6"/>
        <v>0</v>
      </c>
      <c r="I83" s="240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94">
        <v>1</v>
      </c>
      <c r="W83" s="165"/>
      <c r="X83" s="165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  <c r="AK83" s="165"/>
      <c r="AL83" s="165"/>
      <c r="AM83" s="165"/>
      <c r="AN83" s="165"/>
      <c r="AO83" s="165"/>
      <c r="AP83" s="165"/>
      <c r="AQ83" s="165"/>
      <c r="AR83" s="165"/>
      <c r="AS83" s="165"/>
      <c r="AT83" s="165"/>
      <c r="AU83" s="165"/>
      <c r="AV83" s="165"/>
      <c r="AW83" s="165"/>
      <c r="AX83" s="165"/>
      <c r="AY83" s="165"/>
      <c r="AZ83" s="165"/>
      <c r="BA83" s="165"/>
      <c r="BB83" s="165"/>
      <c r="BC83" s="165"/>
      <c r="BD83" s="165"/>
      <c r="BE83" s="165"/>
      <c r="BF83" s="165"/>
      <c r="BG83" s="165"/>
      <c r="BH83" s="165"/>
      <c r="BI83" s="165"/>
      <c r="BJ83" s="165"/>
      <c r="BK83" s="165"/>
      <c r="BL83" s="165"/>
      <c r="BM83" s="165"/>
      <c r="BN83" s="165"/>
      <c r="BO83" s="165"/>
      <c r="BP83" s="165"/>
      <c r="BQ83" s="165"/>
      <c r="BR83" s="165"/>
      <c r="BS83" s="165"/>
      <c r="BT83" s="165"/>
      <c r="BU83" s="165"/>
      <c r="BV83" s="165"/>
      <c r="BW83" s="165"/>
      <c r="BX83" s="165"/>
      <c r="BY83" s="165"/>
      <c r="BZ83" s="165"/>
      <c r="CA83" s="165"/>
      <c r="CB83" s="165"/>
      <c r="CC83" s="165"/>
      <c r="CD83" s="165"/>
      <c r="CE83" s="165"/>
      <c r="CF83" s="165"/>
      <c r="CG83" s="165"/>
      <c r="CH83" s="165"/>
      <c r="CI83" s="165"/>
      <c r="CJ83" s="165"/>
      <c r="CK83" s="165"/>
      <c r="CL83" s="165"/>
      <c r="CM83" s="165"/>
      <c r="CN83" s="165"/>
      <c r="CO83" s="165"/>
      <c r="CP83" s="165"/>
      <c r="CQ83" s="165"/>
    </row>
    <row r="84" spans="1:95" outlineLevel="1" x14ac:dyDescent="0.25">
      <c r="A84" s="228"/>
      <c r="B84" s="236" t="str">
        <f>Table1[[#Headers],[Especificação]]</f>
        <v>Especificação</v>
      </c>
      <c r="C84" s="237" t="str">
        <f t="shared" ref="C84:C91" si="7">D84&amp;"_"&amp;E84</f>
        <v>PROTECTION_INSRNC_ID</v>
      </c>
      <c r="D84" s="232" t="s">
        <v>1114</v>
      </c>
      <c r="E84" s="232" t="s">
        <v>1275</v>
      </c>
      <c r="F84" s="238"/>
      <c r="G84" s="233">
        <f>INDEX(Table1[[Especificação]:[Total Testes]],MATCH('Planemaneto rev.equipa'!C84,Table1[CONCAT],0),MATCH('Planemaneto rev.equipa'!B84,Table1[[#Headers],[Especificação]:[Total Testes]],0))</f>
        <v>0</v>
      </c>
      <c r="H84" s="239">
        <f t="shared" si="6"/>
        <v>0</v>
      </c>
      <c r="I84" s="240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94">
        <v>1</v>
      </c>
      <c r="W84" s="165"/>
      <c r="X84" s="165"/>
      <c r="Y84" s="165"/>
      <c r="Z84" s="165"/>
      <c r="AA84" s="165"/>
      <c r="AB84" s="165"/>
      <c r="AC84" s="165"/>
      <c r="AD84" s="165"/>
      <c r="AE84" s="165"/>
      <c r="AF84" s="165"/>
      <c r="AG84" s="165"/>
      <c r="AH84" s="165"/>
      <c r="AI84" s="165"/>
      <c r="AJ84" s="165"/>
      <c r="AK84" s="165"/>
      <c r="AL84" s="165"/>
      <c r="AM84" s="165"/>
      <c r="AN84" s="165"/>
      <c r="AO84" s="165"/>
      <c r="AP84" s="165"/>
      <c r="AQ84" s="165"/>
      <c r="AR84" s="165"/>
      <c r="AS84" s="165"/>
      <c r="AT84" s="165"/>
      <c r="AU84" s="165"/>
      <c r="AV84" s="165"/>
      <c r="AW84" s="165"/>
      <c r="AX84" s="165"/>
      <c r="AY84" s="165"/>
      <c r="AZ84" s="165"/>
      <c r="BA84" s="165"/>
      <c r="BB84" s="165"/>
      <c r="BC84" s="165"/>
      <c r="BD84" s="165"/>
      <c r="BE84" s="165"/>
      <c r="BF84" s="165"/>
      <c r="BG84" s="165"/>
      <c r="BH84" s="165"/>
      <c r="BI84" s="165"/>
      <c r="BJ84" s="165"/>
      <c r="BK84" s="165"/>
      <c r="BL84" s="165"/>
      <c r="BM84" s="165"/>
      <c r="BN84" s="165"/>
      <c r="BO84" s="165"/>
      <c r="BP84" s="165"/>
      <c r="BQ84" s="165"/>
      <c r="BR84" s="165"/>
      <c r="BS84" s="165"/>
      <c r="BT84" s="165"/>
      <c r="BU84" s="165"/>
      <c r="BV84" s="165"/>
      <c r="BW84" s="165"/>
      <c r="BX84" s="165"/>
      <c r="BY84" s="165"/>
      <c r="BZ84" s="165"/>
      <c r="CA84" s="165"/>
      <c r="CB84" s="165"/>
      <c r="CC84" s="165"/>
      <c r="CD84" s="165"/>
      <c r="CE84" s="165"/>
      <c r="CF84" s="165"/>
      <c r="CG84" s="165"/>
      <c r="CH84" s="165"/>
      <c r="CI84" s="165"/>
      <c r="CJ84" s="165"/>
      <c r="CK84" s="165"/>
      <c r="CL84" s="165"/>
      <c r="CM84" s="165"/>
      <c r="CN84" s="165"/>
      <c r="CO84" s="165"/>
      <c r="CP84" s="165"/>
      <c r="CQ84" s="165"/>
    </row>
    <row r="85" spans="1:95" outlineLevel="1" x14ac:dyDescent="0.25">
      <c r="A85" s="228"/>
      <c r="B85" s="236" t="str">
        <f>Table1[[#Headers],[Especificação]]</f>
        <v>Especificação</v>
      </c>
      <c r="C85" s="237" t="str">
        <f t="shared" si="7"/>
        <v>PROTECTION_TYP_HZRDS_INSRD</v>
      </c>
      <c r="D85" s="232" t="s">
        <v>1114</v>
      </c>
      <c r="E85" s="232" t="s">
        <v>1278</v>
      </c>
      <c r="F85" s="238"/>
      <c r="G85" s="233">
        <f>INDEX(Table1[[Especificação]:[Total Testes]],MATCH('Planemaneto rev.equipa'!C85,Table1[CONCAT],0),MATCH('Planemaneto rev.equipa'!B85,Table1[[#Headers],[Especificação]:[Total Testes]],0))</f>
        <v>0</v>
      </c>
      <c r="H85" s="239">
        <f t="shared" si="6"/>
        <v>0</v>
      </c>
      <c r="I85" s="240"/>
      <c r="J85" s="165"/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94">
        <v>1</v>
      </c>
      <c r="W85" s="165"/>
      <c r="X85" s="165"/>
      <c r="Y85" s="165"/>
      <c r="Z85" s="165"/>
      <c r="AA85" s="165"/>
      <c r="AB85" s="165"/>
      <c r="AC85" s="165"/>
      <c r="AD85" s="165"/>
      <c r="AE85" s="165"/>
      <c r="AF85" s="165"/>
      <c r="AG85" s="165"/>
      <c r="AH85" s="165"/>
      <c r="AI85" s="165"/>
      <c r="AJ85" s="165"/>
      <c r="AK85" s="165"/>
      <c r="AL85" s="165"/>
      <c r="AM85" s="165"/>
      <c r="AN85" s="165"/>
      <c r="AO85" s="165"/>
      <c r="AP85" s="165"/>
      <c r="AQ85" s="165"/>
      <c r="AR85" s="165"/>
      <c r="AS85" s="165"/>
      <c r="AT85" s="165"/>
      <c r="AU85" s="165"/>
      <c r="AV85" s="165"/>
      <c r="AW85" s="165"/>
      <c r="AX85" s="165"/>
      <c r="AY85" s="165"/>
      <c r="AZ85" s="165"/>
      <c r="BA85" s="165"/>
      <c r="BB85" s="165"/>
      <c r="BC85" s="165"/>
      <c r="BD85" s="165"/>
      <c r="BE85" s="165"/>
      <c r="BF85" s="165"/>
      <c r="BG85" s="165"/>
      <c r="BH85" s="165"/>
      <c r="BI85" s="165"/>
      <c r="BJ85" s="165"/>
      <c r="BK85" s="165"/>
      <c r="BL85" s="165"/>
      <c r="BM85" s="165"/>
      <c r="BN85" s="165"/>
      <c r="BO85" s="165"/>
      <c r="BP85" s="165"/>
      <c r="BQ85" s="165"/>
      <c r="BR85" s="165"/>
      <c r="BS85" s="165"/>
      <c r="BT85" s="165"/>
      <c r="BU85" s="165"/>
      <c r="BV85" s="165"/>
      <c r="BW85" s="165"/>
      <c r="BX85" s="165"/>
      <c r="BY85" s="165"/>
      <c r="BZ85" s="165"/>
      <c r="CA85" s="165"/>
      <c r="CB85" s="165"/>
      <c r="CC85" s="165"/>
      <c r="CD85" s="165"/>
      <c r="CE85" s="165"/>
      <c r="CF85" s="165"/>
      <c r="CG85" s="165"/>
      <c r="CH85" s="165"/>
      <c r="CI85" s="165"/>
      <c r="CJ85" s="165"/>
      <c r="CK85" s="165"/>
      <c r="CL85" s="165"/>
      <c r="CM85" s="165"/>
      <c r="CN85" s="165"/>
      <c r="CO85" s="165"/>
      <c r="CP85" s="165"/>
      <c r="CQ85" s="165"/>
    </row>
    <row r="86" spans="1:95" outlineLevel="1" x14ac:dyDescent="0.25">
      <c r="A86" s="228"/>
      <c r="B86" s="236" t="str">
        <f>Table1[[#Headers],[Especificação]]</f>
        <v>Especificação</v>
      </c>
      <c r="C86" s="237" t="str">
        <f t="shared" si="7"/>
        <v>PROTECTION_AMNT_CVRD_INSRNC</v>
      </c>
      <c r="D86" s="232" t="s">
        <v>1114</v>
      </c>
      <c r="E86" s="232" t="s">
        <v>1281</v>
      </c>
      <c r="F86" s="238"/>
      <c r="G86" s="233">
        <f>INDEX(Table1[[Especificação]:[Total Testes]],MATCH('Planemaneto rev.equipa'!C86,Table1[CONCAT],0),MATCH('Planemaneto rev.equipa'!B86,Table1[[#Headers],[Especificação]:[Total Testes]],0))</f>
        <v>0</v>
      </c>
      <c r="H86" s="239">
        <f t="shared" si="6"/>
        <v>0</v>
      </c>
      <c r="I86" s="240"/>
      <c r="J86" s="165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94">
        <v>1</v>
      </c>
      <c r="W86" s="165"/>
      <c r="X86" s="165"/>
      <c r="Y86" s="165"/>
      <c r="Z86" s="165"/>
      <c r="AA86" s="165"/>
      <c r="AB86" s="165"/>
      <c r="AC86" s="165"/>
      <c r="AD86" s="165"/>
      <c r="AE86" s="165"/>
      <c r="AF86" s="165"/>
      <c r="AG86" s="165"/>
      <c r="AH86" s="165"/>
      <c r="AI86" s="165"/>
      <c r="AJ86" s="165"/>
      <c r="AK86" s="165"/>
      <c r="AL86" s="165"/>
      <c r="AM86" s="165"/>
      <c r="AN86" s="165"/>
      <c r="AO86" s="165"/>
      <c r="AP86" s="165"/>
      <c r="AQ86" s="165"/>
      <c r="AR86" s="165"/>
      <c r="AS86" s="165"/>
      <c r="AT86" s="165"/>
      <c r="AU86" s="165"/>
      <c r="AV86" s="165"/>
      <c r="AW86" s="165"/>
      <c r="AX86" s="165"/>
      <c r="AY86" s="165"/>
      <c r="AZ86" s="165"/>
      <c r="BA86" s="165"/>
      <c r="BB86" s="165"/>
      <c r="BC86" s="165"/>
      <c r="BD86" s="165"/>
      <c r="BE86" s="165"/>
      <c r="BF86" s="165"/>
      <c r="BG86" s="165"/>
      <c r="BH86" s="165"/>
      <c r="BI86" s="165"/>
      <c r="BJ86" s="165"/>
      <c r="BK86" s="165"/>
      <c r="BL86" s="165"/>
      <c r="BM86" s="165"/>
      <c r="BN86" s="165"/>
      <c r="BO86" s="165"/>
      <c r="BP86" s="165"/>
      <c r="BQ86" s="165"/>
      <c r="BR86" s="165"/>
      <c r="BS86" s="165"/>
      <c r="BT86" s="165"/>
      <c r="BU86" s="165"/>
      <c r="BV86" s="165"/>
      <c r="BW86" s="165"/>
      <c r="BX86" s="165"/>
      <c r="BY86" s="165"/>
      <c r="BZ86" s="165"/>
      <c r="CA86" s="165"/>
      <c r="CB86" s="165"/>
      <c r="CC86" s="165"/>
      <c r="CD86" s="165"/>
      <c r="CE86" s="165"/>
      <c r="CF86" s="165"/>
      <c r="CG86" s="165"/>
      <c r="CH86" s="165"/>
      <c r="CI86" s="165"/>
      <c r="CJ86" s="165"/>
      <c r="CK86" s="165"/>
      <c r="CL86" s="165"/>
      <c r="CM86" s="165"/>
      <c r="CN86" s="165"/>
      <c r="CO86" s="165"/>
      <c r="CP86" s="165"/>
      <c r="CQ86" s="165"/>
    </row>
    <row r="87" spans="1:95" outlineLevel="1" x14ac:dyDescent="0.25">
      <c r="A87" s="228"/>
      <c r="B87" s="236" t="str">
        <f>Table1[[#Headers],[Especificação]]</f>
        <v>Especificação</v>
      </c>
      <c r="C87" s="237" t="str">
        <f t="shared" si="7"/>
        <v>PROTECTION_DT_MTRTY_INSRNC</v>
      </c>
      <c r="D87" s="232" t="s">
        <v>1114</v>
      </c>
      <c r="E87" s="232" t="s">
        <v>1284</v>
      </c>
      <c r="F87" s="238"/>
      <c r="G87" s="233">
        <f>INDEX(Table1[[Especificação]:[Total Testes]],MATCH('Planemaneto rev.equipa'!C87,Table1[CONCAT],0),MATCH('Planemaneto rev.equipa'!B87,Table1[[#Headers],[Especificação]:[Total Testes]],0))</f>
        <v>0</v>
      </c>
      <c r="H87" s="239">
        <f t="shared" si="6"/>
        <v>0</v>
      </c>
      <c r="I87" s="240"/>
      <c r="J87" s="165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94">
        <v>1</v>
      </c>
      <c r="W87" s="165"/>
      <c r="X87" s="165"/>
      <c r="Y87" s="165"/>
      <c r="Z87" s="165"/>
      <c r="AA87" s="165"/>
      <c r="AB87" s="165"/>
      <c r="AC87" s="165"/>
      <c r="AD87" s="165"/>
      <c r="AE87" s="165"/>
      <c r="AF87" s="165"/>
      <c r="AG87" s="165"/>
      <c r="AH87" s="165"/>
      <c r="AI87" s="165"/>
      <c r="AJ87" s="165"/>
      <c r="AK87" s="165"/>
      <c r="AL87" s="165"/>
      <c r="AM87" s="165"/>
      <c r="AN87" s="165"/>
      <c r="AO87" s="165"/>
      <c r="AP87" s="165"/>
      <c r="AQ87" s="165"/>
      <c r="AR87" s="165"/>
      <c r="AS87" s="165"/>
      <c r="AT87" s="165"/>
      <c r="AU87" s="165"/>
      <c r="AV87" s="165"/>
      <c r="AW87" s="165"/>
      <c r="AX87" s="165"/>
      <c r="AY87" s="165"/>
      <c r="AZ87" s="165"/>
      <c r="BA87" s="165"/>
      <c r="BB87" s="165"/>
      <c r="BC87" s="165"/>
      <c r="BD87" s="165"/>
      <c r="BE87" s="165"/>
      <c r="BF87" s="165"/>
      <c r="BG87" s="165"/>
      <c r="BH87" s="165"/>
      <c r="BI87" s="165"/>
      <c r="BJ87" s="165"/>
      <c r="BK87" s="165"/>
      <c r="BL87" s="165"/>
      <c r="BM87" s="165"/>
      <c r="BN87" s="165"/>
      <c r="BO87" s="165"/>
      <c r="BP87" s="165"/>
      <c r="BQ87" s="165"/>
      <c r="BR87" s="165"/>
      <c r="BS87" s="165"/>
      <c r="BT87" s="165"/>
      <c r="BU87" s="165"/>
      <c r="BV87" s="165"/>
      <c r="BW87" s="165"/>
      <c r="BX87" s="165"/>
      <c r="BY87" s="165"/>
      <c r="BZ87" s="165"/>
      <c r="CA87" s="165"/>
      <c r="CB87" s="165"/>
      <c r="CC87" s="165"/>
      <c r="CD87" s="165"/>
      <c r="CE87" s="165"/>
      <c r="CF87" s="165"/>
      <c r="CG87" s="165"/>
      <c r="CH87" s="165"/>
      <c r="CI87" s="165"/>
      <c r="CJ87" s="165"/>
      <c r="CK87" s="165"/>
      <c r="CL87" s="165"/>
      <c r="CM87" s="165"/>
      <c r="CN87" s="165"/>
      <c r="CO87" s="165"/>
      <c r="CP87" s="165"/>
      <c r="CQ87" s="165"/>
    </row>
    <row r="88" spans="1:95" outlineLevel="1" x14ac:dyDescent="0.25">
      <c r="A88" s="228"/>
      <c r="B88" s="236" t="str">
        <f>Table1[[#Headers],[Especificação]]</f>
        <v>Especificação</v>
      </c>
      <c r="C88" s="237" t="str">
        <f t="shared" si="7"/>
        <v>PROTECTION_FLG_FRST_HM</v>
      </c>
      <c r="D88" s="232" t="s">
        <v>1114</v>
      </c>
      <c r="E88" s="232" t="s">
        <v>1287</v>
      </c>
      <c r="F88" s="238"/>
      <c r="G88" s="233">
        <f>INDEX(Table1[[Especificação]:[Total Testes]],MATCH('Planemaneto rev.equipa'!C88,Table1[CONCAT],0),MATCH('Planemaneto rev.equipa'!B88,Table1[[#Headers],[Especificação]:[Total Testes]],0))</f>
        <v>0</v>
      </c>
      <c r="H88" s="239">
        <f t="shared" si="6"/>
        <v>0</v>
      </c>
      <c r="I88" s="240"/>
      <c r="J88" s="165"/>
      <c r="K88" s="165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94">
        <v>1</v>
      </c>
      <c r="W88" s="165"/>
      <c r="X88" s="165"/>
      <c r="Y88" s="165"/>
      <c r="Z88" s="165"/>
      <c r="AA88" s="165"/>
      <c r="AB88" s="165"/>
      <c r="AC88" s="165"/>
      <c r="AD88" s="165"/>
      <c r="AE88" s="165"/>
      <c r="AF88" s="165"/>
      <c r="AG88" s="165"/>
      <c r="AH88" s="165"/>
      <c r="AI88" s="165"/>
      <c r="AJ88" s="165"/>
      <c r="AK88" s="165"/>
      <c r="AL88" s="165"/>
      <c r="AM88" s="165"/>
      <c r="AN88" s="165"/>
      <c r="AO88" s="165"/>
      <c r="AP88" s="165"/>
      <c r="AQ88" s="165"/>
      <c r="AR88" s="165"/>
      <c r="AS88" s="165"/>
      <c r="AT88" s="165"/>
      <c r="AU88" s="165"/>
      <c r="AV88" s="165"/>
      <c r="AW88" s="165"/>
      <c r="AX88" s="165"/>
      <c r="AY88" s="165"/>
      <c r="AZ88" s="165"/>
      <c r="BA88" s="165"/>
      <c r="BB88" s="165"/>
      <c r="BC88" s="165"/>
      <c r="BD88" s="165"/>
      <c r="BE88" s="165"/>
      <c r="BF88" s="165"/>
      <c r="BG88" s="165"/>
      <c r="BH88" s="165"/>
      <c r="BI88" s="165"/>
      <c r="BJ88" s="165"/>
      <c r="BK88" s="165"/>
      <c r="BL88" s="165"/>
      <c r="BM88" s="165"/>
      <c r="BN88" s="165"/>
      <c r="BO88" s="165"/>
      <c r="BP88" s="165"/>
      <c r="BQ88" s="165"/>
      <c r="BR88" s="165"/>
      <c r="BS88" s="165"/>
      <c r="BT88" s="165"/>
      <c r="BU88" s="165"/>
      <c r="BV88" s="165"/>
      <c r="BW88" s="165"/>
      <c r="BX88" s="165"/>
      <c r="BY88" s="165"/>
      <c r="BZ88" s="165"/>
      <c r="CA88" s="165"/>
      <c r="CB88" s="165"/>
      <c r="CC88" s="165"/>
      <c r="CD88" s="165"/>
      <c r="CE88" s="165"/>
      <c r="CF88" s="165"/>
      <c r="CG88" s="165"/>
      <c r="CH88" s="165"/>
      <c r="CI88" s="165"/>
      <c r="CJ88" s="165"/>
      <c r="CK88" s="165"/>
      <c r="CL88" s="165"/>
      <c r="CM88" s="165"/>
      <c r="CN88" s="165"/>
      <c r="CO88" s="165"/>
      <c r="CP88" s="165"/>
      <c r="CQ88" s="165"/>
    </row>
    <row r="89" spans="1:95" x14ac:dyDescent="0.25">
      <c r="B89" s="156"/>
      <c r="C89" s="177" t="s">
        <v>1749</v>
      </c>
      <c r="D89" s="178"/>
      <c r="E89" s="179"/>
      <c r="F89" s="205">
        <f>COUNTA(E90:E121)</f>
        <v>32</v>
      </c>
      <c r="G89" s="205">
        <f>SUM(G90:G121)</f>
        <v>77.5</v>
      </c>
      <c r="H89" s="208">
        <f>ROUND(SUM(H90:H121),1)</f>
        <v>9.8000000000000007</v>
      </c>
      <c r="I89" s="222">
        <f t="shared" si="5"/>
        <v>-9.8000000000000007</v>
      </c>
      <c r="J89" s="165"/>
      <c r="K89" s="165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  <c r="AD89" s="165"/>
      <c r="AE89" s="165"/>
      <c r="AF89" s="165"/>
      <c r="AG89" s="165"/>
      <c r="AH89" s="165"/>
      <c r="AI89" s="165"/>
      <c r="AJ89" s="165"/>
      <c r="AK89" s="165"/>
      <c r="AL89" s="165"/>
      <c r="AM89" s="165"/>
      <c r="AN89" s="165"/>
      <c r="AO89" s="165"/>
      <c r="AP89" s="165"/>
      <c r="AQ89" s="165"/>
      <c r="AR89" s="165"/>
      <c r="AS89" s="165"/>
      <c r="AT89" s="165"/>
      <c r="AU89" s="165"/>
      <c r="AV89" s="165"/>
      <c r="AW89" s="165"/>
      <c r="AX89" s="165"/>
      <c r="AY89" s="165"/>
      <c r="AZ89" s="165"/>
      <c r="BA89" s="165"/>
      <c r="BB89" s="165"/>
      <c r="BC89" s="165"/>
      <c r="BD89" s="165"/>
      <c r="BE89" s="165"/>
      <c r="BF89" s="165"/>
      <c r="BG89" s="165"/>
      <c r="BH89" s="165"/>
      <c r="BI89" s="165"/>
      <c r="BJ89" s="165"/>
      <c r="BK89" s="165"/>
      <c r="BL89" s="165"/>
      <c r="BM89" s="165"/>
      <c r="BN89" s="165"/>
      <c r="BO89" s="165"/>
      <c r="BP89" s="165"/>
      <c r="BQ89" s="165"/>
      <c r="BR89" s="165"/>
      <c r="BS89" s="165"/>
      <c r="BT89" s="165"/>
      <c r="BU89" s="165"/>
      <c r="BV89" s="165"/>
      <c r="BW89" s="165"/>
      <c r="BX89" s="165"/>
      <c r="BY89" s="165"/>
      <c r="BZ89" s="165"/>
      <c r="CA89" s="165"/>
      <c r="CB89" s="165"/>
      <c r="CC89" s="165"/>
      <c r="CD89" s="165"/>
      <c r="CE89" s="165"/>
      <c r="CF89" s="165"/>
      <c r="CG89" s="165"/>
      <c r="CH89" s="165"/>
      <c r="CI89" s="165"/>
      <c r="CJ89" s="165"/>
      <c r="CK89" s="165"/>
      <c r="CL89" s="165"/>
      <c r="CM89" s="165"/>
      <c r="CN89" s="165"/>
      <c r="CO89" s="165"/>
      <c r="CP89" s="165"/>
      <c r="CQ89" s="165"/>
    </row>
    <row r="90" spans="1:95" outlineLevel="1" x14ac:dyDescent="0.25">
      <c r="B90" s="156" t="str">
        <f>Table1[[#Headers],[Simulação]]</f>
        <v>Simulação</v>
      </c>
      <c r="C90" s="264" t="str">
        <f t="shared" ref="C90:C153" si="8">D90&amp;"_"&amp;E90</f>
        <v>ENTITY_TXNMY_ELGBL_CAPEX_W</v>
      </c>
      <c r="D90" s="153" t="s">
        <v>10</v>
      </c>
      <c r="E90" s="153" t="s">
        <v>1402</v>
      </c>
      <c r="G90" s="172">
        <f>INDEX(Table1[[Especificação]:[Total Testes]],MATCH('Planemaneto rev.equipa'!C90,Table1[CONCAT],0),MATCH('Planemaneto rev.equipa'!B90,Table1[[#Headers],[Especificação]:[Total Testes]],0))</f>
        <v>6</v>
      </c>
      <c r="H90" s="191">
        <f t="shared" ref="H90:H153" si="9">ROUND(G90/8,2)</f>
        <v>0.75</v>
      </c>
      <c r="I90" s="222"/>
      <c r="J90" s="165"/>
      <c r="K90" s="165"/>
      <c r="L90" s="165"/>
      <c r="M90" s="165"/>
      <c r="N90" s="165"/>
      <c r="O90" s="165"/>
      <c r="P90" s="165"/>
      <c r="Q90" s="165"/>
      <c r="R90" s="252">
        <v>1</v>
      </c>
      <c r="S90" s="165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  <c r="AD90" s="165"/>
      <c r="AE90" s="165"/>
      <c r="AF90" s="165"/>
      <c r="AG90" s="165"/>
      <c r="AH90" s="165"/>
      <c r="AI90" s="165"/>
      <c r="AJ90" s="165"/>
      <c r="AK90" s="165"/>
      <c r="AL90" s="165"/>
      <c r="AM90" s="165"/>
      <c r="AN90" s="165"/>
      <c r="AO90" s="165"/>
      <c r="AP90" s="165"/>
      <c r="AQ90" s="165"/>
      <c r="AR90" s="165"/>
      <c r="AS90" s="165"/>
      <c r="AT90" s="165"/>
      <c r="AU90" s="165"/>
      <c r="AV90" s="165"/>
      <c r="AW90" s="165"/>
      <c r="AX90" s="165"/>
      <c r="AY90" s="165"/>
      <c r="AZ90" s="165"/>
      <c r="BA90" s="165"/>
      <c r="BB90" s="165"/>
      <c r="BC90" s="165"/>
      <c r="BD90" s="165"/>
      <c r="BE90" s="165"/>
      <c r="BF90" s="165"/>
      <c r="BG90" s="165"/>
      <c r="BH90" s="165"/>
      <c r="BI90" s="165"/>
      <c r="BJ90" s="165"/>
      <c r="BK90" s="165"/>
      <c r="BL90" s="165"/>
      <c r="BM90" s="165"/>
      <c r="BN90" s="165"/>
      <c r="BO90" s="165"/>
      <c r="BP90" s="165"/>
      <c r="BQ90" s="165"/>
      <c r="BR90" s="165"/>
      <c r="BS90" s="165"/>
      <c r="BT90" s="165"/>
      <c r="BU90" s="165"/>
      <c r="BV90" s="165"/>
      <c r="BW90" s="165"/>
      <c r="BX90" s="165"/>
      <c r="BY90" s="165"/>
      <c r="BZ90" s="165"/>
      <c r="CA90" s="165"/>
      <c r="CB90" s="165"/>
      <c r="CC90" s="165"/>
      <c r="CD90" s="165"/>
      <c r="CE90" s="165"/>
      <c r="CF90" s="165"/>
      <c r="CG90" s="165"/>
      <c r="CH90" s="165"/>
      <c r="CI90" s="165"/>
      <c r="CJ90" s="165"/>
      <c r="CK90" s="165"/>
      <c r="CL90" s="165"/>
      <c r="CM90" s="165"/>
      <c r="CN90" s="165"/>
      <c r="CO90" s="165"/>
      <c r="CP90" s="165"/>
      <c r="CQ90" s="165"/>
    </row>
    <row r="91" spans="1:95" outlineLevel="1" x14ac:dyDescent="0.25">
      <c r="B91" s="156" t="str">
        <f>Table1[[#Headers],[Simulação]]</f>
        <v>Simulação</v>
      </c>
      <c r="C91" s="264" t="str">
        <f t="shared" si="8"/>
        <v>ENTITY_TXNMY_ELGBL_TRNVR_W</v>
      </c>
      <c r="D91" s="153" t="s">
        <v>10</v>
      </c>
      <c r="E91" s="153" t="s">
        <v>1405</v>
      </c>
      <c r="G91" s="172">
        <f>INDEX(Table1[[Especificação]:[Total Testes]],MATCH('Planemaneto rev.equipa'!C91,Table1[CONCAT],0),MATCH('Planemaneto rev.equipa'!B91,Table1[[#Headers],[Especificação]:[Total Testes]],0))</f>
        <v>6</v>
      </c>
      <c r="H91" s="191">
        <f t="shared" si="9"/>
        <v>0.75</v>
      </c>
      <c r="I91" s="222"/>
      <c r="J91" s="165"/>
      <c r="K91" s="165"/>
      <c r="L91" s="165"/>
      <c r="M91" s="165"/>
      <c r="N91" s="165"/>
      <c r="O91" s="165"/>
      <c r="P91" s="165"/>
      <c r="Q91" s="165"/>
      <c r="R91" s="252">
        <v>1</v>
      </c>
      <c r="S91" s="165"/>
      <c r="T91" s="165"/>
      <c r="U91" s="165"/>
      <c r="V91" s="165"/>
      <c r="W91" s="165"/>
      <c r="X91" s="165"/>
      <c r="Y91" s="165"/>
      <c r="Z91" s="165"/>
      <c r="AA91" s="165"/>
      <c r="AB91" s="165"/>
      <c r="AC91" s="165"/>
      <c r="AD91" s="165"/>
      <c r="AE91" s="165"/>
      <c r="AF91" s="165"/>
      <c r="AG91" s="165"/>
      <c r="AH91" s="165"/>
      <c r="AI91" s="165"/>
      <c r="AJ91" s="165"/>
      <c r="AK91" s="165"/>
      <c r="AL91" s="165"/>
      <c r="AM91" s="165"/>
      <c r="AN91" s="165"/>
      <c r="AO91" s="165"/>
      <c r="AP91" s="165"/>
      <c r="AQ91" s="165"/>
      <c r="AR91" s="165"/>
      <c r="AS91" s="165"/>
      <c r="AT91" s="165"/>
      <c r="AU91" s="165"/>
      <c r="AV91" s="165"/>
      <c r="AW91" s="165"/>
      <c r="AX91" s="165"/>
      <c r="AY91" s="165"/>
      <c r="AZ91" s="165"/>
      <c r="BA91" s="165"/>
      <c r="BB91" s="165"/>
      <c r="BC91" s="165"/>
      <c r="BD91" s="165"/>
      <c r="BE91" s="165"/>
      <c r="BF91" s="165"/>
      <c r="BG91" s="165"/>
      <c r="BH91" s="165"/>
      <c r="BI91" s="165"/>
      <c r="BJ91" s="165"/>
      <c r="BK91" s="165"/>
      <c r="BL91" s="165"/>
      <c r="BM91" s="165"/>
      <c r="BN91" s="165"/>
      <c r="BO91" s="165"/>
      <c r="BP91" s="165"/>
      <c r="BQ91" s="165"/>
      <c r="BR91" s="165"/>
      <c r="BS91" s="165"/>
      <c r="BT91" s="165"/>
      <c r="BU91" s="165"/>
      <c r="BV91" s="165"/>
      <c r="BW91" s="165"/>
      <c r="BX91" s="165"/>
      <c r="BY91" s="165"/>
      <c r="BZ91" s="165"/>
      <c r="CA91" s="165"/>
      <c r="CB91" s="165"/>
      <c r="CC91" s="165"/>
      <c r="CD91" s="165"/>
      <c r="CE91" s="165"/>
      <c r="CF91" s="165"/>
      <c r="CG91" s="165"/>
      <c r="CH91" s="165"/>
      <c r="CI91" s="165"/>
      <c r="CJ91" s="165"/>
      <c r="CK91" s="165"/>
      <c r="CL91" s="165"/>
      <c r="CM91" s="165"/>
      <c r="CN91" s="165"/>
      <c r="CO91" s="165"/>
      <c r="CP91" s="165"/>
      <c r="CQ91" s="165"/>
    </row>
    <row r="92" spans="1:95" outlineLevel="1" x14ac:dyDescent="0.25">
      <c r="B92" s="156" t="str">
        <f>Table1[[#Headers],[Simulação]]</f>
        <v>Simulação</v>
      </c>
      <c r="C92" s="264" t="str">
        <f t="shared" si="8"/>
        <v>ENTITY_TXNMY_ELGBL_CAPEX_P</v>
      </c>
      <c r="D92" s="153" t="s">
        <v>10</v>
      </c>
      <c r="E92" s="153" t="s">
        <v>1408</v>
      </c>
      <c r="G92" s="172">
        <f>INDEX(Table1[[Especificação]:[Total Testes]],MATCH('Planemaneto rev.equipa'!C92,Table1[CONCAT],0),MATCH('Planemaneto rev.equipa'!B92,Table1[[#Headers],[Especificação]:[Total Testes]],0))</f>
        <v>1</v>
      </c>
      <c r="H92" s="191">
        <f t="shared" si="9"/>
        <v>0.13</v>
      </c>
      <c r="I92" s="222"/>
      <c r="J92" s="165"/>
      <c r="K92" s="165"/>
      <c r="L92" s="165"/>
      <c r="M92" s="165"/>
      <c r="N92" s="165"/>
      <c r="O92" s="165"/>
      <c r="P92" s="165"/>
      <c r="Q92" s="165"/>
      <c r="R92" s="252">
        <v>1</v>
      </c>
      <c r="S92" s="165"/>
      <c r="T92" s="165"/>
      <c r="U92" s="165"/>
      <c r="V92" s="165"/>
      <c r="W92" s="165"/>
      <c r="X92" s="165"/>
      <c r="Y92" s="165"/>
      <c r="Z92" s="165"/>
      <c r="AA92" s="165"/>
      <c r="AB92" s="165"/>
      <c r="AC92" s="165"/>
      <c r="AD92" s="165"/>
      <c r="AE92" s="165"/>
      <c r="AF92" s="165"/>
      <c r="AG92" s="165"/>
      <c r="AH92" s="165"/>
      <c r="AI92" s="165"/>
      <c r="AJ92" s="165"/>
      <c r="AK92" s="165"/>
      <c r="AL92" s="165"/>
      <c r="AM92" s="165"/>
      <c r="AN92" s="165"/>
      <c r="AO92" s="165"/>
      <c r="AP92" s="165"/>
      <c r="AQ92" s="165"/>
      <c r="AR92" s="165"/>
      <c r="AS92" s="165"/>
      <c r="AT92" s="165"/>
      <c r="AU92" s="165"/>
      <c r="AV92" s="165"/>
      <c r="AW92" s="165"/>
      <c r="AX92" s="165"/>
      <c r="AY92" s="165"/>
      <c r="AZ92" s="165"/>
      <c r="BA92" s="165"/>
      <c r="BB92" s="165"/>
      <c r="BC92" s="165"/>
      <c r="BD92" s="165"/>
      <c r="BE92" s="165"/>
      <c r="BF92" s="165"/>
      <c r="BG92" s="165"/>
      <c r="BH92" s="165"/>
      <c r="BI92" s="165"/>
      <c r="BJ92" s="165"/>
      <c r="BK92" s="165"/>
      <c r="BL92" s="165"/>
      <c r="BM92" s="165"/>
      <c r="BN92" s="165"/>
      <c r="BO92" s="165"/>
      <c r="BP92" s="165"/>
      <c r="BQ92" s="165"/>
      <c r="BR92" s="165"/>
      <c r="BS92" s="165"/>
      <c r="BT92" s="165"/>
      <c r="BU92" s="165"/>
      <c r="BV92" s="165"/>
      <c r="BW92" s="165"/>
      <c r="BX92" s="165"/>
      <c r="BY92" s="165"/>
      <c r="BZ92" s="165"/>
      <c r="CA92" s="165"/>
      <c r="CB92" s="165"/>
      <c r="CC92" s="165"/>
      <c r="CD92" s="165"/>
      <c r="CE92" s="165"/>
      <c r="CF92" s="165"/>
      <c r="CG92" s="165"/>
      <c r="CH92" s="165"/>
      <c r="CI92" s="165"/>
      <c r="CJ92" s="165"/>
      <c r="CK92" s="165"/>
      <c r="CL92" s="165"/>
      <c r="CM92" s="165"/>
      <c r="CN92" s="165"/>
      <c r="CO92" s="165"/>
      <c r="CP92" s="165"/>
      <c r="CQ92" s="165"/>
    </row>
    <row r="93" spans="1:95" outlineLevel="1" x14ac:dyDescent="0.25">
      <c r="B93" s="156" t="str">
        <f>Table1[[#Headers],[Simulação]]</f>
        <v>Simulação</v>
      </c>
      <c r="C93" s="264" t="str">
        <f t="shared" si="8"/>
        <v>ENTITY_TXNMY_ELGBL_TRNVR_P</v>
      </c>
      <c r="D93" s="153" t="s">
        <v>10</v>
      </c>
      <c r="E93" s="153" t="s">
        <v>1411</v>
      </c>
      <c r="G93" s="172">
        <f>INDEX(Table1[[Especificação]:[Total Testes]],MATCH('Planemaneto rev.equipa'!C93,Table1[CONCAT],0),MATCH('Planemaneto rev.equipa'!B93,Table1[[#Headers],[Especificação]:[Total Testes]],0))</f>
        <v>1</v>
      </c>
      <c r="H93" s="191">
        <f t="shared" si="9"/>
        <v>0.13</v>
      </c>
      <c r="I93" s="222"/>
      <c r="J93" s="165"/>
      <c r="K93" s="165"/>
      <c r="L93" s="165"/>
      <c r="M93" s="165"/>
      <c r="N93" s="165"/>
      <c r="O93" s="165"/>
      <c r="P93" s="165"/>
      <c r="Q93" s="165"/>
      <c r="R93" s="252">
        <v>1</v>
      </c>
      <c r="S93" s="165"/>
      <c r="T93" s="165"/>
      <c r="U93" s="165"/>
      <c r="V93" s="165"/>
      <c r="W93" s="165"/>
      <c r="X93" s="165"/>
      <c r="Y93" s="165"/>
      <c r="Z93" s="165"/>
      <c r="AA93" s="165"/>
      <c r="AB93" s="165"/>
      <c r="AC93" s="165"/>
      <c r="AD93" s="165"/>
      <c r="AE93" s="165"/>
      <c r="AF93" s="165"/>
      <c r="AG93" s="165"/>
      <c r="AH93" s="165"/>
      <c r="AI93" s="165"/>
      <c r="AJ93" s="165"/>
      <c r="AK93" s="165"/>
      <c r="AL93" s="165"/>
      <c r="AM93" s="165"/>
      <c r="AN93" s="165"/>
      <c r="AO93" s="165"/>
      <c r="AP93" s="165"/>
      <c r="AQ93" s="165"/>
      <c r="AR93" s="165"/>
      <c r="AS93" s="165"/>
      <c r="AT93" s="165"/>
      <c r="AU93" s="165"/>
      <c r="AV93" s="165"/>
      <c r="AW93" s="165"/>
      <c r="AX93" s="165"/>
      <c r="AY93" s="165"/>
      <c r="AZ93" s="165"/>
      <c r="BA93" s="165"/>
      <c r="BB93" s="165"/>
      <c r="BC93" s="165"/>
      <c r="BD93" s="165"/>
      <c r="BE93" s="165"/>
      <c r="BF93" s="165"/>
      <c r="BG93" s="165"/>
      <c r="BH93" s="165"/>
      <c r="BI93" s="165"/>
      <c r="BJ93" s="165"/>
      <c r="BK93" s="165"/>
      <c r="BL93" s="165"/>
      <c r="BM93" s="165"/>
      <c r="BN93" s="165"/>
      <c r="BO93" s="165"/>
      <c r="BP93" s="165"/>
      <c r="BQ93" s="165"/>
      <c r="BR93" s="165"/>
      <c r="BS93" s="165"/>
      <c r="BT93" s="165"/>
      <c r="BU93" s="165"/>
      <c r="BV93" s="165"/>
      <c r="BW93" s="165"/>
      <c r="BX93" s="165"/>
      <c r="BY93" s="165"/>
      <c r="BZ93" s="165"/>
      <c r="CA93" s="165"/>
      <c r="CB93" s="165"/>
      <c r="CC93" s="165"/>
      <c r="CD93" s="165"/>
      <c r="CE93" s="165"/>
      <c r="CF93" s="165"/>
      <c r="CG93" s="165"/>
      <c r="CH93" s="165"/>
      <c r="CI93" s="165"/>
      <c r="CJ93" s="165"/>
      <c r="CK93" s="165"/>
      <c r="CL93" s="165"/>
      <c r="CM93" s="165"/>
      <c r="CN93" s="165"/>
      <c r="CO93" s="165"/>
      <c r="CP93" s="165"/>
      <c r="CQ93" s="165"/>
    </row>
    <row r="94" spans="1:95" outlineLevel="1" x14ac:dyDescent="0.25">
      <c r="B94" s="156" t="str">
        <f>Table1[[#Headers],[Simulação]]</f>
        <v>Simulação</v>
      </c>
      <c r="C94" s="264" t="str">
        <f t="shared" si="8"/>
        <v>ENTITY_TXNMY_ELGBL_CAPEX_B</v>
      </c>
      <c r="D94" s="153" t="s">
        <v>10</v>
      </c>
      <c r="E94" s="153" t="s">
        <v>1414</v>
      </c>
      <c r="G94" s="172">
        <f>INDEX(Table1[[Especificação]:[Total Testes]],MATCH('Planemaneto rev.equipa'!C94,Table1[CONCAT],0),MATCH('Planemaneto rev.equipa'!B94,Table1[[#Headers],[Especificação]:[Total Testes]],0))</f>
        <v>1</v>
      </c>
      <c r="H94" s="191">
        <f t="shared" si="9"/>
        <v>0.13</v>
      </c>
      <c r="I94" s="222"/>
      <c r="J94" s="165"/>
      <c r="K94" s="165"/>
      <c r="L94" s="165"/>
      <c r="M94" s="165"/>
      <c r="N94" s="165"/>
      <c r="O94" s="165"/>
      <c r="P94" s="165"/>
      <c r="Q94" s="165"/>
      <c r="R94" s="252">
        <v>1</v>
      </c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  <c r="AD94" s="165"/>
      <c r="AE94" s="165"/>
      <c r="AF94" s="165"/>
      <c r="AG94" s="165"/>
      <c r="AH94" s="165"/>
      <c r="AI94" s="165"/>
      <c r="AJ94" s="165"/>
      <c r="AK94" s="165"/>
      <c r="AL94" s="165"/>
      <c r="AM94" s="165"/>
      <c r="AN94" s="165"/>
      <c r="AO94" s="165"/>
      <c r="AP94" s="165"/>
      <c r="AQ94" s="165"/>
      <c r="AR94" s="165"/>
      <c r="AS94" s="165"/>
      <c r="AT94" s="165"/>
      <c r="AU94" s="165"/>
      <c r="AV94" s="165"/>
      <c r="AW94" s="165"/>
      <c r="AX94" s="165"/>
      <c r="AY94" s="165"/>
      <c r="AZ94" s="165"/>
      <c r="BA94" s="165"/>
      <c r="BB94" s="165"/>
      <c r="BC94" s="165"/>
      <c r="BD94" s="165"/>
      <c r="BE94" s="165"/>
      <c r="BF94" s="165"/>
      <c r="BG94" s="165"/>
      <c r="BH94" s="165"/>
      <c r="BI94" s="165"/>
      <c r="BJ94" s="165"/>
      <c r="BK94" s="165"/>
      <c r="BL94" s="165"/>
      <c r="BM94" s="165"/>
      <c r="BN94" s="165"/>
      <c r="BO94" s="165"/>
      <c r="BP94" s="165"/>
      <c r="BQ94" s="165"/>
      <c r="BR94" s="165"/>
      <c r="BS94" s="165"/>
      <c r="BT94" s="165"/>
      <c r="BU94" s="165"/>
      <c r="BV94" s="165"/>
      <c r="BW94" s="165"/>
      <c r="BX94" s="165"/>
      <c r="BY94" s="165"/>
      <c r="BZ94" s="165"/>
      <c r="CA94" s="165"/>
      <c r="CB94" s="165"/>
      <c r="CC94" s="165"/>
      <c r="CD94" s="165"/>
      <c r="CE94" s="165"/>
      <c r="CF94" s="165"/>
      <c r="CG94" s="165"/>
      <c r="CH94" s="165"/>
      <c r="CI94" s="165"/>
      <c r="CJ94" s="165"/>
      <c r="CK94" s="165"/>
      <c r="CL94" s="165"/>
      <c r="CM94" s="165"/>
      <c r="CN94" s="165"/>
      <c r="CO94" s="165"/>
      <c r="CP94" s="165"/>
      <c r="CQ94" s="165"/>
    </row>
    <row r="95" spans="1:95" outlineLevel="1" x14ac:dyDescent="0.25">
      <c r="B95" s="156" t="str">
        <f>Table1[[#Headers],[Simulação]]</f>
        <v>Simulação</v>
      </c>
      <c r="C95" s="264" t="str">
        <f t="shared" si="8"/>
        <v>ENTITY_TXNMY_ELGBL_TRNVR_B</v>
      </c>
      <c r="D95" s="153" t="s">
        <v>10</v>
      </c>
      <c r="E95" s="153" t="s">
        <v>1417</v>
      </c>
      <c r="G95" s="172">
        <f>INDEX(Table1[[Especificação]:[Total Testes]],MATCH('Planemaneto rev.equipa'!C95,Table1[CONCAT],0),MATCH('Planemaneto rev.equipa'!B95,Table1[[#Headers],[Especificação]:[Total Testes]],0))</f>
        <v>1</v>
      </c>
      <c r="H95" s="191">
        <f t="shared" si="9"/>
        <v>0.13</v>
      </c>
      <c r="I95" s="222"/>
      <c r="J95" s="165"/>
      <c r="K95" s="165"/>
      <c r="L95" s="165"/>
      <c r="M95" s="165"/>
      <c r="N95" s="165"/>
      <c r="O95" s="165"/>
      <c r="P95" s="165"/>
      <c r="Q95" s="165"/>
      <c r="R95" s="252">
        <v>1</v>
      </c>
      <c r="S95" s="165"/>
      <c r="T95" s="165"/>
      <c r="U95" s="165"/>
      <c r="V95" s="165"/>
      <c r="W95" s="165"/>
      <c r="X95" s="165"/>
      <c r="Y95" s="165"/>
      <c r="Z95" s="165"/>
      <c r="AA95" s="165"/>
      <c r="AB95" s="165"/>
      <c r="AC95" s="165"/>
      <c r="AD95" s="165"/>
      <c r="AE95" s="165"/>
      <c r="AF95" s="165"/>
      <c r="AG95" s="165"/>
      <c r="AH95" s="165"/>
      <c r="AI95" s="165"/>
      <c r="AJ95" s="165"/>
      <c r="AK95" s="165"/>
      <c r="AL95" s="165"/>
      <c r="AM95" s="165"/>
      <c r="AN95" s="165"/>
      <c r="AO95" s="165"/>
      <c r="AP95" s="165"/>
      <c r="AQ95" s="165"/>
      <c r="AR95" s="165"/>
      <c r="AS95" s="165"/>
      <c r="AT95" s="165"/>
      <c r="AU95" s="165"/>
      <c r="AV95" s="165"/>
      <c r="AW95" s="165"/>
      <c r="AX95" s="165"/>
      <c r="AY95" s="165"/>
      <c r="AZ95" s="165"/>
      <c r="BA95" s="165"/>
      <c r="BB95" s="165"/>
      <c r="BC95" s="165"/>
      <c r="BD95" s="165"/>
      <c r="BE95" s="165"/>
      <c r="BF95" s="165"/>
      <c r="BG95" s="165"/>
      <c r="BH95" s="165"/>
      <c r="BI95" s="165"/>
      <c r="BJ95" s="165"/>
      <c r="BK95" s="165"/>
      <c r="BL95" s="165"/>
      <c r="BM95" s="165"/>
      <c r="BN95" s="165"/>
      <c r="BO95" s="165"/>
      <c r="BP95" s="165"/>
      <c r="BQ95" s="165"/>
      <c r="BR95" s="165"/>
      <c r="BS95" s="165"/>
      <c r="BT95" s="165"/>
      <c r="BU95" s="165"/>
      <c r="BV95" s="165"/>
      <c r="BW95" s="165"/>
      <c r="BX95" s="165"/>
      <c r="BY95" s="165"/>
      <c r="BZ95" s="165"/>
      <c r="CA95" s="165"/>
      <c r="CB95" s="165"/>
      <c r="CC95" s="165"/>
      <c r="CD95" s="165"/>
      <c r="CE95" s="165"/>
      <c r="CF95" s="165"/>
      <c r="CG95" s="165"/>
      <c r="CH95" s="165"/>
      <c r="CI95" s="165"/>
      <c r="CJ95" s="165"/>
      <c r="CK95" s="165"/>
      <c r="CL95" s="165"/>
      <c r="CM95" s="165"/>
      <c r="CN95" s="165"/>
      <c r="CO95" s="165"/>
      <c r="CP95" s="165"/>
      <c r="CQ95" s="165"/>
    </row>
    <row r="96" spans="1:95" outlineLevel="1" x14ac:dyDescent="0.25">
      <c r="B96" s="156" t="str">
        <f>Table1[[#Headers],[Simulação]]</f>
        <v>Simulação</v>
      </c>
      <c r="C96" s="264" t="str">
        <f t="shared" si="8"/>
        <v>ENTITY_TXNMY_ELGBL_CAPEX_CE</v>
      </c>
      <c r="D96" s="153" t="s">
        <v>10</v>
      </c>
      <c r="E96" s="153" t="s">
        <v>1420</v>
      </c>
      <c r="G96" s="172">
        <f>INDEX(Table1[[Especificação]:[Total Testes]],MATCH('Planemaneto rev.equipa'!C96,Table1[CONCAT],0),MATCH('Planemaneto rev.equipa'!B96,Table1[[#Headers],[Especificação]:[Total Testes]],0))</f>
        <v>1</v>
      </c>
      <c r="H96" s="191">
        <f t="shared" si="9"/>
        <v>0.13</v>
      </c>
      <c r="I96" s="222"/>
      <c r="J96" s="165"/>
      <c r="K96" s="165"/>
      <c r="L96" s="165"/>
      <c r="M96" s="165"/>
      <c r="N96" s="165"/>
      <c r="O96" s="165"/>
      <c r="P96" s="165"/>
      <c r="Q96" s="165"/>
      <c r="R96" s="252">
        <v>1</v>
      </c>
      <c r="S96" s="165"/>
      <c r="T96" s="165"/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  <c r="AE96" s="165"/>
      <c r="AF96" s="165"/>
      <c r="AG96" s="165"/>
      <c r="AH96" s="165"/>
      <c r="AI96" s="165"/>
      <c r="AJ96" s="165"/>
      <c r="AK96" s="165"/>
      <c r="AL96" s="165"/>
      <c r="AM96" s="165"/>
      <c r="AN96" s="165"/>
      <c r="AO96" s="165"/>
      <c r="AP96" s="165"/>
      <c r="AQ96" s="165"/>
      <c r="AR96" s="165"/>
      <c r="AS96" s="165"/>
      <c r="AT96" s="165"/>
      <c r="AU96" s="165"/>
      <c r="AV96" s="165"/>
      <c r="AW96" s="165"/>
      <c r="AX96" s="165"/>
      <c r="AY96" s="165"/>
      <c r="AZ96" s="165"/>
      <c r="BA96" s="165"/>
      <c r="BB96" s="165"/>
      <c r="BC96" s="165"/>
      <c r="BD96" s="165"/>
      <c r="BE96" s="165"/>
      <c r="BF96" s="165"/>
      <c r="BG96" s="165"/>
      <c r="BH96" s="165"/>
      <c r="BI96" s="165"/>
      <c r="BJ96" s="165"/>
      <c r="BK96" s="165"/>
      <c r="BL96" s="165"/>
      <c r="BM96" s="165"/>
      <c r="BN96" s="165"/>
      <c r="BO96" s="165"/>
      <c r="BP96" s="165"/>
      <c r="BQ96" s="165"/>
      <c r="BR96" s="165"/>
      <c r="BS96" s="165"/>
      <c r="BT96" s="165"/>
      <c r="BU96" s="165"/>
      <c r="BV96" s="165"/>
      <c r="BW96" s="165"/>
      <c r="BX96" s="165"/>
      <c r="BY96" s="165"/>
      <c r="BZ96" s="165"/>
      <c r="CA96" s="165"/>
      <c r="CB96" s="165"/>
      <c r="CC96" s="165"/>
      <c r="CD96" s="165"/>
      <c r="CE96" s="165"/>
      <c r="CF96" s="165"/>
      <c r="CG96" s="165"/>
      <c r="CH96" s="165"/>
      <c r="CI96" s="165"/>
      <c r="CJ96" s="165"/>
      <c r="CK96" s="165"/>
      <c r="CL96" s="165"/>
      <c r="CM96" s="165"/>
      <c r="CN96" s="165"/>
      <c r="CO96" s="165"/>
      <c r="CP96" s="165"/>
      <c r="CQ96" s="165"/>
    </row>
    <row r="97" spans="2:95" outlineLevel="1" x14ac:dyDescent="0.25">
      <c r="B97" s="156" t="str">
        <f>Table1[[#Headers],[Simulação]]</f>
        <v>Simulação</v>
      </c>
      <c r="C97" s="264" t="str">
        <f t="shared" si="8"/>
        <v>ENTITY_TXNMY_ELGBL_TRNVR_CE</v>
      </c>
      <c r="D97" s="153" t="s">
        <v>10</v>
      </c>
      <c r="E97" s="155" t="s">
        <v>1423</v>
      </c>
      <c r="G97" s="172">
        <f>INDEX(Table1[[Especificação]:[Total Testes]],MATCH('Planemaneto rev.equipa'!C97,Table1[CONCAT],0),MATCH('Planemaneto rev.equipa'!B97,Table1[[#Headers],[Especificação]:[Total Testes]],0))</f>
        <v>1</v>
      </c>
      <c r="H97" s="191">
        <f t="shared" si="9"/>
        <v>0.13</v>
      </c>
      <c r="I97" s="222"/>
      <c r="J97" s="165"/>
      <c r="K97" s="165"/>
      <c r="L97" s="165"/>
      <c r="M97" s="165"/>
      <c r="N97" s="165"/>
      <c r="O97" s="165"/>
      <c r="P97" s="165"/>
      <c r="Q97" s="165"/>
      <c r="R97" s="252">
        <v>1</v>
      </c>
      <c r="S97" s="165"/>
      <c r="T97" s="165"/>
      <c r="U97" s="165"/>
      <c r="V97" s="165"/>
      <c r="W97" s="165"/>
      <c r="X97" s="165"/>
      <c r="Y97" s="165"/>
      <c r="Z97" s="165"/>
      <c r="AA97" s="165"/>
      <c r="AB97" s="165"/>
      <c r="AC97" s="165"/>
      <c r="AD97" s="165"/>
      <c r="AE97" s="165"/>
      <c r="AF97" s="165"/>
      <c r="AG97" s="165"/>
      <c r="AH97" s="165"/>
      <c r="AI97" s="165"/>
      <c r="AJ97" s="165"/>
      <c r="AK97" s="165"/>
      <c r="AL97" s="165"/>
      <c r="AM97" s="165"/>
      <c r="AN97" s="165"/>
      <c r="AO97" s="165"/>
      <c r="AP97" s="165"/>
      <c r="AQ97" s="165"/>
      <c r="AR97" s="165"/>
      <c r="AS97" s="165"/>
      <c r="AT97" s="165"/>
      <c r="AU97" s="165"/>
      <c r="AV97" s="165"/>
      <c r="AW97" s="165"/>
      <c r="AX97" s="165"/>
      <c r="AY97" s="165"/>
      <c r="AZ97" s="165"/>
      <c r="BA97" s="165"/>
      <c r="BB97" s="165"/>
      <c r="BC97" s="165"/>
      <c r="BD97" s="165"/>
      <c r="BE97" s="165"/>
      <c r="BF97" s="165"/>
      <c r="BG97" s="165"/>
      <c r="BH97" s="165"/>
      <c r="BI97" s="165"/>
      <c r="BJ97" s="165"/>
      <c r="BK97" s="165"/>
      <c r="BL97" s="165"/>
      <c r="BM97" s="165"/>
      <c r="BN97" s="165"/>
      <c r="BO97" s="165"/>
      <c r="BP97" s="165"/>
      <c r="BQ97" s="165"/>
      <c r="BR97" s="165"/>
      <c r="BS97" s="165"/>
      <c r="BT97" s="165"/>
      <c r="BU97" s="165"/>
      <c r="BV97" s="165"/>
      <c r="BW97" s="165"/>
      <c r="BX97" s="165"/>
      <c r="BY97" s="165"/>
      <c r="BZ97" s="165"/>
      <c r="CA97" s="165"/>
      <c r="CB97" s="165"/>
      <c r="CC97" s="165"/>
      <c r="CD97" s="165"/>
      <c r="CE97" s="165"/>
      <c r="CF97" s="165"/>
      <c r="CG97" s="165"/>
      <c r="CH97" s="165"/>
      <c r="CI97" s="165"/>
      <c r="CJ97" s="165"/>
      <c r="CK97" s="165"/>
      <c r="CL97" s="165"/>
      <c r="CM97" s="165"/>
      <c r="CN97" s="165"/>
      <c r="CO97" s="165"/>
      <c r="CP97" s="165"/>
      <c r="CQ97" s="165"/>
    </row>
    <row r="98" spans="2:95" outlineLevel="1" x14ac:dyDescent="0.25">
      <c r="B98" s="156" t="str">
        <f>Table1[[#Headers],[Simulação]]</f>
        <v>Simulação</v>
      </c>
      <c r="C98" s="264" t="str">
        <f t="shared" si="8"/>
        <v>ENTITY_PURE_CAPEX_P</v>
      </c>
      <c r="D98" s="153" t="s">
        <v>10</v>
      </c>
      <c r="E98" s="153" t="s">
        <v>1426</v>
      </c>
      <c r="G98" s="172">
        <f>INDEX(Table1[[Especificação]:[Total Testes]],MATCH('Planemaneto rev.equipa'!C98,Table1[CONCAT],0),MATCH('Planemaneto rev.equipa'!B98,Table1[[#Headers],[Especificação]:[Total Testes]],0))</f>
        <v>1</v>
      </c>
      <c r="H98" s="191">
        <f t="shared" si="9"/>
        <v>0.13</v>
      </c>
      <c r="I98" s="222"/>
      <c r="J98" s="165"/>
      <c r="K98" s="165"/>
      <c r="L98" s="165"/>
      <c r="M98" s="165"/>
      <c r="N98" s="165"/>
      <c r="O98" s="165"/>
      <c r="P98" s="165"/>
      <c r="Q98" s="165"/>
      <c r="R98" s="252">
        <v>1</v>
      </c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  <c r="AD98" s="165"/>
      <c r="AE98" s="165"/>
      <c r="AF98" s="165"/>
      <c r="AG98" s="165"/>
      <c r="AH98" s="165"/>
      <c r="AI98" s="165"/>
      <c r="AJ98" s="165"/>
      <c r="AK98" s="165"/>
      <c r="AL98" s="165"/>
      <c r="AM98" s="165"/>
      <c r="AN98" s="165"/>
      <c r="AO98" s="165"/>
      <c r="AP98" s="165"/>
      <c r="AQ98" s="165"/>
      <c r="AR98" s="165"/>
      <c r="AS98" s="165"/>
      <c r="AT98" s="165"/>
      <c r="AU98" s="165"/>
      <c r="AV98" s="165"/>
      <c r="AW98" s="165"/>
      <c r="AX98" s="165"/>
      <c r="AY98" s="165"/>
      <c r="AZ98" s="165"/>
      <c r="BA98" s="165"/>
      <c r="BB98" s="165"/>
      <c r="BC98" s="165"/>
      <c r="BD98" s="165"/>
      <c r="BE98" s="165"/>
      <c r="BF98" s="165"/>
      <c r="BG98" s="165"/>
      <c r="BH98" s="165"/>
      <c r="BI98" s="165"/>
      <c r="BJ98" s="165"/>
      <c r="BK98" s="165"/>
      <c r="BL98" s="165"/>
      <c r="BM98" s="165"/>
      <c r="BN98" s="165"/>
      <c r="BO98" s="165"/>
      <c r="BP98" s="165"/>
      <c r="BQ98" s="165"/>
      <c r="BR98" s="165"/>
      <c r="BS98" s="165"/>
      <c r="BT98" s="165"/>
      <c r="BU98" s="165"/>
      <c r="BV98" s="165"/>
      <c r="BW98" s="165"/>
      <c r="BX98" s="165"/>
      <c r="BY98" s="165"/>
      <c r="BZ98" s="165"/>
      <c r="CA98" s="165"/>
      <c r="CB98" s="165"/>
      <c r="CC98" s="165"/>
      <c r="CD98" s="165"/>
      <c r="CE98" s="165"/>
      <c r="CF98" s="165"/>
      <c r="CG98" s="165"/>
      <c r="CH98" s="165"/>
      <c r="CI98" s="165"/>
      <c r="CJ98" s="165"/>
      <c r="CK98" s="165"/>
      <c r="CL98" s="165"/>
      <c r="CM98" s="165"/>
      <c r="CN98" s="165"/>
      <c r="CO98" s="165"/>
      <c r="CP98" s="165"/>
      <c r="CQ98" s="165"/>
    </row>
    <row r="99" spans="2:95" outlineLevel="1" x14ac:dyDescent="0.25">
      <c r="B99" s="156" t="str">
        <f>Table1[[#Headers],[Simulação]]</f>
        <v>Simulação</v>
      </c>
      <c r="C99" s="264" t="str">
        <f t="shared" si="8"/>
        <v>ENTITY_PURE_TRNVR_P</v>
      </c>
      <c r="D99" s="153" t="s">
        <v>10</v>
      </c>
      <c r="E99" s="153" t="s">
        <v>1429</v>
      </c>
      <c r="G99" s="172">
        <f>INDEX(Table1[[Especificação]:[Total Testes]],MATCH('Planemaneto rev.equipa'!C99,Table1[CONCAT],0),MATCH('Planemaneto rev.equipa'!B99,Table1[[#Headers],[Especificação]:[Total Testes]],0))</f>
        <v>1</v>
      </c>
      <c r="H99" s="191">
        <f t="shared" si="9"/>
        <v>0.13</v>
      </c>
      <c r="I99" s="222"/>
      <c r="J99" s="165"/>
      <c r="K99" s="165"/>
      <c r="L99" s="165"/>
      <c r="M99" s="165"/>
      <c r="N99" s="165"/>
      <c r="O99" s="165"/>
      <c r="P99" s="165"/>
      <c r="Q99" s="165"/>
      <c r="R99" s="252">
        <v>1</v>
      </c>
      <c r="S99" s="165"/>
      <c r="T99" s="165"/>
      <c r="U99" s="165"/>
      <c r="V99" s="165"/>
      <c r="W99" s="165"/>
      <c r="X99" s="165"/>
      <c r="Y99" s="165"/>
      <c r="Z99" s="165"/>
      <c r="AA99" s="165"/>
      <c r="AB99" s="165"/>
      <c r="AC99" s="165"/>
      <c r="AD99" s="165"/>
      <c r="AE99" s="165"/>
      <c r="AF99" s="165"/>
      <c r="AG99" s="165"/>
      <c r="AH99" s="165"/>
      <c r="AI99" s="165"/>
      <c r="AJ99" s="165"/>
      <c r="AK99" s="165"/>
      <c r="AL99" s="165"/>
      <c r="AM99" s="165"/>
      <c r="AN99" s="165"/>
      <c r="AO99" s="165"/>
      <c r="AP99" s="165"/>
      <c r="AQ99" s="165"/>
      <c r="AR99" s="165"/>
      <c r="AS99" s="165"/>
      <c r="AT99" s="165"/>
      <c r="AU99" s="165"/>
      <c r="AV99" s="165"/>
      <c r="AW99" s="165"/>
      <c r="AX99" s="165"/>
      <c r="AY99" s="165"/>
      <c r="AZ99" s="165"/>
      <c r="BA99" s="165"/>
      <c r="BB99" s="165"/>
      <c r="BC99" s="165"/>
      <c r="BD99" s="165"/>
      <c r="BE99" s="165"/>
      <c r="BF99" s="165"/>
      <c r="BG99" s="165"/>
      <c r="BH99" s="165"/>
      <c r="BI99" s="165"/>
      <c r="BJ99" s="165"/>
      <c r="BK99" s="165"/>
      <c r="BL99" s="165"/>
      <c r="BM99" s="165"/>
      <c r="BN99" s="165"/>
      <c r="BO99" s="165"/>
      <c r="BP99" s="165"/>
      <c r="BQ99" s="165"/>
      <c r="BR99" s="165"/>
      <c r="BS99" s="165"/>
      <c r="BT99" s="165"/>
      <c r="BU99" s="165"/>
      <c r="BV99" s="165"/>
      <c r="BW99" s="165"/>
      <c r="BX99" s="165"/>
      <c r="BY99" s="165"/>
      <c r="BZ99" s="165"/>
      <c r="CA99" s="165"/>
      <c r="CB99" s="165"/>
      <c r="CC99" s="165"/>
      <c r="CD99" s="165"/>
      <c r="CE99" s="165"/>
      <c r="CF99" s="165"/>
      <c r="CG99" s="165"/>
      <c r="CH99" s="165"/>
      <c r="CI99" s="165"/>
      <c r="CJ99" s="165"/>
      <c r="CK99" s="165"/>
      <c r="CL99" s="165"/>
      <c r="CM99" s="165"/>
      <c r="CN99" s="165"/>
      <c r="CO99" s="165"/>
      <c r="CP99" s="165"/>
      <c r="CQ99" s="165"/>
    </row>
    <row r="100" spans="2:95" outlineLevel="1" x14ac:dyDescent="0.25">
      <c r="B100" s="156" t="str">
        <f>Table1[[#Headers],[Simulação]]</f>
        <v>Simulação</v>
      </c>
      <c r="C100" s="264" t="str">
        <f t="shared" si="8"/>
        <v>ENTITY_PURE_CAPEX_B</v>
      </c>
      <c r="D100" s="153" t="s">
        <v>10</v>
      </c>
      <c r="E100" s="153" t="s">
        <v>1432</v>
      </c>
      <c r="G100" s="172">
        <f>INDEX(Table1[[Especificação]:[Total Testes]],MATCH('Planemaneto rev.equipa'!C100,Table1[CONCAT],0),MATCH('Planemaneto rev.equipa'!B100,Table1[[#Headers],[Especificação]:[Total Testes]],0))</f>
        <v>1</v>
      </c>
      <c r="H100" s="191">
        <f t="shared" si="9"/>
        <v>0.13</v>
      </c>
      <c r="I100" s="222"/>
      <c r="J100" s="165"/>
      <c r="K100" s="165"/>
      <c r="L100" s="165"/>
      <c r="M100" s="165"/>
      <c r="N100" s="165"/>
      <c r="O100" s="165"/>
      <c r="P100" s="165"/>
      <c r="Q100" s="165"/>
      <c r="R100" s="252">
        <v>1</v>
      </c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  <c r="AC100" s="165"/>
      <c r="AD100" s="165"/>
      <c r="AE100" s="165"/>
      <c r="AF100" s="165"/>
      <c r="AG100" s="165"/>
      <c r="AH100" s="165"/>
      <c r="AI100" s="165"/>
      <c r="AJ100" s="165"/>
      <c r="AK100" s="165"/>
      <c r="AL100" s="165"/>
      <c r="AM100" s="165"/>
      <c r="AN100" s="165"/>
      <c r="AO100" s="165"/>
      <c r="AP100" s="165"/>
      <c r="AQ100" s="165"/>
      <c r="AR100" s="165"/>
      <c r="AS100" s="165"/>
      <c r="AT100" s="165"/>
      <c r="AU100" s="165"/>
      <c r="AV100" s="165"/>
      <c r="AW100" s="165"/>
      <c r="AX100" s="165"/>
      <c r="AY100" s="165"/>
      <c r="AZ100" s="165"/>
      <c r="BA100" s="165"/>
      <c r="BB100" s="165"/>
      <c r="BC100" s="165"/>
      <c r="BD100" s="165"/>
      <c r="BE100" s="165"/>
      <c r="BF100" s="165"/>
      <c r="BG100" s="165"/>
      <c r="BH100" s="165"/>
      <c r="BI100" s="165"/>
      <c r="BJ100" s="165"/>
      <c r="BK100" s="165"/>
      <c r="BL100" s="165"/>
      <c r="BM100" s="165"/>
      <c r="BN100" s="165"/>
      <c r="BO100" s="165"/>
      <c r="BP100" s="165"/>
      <c r="BQ100" s="165"/>
      <c r="BR100" s="165"/>
      <c r="BS100" s="165"/>
      <c r="BT100" s="165"/>
      <c r="BU100" s="165"/>
      <c r="BV100" s="165"/>
      <c r="BW100" s="165"/>
      <c r="BX100" s="165"/>
      <c r="BY100" s="165"/>
      <c r="BZ100" s="165"/>
      <c r="CA100" s="165"/>
      <c r="CB100" s="165"/>
      <c r="CC100" s="165"/>
      <c r="CD100" s="165"/>
      <c r="CE100" s="165"/>
      <c r="CF100" s="165"/>
      <c r="CG100" s="165"/>
      <c r="CH100" s="165"/>
      <c r="CI100" s="165"/>
      <c r="CJ100" s="165"/>
      <c r="CK100" s="165"/>
      <c r="CL100" s="165"/>
      <c r="CM100" s="165"/>
      <c r="CN100" s="165"/>
      <c r="CO100" s="165"/>
      <c r="CP100" s="165"/>
      <c r="CQ100" s="165"/>
    </row>
    <row r="101" spans="2:95" outlineLevel="1" x14ac:dyDescent="0.25">
      <c r="B101" s="156" t="str">
        <f>Table1[[#Headers],[Simulação]]</f>
        <v>Simulação</v>
      </c>
      <c r="C101" s="264" t="str">
        <f t="shared" si="8"/>
        <v>ENTITY_PURE_TRNVR_B</v>
      </c>
      <c r="D101" s="153" t="s">
        <v>10</v>
      </c>
      <c r="E101" s="153" t="s">
        <v>1435</v>
      </c>
      <c r="G101" s="172">
        <f>INDEX(Table1[[Especificação]:[Total Testes]],MATCH('Planemaneto rev.equipa'!C101,Table1[CONCAT],0),MATCH('Planemaneto rev.equipa'!B101,Table1[[#Headers],[Especificação]:[Total Testes]],0))</f>
        <v>1</v>
      </c>
      <c r="H101" s="191">
        <f t="shared" si="9"/>
        <v>0.13</v>
      </c>
      <c r="I101" s="222"/>
      <c r="J101" s="165"/>
      <c r="K101" s="165"/>
      <c r="L101" s="165"/>
      <c r="M101" s="165"/>
      <c r="N101" s="165"/>
      <c r="O101" s="165"/>
      <c r="P101" s="165"/>
      <c r="Q101" s="165"/>
      <c r="R101" s="252">
        <v>1</v>
      </c>
      <c r="S101" s="165"/>
      <c r="T101" s="165"/>
      <c r="U101" s="165"/>
      <c r="V101" s="165"/>
      <c r="W101" s="165"/>
      <c r="X101" s="165"/>
      <c r="Y101" s="165"/>
      <c r="Z101" s="165"/>
      <c r="AA101" s="165"/>
      <c r="AB101" s="165"/>
      <c r="AC101" s="165"/>
      <c r="AD101" s="165"/>
      <c r="AE101" s="165"/>
      <c r="AF101" s="165"/>
      <c r="AG101" s="165"/>
      <c r="AH101" s="165"/>
      <c r="AI101" s="165"/>
      <c r="AJ101" s="165"/>
      <c r="AK101" s="165"/>
      <c r="AL101" s="165"/>
      <c r="AM101" s="165"/>
      <c r="AN101" s="165"/>
      <c r="AO101" s="165"/>
      <c r="AP101" s="165"/>
      <c r="AQ101" s="165"/>
      <c r="AR101" s="165"/>
      <c r="AS101" s="165"/>
      <c r="AT101" s="165"/>
      <c r="AU101" s="165"/>
      <c r="AV101" s="165"/>
      <c r="AW101" s="165"/>
      <c r="AX101" s="165"/>
      <c r="AY101" s="165"/>
      <c r="AZ101" s="165"/>
      <c r="BA101" s="165"/>
      <c r="BB101" s="165"/>
      <c r="BC101" s="165"/>
      <c r="BD101" s="165"/>
      <c r="BE101" s="165"/>
      <c r="BF101" s="165"/>
      <c r="BG101" s="165"/>
      <c r="BH101" s="165"/>
      <c r="BI101" s="165"/>
      <c r="BJ101" s="165"/>
      <c r="BK101" s="165"/>
      <c r="BL101" s="165"/>
      <c r="BM101" s="165"/>
      <c r="BN101" s="165"/>
      <c r="BO101" s="165"/>
      <c r="BP101" s="165"/>
      <c r="BQ101" s="165"/>
      <c r="BR101" s="165"/>
      <c r="BS101" s="165"/>
      <c r="BT101" s="165"/>
      <c r="BU101" s="165"/>
      <c r="BV101" s="165"/>
      <c r="BW101" s="165"/>
      <c r="BX101" s="165"/>
      <c r="BY101" s="165"/>
      <c r="BZ101" s="165"/>
      <c r="CA101" s="165"/>
      <c r="CB101" s="165"/>
      <c r="CC101" s="165"/>
      <c r="CD101" s="165"/>
      <c r="CE101" s="165"/>
      <c r="CF101" s="165"/>
      <c r="CG101" s="165"/>
      <c r="CH101" s="165"/>
      <c r="CI101" s="165"/>
      <c r="CJ101" s="165"/>
      <c r="CK101" s="165"/>
      <c r="CL101" s="165"/>
      <c r="CM101" s="165"/>
      <c r="CN101" s="165"/>
      <c r="CO101" s="165"/>
      <c r="CP101" s="165"/>
      <c r="CQ101" s="165"/>
    </row>
    <row r="102" spans="2:95" outlineLevel="1" x14ac:dyDescent="0.25">
      <c r="B102" s="156" t="str">
        <f>Table1[[#Headers],[Simulação]]</f>
        <v>Simulação</v>
      </c>
      <c r="C102" s="264" t="str">
        <f t="shared" si="8"/>
        <v>ENTITY_PURE_CAPEX_W</v>
      </c>
      <c r="D102" s="153" t="s">
        <v>10</v>
      </c>
      <c r="E102" s="153" t="s">
        <v>1438</v>
      </c>
      <c r="G102" s="172">
        <f>INDEX(Table1[[Especificação]:[Total Testes]],MATCH('Planemaneto rev.equipa'!C102,Table1[CONCAT],0),MATCH('Planemaneto rev.equipa'!B102,Table1[[#Headers],[Especificação]:[Total Testes]],0))</f>
        <v>1</v>
      </c>
      <c r="H102" s="191">
        <f t="shared" si="9"/>
        <v>0.13</v>
      </c>
      <c r="I102" s="222"/>
      <c r="J102" s="165"/>
      <c r="K102" s="165"/>
      <c r="L102" s="165"/>
      <c r="M102" s="165"/>
      <c r="N102" s="165"/>
      <c r="O102" s="165"/>
      <c r="P102" s="165"/>
      <c r="Q102" s="165"/>
      <c r="R102" s="252">
        <v>1</v>
      </c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  <c r="AC102" s="165"/>
      <c r="AD102" s="165"/>
      <c r="AE102" s="165"/>
      <c r="AF102" s="165"/>
      <c r="AG102" s="165"/>
      <c r="AH102" s="165"/>
      <c r="AI102" s="165"/>
      <c r="AJ102" s="165"/>
      <c r="AK102" s="165"/>
      <c r="AL102" s="165"/>
      <c r="AM102" s="165"/>
      <c r="AN102" s="165"/>
      <c r="AO102" s="165"/>
      <c r="AP102" s="165"/>
      <c r="AQ102" s="165"/>
      <c r="AR102" s="165"/>
      <c r="AS102" s="165"/>
      <c r="AT102" s="165"/>
      <c r="AU102" s="165"/>
      <c r="AV102" s="165"/>
      <c r="AW102" s="165"/>
      <c r="AX102" s="165"/>
      <c r="AY102" s="165"/>
      <c r="AZ102" s="165"/>
      <c r="BA102" s="165"/>
      <c r="BB102" s="165"/>
      <c r="BC102" s="165"/>
      <c r="BD102" s="165"/>
      <c r="BE102" s="165"/>
      <c r="BF102" s="165"/>
      <c r="BG102" s="165"/>
      <c r="BH102" s="165"/>
      <c r="BI102" s="165"/>
      <c r="BJ102" s="165"/>
      <c r="BK102" s="165"/>
      <c r="BL102" s="165"/>
      <c r="BM102" s="165"/>
      <c r="BN102" s="165"/>
      <c r="BO102" s="165"/>
      <c r="BP102" s="165"/>
      <c r="BQ102" s="165"/>
      <c r="BR102" s="165"/>
      <c r="BS102" s="165"/>
      <c r="BT102" s="165"/>
      <c r="BU102" s="165"/>
      <c r="BV102" s="165"/>
      <c r="BW102" s="165"/>
      <c r="BX102" s="165"/>
      <c r="BY102" s="165"/>
      <c r="BZ102" s="165"/>
      <c r="CA102" s="165"/>
      <c r="CB102" s="165"/>
      <c r="CC102" s="165"/>
      <c r="CD102" s="165"/>
      <c r="CE102" s="165"/>
      <c r="CF102" s="165"/>
      <c r="CG102" s="165"/>
      <c r="CH102" s="165"/>
      <c r="CI102" s="165"/>
      <c r="CJ102" s="165"/>
      <c r="CK102" s="165"/>
      <c r="CL102" s="165"/>
      <c r="CM102" s="165"/>
      <c r="CN102" s="165"/>
      <c r="CO102" s="165"/>
      <c r="CP102" s="165"/>
      <c r="CQ102" s="165"/>
    </row>
    <row r="103" spans="2:95" outlineLevel="1" x14ac:dyDescent="0.25">
      <c r="B103" s="156" t="str">
        <f>Table1[[#Headers],[Simulação]]</f>
        <v>Simulação</v>
      </c>
      <c r="C103" s="264" t="str">
        <f t="shared" si="8"/>
        <v>ENTITY_PURE_TRNVR_W</v>
      </c>
      <c r="D103" s="153" t="s">
        <v>10</v>
      </c>
      <c r="E103" s="153" t="s">
        <v>1441</v>
      </c>
      <c r="G103" s="172">
        <f>INDEX(Table1[[Especificação]:[Total Testes]],MATCH('Planemaneto rev.equipa'!C103,Table1[CONCAT],0),MATCH('Planemaneto rev.equipa'!B103,Table1[[#Headers],[Especificação]:[Total Testes]],0))</f>
        <v>1</v>
      </c>
      <c r="H103" s="191">
        <f t="shared" si="9"/>
        <v>0.13</v>
      </c>
      <c r="I103" s="222"/>
      <c r="J103" s="165"/>
      <c r="K103" s="165"/>
      <c r="L103" s="165"/>
      <c r="M103" s="165"/>
      <c r="N103" s="165"/>
      <c r="O103" s="165"/>
      <c r="P103" s="165"/>
      <c r="Q103" s="165"/>
      <c r="R103" s="252">
        <v>1</v>
      </c>
      <c r="S103" s="165"/>
      <c r="T103" s="165"/>
      <c r="U103" s="165"/>
      <c r="V103" s="165"/>
      <c r="W103" s="165"/>
      <c r="X103" s="165"/>
      <c r="Y103" s="165"/>
      <c r="Z103" s="165"/>
      <c r="AA103" s="165"/>
      <c r="AB103" s="165"/>
      <c r="AC103" s="165"/>
      <c r="AD103" s="165"/>
      <c r="AE103" s="165"/>
      <c r="AF103" s="165"/>
      <c r="AG103" s="165"/>
      <c r="AH103" s="165"/>
      <c r="AI103" s="165"/>
      <c r="AJ103" s="165"/>
      <c r="AK103" s="165"/>
      <c r="AL103" s="165"/>
      <c r="AM103" s="165"/>
      <c r="AN103" s="165"/>
      <c r="AO103" s="165"/>
      <c r="AP103" s="165"/>
      <c r="AQ103" s="165"/>
      <c r="AR103" s="165"/>
      <c r="AS103" s="165"/>
      <c r="AT103" s="165"/>
      <c r="AU103" s="165"/>
      <c r="AV103" s="165"/>
      <c r="AW103" s="165"/>
      <c r="AX103" s="165"/>
      <c r="AY103" s="165"/>
      <c r="AZ103" s="165"/>
      <c r="BA103" s="165"/>
      <c r="BB103" s="165"/>
      <c r="BC103" s="165"/>
      <c r="BD103" s="165"/>
      <c r="BE103" s="165"/>
      <c r="BF103" s="165"/>
      <c r="BG103" s="165"/>
      <c r="BH103" s="165"/>
      <c r="BI103" s="165"/>
      <c r="BJ103" s="165"/>
      <c r="BK103" s="165"/>
      <c r="BL103" s="165"/>
      <c r="BM103" s="165"/>
      <c r="BN103" s="165"/>
      <c r="BO103" s="165"/>
      <c r="BP103" s="165"/>
      <c r="BQ103" s="165"/>
      <c r="BR103" s="165"/>
      <c r="BS103" s="165"/>
      <c r="BT103" s="165"/>
      <c r="BU103" s="165"/>
      <c r="BV103" s="165"/>
      <c r="BW103" s="165"/>
      <c r="BX103" s="165"/>
      <c r="BY103" s="165"/>
      <c r="BZ103" s="165"/>
      <c r="CA103" s="165"/>
      <c r="CB103" s="165"/>
      <c r="CC103" s="165"/>
      <c r="CD103" s="165"/>
      <c r="CE103" s="165"/>
      <c r="CF103" s="165"/>
      <c r="CG103" s="165"/>
      <c r="CH103" s="165"/>
      <c r="CI103" s="165"/>
      <c r="CJ103" s="165"/>
      <c r="CK103" s="165"/>
      <c r="CL103" s="165"/>
      <c r="CM103" s="165"/>
      <c r="CN103" s="165"/>
      <c r="CO103" s="165"/>
      <c r="CP103" s="165"/>
      <c r="CQ103" s="165"/>
    </row>
    <row r="104" spans="2:95" outlineLevel="1" x14ac:dyDescent="0.25">
      <c r="B104" s="156" t="str">
        <f>Table1[[#Headers],[Simulação]]</f>
        <v>Simulação</v>
      </c>
      <c r="C104" s="264" t="str">
        <f t="shared" si="8"/>
        <v>ENTITY_PURE_CAPEX_CE</v>
      </c>
      <c r="D104" s="153" t="s">
        <v>10</v>
      </c>
      <c r="E104" s="153" t="s">
        <v>1444</v>
      </c>
      <c r="G104" s="172">
        <f>INDEX(Table1[[Especificação]:[Total Testes]],MATCH('Planemaneto rev.equipa'!C104,Table1[CONCAT],0),MATCH('Planemaneto rev.equipa'!B104,Table1[[#Headers],[Especificação]:[Total Testes]],0))</f>
        <v>1</v>
      </c>
      <c r="H104" s="191">
        <f t="shared" si="9"/>
        <v>0.13</v>
      </c>
      <c r="I104" s="222"/>
      <c r="J104" s="165"/>
      <c r="K104" s="165"/>
      <c r="L104" s="165"/>
      <c r="M104" s="165"/>
      <c r="N104" s="165"/>
      <c r="O104" s="165"/>
      <c r="P104" s="165"/>
      <c r="Q104" s="165"/>
      <c r="R104" s="252">
        <v>1</v>
      </c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  <c r="AC104" s="165"/>
      <c r="AD104" s="165"/>
      <c r="AE104" s="165"/>
      <c r="AF104" s="165"/>
      <c r="AG104" s="165"/>
      <c r="AH104" s="165"/>
      <c r="AI104" s="165"/>
      <c r="AJ104" s="165"/>
      <c r="AK104" s="165"/>
      <c r="AL104" s="165"/>
      <c r="AM104" s="165"/>
      <c r="AN104" s="165"/>
      <c r="AO104" s="165"/>
      <c r="AP104" s="165"/>
      <c r="AQ104" s="165"/>
      <c r="AR104" s="165"/>
      <c r="AS104" s="165"/>
      <c r="AT104" s="165"/>
      <c r="AU104" s="165"/>
      <c r="AV104" s="165"/>
      <c r="AW104" s="165"/>
      <c r="AX104" s="165"/>
      <c r="AY104" s="165"/>
      <c r="AZ104" s="165"/>
      <c r="BA104" s="165"/>
      <c r="BB104" s="165"/>
      <c r="BC104" s="165"/>
      <c r="BD104" s="165"/>
      <c r="BE104" s="165"/>
      <c r="BF104" s="165"/>
      <c r="BG104" s="165"/>
      <c r="BH104" s="165"/>
      <c r="BI104" s="165"/>
      <c r="BJ104" s="165"/>
      <c r="BK104" s="165"/>
      <c r="BL104" s="165"/>
      <c r="BM104" s="165"/>
      <c r="BN104" s="165"/>
      <c r="BO104" s="165"/>
      <c r="BP104" s="165"/>
      <c r="BQ104" s="165"/>
      <c r="BR104" s="165"/>
      <c r="BS104" s="165"/>
      <c r="BT104" s="165"/>
      <c r="BU104" s="165"/>
      <c r="BV104" s="165"/>
      <c r="BW104" s="165"/>
      <c r="BX104" s="165"/>
      <c r="BY104" s="165"/>
      <c r="BZ104" s="165"/>
      <c r="CA104" s="165"/>
      <c r="CB104" s="165"/>
      <c r="CC104" s="165"/>
      <c r="CD104" s="165"/>
      <c r="CE104" s="165"/>
      <c r="CF104" s="165"/>
      <c r="CG104" s="165"/>
      <c r="CH104" s="165"/>
      <c r="CI104" s="165"/>
      <c r="CJ104" s="165"/>
      <c r="CK104" s="165"/>
      <c r="CL104" s="165"/>
      <c r="CM104" s="165"/>
      <c r="CN104" s="165"/>
      <c r="CO104" s="165"/>
      <c r="CP104" s="165"/>
      <c r="CQ104" s="165"/>
    </row>
    <row r="105" spans="2:95" outlineLevel="1" x14ac:dyDescent="0.25">
      <c r="B105" s="156" t="str">
        <f>Table1[[#Headers],[Simulação]]</f>
        <v>Simulação</v>
      </c>
      <c r="C105" s="264" t="str">
        <f t="shared" si="8"/>
        <v>ENTITY_PURE_TRNVR_CE</v>
      </c>
      <c r="D105" s="153" t="s">
        <v>10</v>
      </c>
      <c r="E105" s="153" t="s">
        <v>1447</v>
      </c>
      <c r="G105" s="172">
        <f>INDEX(Table1[[Especificação]:[Total Testes]],MATCH('Planemaneto rev.equipa'!C105,Table1[CONCAT],0),MATCH('Planemaneto rev.equipa'!B105,Table1[[#Headers],[Especificação]:[Total Testes]],0))</f>
        <v>1</v>
      </c>
      <c r="H105" s="191">
        <f t="shared" si="9"/>
        <v>0.13</v>
      </c>
      <c r="I105" s="222"/>
      <c r="J105" s="165"/>
      <c r="K105" s="165"/>
      <c r="L105" s="165"/>
      <c r="M105" s="165"/>
      <c r="N105" s="165"/>
      <c r="O105" s="165"/>
      <c r="P105" s="165"/>
      <c r="Q105" s="165"/>
      <c r="R105" s="252">
        <v>1</v>
      </c>
      <c r="S105" s="165"/>
      <c r="T105" s="165"/>
      <c r="U105" s="165"/>
      <c r="V105" s="165"/>
      <c r="W105" s="165"/>
      <c r="X105" s="165"/>
      <c r="Y105" s="165"/>
      <c r="Z105" s="165"/>
      <c r="AA105" s="165"/>
      <c r="AB105" s="165"/>
      <c r="AC105" s="165"/>
      <c r="AD105" s="165"/>
      <c r="AE105" s="165"/>
      <c r="AF105" s="165"/>
      <c r="AG105" s="165"/>
      <c r="AH105" s="165"/>
      <c r="AI105" s="165"/>
      <c r="AJ105" s="165"/>
      <c r="AK105" s="165"/>
      <c r="AL105" s="165"/>
      <c r="AM105" s="165"/>
      <c r="AN105" s="165"/>
      <c r="AO105" s="165"/>
      <c r="AP105" s="165"/>
      <c r="AQ105" s="165"/>
      <c r="AR105" s="165"/>
      <c r="AS105" s="165"/>
      <c r="AT105" s="165"/>
      <c r="AU105" s="165"/>
      <c r="AV105" s="165"/>
      <c r="AW105" s="165"/>
      <c r="AX105" s="165"/>
      <c r="AY105" s="165"/>
      <c r="AZ105" s="165"/>
      <c r="BA105" s="165"/>
      <c r="BB105" s="165"/>
      <c r="BC105" s="165"/>
      <c r="BD105" s="165"/>
      <c r="BE105" s="165"/>
      <c r="BF105" s="165"/>
      <c r="BG105" s="165"/>
      <c r="BH105" s="165"/>
      <c r="BI105" s="165"/>
      <c r="BJ105" s="165"/>
      <c r="BK105" s="165"/>
      <c r="BL105" s="165"/>
      <c r="BM105" s="165"/>
      <c r="BN105" s="165"/>
      <c r="BO105" s="165"/>
      <c r="BP105" s="165"/>
      <c r="BQ105" s="165"/>
      <c r="BR105" s="165"/>
      <c r="BS105" s="165"/>
      <c r="BT105" s="165"/>
      <c r="BU105" s="165"/>
      <c r="BV105" s="165"/>
      <c r="BW105" s="165"/>
      <c r="BX105" s="165"/>
      <c r="BY105" s="165"/>
      <c r="BZ105" s="165"/>
      <c r="CA105" s="165"/>
      <c r="CB105" s="165"/>
      <c r="CC105" s="165"/>
      <c r="CD105" s="165"/>
      <c r="CE105" s="165"/>
      <c r="CF105" s="165"/>
      <c r="CG105" s="165"/>
      <c r="CH105" s="165"/>
      <c r="CI105" s="165"/>
      <c r="CJ105" s="165"/>
      <c r="CK105" s="165"/>
      <c r="CL105" s="165"/>
      <c r="CM105" s="165"/>
      <c r="CN105" s="165"/>
      <c r="CO105" s="165"/>
      <c r="CP105" s="165"/>
      <c r="CQ105" s="165"/>
    </row>
    <row r="106" spans="2:95" outlineLevel="1" x14ac:dyDescent="0.25">
      <c r="B106" s="156" t="str">
        <f>Table1[[#Headers],[Simulação]]</f>
        <v>Simulação</v>
      </c>
      <c r="C106" s="264" t="str">
        <f t="shared" si="8"/>
        <v>ENTITY_ENBLNG_CAPEX_W</v>
      </c>
      <c r="D106" s="153" t="s">
        <v>10</v>
      </c>
      <c r="E106" s="153" t="s">
        <v>1450</v>
      </c>
      <c r="G106" s="172">
        <f>INDEX(Table1[[Especificação]:[Total Testes]],MATCH('Planemaneto rev.equipa'!C106,Table1[CONCAT],0),MATCH('Planemaneto rev.equipa'!B106,Table1[[#Headers],[Especificação]:[Total Testes]],0))</f>
        <v>1</v>
      </c>
      <c r="H106" s="191">
        <f t="shared" si="9"/>
        <v>0.13</v>
      </c>
      <c r="I106" s="222"/>
      <c r="J106" s="165"/>
      <c r="K106" s="165"/>
      <c r="L106" s="165"/>
      <c r="M106" s="165"/>
      <c r="N106" s="165"/>
      <c r="O106" s="165"/>
      <c r="P106" s="165"/>
      <c r="Q106" s="165"/>
      <c r="R106" s="252">
        <v>1</v>
      </c>
      <c r="S106" s="165"/>
      <c r="T106" s="165"/>
      <c r="U106" s="165"/>
      <c r="V106" s="165"/>
      <c r="W106" s="165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5"/>
      <c r="AJ106" s="165"/>
      <c r="AK106" s="165"/>
      <c r="AL106" s="165"/>
      <c r="AM106" s="165"/>
      <c r="AN106" s="165"/>
      <c r="AO106" s="165"/>
      <c r="AP106" s="165"/>
      <c r="AQ106" s="165"/>
      <c r="AR106" s="165"/>
      <c r="AS106" s="165"/>
      <c r="AT106" s="165"/>
      <c r="AU106" s="165"/>
      <c r="AV106" s="165"/>
      <c r="AW106" s="165"/>
      <c r="AX106" s="165"/>
      <c r="AY106" s="165"/>
      <c r="AZ106" s="165"/>
      <c r="BA106" s="165"/>
      <c r="BB106" s="165"/>
      <c r="BC106" s="165"/>
      <c r="BD106" s="165"/>
      <c r="BE106" s="165"/>
      <c r="BF106" s="165"/>
      <c r="BG106" s="165"/>
      <c r="BH106" s="165"/>
      <c r="BI106" s="165"/>
      <c r="BJ106" s="165"/>
      <c r="BK106" s="165"/>
      <c r="BL106" s="165"/>
      <c r="BM106" s="165"/>
      <c r="BN106" s="165"/>
      <c r="BO106" s="165"/>
      <c r="BP106" s="165"/>
      <c r="BQ106" s="165"/>
      <c r="BR106" s="165"/>
      <c r="BS106" s="165"/>
      <c r="BT106" s="165"/>
      <c r="BU106" s="165"/>
      <c r="BV106" s="165"/>
      <c r="BW106" s="165"/>
      <c r="BX106" s="165"/>
      <c r="BY106" s="165"/>
      <c r="BZ106" s="165"/>
      <c r="CA106" s="165"/>
      <c r="CB106" s="165"/>
      <c r="CC106" s="165"/>
      <c r="CD106" s="165"/>
      <c r="CE106" s="165"/>
      <c r="CF106" s="165"/>
      <c r="CG106" s="165"/>
      <c r="CH106" s="165"/>
      <c r="CI106" s="165"/>
      <c r="CJ106" s="165"/>
      <c r="CK106" s="165"/>
      <c r="CL106" s="165"/>
      <c r="CM106" s="165"/>
      <c r="CN106" s="165"/>
      <c r="CO106" s="165"/>
      <c r="CP106" s="165"/>
      <c r="CQ106" s="165"/>
    </row>
    <row r="107" spans="2:95" outlineLevel="1" x14ac:dyDescent="0.25">
      <c r="B107" s="156" t="str">
        <f>Table1[[#Headers],[Simulação]]</f>
        <v>Simulação</v>
      </c>
      <c r="C107" s="264" t="str">
        <f t="shared" si="8"/>
        <v>ENTITY_ENBLNG_TRNVR_W</v>
      </c>
      <c r="D107" s="153" t="s">
        <v>10</v>
      </c>
      <c r="E107" s="153" t="s">
        <v>1453</v>
      </c>
      <c r="G107" s="172">
        <f>INDEX(Table1[[Especificação]:[Total Testes]],MATCH('Planemaneto rev.equipa'!C107,Table1[CONCAT],0),MATCH('Planemaneto rev.equipa'!B107,Table1[[#Headers],[Especificação]:[Total Testes]],0))</f>
        <v>1</v>
      </c>
      <c r="H107" s="191">
        <f t="shared" si="9"/>
        <v>0.13</v>
      </c>
      <c r="I107" s="222"/>
      <c r="J107" s="165"/>
      <c r="K107" s="165"/>
      <c r="L107" s="165"/>
      <c r="M107" s="165"/>
      <c r="N107" s="165"/>
      <c r="O107" s="165"/>
      <c r="P107" s="165"/>
      <c r="Q107" s="165"/>
      <c r="R107" s="252">
        <v>1</v>
      </c>
      <c r="S107" s="165"/>
      <c r="T107" s="165"/>
      <c r="U107" s="165"/>
      <c r="V107" s="165"/>
      <c r="W107" s="165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5"/>
      <c r="AJ107" s="165"/>
      <c r="AK107" s="165"/>
      <c r="AL107" s="165"/>
      <c r="AM107" s="165"/>
      <c r="AN107" s="165"/>
      <c r="AO107" s="165"/>
      <c r="AP107" s="165"/>
      <c r="AQ107" s="165"/>
      <c r="AR107" s="165"/>
      <c r="AS107" s="165"/>
      <c r="AT107" s="165"/>
      <c r="AU107" s="165"/>
      <c r="AV107" s="165"/>
      <c r="AW107" s="165"/>
      <c r="AX107" s="165"/>
      <c r="AY107" s="165"/>
      <c r="AZ107" s="165"/>
      <c r="BA107" s="165"/>
      <c r="BB107" s="165"/>
      <c r="BC107" s="165"/>
      <c r="BD107" s="165"/>
      <c r="BE107" s="165"/>
      <c r="BF107" s="165"/>
      <c r="BG107" s="165"/>
      <c r="BH107" s="165"/>
      <c r="BI107" s="165"/>
      <c r="BJ107" s="165"/>
      <c r="BK107" s="165"/>
      <c r="BL107" s="165"/>
      <c r="BM107" s="165"/>
      <c r="BN107" s="165"/>
      <c r="BO107" s="165"/>
      <c r="BP107" s="165"/>
      <c r="BQ107" s="165"/>
      <c r="BR107" s="165"/>
      <c r="BS107" s="165"/>
      <c r="BT107" s="165"/>
      <c r="BU107" s="165"/>
      <c r="BV107" s="165"/>
      <c r="BW107" s="165"/>
      <c r="BX107" s="165"/>
      <c r="BY107" s="165"/>
      <c r="BZ107" s="165"/>
      <c r="CA107" s="165"/>
      <c r="CB107" s="165"/>
      <c r="CC107" s="165"/>
      <c r="CD107" s="165"/>
      <c r="CE107" s="165"/>
      <c r="CF107" s="165"/>
      <c r="CG107" s="165"/>
      <c r="CH107" s="165"/>
      <c r="CI107" s="165"/>
      <c r="CJ107" s="165"/>
      <c r="CK107" s="165"/>
      <c r="CL107" s="165"/>
      <c r="CM107" s="165"/>
      <c r="CN107" s="165"/>
      <c r="CO107" s="165"/>
      <c r="CP107" s="165"/>
      <c r="CQ107" s="165"/>
    </row>
    <row r="108" spans="2:95" outlineLevel="1" x14ac:dyDescent="0.25">
      <c r="B108" s="156" t="str">
        <f>Table1[[#Headers],[Simulação]]</f>
        <v>Simulação</v>
      </c>
      <c r="C108" s="264" t="str">
        <f t="shared" si="8"/>
        <v>ENTITY_ENBLNG_CAPEX_CE</v>
      </c>
      <c r="D108" s="153" t="s">
        <v>10</v>
      </c>
      <c r="E108" s="153" t="s">
        <v>1456</v>
      </c>
      <c r="G108" s="172">
        <f>INDEX(Table1[[Especificação]:[Total Testes]],MATCH('Planemaneto rev.equipa'!C108,Table1[CONCAT],0),MATCH('Planemaneto rev.equipa'!B108,Table1[[#Headers],[Especificação]:[Total Testes]],0))</f>
        <v>1</v>
      </c>
      <c r="H108" s="191">
        <f t="shared" si="9"/>
        <v>0.13</v>
      </c>
      <c r="I108" s="222"/>
      <c r="J108" s="165"/>
      <c r="K108" s="165"/>
      <c r="L108" s="165"/>
      <c r="M108" s="165"/>
      <c r="N108" s="165"/>
      <c r="O108" s="165"/>
      <c r="P108" s="165"/>
      <c r="Q108" s="165"/>
      <c r="R108" s="252">
        <v>1</v>
      </c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  <c r="AE108" s="165"/>
      <c r="AF108" s="165"/>
      <c r="AG108" s="165"/>
      <c r="AH108" s="165"/>
      <c r="AI108" s="165"/>
      <c r="AJ108" s="165"/>
      <c r="AK108" s="165"/>
      <c r="AL108" s="165"/>
      <c r="AM108" s="165"/>
      <c r="AN108" s="165"/>
      <c r="AO108" s="165"/>
      <c r="AP108" s="165"/>
      <c r="AQ108" s="165"/>
      <c r="AR108" s="165"/>
      <c r="AS108" s="165"/>
      <c r="AT108" s="165"/>
      <c r="AU108" s="165"/>
      <c r="AV108" s="165"/>
      <c r="AW108" s="165"/>
      <c r="AX108" s="165"/>
      <c r="AY108" s="165"/>
      <c r="AZ108" s="165"/>
      <c r="BA108" s="165"/>
      <c r="BB108" s="165"/>
      <c r="BC108" s="165"/>
      <c r="BD108" s="165"/>
      <c r="BE108" s="165"/>
      <c r="BF108" s="165"/>
      <c r="BG108" s="165"/>
      <c r="BH108" s="165"/>
      <c r="BI108" s="165"/>
      <c r="BJ108" s="165"/>
      <c r="BK108" s="165"/>
      <c r="BL108" s="165"/>
      <c r="BM108" s="165"/>
      <c r="BN108" s="165"/>
      <c r="BO108" s="165"/>
      <c r="BP108" s="165"/>
      <c r="BQ108" s="165"/>
      <c r="BR108" s="165"/>
      <c r="BS108" s="165"/>
      <c r="BT108" s="165"/>
      <c r="BU108" s="165"/>
      <c r="BV108" s="165"/>
      <c r="BW108" s="165"/>
      <c r="BX108" s="165"/>
      <c r="BY108" s="165"/>
      <c r="BZ108" s="165"/>
      <c r="CA108" s="165"/>
      <c r="CB108" s="165"/>
      <c r="CC108" s="165"/>
      <c r="CD108" s="165"/>
      <c r="CE108" s="165"/>
      <c r="CF108" s="165"/>
      <c r="CG108" s="165"/>
      <c r="CH108" s="165"/>
      <c r="CI108" s="165"/>
      <c r="CJ108" s="165"/>
      <c r="CK108" s="165"/>
      <c r="CL108" s="165"/>
      <c r="CM108" s="165"/>
      <c r="CN108" s="165"/>
      <c r="CO108" s="165"/>
      <c r="CP108" s="165"/>
      <c r="CQ108" s="165"/>
    </row>
    <row r="109" spans="2:95" outlineLevel="1" x14ac:dyDescent="0.25">
      <c r="B109" s="156" t="str">
        <f>Table1[[#Headers],[Simulação]]</f>
        <v>Simulação</v>
      </c>
      <c r="C109" s="264" t="str">
        <f t="shared" si="8"/>
        <v>ENTITY_ENBLNG_TRNVR_CE</v>
      </c>
      <c r="D109" s="153" t="s">
        <v>10</v>
      </c>
      <c r="E109" s="153" t="s">
        <v>1459</v>
      </c>
      <c r="G109" s="172">
        <f>INDEX(Table1[[Especificação]:[Total Testes]],MATCH('Planemaneto rev.equipa'!C109,Table1[CONCAT],0),MATCH('Planemaneto rev.equipa'!B109,Table1[[#Headers],[Especificação]:[Total Testes]],0))</f>
        <v>1</v>
      </c>
      <c r="H109" s="191">
        <f t="shared" si="9"/>
        <v>0.13</v>
      </c>
      <c r="I109" s="222"/>
      <c r="J109" s="165"/>
      <c r="K109" s="165"/>
      <c r="L109" s="165"/>
      <c r="M109" s="165"/>
      <c r="N109" s="165"/>
      <c r="O109" s="165"/>
      <c r="P109" s="165"/>
      <c r="Q109" s="165"/>
      <c r="R109" s="252">
        <v>1</v>
      </c>
      <c r="S109" s="165"/>
      <c r="T109" s="165"/>
      <c r="U109" s="165"/>
      <c r="V109" s="165"/>
      <c r="W109" s="165"/>
      <c r="X109" s="165"/>
      <c r="Y109" s="165"/>
      <c r="Z109" s="165"/>
      <c r="AA109" s="165"/>
      <c r="AB109" s="165"/>
      <c r="AC109" s="165"/>
      <c r="AD109" s="165"/>
      <c r="AE109" s="165"/>
      <c r="AF109" s="165"/>
      <c r="AG109" s="165"/>
      <c r="AH109" s="165"/>
      <c r="AI109" s="165"/>
      <c r="AJ109" s="165"/>
      <c r="AK109" s="165"/>
      <c r="AL109" s="165"/>
      <c r="AM109" s="165"/>
      <c r="AN109" s="165"/>
      <c r="AO109" s="165"/>
      <c r="AP109" s="165"/>
      <c r="AQ109" s="165"/>
      <c r="AR109" s="165"/>
      <c r="AS109" s="165"/>
      <c r="AT109" s="165"/>
      <c r="AU109" s="165"/>
      <c r="AV109" s="165"/>
      <c r="AW109" s="165"/>
      <c r="AX109" s="165"/>
      <c r="AY109" s="165"/>
      <c r="AZ109" s="165"/>
      <c r="BA109" s="165"/>
      <c r="BB109" s="165"/>
      <c r="BC109" s="165"/>
      <c r="BD109" s="165"/>
      <c r="BE109" s="165"/>
      <c r="BF109" s="165"/>
      <c r="BG109" s="165"/>
      <c r="BH109" s="165"/>
      <c r="BI109" s="165"/>
      <c r="BJ109" s="165"/>
      <c r="BK109" s="165"/>
      <c r="BL109" s="165"/>
      <c r="BM109" s="165"/>
      <c r="BN109" s="165"/>
      <c r="BO109" s="165"/>
      <c r="BP109" s="165"/>
      <c r="BQ109" s="165"/>
      <c r="BR109" s="165"/>
      <c r="BS109" s="165"/>
      <c r="BT109" s="165"/>
      <c r="BU109" s="165"/>
      <c r="BV109" s="165"/>
      <c r="BW109" s="165"/>
      <c r="BX109" s="165"/>
      <c r="BY109" s="165"/>
      <c r="BZ109" s="165"/>
      <c r="CA109" s="165"/>
      <c r="CB109" s="165"/>
      <c r="CC109" s="165"/>
      <c r="CD109" s="165"/>
      <c r="CE109" s="165"/>
      <c r="CF109" s="165"/>
      <c r="CG109" s="165"/>
      <c r="CH109" s="165"/>
      <c r="CI109" s="165"/>
      <c r="CJ109" s="165"/>
      <c r="CK109" s="165"/>
      <c r="CL109" s="165"/>
      <c r="CM109" s="165"/>
      <c r="CN109" s="165"/>
      <c r="CO109" s="165"/>
      <c r="CP109" s="165"/>
      <c r="CQ109" s="165"/>
    </row>
    <row r="110" spans="2:95" outlineLevel="1" x14ac:dyDescent="0.25">
      <c r="B110" s="156" t="str">
        <f>Table1[[#Headers],[Simulação]]</f>
        <v>Simulação</v>
      </c>
      <c r="C110" s="263" t="str">
        <f t="shared" si="8"/>
        <v>PROTECTION_PRMRY_ENRGY_DMND_NN_RNWBL</v>
      </c>
      <c r="D110" s="153" t="s">
        <v>1114</v>
      </c>
      <c r="E110" s="153" t="s">
        <v>1521</v>
      </c>
      <c r="G110" s="172">
        <f>INDEX(Table1[[Especificação]:[Total Testes]],MATCH('Planemaneto rev.equipa'!C110,Table1[CONCAT],0),MATCH('Planemaneto rev.equipa'!B110,Table1[[#Headers],[Especificação]:[Total Testes]],0))</f>
        <v>8</v>
      </c>
      <c r="H110" s="191">
        <f t="shared" si="9"/>
        <v>1</v>
      </c>
      <c r="I110" s="222"/>
      <c r="J110" s="165"/>
      <c r="K110" s="165"/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165"/>
      <c r="AD110" s="165"/>
      <c r="AE110" s="165"/>
      <c r="AF110" s="259">
        <v>1</v>
      </c>
      <c r="AG110" s="165"/>
      <c r="AH110" s="165"/>
      <c r="AI110" s="165"/>
      <c r="AJ110" s="165"/>
      <c r="AK110" s="165"/>
      <c r="AL110" s="165"/>
      <c r="AM110" s="165"/>
      <c r="AN110" s="165"/>
      <c r="AO110" s="165"/>
      <c r="AP110" s="165"/>
      <c r="AQ110" s="165"/>
      <c r="AR110" s="165"/>
      <c r="AS110" s="165"/>
      <c r="AT110" s="165"/>
      <c r="AU110" s="165"/>
      <c r="AV110" s="165"/>
      <c r="AW110" s="165"/>
      <c r="AX110" s="165"/>
      <c r="AY110" s="165"/>
      <c r="AZ110" s="165"/>
      <c r="BA110" s="165"/>
      <c r="BB110" s="165"/>
      <c r="BC110" s="165"/>
      <c r="BD110" s="165"/>
      <c r="BE110" s="165"/>
      <c r="BF110" s="165"/>
      <c r="BG110" s="165"/>
      <c r="BH110" s="165"/>
      <c r="BI110" s="165"/>
      <c r="BJ110" s="165"/>
      <c r="BK110" s="165"/>
      <c r="BL110" s="165"/>
      <c r="BM110" s="165"/>
      <c r="BN110" s="165"/>
      <c r="BO110" s="165"/>
      <c r="BP110" s="165"/>
      <c r="BQ110" s="165"/>
      <c r="BR110" s="165"/>
      <c r="BS110" s="165"/>
      <c r="BT110" s="165"/>
      <c r="BU110" s="165"/>
      <c r="BV110" s="165"/>
      <c r="BW110" s="165"/>
      <c r="BX110" s="165"/>
      <c r="BY110" s="165"/>
      <c r="BZ110" s="165"/>
      <c r="CA110" s="165"/>
      <c r="CB110" s="165"/>
      <c r="CC110" s="165"/>
      <c r="CD110" s="165"/>
      <c r="CE110" s="165"/>
      <c r="CF110" s="165"/>
      <c r="CG110" s="165"/>
      <c r="CH110" s="165"/>
      <c r="CI110" s="165"/>
      <c r="CJ110" s="165"/>
      <c r="CK110" s="165"/>
      <c r="CL110" s="165"/>
      <c r="CM110" s="165"/>
      <c r="CN110" s="165"/>
      <c r="CO110" s="165"/>
      <c r="CP110" s="165"/>
      <c r="CQ110" s="165"/>
    </row>
    <row r="111" spans="2:95" outlineLevel="1" x14ac:dyDescent="0.25">
      <c r="B111" s="156" t="str">
        <f>Table1[[#Headers],[Simulação]]</f>
        <v>Simulação</v>
      </c>
      <c r="C111" s="263" t="str">
        <f t="shared" si="8"/>
        <v>PROTECTION_PRMRY_ENRGY_DMND_TTL</v>
      </c>
      <c r="D111" s="153" t="s">
        <v>1114</v>
      </c>
      <c r="E111" s="153" t="s">
        <v>1524</v>
      </c>
      <c r="G111" s="172">
        <f>INDEX(Table1[[Especificação]:[Total Testes]],MATCH('Planemaneto rev.equipa'!C111,Table1[CONCAT],0),MATCH('Planemaneto rev.equipa'!B111,Table1[[#Headers],[Especificação]:[Total Testes]],0))</f>
        <v>6</v>
      </c>
      <c r="H111" s="191">
        <f t="shared" si="9"/>
        <v>0.75</v>
      </c>
      <c r="I111" s="222"/>
      <c r="J111" s="165"/>
      <c r="K111" s="165"/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  <c r="AC111" s="165"/>
      <c r="AD111" s="165"/>
      <c r="AE111" s="165"/>
      <c r="AF111" s="259">
        <v>1</v>
      </c>
      <c r="AG111" s="165"/>
      <c r="AH111" s="165"/>
      <c r="AI111" s="165"/>
      <c r="AJ111" s="165"/>
      <c r="AK111" s="165"/>
      <c r="AL111" s="165"/>
      <c r="AM111" s="165"/>
      <c r="AN111" s="165"/>
      <c r="AO111" s="165"/>
      <c r="AP111" s="165"/>
      <c r="AQ111" s="165"/>
      <c r="AR111" s="165"/>
      <c r="AS111" s="165"/>
      <c r="AT111" s="165"/>
      <c r="AU111" s="165"/>
      <c r="AV111" s="165"/>
      <c r="AW111" s="165"/>
      <c r="AX111" s="165"/>
      <c r="AY111" s="165"/>
      <c r="AZ111" s="165"/>
      <c r="BA111" s="165"/>
      <c r="BB111" s="165"/>
      <c r="BC111" s="165"/>
      <c r="BD111" s="165"/>
      <c r="BE111" s="165"/>
      <c r="BF111" s="165"/>
      <c r="BG111" s="165"/>
      <c r="BH111" s="165"/>
      <c r="BI111" s="165"/>
      <c r="BJ111" s="165"/>
      <c r="BK111" s="165"/>
      <c r="BL111" s="165"/>
      <c r="BM111" s="165"/>
      <c r="BN111" s="165"/>
      <c r="BO111" s="165"/>
      <c r="BP111" s="165"/>
      <c r="BQ111" s="165"/>
      <c r="BR111" s="165"/>
      <c r="BS111" s="165"/>
      <c r="BT111" s="165"/>
      <c r="BU111" s="165"/>
      <c r="BV111" s="165"/>
      <c r="BW111" s="165"/>
      <c r="BX111" s="165"/>
      <c r="BY111" s="165"/>
      <c r="BZ111" s="165"/>
      <c r="CA111" s="165"/>
      <c r="CB111" s="165"/>
      <c r="CC111" s="165"/>
      <c r="CD111" s="165"/>
      <c r="CE111" s="165"/>
      <c r="CF111" s="165"/>
      <c r="CG111" s="165"/>
      <c r="CH111" s="165"/>
      <c r="CI111" s="165"/>
      <c r="CJ111" s="165"/>
      <c r="CK111" s="165"/>
      <c r="CL111" s="165"/>
      <c r="CM111" s="165"/>
      <c r="CN111" s="165"/>
      <c r="CO111" s="165"/>
      <c r="CP111" s="165"/>
      <c r="CQ111" s="165"/>
    </row>
    <row r="112" spans="2:95" outlineLevel="1" x14ac:dyDescent="0.25">
      <c r="B112" s="156" t="str">
        <f>Table1[[#Headers],[Simulação]]</f>
        <v>Simulação</v>
      </c>
      <c r="C112" s="263" t="str">
        <f t="shared" si="8"/>
        <v>PROTECTION_PRMRY_ENRGY_DMND_RFRNC_VL</v>
      </c>
      <c r="D112" s="153" t="s">
        <v>1114</v>
      </c>
      <c r="E112" s="153" t="s">
        <v>1527</v>
      </c>
      <c r="G112" s="172">
        <f>INDEX(Table1[[Especificação]:[Total Testes]],MATCH('Planemaneto rev.equipa'!C112,Table1[CONCAT],0),MATCH('Planemaneto rev.equipa'!B112,Table1[[#Headers],[Especificação]:[Total Testes]],0))</f>
        <v>6</v>
      </c>
      <c r="H112" s="191">
        <f t="shared" si="9"/>
        <v>0.75</v>
      </c>
      <c r="I112" s="222"/>
      <c r="J112" s="165"/>
      <c r="K112" s="165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  <c r="AA112" s="165"/>
      <c r="AB112" s="165"/>
      <c r="AC112" s="165"/>
      <c r="AD112" s="165"/>
      <c r="AE112" s="165"/>
      <c r="AF112" s="259">
        <v>1</v>
      </c>
      <c r="AG112" s="165"/>
      <c r="AH112" s="165"/>
      <c r="AI112" s="165"/>
      <c r="AJ112" s="165"/>
      <c r="AK112" s="165"/>
      <c r="AL112" s="165"/>
      <c r="AM112" s="165"/>
      <c r="AN112" s="165"/>
      <c r="AO112" s="165"/>
      <c r="AP112" s="165"/>
      <c r="AQ112" s="165"/>
      <c r="AR112" s="165"/>
      <c r="AS112" s="165"/>
      <c r="AT112" s="165"/>
      <c r="AU112" s="165"/>
      <c r="AV112" s="165"/>
      <c r="AW112" s="165"/>
      <c r="AX112" s="165"/>
      <c r="AY112" s="165"/>
      <c r="AZ112" s="165"/>
      <c r="BA112" s="165"/>
      <c r="BB112" s="165"/>
      <c r="BC112" s="165"/>
      <c r="BD112" s="165"/>
      <c r="BE112" s="165"/>
      <c r="BF112" s="165"/>
      <c r="BG112" s="165"/>
      <c r="BH112" s="165"/>
      <c r="BI112" s="165"/>
      <c r="BJ112" s="165"/>
      <c r="BK112" s="165"/>
      <c r="BL112" s="165"/>
      <c r="BM112" s="165"/>
      <c r="BN112" s="165"/>
      <c r="BO112" s="165"/>
      <c r="BP112" s="165"/>
      <c r="BQ112" s="165"/>
      <c r="BR112" s="165"/>
      <c r="BS112" s="165"/>
      <c r="BT112" s="165"/>
      <c r="BU112" s="165"/>
      <c r="BV112" s="165"/>
      <c r="BW112" s="165"/>
      <c r="BX112" s="165"/>
      <c r="BY112" s="165"/>
      <c r="BZ112" s="165"/>
      <c r="CA112" s="165"/>
      <c r="CB112" s="165"/>
      <c r="CC112" s="165"/>
      <c r="CD112" s="165"/>
      <c r="CE112" s="165"/>
      <c r="CF112" s="165"/>
      <c r="CG112" s="165"/>
      <c r="CH112" s="165"/>
      <c r="CI112" s="165"/>
      <c r="CJ112" s="165"/>
      <c r="CK112" s="165"/>
      <c r="CL112" s="165"/>
      <c r="CM112" s="165"/>
      <c r="CN112" s="165"/>
      <c r="CO112" s="165"/>
      <c r="CP112" s="165"/>
      <c r="CQ112" s="165"/>
    </row>
    <row r="113" spans="1:95" outlineLevel="1" x14ac:dyDescent="0.25">
      <c r="B113" s="156" t="str">
        <f>Table1[[#Headers],[Simulação]]</f>
        <v>Simulação</v>
      </c>
      <c r="C113" s="261" t="str">
        <f t="shared" si="8"/>
        <v>PROTECTION_RL_ESTT_CLMT_ZN</v>
      </c>
      <c r="D113" s="153" t="s">
        <v>1114</v>
      </c>
      <c r="E113" s="153" t="s">
        <v>1530</v>
      </c>
      <c r="G113" s="172">
        <f>INDEX(Table1[[Especificação]:[Total Testes]],MATCH('Planemaneto rev.equipa'!C113,Table1[CONCAT],0),MATCH('Planemaneto rev.equipa'!B113,Table1[[#Headers],[Especificação]:[Total Testes]],0))</f>
        <v>6</v>
      </c>
      <c r="H113" s="191">
        <f t="shared" si="9"/>
        <v>0.75</v>
      </c>
      <c r="I113" s="222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260">
        <v>1</v>
      </c>
      <c r="AH113" s="165"/>
      <c r="AI113" s="165"/>
      <c r="AJ113" s="165"/>
      <c r="AK113" s="165"/>
      <c r="AL113" s="165"/>
      <c r="AM113" s="165"/>
      <c r="AN113" s="165"/>
      <c r="AO113" s="165"/>
      <c r="AP113" s="165"/>
      <c r="AQ113" s="165"/>
      <c r="AR113" s="165"/>
      <c r="AS113" s="165"/>
      <c r="AT113" s="165"/>
      <c r="AU113" s="165"/>
      <c r="AV113" s="165"/>
      <c r="AW113" s="165"/>
      <c r="AX113" s="165"/>
      <c r="AY113" s="165"/>
      <c r="AZ113" s="165"/>
      <c r="BA113" s="165"/>
      <c r="BB113" s="165"/>
      <c r="BC113" s="165"/>
      <c r="BD113" s="165"/>
      <c r="BE113" s="165"/>
      <c r="BF113" s="165"/>
      <c r="BG113" s="165"/>
      <c r="BH113" s="165"/>
      <c r="BI113" s="165"/>
      <c r="BJ113" s="165"/>
      <c r="BK113" s="165"/>
      <c r="BL113" s="165"/>
      <c r="BM113" s="165"/>
      <c r="BN113" s="165"/>
      <c r="BO113" s="165"/>
      <c r="BP113" s="165"/>
      <c r="BQ113" s="165"/>
      <c r="BR113" s="165"/>
      <c r="BS113" s="165"/>
      <c r="BT113" s="165"/>
      <c r="BU113" s="165"/>
      <c r="BV113" s="165"/>
      <c r="BW113" s="165"/>
      <c r="BX113" s="165"/>
      <c r="BY113" s="165"/>
      <c r="BZ113" s="165"/>
      <c r="CA113" s="165"/>
      <c r="CB113" s="165"/>
      <c r="CC113" s="165"/>
      <c r="CD113" s="165"/>
      <c r="CE113" s="165"/>
      <c r="CF113" s="165"/>
      <c r="CG113" s="165"/>
      <c r="CH113" s="165"/>
      <c r="CI113" s="165"/>
      <c r="CJ113" s="165"/>
      <c r="CK113" s="165"/>
      <c r="CL113" s="165"/>
      <c r="CM113" s="165"/>
      <c r="CN113" s="165"/>
      <c r="CO113" s="165"/>
      <c r="CP113" s="165"/>
      <c r="CQ113" s="165"/>
    </row>
    <row r="114" spans="1:95" outlineLevel="1" x14ac:dyDescent="0.25">
      <c r="B114" s="156" t="str">
        <f>Table1[[#Headers],[Simulação]]</f>
        <v>Simulação</v>
      </c>
      <c r="C114" s="255" t="str">
        <f t="shared" si="8"/>
        <v>INSTR_ACTIVITY_FLG_SBSTNTL_CNTRBTN</v>
      </c>
      <c r="D114" s="153" t="s">
        <v>1542</v>
      </c>
      <c r="E114" s="153" t="s">
        <v>1554</v>
      </c>
      <c r="G114" s="172">
        <f>INDEX(Table1[[Especificação]:[Total Testes]],MATCH('Planemaneto rev.equipa'!C114,Table1[CONCAT],0),MATCH('Planemaneto rev.equipa'!B114,Table1[[#Headers],[Especificação]:[Total Testes]],0))</f>
        <v>3</v>
      </c>
      <c r="H114" s="191">
        <f t="shared" si="9"/>
        <v>0.38</v>
      </c>
      <c r="I114" s="222"/>
      <c r="J114" s="165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258">
        <v>1</v>
      </c>
      <c r="X114" s="165"/>
      <c r="Y114" s="165"/>
      <c r="Z114" s="165"/>
      <c r="AA114" s="165"/>
      <c r="AB114" s="165"/>
      <c r="AC114" s="165"/>
      <c r="AD114" s="165"/>
      <c r="AE114" s="165"/>
      <c r="AF114" s="165"/>
      <c r="AG114" s="165"/>
      <c r="AH114" s="165"/>
      <c r="AI114" s="165"/>
      <c r="AJ114" s="165"/>
      <c r="AK114" s="165"/>
      <c r="AL114" s="165"/>
      <c r="AM114" s="165"/>
      <c r="AN114" s="165"/>
      <c r="AO114" s="165"/>
      <c r="AP114" s="165"/>
      <c r="AQ114" s="165"/>
      <c r="AR114" s="165"/>
      <c r="AS114" s="165"/>
      <c r="AT114" s="165"/>
      <c r="AU114" s="165"/>
      <c r="AV114" s="165"/>
      <c r="AW114" s="165"/>
      <c r="AX114" s="165"/>
      <c r="AY114" s="165"/>
      <c r="AZ114" s="165"/>
      <c r="BA114" s="165"/>
      <c r="BB114" s="165"/>
      <c r="BC114" s="165"/>
      <c r="BD114" s="165"/>
      <c r="BE114" s="165"/>
      <c r="BF114" s="165"/>
      <c r="BG114" s="165"/>
      <c r="BH114" s="165"/>
      <c r="BI114" s="165"/>
      <c r="BJ114" s="165"/>
      <c r="BK114" s="165"/>
      <c r="BL114" s="165"/>
      <c r="BM114" s="165"/>
      <c r="BN114" s="165"/>
      <c r="BO114" s="165"/>
      <c r="BP114" s="165"/>
      <c r="BQ114" s="165"/>
      <c r="BR114" s="165"/>
      <c r="BS114" s="165"/>
      <c r="BT114" s="165"/>
      <c r="BU114" s="165"/>
      <c r="BV114" s="165"/>
      <c r="BW114" s="165"/>
      <c r="BX114" s="165"/>
      <c r="BY114" s="165"/>
      <c r="BZ114" s="165"/>
      <c r="CA114" s="165"/>
      <c r="CB114" s="165"/>
      <c r="CC114" s="165"/>
      <c r="CD114" s="165"/>
      <c r="CE114" s="165"/>
      <c r="CF114" s="165"/>
      <c r="CG114" s="165"/>
      <c r="CH114" s="165"/>
      <c r="CI114" s="165"/>
      <c r="CJ114" s="165"/>
      <c r="CK114" s="165"/>
      <c r="CL114" s="165"/>
      <c r="CM114" s="165"/>
      <c r="CN114" s="165"/>
      <c r="CO114" s="165"/>
      <c r="CP114" s="165"/>
      <c r="CQ114" s="165"/>
    </row>
    <row r="115" spans="1:95" outlineLevel="1" x14ac:dyDescent="0.25">
      <c r="B115" s="156" t="str">
        <f>Table1[[#Headers],[Simulação]]</f>
        <v>Simulação</v>
      </c>
      <c r="C115" s="261" t="str">
        <f t="shared" si="8"/>
        <v>ENTITY_GRP_ECNMC_ACTVTY</v>
      </c>
      <c r="D115" s="153" t="s">
        <v>10</v>
      </c>
      <c r="E115" s="153" t="s">
        <v>382</v>
      </c>
      <c r="G115" s="172">
        <f>INDEX(Table1[[Especificação]:[Total Testes]],MATCH('Planemaneto rev.equipa'!C115,Table1[CONCAT],0),MATCH('Planemaneto rev.equipa'!B115,Table1[[#Headers],[Especificação]:[Total Testes]],0))</f>
        <v>1.5</v>
      </c>
      <c r="H115" s="191">
        <f t="shared" si="9"/>
        <v>0.19</v>
      </c>
      <c r="I115" s="222"/>
      <c r="J115" s="165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  <c r="AA115" s="165"/>
      <c r="AB115" s="165"/>
      <c r="AC115" s="165"/>
      <c r="AD115" s="260">
        <v>1</v>
      </c>
      <c r="AE115" s="165"/>
      <c r="AF115" s="165"/>
      <c r="AG115" s="165"/>
      <c r="AH115" s="165"/>
      <c r="AI115" s="165"/>
      <c r="AJ115" s="165"/>
      <c r="AK115" s="165"/>
      <c r="AL115" s="165"/>
      <c r="AM115" s="165"/>
      <c r="AN115" s="165"/>
      <c r="AO115" s="165"/>
      <c r="AP115" s="165"/>
      <c r="AQ115" s="165"/>
      <c r="AR115" s="165"/>
      <c r="AS115" s="165"/>
      <c r="AT115" s="165"/>
      <c r="AU115" s="165"/>
      <c r="AV115" s="165"/>
      <c r="AW115" s="165"/>
      <c r="AX115" s="165"/>
      <c r="AY115" s="165"/>
      <c r="AZ115" s="165"/>
      <c r="BA115" s="165"/>
      <c r="BB115" s="165"/>
      <c r="BC115" s="165"/>
      <c r="BD115" s="165"/>
      <c r="BE115" s="165"/>
      <c r="BF115" s="165"/>
      <c r="BG115" s="165"/>
      <c r="BH115" s="165"/>
      <c r="BI115" s="165"/>
      <c r="BJ115" s="165"/>
      <c r="BK115" s="165"/>
      <c r="BL115" s="165"/>
      <c r="BM115" s="165"/>
      <c r="BN115" s="165"/>
      <c r="BO115" s="165"/>
      <c r="BP115" s="165"/>
      <c r="BQ115" s="165"/>
      <c r="BR115" s="165"/>
      <c r="BS115" s="165"/>
      <c r="BT115" s="165"/>
      <c r="BU115" s="165"/>
      <c r="BV115" s="165"/>
      <c r="BW115" s="165"/>
      <c r="BX115" s="165"/>
      <c r="BY115" s="165"/>
      <c r="BZ115" s="165"/>
      <c r="CA115" s="165"/>
      <c r="CB115" s="165"/>
      <c r="CC115" s="165"/>
      <c r="CD115" s="165"/>
      <c r="CE115" s="165"/>
      <c r="CF115" s="165"/>
      <c r="CG115" s="165"/>
      <c r="CH115" s="165"/>
      <c r="CI115" s="165"/>
      <c r="CJ115" s="165"/>
      <c r="CK115" s="165"/>
      <c r="CL115" s="165"/>
      <c r="CM115" s="165"/>
      <c r="CN115" s="165"/>
      <c r="CO115" s="165"/>
      <c r="CP115" s="165"/>
      <c r="CQ115" s="165"/>
    </row>
    <row r="116" spans="1:95" outlineLevel="1" x14ac:dyDescent="0.25">
      <c r="B116" s="156" t="str">
        <f>Table1[[#Headers],[Simulação]]</f>
        <v>Simulação</v>
      </c>
      <c r="C116" s="262" t="str">
        <f t="shared" si="8"/>
        <v>INSTR_ACTIVITY_COD_SOC</v>
      </c>
      <c r="D116" s="153" t="s">
        <v>1542</v>
      </c>
      <c r="E116" s="153" t="s">
        <v>12</v>
      </c>
      <c r="G116" s="172">
        <f>INDEX(Table1[[Especificação]:[Total Testes]],MATCH('Planemaneto rev.equipa'!C116,Table1[CONCAT],0),MATCH('Planemaneto rev.equipa'!B116,Table1[[#Headers],[Especificação]:[Total Testes]],0))</f>
        <v>1</v>
      </c>
      <c r="H116" s="191">
        <f t="shared" si="9"/>
        <v>0.13</v>
      </c>
      <c r="I116" s="222"/>
      <c r="J116" s="165"/>
      <c r="K116" s="165"/>
      <c r="L116" s="165"/>
      <c r="M116" s="165"/>
      <c r="N116" s="165"/>
      <c r="O116" s="165"/>
      <c r="P116" s="258">
        <v>1</v>
      </c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  <c r="AC116" s="165"/>
      <c r="AD116" s="165"/>
      <c r="AE116" s="165"/>
      <c r="AF116" s="165"/>
      <c r="AG116" s="165"/>
      <c r="AH116" s="165"/>
      <c r="AI116" s="165"/>
      <c r="AJ116" s="165"/>
      <c r="AK116" s="165"/>
      <c r="AL116" s="165"/>
      <c r="AM116" s="165"/>
      <c r="AN116" s="165"/>
      <c r="AO116" s="165"/>
      <c r="AP116" s="165"/>
      <c r="AQ116" s="165"/>
      <c r="AR116" s="165"/>
      <c r="AS116" s="165"/>
      <c r="AT116" s="165"/>
      <c r="AU116" s="165"/>
      <c r="AV116" s="165"/>
      <c r="AW116" s="165"/>
      <c r="AX116" s="165"/>
      <c r="AY116" s="165"/>
      <c r="AZ116" s="165"/>
      <c r="BA116" s="165"/>
      <c r="BB116" s="165"/>
      <c r="BC116" s="165"/>
      <c r="BD116" s="165"/>
      <c r="BE116" s="165"/>
      <c r="BF116" s="165"/>
      <c r="BG116" s="165"/>
      <c r="BH116" s="165"/>
      <c r="BI116" s="165"/>
      <c r="BJ116" s="165"/>
      <c r="BK116" s="165"/>
      <c r="BL116" s="165"/>
      <c r="BM116" s="165"/>
      <c r="BN116" s="165"/>
      <c r="BO116" s="165"/>
      <c r="BP116" s="165"/>
      <c r="BQ116" s="165"/>
      <c r="BR116" s="165"/>
      <c r="BS116" s="165"/>
      <c r="BT116" s="165"/>
      <c r="BU116" s="165"/>
      <c r="BV116" s="165"/>
      <c r="BW116" s="165"/>
      <c r="BX116" s="165"/>
      <c r="BY116" s="165"/>
      <c r="BZ116" s="165"/>
      <c r="CA116" s="165"/>
      <c r="CB116" s="165"/>
      <c r="CC116" s="165"/>
      <c r="CD116" s="165"/>
      <c r="CE116" s="165"/>
      <c r="CF116" s="165"/>
      <c r="CG116" s="165"/>
      <c r="CH116" s="165"/>
      <c r="CI116" s="165"/>
      <c r="CJ116" s="165"/>
      <c r="CK116" s="165"/>
      <c r="CL116" s="165"/>
      <c r="CM116" s="165"/>
      <c r="CN116" s="165"/>
      <c r="CO116" s="165"/>
      <c r="CP116" s="165"/>
      <c r="CQ116" s="165"/>
    </row>
    <row r="117" spans="1:95" outlineLevel="1" x14ac:dyDescent="0.25">
      <c r="B117" s="156" t="str">
        <f>Table1[[#Headers],[Simulação]]</f>
        <v>Simulação</v>
      </c>
      <c r="C117" s="262" t="str">
        <f t="shared" si="8"/>
        <v>INSTR_ACTIVITY_DT_RFRNC</v>
      </c>
      <c r="D117" s="153" t="s">
        <v>1542</v>
      </c>
      <c r="E117" s="153" t="s">
        <v>38</v>
      </c>
      <c r="G117" s="172">
        <f>INDEX(Table1[[Especificação]:[Total Testes]],MATCH('Planemaneto rev.equipa'!C117,Table1[CONCAT],0),MATCH('Planemaneto rev.equipa'!B117,Table1[[#Headers],[Especificação]:[Total Testes]],0))</f>
        <v>1</v>
      </c>
      <c r="H117" s="191">
        <f t="shared" si="9"/>
        <v>0.13</v>
      </c>
      <c r="I117" s="222"/>
      <c r="J117" s="165"/>
      <c r="K117" s="165"/>
      <c r="L117" s="165"/>
      <c r="M117" s="165"/>
      <c r="N117" s="165"/>
      <c r="O117" s="165"/>
      <c r="P117" s="258">
        <v>1</v>
      </c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  <c r="AA117" s="165"/>
      <c r="AB117" s="165"/>
      <c r="AC117" s="165"/>
      <c r="AD117" s="165"/>
      <c r="AE117" s="165"/>
      <c r="AF117" s="165"/>
      <c r="AG117" s="165"/>
      <c r="AH117" s="165"/>
      <c r="AI117" s="165"/>
      <c r="AJ117" s="165"/>
      <c r="AK117" s="165"/>
      <c r="AL117" s="165"/>
      <c r="AM117" s="165"/>
      <c r="AN117" s="165"/>
      <c r="AO117" s="165"/>
      <c r="AP117" s="165"/>
      <c r="AQ117" s="165"/>
      <c r="AR117" s="165"/>
      <c r="AS117" s="165"/>
      <c r="AT117" s="165"/>
      <c r="AU117" s="165"/>
      <c r="AV117" s="165"/>
      <c r="AW117" s="165"/>
      <c r="AX117" s="165"/>
      <c r="AY117" s="165"/>
      <c r="AZ117" s="165"/>
      <c r="BA117" s="165"/>
      <c r="BB117" s="165"/>
      <c r="BC117" s="165"/>
      <c r="BD117" s="165"/>
      <c r="BE117" s="165"/>
      <c r="BF117" s="165"/>
      <c r="BG117" s="165"/>
      <c r="BH117" s="165"/>
      <c r="BI117" s="165"/>
      <c r="BJ117" s="165"/>
      <c r="BK117" s="165"/>
      <c r="BL117" s="165"/>
      <c r="BM117" s="165"/>
      <c r="BN117" s="165"/>
      <c r="BO117" s="165"/>
      <c r="BP117" s="165"/>
      <c r="BQ117" s="165"/>
      <c r="BR117" s="165"/>
      <c r="BS117" s="165"/>
      <c r="BT117" s="165"/>
      <c r="BU117" s="165"/>
      <c r="BV117" s="165"/>
      <c r="BW117" s="165"/>
      <c r="BX117" s="165"/>
      <c r="BY117" s="165"/>
      <c r="BZ117" s="165"/>
      <c r="CA117" s="165"/>
      <c r="CB117" s="165"/>
      <c r="CC117" s="165"/>
      <c r="CD117" s="165"/>
      <c r="CE117" s="165"/>
      <c r="CF117" s="165"/>
      <c r="CG117" s="165"/>
      <c r="CH117" s="165"/>
      <c r="CI117" s="165"/>
      <c r="CJ117" s="165"/>
      <c r="CK117" s="165"/>
      <c r="CL117" s="165"/>
      <c r="CM117" s="165"/>
      <c r="CN117" s="165"/>
      <c r="CO117" s="165"/>
      <c r="CP117" s="165"/>
      <c r="CQ117" s="165"/>
    </row>
    <row r="118" spans="1:95" outlineLevel="1" x14ac:dyDescent="0.25">
      <c r="B118" s="156" t="str">
        <f>Table1[[#Headers],[Simulação]]</f>
        <v>Simulação</v>
      </c>
      <c r="C118" s="262" t="str">
        <f t="shared" si="8"/>
        <v>INSTR_ACTIVITY_INSTRMNT_ID</v>
      </c>
      <c r="D118" s="153" t="s">
        <v>1542</v>
      </c>
      <c r="E118" s="153" t="s">
        <v>405</v>
      </c>
      <c r="G118" s="172">
        <f>INDEX(Table1[[Especificação]:[Total Testes]],MATCH('Planemaneto rev.equipa'!C118,Table1[CONCAT],0),MATCH('Planemaneto rev.equipa'!B118,Table1[[#Headers],[Especificação]:[Total Testes]],0))</f>
        <v>1</v>
      </c>
      <c r="H118" s="191">
        <f t="shared" si="9"/>
        <v>0.13</v>
      </c>
      <c r="I118" s="222"/>
      <c r="J118" s="165"/>
      <c r="K118" s="165"/>
      <c r="L118" s="165"/>
      <c r="M118" s="165"/>
      <c r="N118" s="165"/>
      <c r="O118" s="165"/>
      <c r="P118" s="258">
        <v>1</v>
      </c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  <c r="AA118" s="165"/>
      <c r="AB118" s="165"/>
      <c r="AC118" s="165"/>
      <c r="AD118" s="165"/>
      <c r="AE118" s="165"/>
      <c r="AF118" s="165"/>
      <c r="AG118" s="165"/>
      <c r="AH118" s="165"/>
      <c r="AI118" s="165"/>
      <c r="AJ118" s="165"/>
      <c r="AK118" s="165"/>
      <c r="AL118" s="165"/>
      <c r="AM118" s="165"/>
      <c r="AN118" s="165"/>
      <c r="AO118" s="165"/>
      <c r="AP118" s="165"/>
      <c r="AQ118" s="165"/>
      <c r="AR118" s="165"/>
      <c r="AS118" s="165"/>
      <c r="AT118" s="165"/>
      <c r="AU118" s="165"/>
      <c r="AV118" s="165"/>
      <c r="AW118" s="165"/>
      <c r="AX118" s="165"/>
      <c r="AY118" s="165"/>
      <c r="AZ118" s="165"/>
      <c r="BA118" s="165"/>
      <c r="BB118" s="165"/>
      <c r="BC118" s="165"/>
      <c r="BD118" s="165"/>
      <c r="BE118" s="165"/>
      <c r="BF118" s="165"/>
      <c r="BG118" s="165"/>
      <c r="BH118" s="165"/>
      <c r="BI118" s="165"/>
      <c r="BJ118" s="165"/>
      <c r="BK118" s="165"/>
      <c r="BL118" s="165"/>
      <c r="BM118" s="165"/>
      <c r="BN118" s="165"/>
      <c r="BO118" s="165"/>
      <c r="BP118" s="165"/>
      <c r="BQ118" s="165"/>
      <c r="BR118" s="165"/>
      <c r="BS118" s="165"/>
      <c r="BT118" s="165"/>
      <c r="BU118" s="165"/>
      <c r="BV118" s="165"/>
      <c r="BW118" s="165"/>
      <c r="BX118" s="165"/>
      <c r="BY118" s="165"/>
      <c r="BZ118" s="165"/>
      <c r="CA118" s="165"/>
      <c r="CB118" s="165"/>
      <c r="CC118" s="165"/>
      <c r="CD118" s="165"/>
      <c r="CE118" s="165"/>
      <c r="CF118" s="165"/>
      <c r="CG118" s="165"/>
      <c r="CH118" s="165"/>
      <c r="CI118" s="165"/>
      <c r="CJ118" s="165"/>
      <c r="CK118" s="165"/>
      <c r="CL118" s="165"/>
      <c r="CM118" s="165"/>
      <c r="CN118" s="165"/>
      <c r="CO118" s="165"/>
      <c r="CP118" s="165"/>
      <c r="CQ118" s="165"/>
    </row>
    <row r="119" spans="1:95" outlineLevel="1" x14ac:dyDescent="0.25">
      <c r="B119" s="156" t="str">
        <f>Table1[[#Headers],[Simulação]]</f>
        <v>Simulação</v>
      </c>
      <c r="C119" s="255" t="str">
        <f t="shared" si="8"/>
        <v>INSTR_ACTIVITY_PRCNTG_ACTVTY</v>
      </c>
      <c r="D119" s="153" t="s">
        <v>1542</v>
      </c>
      <c r="E119" s="153" t="s">
        <v>1548</v>
      </c>
      <c r="G119" s="172">
        <f>INDEX(Table1[[Especificação]:[Total Testes]],MATCH('Planemaneto rev.equipa'!C119,Table1[CONCAT],0),MATCH('Planemaneto rev.equipa'!B119,Table1[[#Headers],[Especificação]:[Total Testes]],0))</f>
        <v>3</v>
      </c>
      <c r="H119" s="191">
        <f t="shared" si="9"/>
        <v>0.38</v>
      </c>
      <c r="I119" s="222"/>
      <c r="J119" s="165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W119" s="165"/>
      <c r="X119" s="165"/>
      <c r="Y119" s="165"/>
      <c r="Z119" s="165"/>
      <c r="AA119" s="165"/>
      <c r="AB119" s="165"/>
      <c r="AC119" s="165"/>
      <c r="AD119" s="165"/>
      <c r="AE119" s="258">
        <v>1</v>
      </c>
      <c r="AF119" s="165"/>
      <c r="AG119" s="165"/>
      <c r="AH119" s="165"/>
      <c r="AI119" s="165"/>
      <c r="AJ119" s="165"/>
      <c r="AK119" s="165"/>
      <c r="AL119" s="165"/>
      <c r="AM119" s="165"/>
      <c r="AN119" s="165"/>
      <c r="AO119" s="165"/>
      <c r="AP119" s="165"/>
      <c r="AQ119" s="165"/>
      <c r="AR119" s="165"/>
      <c r="AS119" s="165"/>
      <c r="AT119" s="165"/>
      <c r="AU119" s="165"/>
      <c r="AV119" s="165"/>
      <c r="AW119" s="165"/>
      <c r="AX119" s="165"/>
      <c r="AY119" s="165"/>
      <c r="AZ119" s="165"/>
      <c r="BA119" s="165"/>
      <c r="BB119" s="165"/>
      <c r="BC119" s="165"/>
      <c r="BD119" s="165"/>
      <c r="BE119" s="165"/>
      <c r="BF119" s="165"/>
      <c r="BG119" s="165"/>
      <c r="BH119" s="165"/>
      <c r="BI119" s="165"/>
      <c r="BJ119" s="165"/>
      <c r="BK119" s="165"/>
      <c r="BL119" s="165"/>
      <c r="BM119" s="165"/>
      <c r="BN119" s="165"/>
      <c r="BO119" s="165"/>
      <c r="BP119" s="165"/>
      <c r="BQ119" s="165"/>
      <c r="BR119" s="165"/>
      <c r="BS119" s="165"/>
      <c r="BT119" s="165"/>
      <c r="BU119" s="165"/>
      <c r="BV119" s="165"/>
      <c r="BW119" s="165"/>
      <c r="BX119" s="165"/>
      <c r="BY119" s="165"/>
      <c r="BZ119" s="165"/>
      <c r="CA119" s="165"/>
      <c r="CB119" s="165"/>
      <c r="CC119" s="165"/>
      <c r="CD119" s="165"/>
      <c r="CE119" s="165"/>
      <c r="CF119" s="165"/>
      <c r="CG119" s="165"/>
      <c r="CH119" s="165"/>
      <c r="CI119" s="165"/>
      <c r="CJ119" s="165"/>
      <c r="CK119" s="165"/>
      <c r="CL119" s="165"/>
      <c r="CM119" s="165"/>
      <c r="CN119" s="165"/>
      <c r="CO119" s="165"/>
      <c r="CP119" s="165"/>
      <c r="CQ119" s="165"/>
    </row>
    <row r="120" spans="1:95" outlineLevel="1" x14ac:dyDescent="0.25">
      <c r="B120" s="156" t="str">
        <f>Table1[[#Headers],[Simulação]]</f>
        <v>Simulação</v>
      </c>
      <c r="C120" s="256" t="str">
        <f t="shared" si="8"/>
        <v>INSTR_PROTECTION_TYP_RLTN</v>
      </c>
      <c r="D120" s="153" t="s">
        <v>1101</v>
      </c>
      <c r="E120" s="153" t="s">
        <v>1384</v>
      </c>
      <c r="G120" s="172">
        <f>INDEX(Table1[[Especificação]:[Total Testes]],MATCH('Planemaneto rev.equipa'!C120,Table1[CONCAT],0),MATCH('Planemaneto rev.equipa'!B120,Table1[[#Headers],[Especificação]:[Total Testes]],0))</f>
        <v>3</v>
      </c>
      <c r="H120" s="191">
        <f t="shared" si="9"/>
        <v>0.38</v>
      </c>
      <c r="I120" s="222"/>
      <c r="J120" s="165"/>
      <c r="K120" s="165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  <c r="AA120" s="165"/>
      <c r="AB120" s="165"/>
      <c r="AC120" s="165"/>
      <c r="AD120" s="165"/>
      <c r="AE120" s="165"/>
      <c r="AF120" s="165"/>
      <c r="AG120" s="260">
        <v>1</v>
      </c>
      <c r="AH120" s="165"/>
      <c r="AI120" s="165"/>
      <c r="AJ120" s="165"/>
      <c r="AK120" s="165"/>
      <c r="AL120" s="165"/>
      <c r="AM120" s="165"/>
      <c r="AN120" s="165"/>
      <c r="AO120" s="165"/>
      <c r="AP120" s="165"/>
      <c r="AQ120" s="165"/>
      <c r="AR120" s="165"/>
      <c r="AS120" s="165"/>
      <c r="AT120" s="165"/>
      <c r="AU120" s="165"/>
      <c r="AV120" s="165"/>
      <c r="AW120" s="165"/>
      <c r="AX120" s="165"/>
      <c r="AY120" s="165"/>
      <c r="AZ120" s="165"/>
      <c r="BA120" s="165"/>
      <c r="BB120" s="165"/>
      <c r="BC120" s="165"/>
      <c r="BD120" s="165"/>
      <c r="BE120" s="165"/>
      <c r="BF120" s="165"/>
      <c r="BG120" s="165"/>
      <c r="BH120" s="165"/>
      <c r="BI120" s="165"/>
      <c r="BJ120" s="165"/>
      <c r="BK120" s="165"/>
      <c r="BL120" s="165"/>
      <c r="BM120" s="165"/>
      <c r="BN120" s="165"/>
      <c r="BO120" s="165"/>
      <c r="BP120" s="165"/>
      <c r="BQ120" s="165"/>
      <c r="BR120" s="165"/>
      <c r="BS120" s="165"/>
      <c r="BT120" s="165"/>
      <c r="BU120" s="165"/>
      <c r="BV120" s="165"/>
      <c r="BW120" s="165"/>
      <c r="BX120" s="165"/>
      <c r="BY120" s="165"/>
      <c r="BZ120" s="165"/>
      <c r="CA120" s="165"/>
      <c r="CB120" s="165"/>
      <c r="CC120" s="165"/>
      <c r="CD120" s="165"/>
      <c r="CE120" s="165"/>
      <c r="CF120" s="165"/>
      <c r="CG120" s="165"/>
      <c r="CH120" s="165"/>
      <c r="CI120" s="165"/>
      <c r="CJ120" s="165"/>
      <c r="CK120" s="165"/>
      <c r="CL120" s="165"/>
      <c r="CM120" s="165"/>
      <c r="CN120" s="165"/>
      <c r="CO120" s="165"/>
      <c r="CP120" s="165"/>
      <c r="CQ120" s="165"/>
    </row>
    <row r="121" spans="1:95" outlineLevel="1" x14ac:dyDescent="0.25">
      <c r="B121" s="156" t="str">
        <f>Table1[[#Headers],[Simulação]]</f>
        <v>Simulação</v>
      </c>
      <c r="C121" s="256" t="str">
        <f t="shared" si="8"/>
        <v>INSTRUMENT_NW_BSNSS</v>
      </c>
      <c r="D121" s="153" t="s">
        <v>414</v>
      </c>
      <c r="E121" s="153" t="s">
        <v>973</v>
      </c>
      <c r="G121" s="172">
        <f>INDEX(Table1[[Especificação]:[Total Testes]],MATCH('Planemaneto rev.equipa'!C121,Table1[CONCAT],0),MATCH('Planemaneto rev.equipa'!B121,Table1[[#Headers],[Especificação]:[Total Testes]],0))</f>
        <v>8</v>
      </c>
      <c r="H121" s="191">
        <f t="shared" si="9"/>
        <v>1</v>
      </c>
      <c r="I121" s="222"/>
      <c r="J121" s="165"/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  <c r="AA121" s="165"/>
      <c r="AB121" s="165"/>
      <c r="AC121" s="165"/>
      <c r="AD121" s="165"/>
      <c r="AE121" s="165"/>
      <c r="AF121" s="165"/>
      <c r="AG121" s="260">
        <v>1</v>
      </c>
      <c r="AH121" s="165"/>
      <c r="AI121" s="165"/>
      <c r="AJ121" s="165"/>
      <c r="AK121" s="165"/>
      <c r="AL121" s="165"/>
      <c r="AM121" s="165"/>
      <c r="AN121" s="165"/>
      <c r="AO121" s="165"/>
      <c r="AP121" s="165"/>
      <c r="AQ121" s="165"/>
      <c r="AR121" s="165"/>
      <c r="AS121" s="165"/>
      <c r="AT121" s="165"/>
      <c r="AU121" s="165"/>
      <c r="AV121" s="165"/>
      <c r="AW121" s="165"/>
      <c r="AX121" s="165"/>
      <c r="AY121" s="165"/>
      <c r="AZ121" s="165"/>
      <c r="BA121" s="165"/>
      <c r="BB121" s="165"/>
      <c r="BC121" s="165"/>
      <c r="BD121" s="165"/>
      <c r="BE121" s="165"/>
      <c r="BF121" s="165"/>
      <c r="BG121" s="165"/>
      <c r="BH121" s="165"/>
      <c r="BI121" s="165"/>
      <c r="BJ121" s="165"/>
      <c r="BK121" s="165"/>
      <c r="BL121" s="165"/>
      <c r="BM121" s="165"/>
      <c r="BN121" s="165"/>
      <c r="BO121" s="165"/>
      <c r="BP121" s="165"/>
      <c r="BQ121" s="165"/>
      <c r="BR121" s="165"/>
      <c r="BS121" s="165"/>
      <c r="BT121" s="165"/>
      <c r="BU121" s="165"/>
      <c r="BV121" s="165"/>
      <c r="BW121" s="165"/>
      <c r="BX121" s="165"/>
      <c r="BY121" s="165"/>
      <c r="BZ121" s="165"/>
      <c r="CA121" s="165"/>
      <c r="CB121" s="165"/>
      <c r="CC121" s="165"/>
      <c r="CD121" s="165"/>
      <c r="CE121" s="165"/>
      <c r="CF121" s="165"/>
      <c r="CG121" s="165"/>
      <c r="CH121" s="165"/>
      <c r="CI121" s="165"/>
      <c r="CJ121" s="165"/>
      <c r="CK121" s="165"/>
      <c r="CL121" s="165"/>
      <c r="CM121" s="165"/>
      <c r="CN121" s="165"/>
      <c r="CO121" s="165"/>
      <c r="CP121" s="165"/>
      <c r="CQ121" s="165"/>
    </row>
    <row r="122" spans="1:95" outlineLevel="1" x14ac:dyDescent="0.25">
      <c r="A122" s="228"/>
      <c r="B122" s="236" t="str">
        <f>Table1[[#Headers],[Simulação]]</f>
        <v>Simulação</v>
      </c>
      <c r="C122" s="237" t="str">
        <f t="shared" si="8"/>
        <v>PROTECTION_TYP_EMSSNS_LBL</v>
      </c>
      <c r="D122" s="232" t="s">
        <v>1114</v>
      </c>
      <c r="E122" s="232" t="s">
        <v>1235</v>
      </c>
      <c r="F122" s="238"/>
      <c r="G122" s="233">
        <f>INDEX(Table1[[Especificação]:[Total Testes]],MATCH('Planemaneto rev.equipa'!C122,Table1[CONCAT],0),MATCH('Planemaneto rev.equipa'!B122,Table1[[#Headers],[Especificação]:[Total Testes]],0))</f>
        <v>0</v>
      </c>
      <c r="H122" s="239">
        <f t="shared" si="9"/>
        <v>0</v>
      </c>
      <c r="I122" s="240"/>
      <c r="J122" s="165"/>
      <c r="K122" s="165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  <c r="AA122" s="165"/>
      <c r="AB122" s="165"/>
      <c r="AC122" s="165"/>
      <c r="AD122" s="165"/>
      <c r="AE122" s="165"/>
      <c r="AF122" s="165"/>
      <c r="AG122" s="165"/>
      <c r="AH122" s="165"/>
      <c r="AI122" s="165"/>
      <c r="AJ122" s="165"/>
      <c r="AK122" s="165"/>
      <c r="AL122" s="165"/>
      <c r="AM122" s="165"/>
      <c r="AN122" s="165"/>
      <c r="AO122" s="165"/>
      <c r="AP122" s="165"/>
      <c r="AQ122" s="165"/>
      <c r="AR122" s="165"/>
      <c r="AS122" s="165"/>
      <c r="AT122" s="165"/>
      <c r="AU122" s="165"/>
      <c r="AV122" s="165"/>
      <c r="AW122" s="165"/>
      <c r="AX122" s="165"/>
      <c r="AY122" s="165"/>
      <c r="AZ122" s="165"/>
      <c r="BA122" s="165"/>
      <c r="BB122" s="165"/>
      <c r="BC122" s="165"/>
      <c r="BD122" s="165"/>
      <c r="BE122" s="165"/>
      <c r="BF122" s="165"/>
      <c r="BG122" s="165"/>
      <c r="BH122" s="165"/>
      <c r="BI122" s="165"/>
      <c r="BJ122" s="165"/>
      <c r="BK122" s="165"/>
      <c r="BL122" s="165"/>
      <c r="BM122" s="165"/>
      <c r="BN122" s="165"/>
      <c r="BO122" s="165"/>
      <c r="BP122" s="165"/>
      <c r="BQ122" s="165"/>
      <c r="BR122" s="165"/>
      <c r="BS122" s="165"/>
      <c r="BT122" s="165"/>
      <c r="BU122" s="165"/>
      <c r="BV122" s="165"/>
      <c r="BW122" s="165"/>
      <c r="BX122" s="165"/>
      <c r="BY122" s="165"/>
      <c r="BZ122" s="165"/>
      <c r="CA122" s="165"/>
      <c r="CB122" s="165"/>
      <c r="CC122" s="165"/>
      <c r="CD122" s="165"/>
      <c r="CE122" s="165"/>
      <c r="CF122" s="165"/>
      <c r="CG122" s="165"/>
      <c r="CH122" s="165"/>
      <c r="CI122" s="165"/>
      <c r="CJ122" s="165"/>
      <c r="CK122" s="165"/>
      <c r="CL122" s="165"/>
      <c r="CM122" s="165"/>
      <c r="CN122" s="165"/>
      <c r="CO122" s="165"/>
      <c r="CP122" s="165"/>
      <c r="CQ122" s="165"/>
    </row>
    <row r="123" spans="1:95" outlineLevel="1" x14ac:dyDescent="0.25">
      <c r="A123" s="228"/>
      <c r="B123" s="236" t="str">
        <f>Table1[[#Headers],[Simulação]]</f>
        <v>Simulação</v>
      </c>
      <c r="C123" s="237" t="str">
        <f t="shared" si="8"/>
        <v>PROTECTION_EPC_EMSSNS_LBL</v>
      </c>
      <c r="D123" s="232" t="s">
        <v>1114</v>
      </c>
      <c r="E123" s="232" t="s">
        <v>1238</v>
      </c>
      <c r="F123" s="238"/>
      <c r="G123" s="233">
        <f>INDEX(Table1[[Especificação]:[Total Testes]],MATCH('Planemaneto rev.equipa'!C123,Table1[CONCAT],0),MATCH('Planemaneto rev.equipa'!B123,Table1[[#Headers],[Especificação]:[Total Testes]],0))</f>
        <v>0</v>
      </c>
      <c r="H123" s="239">
        <f t="shared" si="9"/>
        <v>0</v>
      </c>
      <c r="I123" s="240"/>
      <c r="J123" s="165"/>
      <c r="K123" s="165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  <c r="AA123" s="165"/>
      <c r="AB123" s="165"/>
      <c r="AC123" s="165"/>
      <c r="AD123" s="165"/>
      <c r="AE123" s="165"/>
      <c r="AF123" s="165"/>
      <c r="AG123" s="165"/>
      <c r="AH123" s="165"/>
      <c r="AI123" s="165"/>
      <c r="AJ123" s="165"/>
      <c r="AK123" s="165"/>
      <c r="AL123" s="165"/>
      <c r="AM123" s="165"/>
      <c r="AN123" s="165"/>
      <c r="AO123" s="165"/>
      <c r="AP123" s="165"/>
      <c r="AQ123" s="165"/>
      <c r="AR123" s="165"/>
      <c r="AS123" s="165"/>
      <c r="AT123" s="165"/>
      <c r="AU123" s="165"/>
      <c r="AV123" s="165"/>
      <c r="AW123" s="165"/>
      <c r="AX123" s="165"/>
      <c r="AY123" s="165"/>
      <c r="AZ123" s="165"/>
      <c r="BA123" s="165"/>
      <c r="BB123" s="165"/>
      <c r="BC123" s="165"/>
      <c r="BD123" s="165"/>
      <c r="BE123" s="165"/>
      <c r="BF123" s="165"/>
      <c r="BG123" s="165"/>
      <c r="BH123" s="165"/>
      <c r="BI123" s="165"/>
      <c r="BJ123" s="165"/>
      <c r="BK123" s="165"/>
      <c r="BL123" s="165"/>
      <c r="BM123" s="165"/>
      <c r="BN123" s="165"/>
      <c r="BO123" s="165"/>
      <c r="BP123" s="165"/>
      <c r="BQ123" s="165"/>
      <c r="BR123" s="165"/>
      <c r="BS123" s="165"/>
      <c r="BT123" s="165"/>
      <c r="BU123" s="165"/>
      <c r="BV123" s="165"/>
      <c r="BW123" s="165"/>
      <c r="BX123" s="165"/>
      <c r="BY123" s="165"/>
      <c r="BZ123" s="165"/>
      <c r="CA123" s="165"/>
      <c r="CB123" s="165"/>
      <c r="CC123" s="165"/>
      <c r="CD123" s="165"/>
      <c r="CE123" s="165"/>
      <c r="CF123" s="165"/>
      <c r="CG123" s="165"/>
      <c r="CH123" s="165"/>
      <c r="CI123" s="165"/>
      <c r="CJ123" s="165"/>
      <c r="CK123" s="165"/>
      <c r="CL123" s="165"/>
      <c r="CM123" s="165"/>
      <c r="CN123" s="165"/>
      <c r="CO123" s="165"/>
      <c r="CP123" s="165"/>
      <c r="CQ123" s="165"/>
    </row>
    <row r="124" spans="1:95" outlineLevel="1" x14ac:dyDescent="0.25">
      <c r="A124" s="228"/>
      <c r="B124" s="236" t="str">
        <f>Table1[[#Headers],[Simulação]]</f>
        <v>Simulação</v>
      </c>
      <c r="C124" s="237" t="str">
        <f t="shared" si="8"/>
        <v>PROTECTION_VHCL_EMSSNS_LBL</v>
      </c>
      <c r="D124" s="232" t="s">
        <v>1114</v>
      </c>
      <c r="E124" s="232" t="s">
        <v>1241</v>
      </c>
      <c r="F124" s="238"/>
      <c r="G124" s="233">
        <f>INDEX(Table1[[Especificação]:[Total Testes]],MATCH('Planemaneto rev.equipa'!C124,Table1[CONCAT],0),MATCH('Planemaneto rev.equipa'!B124,Table1[[#Headers],[Especificação]:[Total Testes]],0))</f>
        <v>0</v>
      </c>
      <c r="H124" s="239">
        <f t="shared" si="9"/>
        <v>0</v>
      </c>
      <c r="I124" s="240"/>
      <c r="J124" s="165"/>
      <c r="K124" s="165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  <c r="AA124" s="165"/>
      <c r="AB124" s="165"/>
      <c r="AC124" s="165"/>
      <c r="AD124" s="165"/>
      <c r="AE124" s="165"/>
      <c r="AF124" s="165"/>
      <c r="AG124" s="165"/>
      <c r="AH124" s="165"/>
      <c r="AI124" s="165"/>
      <c r="AJ124" s="165"/>
      <c r="AK124" s="165"/>
      <c r="AL124" s="165"/>
      <c r="AM124" s="165"/>
      <c r="AN124" s="165"/>
      <c r="AO124" s="165"/>
      <c r="AP124" s="165"/>
      <c r="AQ124" s="165"/>
      <c r="AR124" s="165"/>
      <c r="AS124" s="165"/>
      <c r="AT124" s="165"/>
      <c r="AU124" s="165"/>
      <c r="AV124" s="165"/>
      <c r="AW124" s="165"/>
      <c r="AX124" s="165"/>
      <c r="AY124" s="165"/>
      <c r="AZ124" s="165"/>
      <c r="BA124" s="165"/>
      <c r="BB124" s="165"/>
      <c r="BC124" s="165"/>
      <c r="BD124" s="165"/>
      <c r="BE124" s="165"/>
      <c r="BF124" s="165"/>
      <c r="BG124" s="165"/>
      <c r="BH124" s="165"/>
      <c r="BI124" s="165"/>
      <c r="BJ124" s="165"/>
      <c r="BK124" s="165"/>
      <c r="BL124" s="165"/>
      <c r="BM124" s="165"/>
      <c r="BN124" s="165"/>
      <c r="BO124" s="165"/>
      <c r="BP124" s="165"/>
      <c r="BQ124" s="165"/>
      <c r="BR124" s="165"/>
      <c r="BS124" s="165"/>
      <c r="BT124" s="165"/>
      <c r="BU124" s="165"/>
      <c r="BV124" s="165"/>
      <c r="BW124" s="165"/>
      <c r="BX124" s="165"/>
      <c r="BY124" s="165"/>
      <c r="BZ124" s="165"/>
      <c r="CA124" s="165"/>
      <c r="CB124" s="165"/>
      <c r="CC124" s="165"/>
      <c r="CD124" s="165"/>
      <c r="CE124" s="165"/>
      <c r="CF124" s="165"/>
      <c r="CG124" s="165"/>
      <c r="CH124" s="165"/>
      <c r="CI124" s="165"/>
      <c r="CJ124" s="165"/>
      <c r="CK124" s="165"/>
      <c r="CL124" s="165"/>
      <c r="CM124" s="165"/>
      <c r="CN124" s="165"/>
      <c r="CO124" s="165"/>
      <c r="CP124" s="165"/>
      <c r="CQ124" s="165"/>
    </row>
    <row r="125" spans="1:95" outlineLevel="1" x14ac:dyDescent="0.25">
      <c r="A125" s="228"/>
      <c r="B125" s="236" t="str">
        <f>Table1[[#Headers],[Simulação]]</f>
        <v>Simulação</v>
      </c>
      <c r="C125" s="237" t="str">
        <f t="shared" si="8"/>
        <v>PROTECTION_TYP_EMSSNS_SCR</v>
      </c>
      <c r="D125" s="232" t="s">
        <v>1114</v>
      </c>
      <c r="E125" s="232" t="s">
        <v>1244</v>
      </c>
      <c r="F125" s="238"/>
      <c r="G125" s="233">
        <f>INDEX(Table1[[Especificação]:[Total Testes]],MATCH('Planemaneto rev.equipa'!C125,Table1[CONCAT],0),MATCH('Planemaneto rev.equipa'!B125,Table1[[#Headers],[Especificação]:[Total Testes]],0))</f>
        <v>0</v>
      </c>
      <c r="H125" s="239">
        <f t="shared" si="9"/>
        <v>0</v>
      </c>
      <c r="I125" s="240"/>
      <c r="J125" s="165"/>
      <c r="K125" s="165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  <c r="AE125" s="165"/>
      <c r="AF125" s="165"/>
      <c r="AG125" s="165"/>
      <c r="AH125" s="165"/>
      <c r="AI125" s="165"/>
      <c r="AJ125" s="165"/>
      <c r="AK125" s="165"/>
      <c r="AL125" s="165"/>
      <c r="AM125" s="165"/>
      <c r="AN125" s="165"/>
      <c r="AO125" s="165"/>
      <c r="AP125" s="165"/>
      <c r="AQ125" s="165"/>
      <c r="AR125" s="165"/>
      <c r="AS125" s="165"/>
      <c r="AT125" s="165"/>
      <c r="AU125" s="165"/>
      <c r="AV125" s="165"/>
      <c r="AW125" s="165"/>
      <c r="AX125" s="165"/>
      <c r="AY125" s="165"/>
      <c r="AZ125" s="165"/>
      <c r="BA125" s="165"/>
      <c r="BB125" s="165"/>
      <c r="BC125" s="165"/>
      <c r="BD125" s="165"/>
      <c r="BE125" s="165"/>
      <c r="BF125" s="165"/>
      <c r="BG125" s="165"/>
      <c r="BH125" s="165"/>
      <c r="BI125" s="165"/>
      <c r="BJ125" s="165"/>
      <c r="BK125" s="165"/>
      <c r="BL125" s="165"/>
      <c r="BM125" s="165"/>
      <c r="BN125" s="165"/>
      <c r="BO125" s="165"/>
      <c r="BP125" s="165"/>
      <c r="BQ125" s="165"/>
      <c r="BR125" s="165"/>
      <c r="BS125" s="165"/>
      <c r="BT125" s="165"/>
      <c r="BU125" s="165"/>
      <c r="BV125" s="165"/>
      <c r="BW125" s="165"/>
      <c r="BX125" s="165"/>
      <c r="BY125" s="165"/>
      <c r="BZ125" s="165"/>
      <c r="CA125" s="165"/>
      <c r="CB125" s="165"/>
      <c r="CC125" s="165"/>
      <c r="CD125" s="165"/>
      <c r="CE125" s="165"/>
      <c r="CF125" s="165"/>
      <c r="CG125" s="165"/>
      <c r="CH125" s="165"/>
      <c r="CI125" s="165"/>
      <c r="CJ125" s="165"/>
      <c r="CK125" s="165"/>
      <c r="CL125" s="165"/>
      <c r="CM125" s="165"/>
      <c r="CN125" s="165"/>
      <c r="CO125" s="165"/>
      <c r="CP125" s="165"/>
      <c r="CQ125" s="165"/>
    </row>
    <row r="126" spans="1:95" outlineLevel="1" x14ac:dyDescent="0.25">
      <c r="A126" s="228"/>
      <c r="B126" s="236" t="str">
        <f>Table1[[#Headers],[Simulação]]</f>
        <v>Simulação</v>
      </c>
      <c r="C126" s="237" t="str">
        <f t="shared" si="8"/>
        <v>PROTECTION_EPC_EMSSNS_SCR</v>
      </c>
      <c r="D126" s="232" t="s">
        <v>1114</v>
      </c>
      <c r="E126" s="232" t="s">
        <v>1247</v>
      </c>
      <c r="F126" s="238"/>
      <c r="G126" s="233">
        <f>INDEX(Table1[[Especificação]:[Total Testes]],MATCH('Planemaneto rev.equipa'!C126,Table1[CONCAT],0),MATCH('Planemaneto rev.equipa'!B126,Table1[[#Headers],[Especificação]:[Total Testes]],0))</f>
        <v>0</v>
      </c>
      <c r="H126" s="239">
        <f t="shared" si="9"/>
        <v>0</v>
      </c>
      <c r="I126" s="240"/>
      <c r="J126" s="165"/>
      <c r="K126" s="165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  <c r="AA126" s="165"/>
      <c r="AB126" s="165"/>
      <c r="AC126" s="165"/>
      <c r="AD126" s="165"/>
      <c r="AE126" s="165"/>
      <c r="AF126" s="165"/>
      <c r="AG126" s="165"/>
      <c r="AH126" s="165"/>
      <c r="AI126" s="165"/>
      <c r="AJ126" s="165"/>
      <c r="AK126" s="165"/>
      <c r="AL126" s="165"/>
      <c r="AM126" s="165"/>
      <c r="AN126" s="165"/>
      <c r="AO126" s="165"/>
      <c r="AP126" s="165"/>
      <c r="AQ126" s="165"/>
      <c r="AR126" s="165"/>
      <c r="AS126" s="165"/>
      <c r="AT126" s="165"/>
      <c r="AU126" s="165"/>
      <c r="AV126" s="165"/>
      <c r="AW126" s="165"/>
      <c r="AX126" s="165"/>
      <c r="AY126" s="165"/>
      <c r="AZ126" s="165"/>
      <c r="BA126" s="165"/>
      <c r="BB126" s="165"/>
      <c r="BC126" s="165"/>
      <c r="BD126" s="165"/>
      <c r="BE126" s="165"/>
      <c r="BF126" s="165"/>
      <c r="BG126" s="165"/>
      <c r="BH126" s="165"/>
      <c r="BI126" s="165"/>
      <c r="BJ126" s="165"/>
      <c r="BK126" s="165"/>
      <c r="BL126" s="165"/>
      <c r="BM126" s="165"/>
      <c r="BN126" s="165"/>
      <c r="BO126" s="165"/>
      <c r="BP126" s="165"/>
      <c r="BQ126" s="165"/>
      <c r="BR126" s="165"/>
      <c r="BS126" s="165"/>
      <c r="BT126" s="165"/>
      <c r="BU126" s="165"/>
      <c r="BV126" s="165"/>
      <c r="BW126" s="165"/>
      <c r="BX126" s="165"/>
      <c r="BY126" s="165"/>
      <c r="BZ126" s="165"/>
      <c r="CA126" s="165"/>
      <c r="CB126" s="165"/>
      <c r="CC126" s="165"/>
      <c r="CD126" s="165"/>
      <c r="CE126" s="165"/>
      <c r="CF126" s="165"/>
      <c r="CG126" s="165"/>
      <c r="CH126" s="165"/>
      <c r="CI126" s="165"/>
      <c r="CJ126" s="165"/>
      <c r="CK126" s="165"/>
      <c r="CL126" s="165"/>
      <c r="CM126" s="165"/>
      <c r="CN126" s="165"/>
      <c r="CO126" s="165"/>
      <c r="CP126" s="165"/>
      <c r="CQ126" s="165"/>
    </row>
    <row r="127" spans="1:95" outlineLevel="1" x14ac:dyDescent="0.25">
      <c r="A127" s="228"/>
      <c r="B127" s="236" t="str">
        <f>Table1[[#Headers],[Simulação]]</f>
        <v>Simulação</v>
      </c>
      <c r="C127" s="237" t="str">
        <f t="shared" si="8"/>
        <v>PROTECTION_VHCL_EMSSNS_SCR</v>
      </c>
      <c r="D127" s="232" t="s">
        <v>1114</v>
      </c>
      <c r="E127" s="232" t="s">
        <v>1250</v>
      </c>
      <c r="F127" s="238"/>
      <c r="G127" s="233">
        <f>INDEX(Table1[[Especificação]:[Total Testes]],MATCH('Planemaneto rev.equipa'!C127,Table1[CONCAT],0),MATCH('Planemaneto rev.equipa'!B127,Table1[[#Headers],[Especificação]:[Total Testes]],0))</f>
        <v>0</v>
      </c>
      <c r="H127" s="239">
        <f t="shared" si="9"/>
        <v>0</v>
      </c>
      <c r="I127" s="240"/>
      <c r="J127" s="165"/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  <c r="AA127" s="165"/>
      <c r="AB127" s="165"/>
      <c r="AC127" s="165"/>
      <c r="AD127" s="165"/>
      <c r="AE127" s="165"/>
      <c r="AF127" s="165"/>
      <c r="AG127" s="165"/>
      <c r="AH127" s="165"/>
      <c r="AI127" s="165"/>
      <c r="AJ127" s="165"/>
      <c r="AK127" s="165"/>
      <c r="AL127" s="165"/>
      <c r="AM127" s="165"/>
      <c r="AN127" s="165"/>
      <c r="AO127" s="165"/>
      <c r="AP127" s="165"/>
      <c r="AQ127" s="165"/>
      <c r="AR127" s="165"/>
      <c r="AS127" s="165"/>
      <c r="AT127" s="165"/>
      <c r="AU127" s="165"/>
      <c r="AV127" s="165"/>
      <c r="AW127" s="165"/>
      <c r="AX127" s="165"/>
      <c r="AY127" s="165"/>
      <c r="AZ127" s="165"/>
      <c r="BA127" s="165"/>
      <c r="BB127" s="165"/>
      <c r="BC127" s="165"/>
      <c r="BD127" s="165"/>
      <c r="BE127" s="165"/>
      <c r="BF127" s="165"/>
      <c r="BG127" s="165"/>
      <c r="BH127" s="165"/>
      <c r="BI127" s="165"/>
      <c r="BJ127" s="165"/>
      <c r="BK127" s="165"/>
      <c r="BL127" s="165"/>
      <c r="BM127" s="165"/>
      <c r="BN127" s="165"/>
      <c r="BO127" s="165"/>
      <c r="BP127" s="165"/>
      <c r="BQ127" s="165"/>
      <c r="BR127" s="165"/>
      <c r="BS127" s="165"/>
      <c r="BT127" s="165"/>
      <c r="BU127" s="165"/>
      <c r="BV127" s="165"/>
      <c r="BW127" s="165"/>
      <c r="BX127" s="165"/>
      <c r="BY127" s="165"/>
      <c r="BZ127" s="165"/>
      <c r="CA127" s="165"/>
      <c r="CB127" s="165"/>
      <c r="CC127" s="165"/>
      <c r="CD127" s="165"/>
      <c r="CE127" s="165"/>
      <c r="CF127" s="165"/>
      <c r="CG127" s="165"/>
      <c r="CH127" s="165"/>
      <c r="CI127" s="165"/>
      <c r="CJ127" s="165"/>
      <c r="CK127" s="165"/>
      <c r="CL127" s="165"/>
      <c r="CM127" s="165"/>
      <c r="CN127" s="165"/>
      <c r="CO127" s="165"/>
      <c r="CP127" s="165"/>
      <c r="CQ127" s="165"/>
    </row>
    <row r="128" spans="1:95" outlineLevel="1" x14ac:dyDescent="0.25">
      <c r="A128" s="228"/>
      <c r="B128" s="236" t="str">
        <f>Table1[[#Headers],[Simulação]]</f>
        <v>Simulação</v>
      </c>
      <c r="C128" s="237" t="str">
        <f t="shared" si="8"/>
        <v>PROTECTION_INSRNC_ID</v>
      </c>
      <c r="D128" s="232" t="s">
        <v>1114</v>
      </c>
      <c r="E128" s="232" t="s">
        <v>1275</v>
      </c>
      <c r="F128" s="238"/>
      <c r="G128" s="233">
        <f>INDEX(Table1[[Especificação]:[Total Testes]],MATCH('Planemaneto rev.equipa'!C128,Table1[CONCAT],0),MATCH('Planemaneto rev.equipa'!B128,Table1[[#Headers],[Especificação]:[Total Testes]],0))</f>
        <v>0</v>
      </c>
      <c r="H128" s="239">
        <f t="shared" si="9"/>
        <v>0</v>
      </c>
      <c r="I128" s="240"/>
      <c r="J128" s="165"/>
      <c r="K128" s="165"/>
      <c r="L128" s="165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  <c r="AA128" s="165"/>
      <c r="AB128" s="165"/>
      <c r="AC128" s="165"/>
      <c r="AD128" s="165"/>
      <c r="AE128" s="165"/>
      <c r="AF128" s="165"/>
      <c r="AG128" s="165"/>
      <c r="AH128" s="165"/>
      <c r="AI128" s="165"/>
      <c r="AJ128" s="165"/>
      <c r="AK128" s="165"/>
      <c r="AL128" s="165"/>
      <c r="AM128" s="165"/>
      <c r="AN128" s="165"/>
      <c r="AO128" s="165"/>
      <c r="AP128" s="165"/>
      <c r="AQ128" s="165"/>
      <c r="AR128" s="165"/>
      <c r="AS128" s="165"/>
      <c r="AT128" s="165"/>
      <c r="AU128" s="165"/>
      <c r="AV128" s="165"/>
      <c r="AW128" s="165"/>
      <c r="AX128" s="165"/>
      <c r="AY128" s="165"/>
      <c r="AZ128" s="165"/>
      <c r="BA128" s="165"/>
      <c r="BB128" s="165"/>
      <c r="BC128" s="165"/>
      <c r="BD128" s="165"/>
      <c r="BE128" s="165"/>
      <c r="BF128" s="165"/>
      <c r="BG128" s="165"/>
      <c r="BH128" s="165"/>
      <c r="BI128" s="165"/>
      <c r="BJ128" s="165"/>
      <c r="BK128" s="165"/>
      <c r="BL128" s="165"/>
      <c r="BM128" s="165"/>
      <c r="BN128" s="165"/>
      <c r="BO128" s="165"/>
      <c r="BP128" s="165"/>
      <c r="BQ128" s="165"/>
      <c r="BR128" s="165"/>
      <c r="BS128" s="165"/>
      <c r="BT128" s="165"/>
      <c r="BU128" s="165"/>
      <c r="BV128" s="165"/>
      <c r="BW128" s="165"/>
      <c r="BX128" s="165"/>
      <c r="BY128" s="165"/>
      <c r="BZ128" s="165"/>
      <c r="CA128" s="165"/>
      <c r="CB128" s="165"/>
      <c r="CC128" s="165"/>
      <c r="CD128" s="165"/>
      <c r="CE128" s="165"/>
      <c r="CF128" s="165"/>
      <c r="CG128" s="165"/>
      <c r="CH128" s="165"/>
      <c r="CI128" s="165"/>
      <c r="CJ128" s="165"/>
      <c r="CK128" s="165"/>
      <c r="CL128" s="165"/>
      <c r="CM128" s="165"/>
      <c r="CN128" s="165"/>
      <c r="CO128" s="165"/>
      <c r="CP128" s="165"/>
      <c r="CQ128" s="165"/>
    </row>
    <row r="129" spans="1:95" outlineLevel="1" x14ac:dyDescent="0.25">
      <c r="A129" s="228"/>
      <c r="B129" s="236" t="str">
        <f>Table1[[#Headers],[Simulação]]</f>
        <v>Simulação</v>
      </c>
      <c r="C129" s="237" t="str">
        <f t="shared" si="8"/>
        <v>PROTECTION_TYP_HZRDS_INSRD</v>
      </c>
      <c r="D129" s="232" t="s">
        <v>1114</v>
      </c>
      <c r="E129" s="232" t="s">
        <v>1278</v>
      </c>
      <c r="F129" s="238"/>
      <c r="G129" s="233">
        <f>INDEX(Table1[[Especificação]:[Total Testes]],MATCH('Planemaneto rev.equipa'!C129,Table1[CONCAT],0),MATCH('Planemaneto rev.equipa'!B129,Table1[[#Headers],[Especificação]:[Total Testes]],0))</f>
        <v>0</v>
      </c>
      <c r="H129" s="239">
        <f t="shared" si="9"/>
        <v>0</v>
      </c>
      <c r="I129" s="240"/>
      <c r="J129" s="165"/>
      <c r="K129" s="165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  <c r="AA129" s="165"/>
      <c r="AB129" s="165"/>
      <c r="AC129" s="165"/>
      <c r="AD129" s="165"/>
      <c r="AE129" s="165"/>
      <c r="AF129" s="165"/>
      <c r="AG129" s="165"/>
      <c r="AH129" s="165"/>
      <c r="AI129" s="165"/>
      <c r="AJ129" s="165"/>
      <c r="AK129" s="165"/>
      <c r="AL129" s="165"/>
      <c r="AM129" s="165"/>
      <c r="AN129" s="165"/>
      <c r="AO129" s="165"/>
      <c r="AP129" s="165"/>
      <c r="AQ129" s="165"/>
      <c r="AR129" s="165"/>
      <c r="AS129" s="165"/>
      <c r="AT129" s="165"/>
      <c r="AU129" s="165"/>
      <c r="AV129" s="165"/>
      <c r="AW129" s="165"/>
      <c r="AX129" s="165"/>
      <c r="AY129" s="165"/>
      <c r="AZ129" s="165"/>
      <c r="BA129" s="165"/>
      <c r="BB129" s="165"/>
      <c r="BC129" s="165"/>
      <c r="BD129" s="165"/>
      <c r="BE129" s="165"/>
      <c r="BF129" s="165"/>
      <c r="BG129" s="165"/>
      <c r="BH129" s="165"/>
      <c r="BI129" s="165"/>
      <c r="BJ129" s="165"/>
      <c r="BK129" s="165"/>
      <c r="BL129" s="165"/>
      <c r="BM129" s="165"/>
      <c r="BN129" s="165"/>
      <c r="BO129" s="165"/>
      <c r="BP129" s="165"/>
      <c r="BQ129" s="165"/>
      <c r="BR129" s="165"/>
      <c r="BS129" s="165"/>
      <c r="BT129" s="165"/>
      <c r="BU129" s="165"/>
      <c r="BV129" s="165"/>
      <c r="BW129" s="165"/>
      <c r="BX129" s="165"/>
      <c r="BY129" s="165"/>
      <c r="BZ129" s="165"/>
      <c r="CA129" s="165"/>
      <c r="CB129" s="165"/>
      <c r="CC129" s="165"/>
      <c r="CD129" s="165"/>
      <c r="CE129" s="165"/>
      <c r="CF129" s="165"/>
      <c r="CG129" s="165"/>
      <c r="CH129" s="165"/>
      <c r="CI129" s="165"/>
      <c r="CJ129" s="165"/>
      <c r="CK129" s="165"/>
      <c r="CL129" s="165"/>
      <c r="CM129" s="165"/>
      <c r="CN129" s="165"/>
      <c r="CO129" s="165"/>
      <c r="CP129" s="165"/>
      <c r="CQ129" s="165"/>
    </row>
    <row r="130" spans="1:95" outlineLevel="1" x14ac:dyDescent="0.25">
      <c r="A130" s="228"/>
      <c r="B130" s="236" t="str">
        <f>Table1[[#Headers],[Simulação]]</f>
        <v>Simulação</v>
      </c>
      <c r="C130" s="237" t="str">
        <f t="shared" si="8"/>
        <v>PROTECTION_AMNT_CVRD_INSRNC</v>
      </c>
      <c r="D130" s="232" t="s">
        <v>1114</v>
      </c>
      <c r="E130" s="232" t="s">
        <v>1281</v>
      </c>
      <c r="F130" s="238"/>
      <c r="G130" s="233">
        <f>INDEX(Table1[[Especificação]:[Total Testes]],MATCH('Planemaneto rev.equipa'!C130,Table1[CONCAT],0),MATCH('Planemaneto rev.equipa'!B130,Table1[[#Headers],[Especificação]:[Total Testes]],0))</f>
        <v>0</v>
      </c>
      <c r="H130" s="239">
        <f t="shared" si="9"/>
        <v>0</v>
      </c>
      <c r="I130" s="240"/>
      <c r="J130" s="165"/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  <c r="AA130" s="165"/>
      <c r="AB130" s="165"/>
      <c r="AC130" s="165"/>
      <c r="AD130" s="165"/>
      <c r="AE130" s="165"/>
      <c r="AF130" s="165"/>
      <c r="AG130" s="165"/>
      <c r="AH130" s="165"/>
      <c r="AI130" s="165"/>
      <c r="AJ130" s="165"/>
      <c r="AK130" s="165"/>
      <c r="AL130" s="165"/>
      <c r="AM130" s="165"/>
      <c r="AN130" s="165"/>
      <c r="AO130" s="165"/>
      <c r="AP130" s="165"/>
      <c r="AQ130" s="165"/>
      <c r="AR130" s="165"/>
      <c r="AS130" s="165"/>
      <c r="AT130" s="165"/>
      <c r="AU130" s="165"/>
      <c r="AV130" s="165"/>
      <c r="AW130" s="165"/>
      <c r="AX130" s="165"/>
      <c r="AY130" s="165"/>
      <c r="AZ130" s="165"/>
      <c r="BA130" s="165"/>
      <c r="BB130" s="165"/>
      <c r="BC130" s="165"/>
      <c r="BD130" s="165"/>
      <c r="BE130" s="165"/>
      <c r="BF130" s="165"/>
      <c r="BG130" s="165"/>
      <c r="BH130" s="165"/>
      <c r="BI130" s="165"/>
      <c r="BJ130" s="165"/>
      <c r="BK130" s="165"/>
      <c r="BL130" s="165"/>
      <c r="BM130" s="165"/>
      <c r="BN130" s="165"/>
      <c r="BO130" s="165"/>
      <c r="BP130" s="165"/>
      <c r="BQ130" s="165"/>
      <c r="BR130" s="165"/>
      <c r="BS130" s="165"/>
      <c r="BT130" s="165"/>
      <c r="BU130" s="165"/>
      <c r="BV130" s="165"/>
      <c r="BW130" s="165"/>
      <c r="BX130" s="165"/>
      <c r="BY130" s="165"/>
      <c r="BZ130" s="165"/>
      <c r="CA130" s="165"/>
      <c r="CB130" s="165"/>
      <c r="CC130" s="165"/>
      <c r="CD130" s="165"/>
      <c r="CE130" s="165"/>
      <c r="CF130" s="165"/>
      <c r="CG130" s="165"/>
      <c r="CH130" s="165"/>
      <c r="CI130" s="165"/>
      <c r="CJ130" s="165"/>
      <c r="CK130" s="165"/>
      <c r="CL130" s="165"/>
      <c r="CM130" s="165"/>
      <c r="CN130" s="165"/>
      <c r="CO130" s="165"/>
      <c r="CP130" s="165"/>
      <c r="CQ130" s="165"/>
    </row>
    <row r="131" spans="1:95" outlineLevel="1" x14ac:dyDescent="0.25">
      <c r="A131" s="228"/>
      <c r="B131" s="236" t="str">
        <f>Table1[[#Headers],[Simulação]]</f>
        <v>Simulação</v>
      </c>
      <c r="C131" s="237" t="str">
        <f t="shared" si="8"/>
        <v>PROTECTION_DT_MTRTY_INSRNC</v>
      </c>
      <c r="D131" s="232" t="s">
        <v>1114</v>
      </c>
      <c r="E131" s="232" t="s">
        <v>1284</v>
      </c>
      <c r="F131" s="238"/>
      <c r="G131" s="233">
        <f>INDEX(Table1[[Especificação]:[Total Testes]],MATCH('Planemaneto rev.equipa'!C131,Table1[CONCAT],0),MATCH('Planemaneto rev.equipa'!B131,Table1[[#Headers],[Especificação]:[Total Testes]],0))</f>
        <v>0</v>
      </c>
      <c r="H131" s="239">
        <f t="shared" si="9"/>
        <v>0</v>
      </c>
      <c r="I131" s="240"/>
      <c r="J131" s="165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  <c r="AA131" s="165"/>
      <c r="AB131" s="165"/>
      <c r="AC131" s="165"/>
      <c r="AD131" s="165"/>
      <c r="AE131" s="165"/>
      <c r="AF131" s="165"/>
      <c r="AG131" s="165"/>
      <c r="AH131" s="165"/>
      <c r="AI131" s="165"/>
      <c r="AJ131" s="165"/>
      <c r="AK131" s="165"/>
      <c r="AL131" s="165"/>
      <c r="AM131" s="165"/>
      <c r="AN131" s="165"/>
      <c r="AO131" s="165"/>
      <c r="AP131" s="165"/>
      <c r="AQ131" s="165"/>
      <c r="AR131" s="165"/>
      <c r="AS131" s="165"/>
      <c r="AT131" s="165"/>
      <c r="AU131" s="165"/>
      <c r="AV131" s="165"/>
      <c r="AW131" s="165"/>
      <c r="AX131" s="165"/>
      <c r="AY131" s="165"/>
      <c r="AZ131" s="165"/>
      <c r="BA131" s="165"/>
      <c r="BB131" s="165"/>
      <c r="BC131" s="165"/>
      <c r="BD131" s="165"/>
      <c r="BE131" s="165"/>
      <c r="BF131" s="165"/>
      <c r="BG131" s="165"/>
      <c r="BH131" s="165"/>
      <c r="BI131" s="165"/>
      <c r="BJ131" s="165"/>
      <c r="BK131" s="165"/>
      <c r="BL131" s="165"/>
      <c r="BM131" s="165"/>
      <c r="BN131" s="165"/>
      <c r="BO131" s="165"/>
      <c r="BP131" s="165"/>
      <c r="BQ131" s="165"/>
      <c r="BR131" s="165"/>
      <c r="BS131" s="165"/>
      <c r="BT131" s="165"/>
      <c r="BU131" s="165"/>
      <c r="BV131" s="165"/>
      <c r="BW131" s="165"/>
      <c r="BX131" s="165"/>
      <c r="BY131" s="165"/>
      <c r="BZ131" s="165"/>
      <c r="CA131" s="165"/>
      <c r="CB131" s="165"/>
      <c r="CC131" s="165"/>
      <c r="CD131" s="165"/>
      <c r="CE131" s="165"/>
      <c r="CF131" s="165"/>
      <c r="CG131" s="165"/>
      <c r="CH131" s="165"/>
      <c r="CI131" s="165"/>
      <c r="CJ131" s="165"/>
      <c r="CK131" s="165"/>
      <c r="CL131" s="165"/>
      <c r="CM131" s="165"/>
      <c r="CN131" s="165"/>
      <c r="CO131" s="165"/>
      <c r="CP131" s="165"/>
      <c r="CQ131" s="165"/>
    </row>
    <row r="132" spans="1:95" outlineLevel="1" x14ac:dyDescent="0.25">
      <c r="A132" s="228"/>
      <c r="B132" s="236" t="str">
        <f>Table1[[#Headers],[Simulação]]</f>
        <v>Simulação</v>
      </c>
      <c r="C132" s="237" t="str">
        <f t="shared" si="8"/>
        <v>PROTECTION_FLG_FRST_HM</v>
      </c>
      <c r="D132" s="232" t="s">
        <v>1114</v>
      </c>
      <c r="E132" s="243" t="s">
        <v>1287</v>
      </c>
      <c r="F132" s="238"/>
      <c r="G132" s="233">
        <f>INDEX(Table1[[Especificação]:[Total Testes]],MATCH('Planemaneto rev.equipa'!C132,Table1[CONCAT],0),MATCH('Planemaneto rev.equipa'!B132,Table1[[#Headers],[Especificação]:[Total Testes]],0))</f>
        <v>0</v>
      </c>
      <c r="H132" s="239">
        <f t="shared" si="9"/>
        <v>0</v>
      </c>
      <c r="I132" s="240"/>
      <c r="J132" s="165"/>
      <c r="K132" s="165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  <c r="AA132" s="165"/>
      <c r="AB132" s="165"/>
      <c r="AC132" s="165"/>
      <c r="AD132" s="165"/>
      <c r="AE132" s="165"/>
      <c r="AF132" s="165"/>
      <c r="AG132" s="165"/>
      <c r="AH132" s="165"/>
      <c r="AI132" s="165"/>
      <c r="AJ132" s="165"/>
      <c r="AK132" s="165"/>
      <c r="AL132" s="165"/>
      <c r="AM132" s="165"/>
      <c r="AN132" s="165"/>
      <c r="AO132" s="165"/>
      <c r="AP132" s="165"/>
      <c r="AQ132" s="165"/>
      <c r="AR132" s="165"/>
      <c r="AS132" s="165"/>
      <c r="AT132" s="165"/>
      <c r="AU132" s="165"/>
      <c r="AV132" s="165"/>
      <c r="AW132" s="165"/>
      <c r="AX132" s="165"/>
      <c r="AY132" s="165"/>
      <c r="AZ132" s="165"/>
      <c r="BA132" s="165"/>
      <c r="BB132" s="165"/>
      <c r="BC132" s="165"/>
      <c r="BD132" s="165"/>
      <c r="BE132" s="165"/>
      <c r="BF132" s="165"/>
      <c r="BG132" s="165"/>
      <c r="BH132" s="165"/>
      <c r="BI132" s="165"/>
      <c r="BJ132" s="165"/>
      <c r="BK132" s="165"/>
      <c r="BL132" s="165"/>
      <c r="BM132" s="165"/>
      <c r="BN132" s="165"/>
      <c r="BO132" s="165"/>
      <c r="BP132" s="165"/>
      <c r="BQ132" s="165"/>
      <c r="BR132" s="165"/>
      <c r="BS132" s="165"/>
      <c r="BT132" s="165"/>
      <c r="BU132" s="165"/>
      <c r="BV132" s="165"/>
      <c r="BW132" s="165"/>
      <c r="BX132" s="165"/>
      <c r="BY132" s="165"/>
      <c r="BZ132" s="165"/>
      <c r="CA132" s="165"/>
      <c r="CB132" s="165"/>
      <c r="CC132" s="165"/>
      <c r="CD132" s="165"/>
      <c r="CE132" s="165"/>
      <c r="CF132" s="165"/>
      <c r="CG132" s="165"/>
      <c r="CH132" s="165"/>
      <c r="CI132" s="165"/>
      <c r="CJ132" s="165"/>
      <c r="CK132" s="165"/>
      <c r="CL132" s="165"/>
      <c r="CM132" s="165"/>
      <c r="CN132" s="165"/>
      <c r="CO132" s="165"/>
      <c r="CP132" s="165"/>
      <c r="CQ132" s="165"/>
    </row>
    <row r="133" spans="1:95" outlineLevel="1" x14ac:dyDescent="0.25">
      <c r="A133" s="228"/>
      <c r="B133" s="236" t="str">
        <f>Table1[[#Headers],[Simulação]]</f>
        <v>Simulação</v>
      </c>
      <c r="C133" s="237" t="str">
        <f t="shared" si="8"/>
        <v>ENTITY_ENTTY_NM</v>
      </c>
      <c r="D133" s="232" t="s">
        <v>10</v>
      </c>
      <c r="E133" s="232" t="s">
        <v>59</v>
      </c>
      <c r="F133" s="238"/>
      <c r="G133" s="233">
        <f>INDEX(Table1[[Especificação]:[Total Testes]],MATCH('Planemaneto rev.equipa'!C133,Table1[CONCAT],0),MATCH('Planemaneto rev.equipa'!B133,Table1[[#Headers],[Especificação]:[Total Testes]],0))</f>
        <v>0</v>
      </c>
      <c r="H133" s="239">
        <f t="shared" si="9"/>
        <v>0</v>
      </c>
      <c r="I133" s="240"/>
      <c r="J133" s="165"/>
      <c r="K133" s="165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  <c r="AA133" s="165"/>
      <c r="AB133" s="165"/>
      <c r="AC133" s="165"/>
      <c r="AD133" s="165"/>
      <c r="AE133" s="165"/>
      <c r="AF133" s="165"/>
      <c r="AG133" s="165"/>
      <c r="AH133" s="165"/>
      <c r="AI133" s="165"/>
      <c r="AJ133" s="165"/>
      <c r="AK133" s="165"/>
      <c r="AL133" s="165"/>
      <c r="AM133" s="165"/>
      <c r="AN133" s="165"/>
      <c r="AO133" s="165"/>
      <c r="AP133" s="165"/>
      <c r="AQ133" s="165"/>
      <c r="AR133" s="165"/>
      <c r="AS133" s="165"/>
      <c r="AT133" s="165"/>
      <c r="AU133" s="165"/>
      <c r="AV133" s="165"/>
      <c r="AW133" s="165"/>
      <c r="AX133" s="165"/>
      <c r="AY133" s="165"/>
      <c r="AZ133" s="165"/>
      <c r="BA133" s="165"/>
      <c r="BB133" s="165"/>
      <c r="BC133" s="165"/>
      <c r="BD133" s="165"/>
      <c r="BE133" s="165"/>
      <c r="BF133" s="165"/>
      <c r="BG133" s="165"/>
      <c r="BH133" s="165"/>
      <c r="BI133" s="165"/>
      <c r="BJ133" s="165"/>
      <c r="BK133" s="165"/>
      <c r="BL133" s="165"/>
      <c r="BM133" s="165"/>
      <c r="BN133" s="165"/>
      <c r="BO133" s="165"/>
      <c r="BP133" s="165"/>
      <c r="BQ133" s="165"/>
      <c r="BR133" s="165"/>
      <c r="BS133" s="165"/>
      <c r="BT133" s="165"/>
      <c r="BU133" s="165"/>
      <c r="BV133" s="165"/>
      <c r="BW133" s="165"/>
      <c r="BX133" s="165"/>
      <c r="BY133" s="165"/>
      <c r="BZ133" s="165"/>
      <c r="CA133" s="165"/>
      <c r="CB133" s="165"/>
      <c r="CC133" s="165"/>
      <c r="CD133" s="165"/>
      <c r="CE133" s="165"/>
      <c r="CF133" s="165"/>
      <c r="CG133" s="165"/>
      <c r="CH133" s="165"/>
      <c r="CI133" s="165"/>
      <c r="CJ133" s="165"/>
      <c r="CK133" s="165"/>
      <c r="CL133" s="165"/>
      <c r="CM133" s="165"/>
      <c r="CN133" s="165"/>
      <c r="CO133" s="165"/>
      <c r="CP133" s="165"/>
      <c r="CQ133" s="165"/>
    </row>
    <row r="134" spans="1:95" outlineLevel="1" x14ac:dyDescent="0.25">
      <c r="A134" s="228"/>
      <c r="B134" s="236" t="str">
        <f>Table1[[#Headers],[Simulação]]</f>
        <v>Simulação</v>
      </c>
      <c r="C134" s="237" t="str">
        <f t="shared" si="8"/>
        <v>ENTITY_EC_GRP_NM</v>
      </c>
      <c r="D134" s="232" t="s">
        <v>10</v>
      </c>
      <c r="E134" s="232" t="s">
        <v>284</v>
      </c>
      <c r="F134" s="238"/>
      <c r="G134" s="233">
        <f>INDEX(Table1[[Especificação]:[Total Testes]],MATCH('Planemaneto rev.equipa'!C134,Table1[CONCAT],0),MATCH('Planemaneto rev.equipa'!B134,Table1[[#Headers],[Especificação]:[Total Testes]],0))</f>
        <v>0</v>
      </c>
      <c r="H134" s="239">
        <f t="shared" si="9"/>
        <v>0</v>
      </c>
      <c r="I134" s="240"/>
      <c r="J134" s="165"/>
      <c r="K134" s="165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  <c r="AA134" s="165"/>
      <c r="AB134" s="165"/>
      <c r="AC134" s="165"/>
      <c r="AD134" s="165"/>
      <c r="AE134" s="165"/>
      <c r="AF134" s="165"/>
      <c r="AG134" s="165"/>
      <c r="AH134" s="165"/>
      <c r="AI134" s="165"/>
      <c r="AJ134" s="165"/>
      <c r="AK134" s="165"/>
      <c r="AL134" s="165"/>
      <c r="AM134" s="165"/>
      <c r="AN134" s="165"/>
      <c r="AO134" s="165"/>
      <c r="AP134" s="165"/>
      <c r="AQ134" s="165"/>
      <c r="AR134" s="165"/>
      <c r="AS134" s="165"/>
      <c r="AT134" s="165"/>
      <c r="AU134" s="165"/>
      <c r="AV134" s="165"/>
      <c r="AW134" s="165"/>
      <c r="AX134" s="165"/>
      <c r="AY134" s="165"/>
      <c r="AZ134" s="165"/>
      <c r="BA134" s="165"/>
      <c r="BB134" s="165"/>
      <c r="BC134" s="165"/>
      <c r="BD134" s="165"/>
      <c r="BE134" s="165"/>
      <c r="BF134" s="165"/>
      <c r="BG134" s="165"/>
      <c r="BH134" s="165"/>
      <c r="BI134" s="165"/>
      <c r="BJ134" s="165"/>
      <c r="BK134" s="165"/>
      <c r="BL134" s="165"/>
      <c r="BM134" s="165"/>
      <c r="BN134" s="165"/>
      <c r="BO134" s="165"/>
      <c r="BP134" s="165"/>
      <c r="BQ134" s="165"/>
      <c r="BR134" s="165"/>
      <c r="BS134" s="165"/>
      <c r="BT134" s="165"/>
      <c r="BU134" s="165"/>
      <c r="BV134" s="165"/>
      <c r="BW134" s="165"/>
      <c r="BX134" s="165"/>
      <c r="BY134" s="165"/>
      <c r="BZ134" s="165"/>
      <c r="CA134" s="165"/>
      <c r="CB134" s="165"/>
      <c r="CC134" s="165"/>
      <c r="CD134" s="165"/>
      <c r="CE134" s="165"/>
      <c r="CF134" s="165"/>
      <c r="CG134" s="165"/>
      <c r="CH134" s="165"/>
      <c r="CI134" s="165"/>
      <c r="CJ134" s="165"/>
      <c r="CK134" s="165"/>
      <c r="CL134" s="165"/>
      <c r="CM134" s="165"/>
      <c r="CN134" s="165"/>
      <c r="CO134" s="165"/>
      <c r="CP134" s="165"/>
      <c r="CQ134" s="165"/>
    </row>
    <row r="135" spans="1:95" outlineLevel="1" x14ac:dyDescent="0.25">
      <c r="A135" s="228"/>
      <c r="B135" s="236" t="str">
        <f>Table1[[#Headers],[Simulação]]</f>
        <v>Simulação</v>
      </c>
      <c r="C135" s="237" t="str">
        <f t="shared" si="8"/>
        <v>INSTRUMENT_FRBRNC_STTS_INSTRMNT</v>
      </c>
      <c r="D135" s="232" t="s">
        <v>414</v>
      </c>
      <c r="E135" s="232" t="s">
        <v>501</v>
      </c>
      <c r="F135" s="238"/>
      <c r="G135" s="233">
        <f>INDEX(Table1[[Especificação]:[Total Testes]],MATCH('Planemaneto rev.equipa'!C135,Table1[CONCAT],0),MATCH('Planemaneto rev.equipa'!B135,Table1[[#Headers],[Especificação]:[Total Testes]],0))</f>
        <v>0</v>
      </c>
      <c r="H135" s="239">
        <f t="shared" si="9"/>
        <v>0</v>
      </c>
      <c r="I135" s="240"/>
      <c r="J135" s="165"/>
      <c r="K135" s="165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  <c r="AA135" s="165"/>
      <c r="AB135" s="165"/>
      <c r="AC135" s="165"/>
      <c r="AD135" s="165"/>
      <c r="AE135" s="165"/>
      <c r="AF135" s="165"/>
      <c r="AG135" s="165"/>
      <c r="AH135" s="165"/>
      <c r="AI135" s="165"/>
      <c r="AJ135" s="165"/>
      <c r="AK135" s="165"/>
      <c r="AL135" s="165"/>
      <c r="AM135" s="165"/>
      <c r="AN135" s="165"/>
      <c r="AO135" s="165"/>
      <c r="AP135" s="165"/>
      <c r="AQ135" s="165"/>
      <c r="AR135" s="165"/>
      <c r="AS135" s="165"/>
      <c r="AT135" s="165"/>
      <c r="AU135" s="165"/>
      <c r="AV135" s="165"/>
      <c r="AW135" s="165"/>
      <c r="AX135" s="165"/>
      <c r="AY135" s="165"/>
      <c r="AZ135" s="165"/>
      <c r="BA135" s="165"/>
      <c r="BB135" s="165"/>
      <c r="BC135" s="165"/>
      <c r="BD135" s="165"/>
      <c r="BE135" s="165"/>
      <c r="BF135" s="165"/>
      <c r="BG135" s="165"/>
      <c r="BH135" s="165"/>
      <c r="BI135" s="165"/>
      <c r="BJ135" s="165"/>
      <c r="BK135" s="165"/>
      <c r="BL135" s="165"/>
      <c r="BM135" s="165"/>
      <c r="BN135" s="165"/>
      <c r="BO135" s="165"/>
      <c r="BP135" s="165"/>
      <c r="BQ135" s="165"/>
      <c r="BR135" s="165"/>
      <c r="BS135" s="165"/>
      <c r="BT135" s="165"/>
      <c r="BU135" s="165"/>
      <c r="BV135" s="165"/>
      <c r="BW135" s="165"/>
      <c r="BX135" s="165"/>
      <c r="BY135" s="165"/>
      <c r="BZ135" s="165"/>
      <c r="CA135" s="165"/>
      <c r="CB135" s="165"/>
      <c r="CC135" s="165"/>
      <c r="CD135" s="165"/>
      <c r="CE135" s="165"/>
      <c r="CF135" s="165"/>
      <c r="CG135" s="165"/>
      <c r="CH135" s="165"/>
      <c r="CI135" s="165"/>
      <c r="CJ135" s="165"/>
      <c r="CK135" s="165"/>
      <c r="CL135" s="165"/>
      <c r="CM135" s="165"/>
      <c r="CN135" s="165"/>
      <c r="CO135" s="165"/>
      <c r="CP135" s="165"/>
      <c r="CQ135" s="165"/>
    </row>
    <row r="136" spans="1:95" outlineLevel="1" x14ac:dyDescent="0.25">
      <c r="A136" s="228"/>
      <c r="B136" s="236" t="str">
        <f>Table1[[#Headers],[Simulação]]</f>
        <v>Simulação</v>
      </c>
      <c r="C136" s="237" t="str">
        <f t="shared" si="8"/>
        <v>INSTRUMENT_IFRS9_BHVRL_MTRTY</v>
      </c>
      <c r="D136" s="232" t="s">
        <v>414</v>
      </c>
      <c r="E136" s="232" t="s">
        <v>614</v>
      </c>
      <c r="F136" s="238"/>
      <c r="G136" s="233">
        <f>INDEX(Table1[[Especificação]:[Total Testes]],MATCH('Planemaneto rev.equipa'!C136,Table1[CONCAT],0),MATCH('Planemaneto rev.equipa'!B136,Table1[[#Headers],[Especificação]:[Total Testes]],0))</f>
        <v>0</v>
      </c>
      <c r="H136" s="239">
        <f t="shared" si="9"/>
        <v>0</v>
      </c>
      <c r="I136" s="240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  <c r="AC136" s="165"/>
      <c r="AD136" s="165"/>
      <c r="AE136" s="165"/>
      <c r="AF136" s="165"/>
      <c r="AG136" s="165"/>
      <c r="AH136" s="165"/>
      <c r="AI136" s="165"/>
      <c r="AJ136" s="165"/>
      <c r="AK136" s="165"/>
      <c r="AL136" s="165"/>
      <c r="AM136" s="165"/>
      <c r="AN136" s="165"/>
      <c r="AO136" s="165"/>
      <c r="AP136" s="165"/>
      <c r="AQ136" s="165"/>
      <c r="AR136" s="165"/>
      <c r="AS136" s="165"/>
      <c r="AT136" s="165"/>
      <c r="AU136" s="165"/>
      <c r="AV136" s="165"/>
      <c r="AW136" s="165"/>
      <c r="AX136" s="165"/>
      <c r="AY136" s="165"/>
      <c r="AZ136" s="165"/>
      <c r="BA136" s="165"/>
      <c r="BB136" s="165"/>
      <c r="BC136" s="165"/>
      <c r="BD136" s="165"/>
      <c r="BE136" s="165"/>
      <c r="BF136" s="165"/>
      <c r="BG136" s="165"/>
      <c r="BH136" s="165"/>
      <c r="BI136" s="165"/>
      <c r="BJ136" s="165"/>
      <c r="BK136" s="165"/>
      <c r="BL136" s="165"/>
      <c r="BM136" s="165"/>
      <c r="BN136" s="165"/>
      <c r="BO136" s="165"/>
      <c r="BP136" s="165"/>
      <c r="BQ136" s="165"/>
      <c r="BR136" s="165"/>
      <c r="BS136" s="165"/>
      <c r="BT136" s="165"/>
      <c r="BU136" s="165"/>
      <c r="BV136" s="165"/>
      <c r="BW136" s="165"/>
      <c r="BX136" s="165"/>
      <c r="BY136" s="165"/>
      <c r="BZ136" s="165"/>
      <c r="CA136" s="165"/>
      <c r="CB136" s="165"/>
      <c r="CC136" s="165"/>
      <c r="CD136" s="165"/>
      <c r="CE136" s="165"/>
      <c r="CF136" s="165"/>
      <c r="CG136" s="165"/>
      <c r="CH136" s="165"/>
      <c r="CI136" s="165"/>
      <c r="CJ136" s="165"/>
      <c r="CK136" s="165"/>
      <c r="CL136" s="165"/>
      <c r="CM136" s="165"/>
      <c r="CN136" s="165"/>
      <c r="CO136" s="165"/>
      <c r="CP136" s="165"/>
      <c r="CQ136" s="165"/>
    </row>
    <row r="137" spans="1:95" outlineLevel="1" x14ac:dyDescent="0.25">
      <c r="A137" s="228"/>
      <c r="B137" s="236" t="str">
        <f>Table1[[#Headers],[Simulação]]</f>
        <v>Simulação</v>
      </c>
      <c r="C137" s="237" t="str">
        <f t="shared" si="8"/>
        <v>INSTRUMENT_LTV</v>
      </c>
      <c r="D137" s="232" t="s">
        <v>414</v>
      </c>
      <c r="E137" s="232" t="s">
        <v>724</v>
      </c>
      <c r="F137" s="238"/>
      <c r="G137" s="233">
        <f>INDEX(Table1[[Especificação]:[Total Testes]],MATCH('Planemaneto rev.equipa'!C137,Table1[CONCAT],0),MATCH('Planemaneto rev.equipa'!B137,Table1[[#Headers],[Especificação]:[Total Testes]],0))</f>
        <v>0</v>
      </c>
      <c r="H137" s="239">
        <f t="shared" si="9"/>
        <v>0</v>
      </c>
      <c r="I137" s="240"/>
      <c r="J137" s="165"/>
      <c r="K137" s="165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  <c r="AA137" s="165"/>
      <c r="AB137" s="165"/>
      <c r="AC137" s="165"/>
      <c r="AD137" s="165"/>
      <c r="AE137" s="165"/>
      <c r="AF137" s="165"/>
      <c r="AG137" s="165"/>
      <c r="AH137" s="165"/>
      <c r="AI137" s="165"/>
      <c r="AJ137" s="165"/>
      <c r="AK137" s="165"/>
      <c r="AL137" s="165"/>
      <c r="AM137" s="165"/>
      <c r="AN137" s="165"/>
      <c r="AO137" s="165"/>
      <c r="AP137" s="165"/>
      <c r="AQ137" s="165"/>
      <c r="AR137" s="165"/>
      <c r="AS137" s="165"/>
      <c r="AT137" s="165"/>
      <c r="AU137" s="165"/>
      <c r="AV137" s="165"/>
      <c r="AW137" s="165"/>
      <c r="AX137" s="165"/>
      <c r="AY137" s="165"/>
      <c r="AZ137" s="165"/>
      <c r="BA137" s="165"/>
      <c r="BB137" s="165"/>
      <c r="BC137" s="165"/>
      <c r="BD137" s="165"/>
      <c r="BE137" s="165"/>
      <c r="BF137" s="165"/>
      <c r="BG137" s="165"/>
      <c r="BH137" s="165"/>
      <c r="BI137" s="165"/>
      <c r="BJ137" s="165"/>
      <c r="BK137" s="165"/>
      <c r="BL137" s="165"/>
      <c r="BM137" s="165"/>
      <c r="BN137" s="165"/>
      <c r="BO137" s="165"/>
      <c r="BP137" s="165"/>
      <c r="BQ137" s="165"/>
      <c r="BR137" s="165"/>
      <c r="BS137" s="165"/>
      <c r="BT137" s="165"/>
      <c r="BU137" s="165"/>
      <c r="BV137" s="165"/>
      <c r="BW137" s="165"/>
      <c r="BX137" s="165"/>
      <c r="BY137" s="165"/>
      <c r="BZ137" s="165"/>
      <c r="CA137" s="165"/>
      <c r="CB137" s="165"/>
      <c r="CC137" s="165"/>
      <c r="CD137" s="165"/>
      <c r="CE137" s="165"/>
      <c r="CF137" s="165"/>
      <c r="CG137" s="165"/>
      <c r="CH137" s="165"/>
      <c r="CI137" s="165"/>
      <c r="CJ137" s="165"/>
      <c r="CK137" s="165"/>
      <c r="CL137" s="165"/>
      <c r="CM137" s="165"/>
      <c r="CN137" s="165"/>
      <c r="CO137" s="165"/>
      <c r="CP137" s="165"/>
      <c r="CQ137" s="165"/>
    </row>
    <row r="138" spans="1:95" outlineLevel="1" x14ac:dyDescent="0.25">
      <c r="A138" s="228"/>
      <c r="B138" s="236" t="str">
        <f>Table1[[#Headers],[Simulação]]</f>
        <v>Simulação</v>
      </c>
      <c r="C138" s="237" t="str">
        <f t="shared" si="8"/>
        <v>INSTRUMENT_LTV_INCPTN</v>
      </c>
      <c r="D138" s="232" t="s">
        <v>414</v>
      </c>
      <c r="E138" s="232" t="s">
        <v>727</v>
      </c>
      <c r="F138" s="238"/>
      <c r="G138" s="233">
        <f>INDEX(Table1[[Especificação]:[Total Testes]],MATCH('Planemaneto rev.equipa'!C138,Table1[CONCAT],0),MATCH('Planemaneto rev.equipa'!B138,Table1[[#Headers],[Especificação]:[Total Testes]],0))</f>
        <v>0</v>
      </c>
      <c r="H138" s="239">
        <f t="shared" si="9"/>
        <v>0</v>
      </c>
      <c r="I138" s="240"/>
      <c r="J138" s="165"/>
      <c r="K138" s="165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  <c r="AA138" s="165"/>
      <c r="AB138" s="165"/>
      <c r="AC138" s="165"/>
      <c r="AD138" s="165"/>
      <c r="AE138" s="165"/>
      <c r="AF138" s="165"/>
      <c r="AG138" s="165"/>
      <c r="AH138" s="165"/>
      <c r="AI138" s="165"/>
      <c r="AJ138" s="165"/>
      <c r="AK138" s="165"/>
      <c r="AL138" s="165"/>
      <c r="AM138" s="165"/>
      <c r="AN138" s="165"/>
      <c r="AO138" s="165"/>
      <c r="AP138" s="165"/>
      <c r="AQ138" s="165"/>
      <c r="AR138" s="165"/>
      <c r="AS138" s="165"/>
      <c r="AT138" s="165"/>
      <c r="AU138" s="165"/>
      <c r="AV138" s="165"/>
      <c r="AW138" s="165"/>
      <c r="AX138" s="165"/>
      <c r="AY138" s="165"/>
      <c r="AZ138" s="165"/>
      <c r="BA138" s="165"/>
      <c r="BB138" s="165"/>
      <c r="BC138" s="165"/>
      <c r="BD138" s="165"/>
      <c r="BE138" s="165"/>
      <c r="BF138" s="165"/>
      <c r="BG138" s="165"/>
      <c r="BH138" s="165"/>
      <c r="BI138" s="165"/>
      <c r="BJ138" s="165"/>
      <c r="BK138" s="165"/>
      <c r="BL138" s="165"/>
      <c r="BM138" s="165"/>
      <c r="BN138" s="165"/>
      <c r="BO138" s="165"/>
      <c r="BP138" s="165"/>
      <c r="BQ138" s="165"/>
      <c r="BR138" s="165"/>
      <c r="BS138" s="165"/>
      <c r="BT138" s="165"/>
      <c r="BU138" s="165"/>
      <c r="BV138" s="165"/>
      <c r="BW138" s="165"/>
      <c r="BX138" s="165"/>
      <c r="BY138" s="165"/>
      <c r="BZ138" s="165"/>
      <c r="CA138" s="165"/>
      <c r="CB138" s="165"/>
      <c r="CC138" s="165"/>
      <c r="CD138" s="165"/>
      <c r="CE138" s="165"/>
      <c r="CF138" s="165"/>
      <c r="CG138" s="165"/>
      <c r="CH138" s="165"/>
      <c r="CI138" s="165"/>
      <c r="CJ138" s="165"/>
      <c r="CK138" s="165"/>
      <c r="CL138" s="165"/>
      <c r="CM138" s="165"/>
      <c r="CN138" s="165"/>
      <c r="CO138" s="165"/>
      <c r="CP138" s="165"/>
      <c r="CQ138" s="165"/>
    </row>
    <row r="139" spans="1:95" outlineLevel="1" x14ac:dyDescent="0.25">
      <c r="A139" s="228"/>
      <c r="B139" s="236" t="str">
        <f>Table1[[#Headers],[Simulação]]</f>
        <v>Simulação</v>
      </c>
      <c r="C139" s="237" t="str">
        <f t="shared" si="8"/>
        <v>INSTRUMENT_ANNLSD_AGRD_RT</v>
      </c>
      <c r="D139" s="232" t="s">
        <v>414</v>
      </c>
      <c r="E139" s="232" t="s">
        <v>757</v>
      </c>
      <c r="F139" s="238"/>
      <c r="G139" s="233">
        <f>INDEX(Table1[[Especificação]:[Total Testes]],MATCH('Planemaneto rev.equipa'!C139,Table1[CONCAT],0),MATCH('Planemaneto rev.equipa'!B139,Table1[[#Headers],[Especificação]:[Total Testes]],0))</f>
        <v>0</v>
      </c>
      <c r="H139" s="239">
        <f t="shared" si="9"/>
        <v>0</v>
      </c>
      <c r="I139" s="240"/>
      <c r="J139" s="165"/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  <c r="AA139" s="165"/>
      <c r="AB139" s="165"/>
      <c r="AC139" s="165"/>
      <c r="AD139" s="165"/>
      <c r="AE139" s="165"/>
      <c r="AF139" s="165"/>
      <c r="AG139" s="165"/>
      <c r="AH139" s="165"/>
      <c r="AI139" s="165"/>
      <c r="AJ139" s="165"/>
      <c r="AK139" s="165"/>
      <c r="AL139" s="165"/>
      <c r="AM139" s="165"/>
      <c r="AN139" s="165"/>
      <c r="AO139" s="165"/>
      <c r="AP139" s="165"/>
      <c r="AQ139" s="165"/>
      <c r="AR139" s="165"/>
      <c r="AS139" s="165"/>
      <c r="AT139" s="165"/>
      <c r="AU139" s="165"/>
      <c r="AV139" s="165"/>
      <c r="AW139" s="165"/>
      <c r="AX139" s="165"/>
      <c r="AY139" s="165"/>
      <c r="AZ139" s="165"/>
      <c r="BA139" s="165"/>
      <c r="BB139" s="165"/>
      <c r="BC139" s="165"/>
      <c r="BD139" s="165"/>
      <c r="BE139" s="165"/>
      <c r="BF139" s="165"/>
      <c r="BG139" s="165"/>
      <c r="BH139" s="165"/>
      <c r="BI139" s="165"/>
      <c r="BJ139" s="165"/>
      <c r="BK139" s="165"/>
      <c r="BL139" s="165"/>
      <c r="BM139" s="165"/>
      <c r="BN139" s="165"/>
      <c r="BO139" s="165"/>
      <c r="BP139" s="165"/>
      <c r="BQ139" s="165"/>
      <c r="BR139" s="165"/>
      <c r="BS139" s="165"/>
      <c r="BT139" s="165"/>
      <c r="BU139" s="165"/>
      <c r="BV139" s="165"/>
      <c r="BW139" s="165"/>
      <c r="BX139" s="165"/>
      <c r="BY139" s="165"/>
      <c r="BZ139" s="165"/>
      <c r="CA139" s="165"/>
      <c r="CB139" s="165"/>
      <c r="CC139" s="165"/>
      <c r="CD139" s="165"/>
      <c r="CE139" s="165"/>
      <c r="CF139" s="165"/>
      <c r="CG139" s="165"/>
      <c r="CH139" s="165"/>
      <c r="CI139" s="165"/>
      <c r="CJ139" s="165"/>
      <c r="CK139" s="165"/>
      <c r="CL139" s="165"/>
      <c r="CM139" s="165"/>
      <c r="CN139" s="165"/>
      <c r="CO139" s="165"/>
      <c r="CP139" s="165"/>
      <c r="CQ139" s="165"/>
    </row>
    <row r="140" spans="1:95" outlineLevel="1" x14ac:dyDescent="0.25">
      <c r="A140" s="228"/>
      <c r="B140" s="236" t="str">
        <f>Table1[[#Headers],[Simulação]]</f>
        <v>Simulação</v>
      </c>
      <c r="C140" s="237" t="str">
        <f t="shared" si="8"/>
        <v>INSTRUMENT_EIR_INCPTN</v>
      </c>
      <c r="D140" s="232" t="s">
        <v>414</v>
      </c>
      <c r="E140" s="232" t="s">
        <v>763</v>
      </c>
      <c r="F140" s="238"/>
      <c r="G140" s="233">
        <f>INDEX(Table1[[Especificação]:[Total Testes]],MATCH('Planemaneto rev.equipa'!C140,Table1[CONCAT],0),MATCH('Planemaneto rev.equipa'!B140,Table1[[#Headers],[Especificação]:[Total Testes]],0))</f>
        <v>0</v>
      </c>
      <c r="H140" s="239">
        <f t="shared" si="9"/>
        <v>0</v>
      </c>
      <c r="I140" s="240"/>
      <c r="J140" s="165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  <c r="AA140" s="165"/>
      <c r="AB140" s="165"/>
      <c r="AC140" s="165"/>
      <c r="AD140" s="165"/>
      <c r="AE140" s="165"/>
      <c r="AF140" s="165"/>
      <c r="AG140" s="165"/>
      <c r="AH140" s="165"/>
      <c r="AI140" s="165"/>
      <c r="AJ140" s="165"/>
      <c r="AK140" s="165"/>
      <c r="AL140" s="165"/>
      <c r="AM140" s="165"/>
      <c r="AN140" s="165"/>
      <c r="AO140" s="165"/>
      <c r="AP140" s="165"/>
      <c r="AQ140" s="165"/>
      <c r="AR140" s="165"/>
      <c r="AS140" s="165"/>
      <c r="AT140" s="165"/>
      <c r="AU140" s="165"/>
      <c r="AV140" s="165"/>
      <c r="AW140" s="165"/>
      <c r="AX140" s="165"/>
      <c r="AY140" s="165"/>
      <c r="AZ140" s="165"/>
      <c r="BA140" s="165"/>
      <c r="BB140" s="165"/>
      <c r="BC140" s="165"/>
      <c r="BD140" s="165"/>
      <c r="BE140" s="165"/>
      <c r="BF140" s="165"/>
      <c r="BG140" s="165"/>
      <c r="BH140" s="165"/>
      <c r="BI140" s="165"/>
      <c r="BJ140" s="165"/>
      <c r="BK140" s="165"/>
      <c r="BL140" s="165"/>
      <c r="BM140" s="165"/>
      <c r="BN140" s="165"/>
      <c r="BO140" s="165"/>
      <c r="BP140" s="165"/>
      <c r="BQ140" s="165"/>
      <c r="BR140" s="165"/>
      <c r="BS140" s="165"/>
      <c r="BT140" s="165"/>
      <c r="BU140" s="165"/>
      <c r="BV140" s="165"/>
      <c r="BW140" s="165"/>
      <c r="BX140" s="165"/>
      <c r="BY140" s="165"/>
      <c r="BZ140" s="165"/>
      <c r="CA140" s="165"/>
      <c r="CB140" s="165"/>
      <c r="CC140" s="165"/>
      <c r="CD140" s="165"/>
      <c r="CE140" s="165"/>
      <c r="CF140" s="165"/>
      <c r="CG140" s="165"/>
      <c r="CH140" s="165"/>
      <c r="CI140" s="165"/>
      <c r="CJ140" s="165"/>
      <c r="CK140" s="165"/>
      <c r="CL140" s="165"/>
      <c r="CM140" s="165"/>
      <c r="CN140" s="165"/>
      <c r="CO140" s="165"/>
      <c r="CP140" s="165"/>
      <c r="CQ140" s="165"/>
    </row>
    <row r="141" spans="1:95" outlineLevel="1" x14ac:dyDescent="0.25">
      <c r="A141" s="228"/>
      <c r="B141" s="236" t="str">
        <f>Table1[[#Headers],[Simulação]]</f>
        <v>Simulação</v>
      </c>
      <c r="C141" s="237" t="str">
        <f t="shared" si="8"/>
        <v>PROTECTION_YR_CNSTRCTN</v>
      </c>
      <c r="D141" s="232" t="s">
        <v>1114</v>
      </c>
      <c r="E141" s="232" t="s">
        <v>1290</v>
      </c>
      <c r="F141" s="238"/>
      <c r="G141" s="233">
        <f>INDEX(Table1[[Especificação]:[Total Testes]],MATCH('Planemaneto rev.equipa'!C141,Table1[CONCAT],0),MATCH('Planemaneto rev.equipa'!B141,Table1[[#Headers],[Especificação]:[Total Testes]],0))</f>
        <v>0</v>
      </c>
      <c r="H141" s="239">
        <f t="shared" si="9"/>
        <v>0</v>
      </c>
      <c r="I141" s="240"/>
      <c r="J141" s="165"/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  <c r="AA141" s="165"/>
      <c r="AB141" s="165"/>
      <c r="AC141" s="165"/>
      <c r="AD141" s="165"/>
      <c r="AE141" s="165"/>
      <c r="AF141" s="165"/>
      <c r="AG141" s="165"/>
      <c r="AH141" s="165"/>
      <c r="AI141" s="165"/>
      <c r="AJ141" s="165"/>
      <c r="AK141" s="165"/>
      <c r="AL141" s="165"/>
      <c r="AM141" s="165"/>
      <c r="AN141" s="165"/>
      <c r="AO141" s="165"/>
      <c r="AP141" s="165"/>
      <c r="AQ141" s="165"/>
      <c r="AR141" s="165"/>
      <c r="AS141" s="165"/>
      <c r="AT141" s="165"/>
      <c r="AU141" s="165"/>
      <c r="AV141" s="165"/>
      <c r="AW141" s="165"/>
      <c r="AX141" s="165"/>
      <c r="AY141" s="165"/>
      <c r="AZ141" s="165"/>
      <c r="BA141" s="165"/>
      <c r="BB141" s="165"/>
      <c r="BC141" s="165"/>
      <c r="BD141" s="165"/>
      <c r="BE141" s="165"/>
      <c r="BF141" s="165"/>
      <c r="BG141" s="165"/>
      <c r="BH141" s="165"/>
      <c r="BI141" s="165"/>
      <c r="BJ141" s="165"/>
      <c r="BK141" s="165"/>
      <c r="BL141" s="165"/>
      <c r="BM141" s="165"/>
      <c r="BN141" s="165"/>
      <c r="BO141" s="165"/>
      <c r="BP141" s="165"/>
      <c r="BQ141" s="165"/>
      <c r="BR141" s="165"/>
      <c r="BS141" s="165"/>
      <c r="BT141" s="165"/>
      <c r="BU141" s="165"/>
      <c r="BV141" s="165"/>
      <c r="BW141" s="165"/>
      <c r="BX141" s="165"/>
      <c r="BY141" s="165"/>
      <c r="BZ141" s="165"/>
      <c r="CA141" s="165"/>
      <c r="CB141" s="165"/>
      <c r="CC141" s="165"/>
      <c r="CD141" s="165"/>
      <c r="CE141" s="165"/>
      <c r="CF141" s="165"/>
      <c r="CG141" s="165"/>
      <c r="CH141" s="165"/>
      <c r="CI141" s="165"/>
      <c r="CJ141" s="165"/>
      <c r="CK141" s="165"/>
      <c r="CL141" s="165"/>
      <c r="CM141" s="165"/>
      <c r="CN141" s="165"/>
      <c r="CO141" s="165"/>
      <c r="CP141" s="165"/>
      <c r="CQ141" s="165"/>
    </row>
    <row r="142" spans="1:95" outlineLevel="1" x14ac:dyDescent="0.25">
      <c r="A142" s="228"/>
      <c r="B142" s="236" t="str">
        <f>Table1[[#Headers],[Simulação]]</f>
        <v>Simulação</v>
      </c>
      <c r="C142" s="237" t="str">
        <f t="shared" si="8"/>
        <v>INSTRUMENT_INTRNL_SGMNT</v>
      </c>
      <c r="D142" s="232" t="s">
        <v>414</v>
      </c>
      <c r="E142" s="232" t="s">
        <v>50</v>
      </c>
      <c r="F142" s="238"/>
      <c r="G142" s="233">
        <f>INDEX(Table1[[Especificação]:[Total Testes]],MATCH('Planemaneto rev.equipa'!C142,Table1[CONCAT],0),MATCH('Planemaneto rev.equipa'!B142,Table1[[#Headers],[Especificação]:[Total Testes]],0))</f>
        <v>0</v>
      </c>
      <c r="H142" s="239">
        <f t="shared" si="9"/>
        <v>0</v>
      </c>
      <c r="I142" s="240"/>
      <c r="J142" s="165"/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  <c r="AA142" s="165"/>
      <c r="AB142" s="165"/>
      <c r="AC142" s="165"/>
      <c r="AD142" s="165"/>
      <c r="AE142" s="165"/>
      <c r="AF142" s="165"/>
      <c r="AG142" s="165"/>
      <c r="AH142" s="165"/>
      <c r="AI142" s="165"/>
      <c r="AJ142" s="165"/>
      <c r="AK142" s="165"/>
      <c r="AL142" s="165"/>
      <c r="AM142" s="165"/>
      <c r="AN142" s="165"/>
      <c r="AO142" s="165"/>
      <c r="AP142" s="165"/>
      <c r="AQ142" s="165"/>
      <c r="AR142" s="165"/>
      <c r="AS142" s="165"/>
      <c r="AT142" s="165"/>
      <c r="AU142" s="165"/>
      <c r="AV142" s="165"/>
      <c r="AW142" s="165"/>
      <c r="AX142" s="165"/>
      <c r="AY142" s="165"/>
      <c r="AZ142" s="165"/>
      <c r="BA142" s="165"/>
      <c r="BB142" s="165"/>
      <c r="BC142" s="165"/>
      <c r="BD142" s="165"/>
      <c r="BE142" s="165"/>
      <c r="BF142" s="165"/>
      <c r="BG142" s="165"/>
      <c r="BH142" s="165"/>
      <c r="BI142" s="165"/>
      <c r="BJ142" s="165"/>
      <c r="BK142" s="165"/>
      <c r="BL142" s="165"/>
      <c r="BM142" s="165"/>
      <c r="BN142" s="165"/>
      <c r="BO142" s="165"/>
      <c r="BP142" s="165"/>
      <c r="BQ142" s="165"/>
      <c r="BR142" s="165"/>
      <c r="BS142" s="165"/>
      <c r="BT142" s="165"/>
      <c r="BU142" s="165"/>
      <c r="BV142" s="165"/>
      <c r="BW142" s="165"/>
      <c r="BX142" s="165"/>
      <c r="BY142" s="165"/>
      <c r="BZ142" s="165"/>
      <c r="CA142" s="165"/>
      <c r="CB142" s="165"/>
      <c r="CC142" s="165"/>
      <c r="CD142" s="165"/>
      <c r="CE142" s="165"/>
      <c r="CF142" s="165"/>
      <c r="CG142" s="165"/>
      <c r="CH142" s="165"/>
      <c r="CI142" s="165"/>
      <c r="CJ142" s="165"/>
      <c r="CK142" s="165"/>
      <c r="CL142" s="165"/>
      <c r="CM142" s="165"/>
      <c r="CN142" s="165"/>
      <c r="CO142" s="165"/>
      <c r="CP142" s="165"/>
      <c r="CQ142" s="165"/>
    </row>
    <row r="143" spans="1:95" outlineLevel="1" x14ac:dyDescent="0.25">
      <c r="A143" s="228"/>
      <c r="B143" s="236" t="str">
        <f>Table1[[#Headers],[Simulação]]</f>
        <v>Simulação</v>
      </c>
      <c r="C143" s="237" t="str">
        <f t="shared" si="8"/>
        <v>INSTRUMENT_EAD</v>
      </c>
      <c r="D143" s="232" t="s">
        <v>414</v>
      </c>
      <c r="E143" s="232" t="s">
        <v>617</v>
      </c>
      <c r="F143" s="238"/>
      <c r="G143" s="233">
        <f>INDEX(Table1[[Especificação]:[Total Testes]],MATCH('Planemaneto rev.equipa'!C143,Table1[CONCAT],0),MATCH('Planemaneto rev.equipa'!B143,Table1[[#Headers],[Especificação]:[Total Testes]],0))</f>
        <v>0</v>
      </c>
      <c r="H143" s="239">
        <f t="shared" si="9"/>
        <v>0</v>
      </c>
      <c r="I143" s="240"/>
      <c r="J143" s="165"/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  <c r="AA143" s="165"/>
      <c r="AB143" s="165"/>
      <c r="AC143" s="165"/>
      <c r="AD143" s="165"/>
      <c r="AE143" s="165"/>
      <c r="AF143" s="165"/>
      <c r="AG143" s="165"/>
      <c r="AH143" s="165"/>
      <c r="AI143" s="165"/>
      <c r="AJ143" s="165"/>
      <c r="AK143" s="165"/>
      <c r="AL143" s="165"/>
      <c r="AM143" s="165"/>
      <c r="AN143" s="165"/>
      <c r="AO143" s="165"/>
      <c r="AP143" s="165"/>
      <c r="AQ143" s="165"/>
      <c r="AR143" s="165"/>
      <c r="AS143" s="165"/>
      <c r="AT143" s="165"/>
      <c r="AU143" s="165"/>
      <c r="AV143" s="165"/>
      <c r="AW143" s="165"/>
      <c r="AX143" s="165"/>
      <c r="AY143" s="165"/>
      <c r="AZ143" s="165"/>
      <c r="BA143" s="165"/>
      <c r="BB143" s="165"/>
      <c r="BC143" s="165"/>
      <c r="BD143" s="165"/>
      <c r="BE143" s="165"/>
      <c r="BF143" s="165"/>
      <c r="BG143" s="165"/>
      <c r="BH143" s="165"/>
      <c r="BI143" s="165"/>
      <c r="BJ143" s="165"/>
      <c r="BK143" s="165"/>
      <c r="BL143" s="165"/>
      <c r="BM143" s="165"/>
      <c r="BN143" s="165"/>
      <c r="BO143" s="165"/>
      <c r="BP143" s="165"/>
      <c r="BQ143" s="165"/>
      <c r="BR143" s="165"/>
      <c r="BS143" s="165"/>
      <c r="BT143" s="165"/>
      <c r="BU143" s="165"/>
      <c r="BV143" s="165"/>
      <c r="BW143" s="165"/>
      <c r="BX143" s="165"/>
      <c r="BY143" s="165"/>
      <c r="BZ143" s="165"/>
      <c r="CA143" s="165"/>
      <c r="CB143" s="165"/>
      <c r="CC143" s="165"/>
      <c r="CD143" s="165"/>
      <c r="CE143" s="165"/>
      <c r="CF143" s="165"/>
      <c r="CG143" s="165"/>
      <c r="CH143" s="165"/>
      <c r="CI143" s="165"/>
      <c r="CJ143" s="165"/>
      <c r="CK143" s="165"/>
      <c r="CL143" s="165"/>
      <c r="CM143" s="165"/>
      <c r="CN143" s="165"/>
      <c r="CO143" s="165"/>
      <c r="CP143" s="165"/>
      <c r="CQ143" s="165"/>
    </row>
    <row r="144" spans="1:95" outlineLevel="1" x14ac:dyDescent="0.25">
      <c r="A144" s="228"/>
      <c r="B144" s="236" t="str">
        <f>Table1[[#Headers],[Simulação]]</f>
        <v>Simulação</v>
      </c>
      <c r="C144" s="237" t="str">
        <f t="shared" si="8"/>
        <v>INSTRUMENT_OFF_BLNC_SHT_AMNT_INSTRMNT</v>
      </c>
      <c r="D144" s="232" t="s">
        <v>414</v>
      </c>
      <c r="E144" s="232" t="s">
        <v>629</v>
      </c>
      <c r="F144" s="238"/>
      <c r="G144" s="233">
        <f>INDEX(Table1[[Especificação]:[Total Testes]],MATCH('Planemaneto rev.equipa'!C144,Table1[CONCAT],0),MATCH('Planemaneto rev.equipa'!B144,Table1[[#Headers],[Especificação]:[Total Testes]],0))</f>
        <v>0</v>
      </c>
      <c r="H144" s="239">
        <f t="shared" si="9"/>
        <v>0</v>
      </c>
      <c r="I144" s="240"/>
      <c r="J144" s="165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  <c r="AA144" s="165"/>
      <c r="AB144" s="165"/>
      <c r="AC144" s="165"/>
      <c r="AD144" s="165"/>
      <c r="AE144" s="165"/>
      <c r="AF144" s="165"/>
      <c r="AG144" s="165"/>
      <c r="AH144" s="165"/>
      <c r="AI144" s="165"/>
      <c r="AJ144" s="165"/>
      <c r="AK144" s="165"/>
      <c r="AL144" s="165"/>
      <c r="AM144" s="165"/>
      <c r="AN144" s="165"/>
      <c r="AO144" s="165"/>
      <c r="AP144" s="165"/>
      <c r="AQ144" s="165"/>
      <c r="AR144" s="165"/>
      <c r="AS144" s="165"/>
      <c r="AT144" s="165"/>
      <c r="AU144" s="165"/>
      <c r="AV144" s="165"/>
      <c r="AW144" s="165"/>
      <c r="AX144" s="165"/>
      <c r="AY144" s="165"/>
      <c r="AZ144" s="165"/>
      <c r="BA144" s="165"/>
      <c r="BB144" s="165"/>
      <c r="BC144" s="165"/>
      <c r="BD144" s="165"/>
      <c r="BE144" s="165"/>
      <c r="BF144" s="165"/>
      <c r="BG144" s="165"/>
      <c r="BH144" s="165"/>
      <c r="BI144" s="165"/>
      <c r="BJ144" s="165"/>
      <c r="BK144" s="165"/>
      <c r="BL144" s="165"/>
      <c r="BM144" s="165"/>
      <c r="BN144" s="165"/>
      <c r="BO144" s="165"/>
      <c r="BP144" s="165"/>
      <c r="BQ144" s="165"/>
      <c r="BR144" s="165"/>
      <c r="BS144" s="165"/>
      <c r="BT144" s="165"/>
      <c r="BU144" s="165"/>
      <c r="BV144" s="165"/>
      <c r="BW144" s="165"/>
      <c r="BX144" s="165"/>
      <c r="BY144" s="165"/>
      <c r="BZ144" s="165"/>
      <c r="CA144" s="165"/>
      <c r="CB144" s="165"/>
      <c r="CC144" s="165"/>
      <c r="CD144" s="165"/>
      <c r="CE144" s="165"/>
      <c r="CF144" s="165"/>
      <c r="CG144" s="165"/>
      <c r="CH144" s="165"/>
      <c r="CI144" s="165"/>
      <c r="CJ144" s="165"/>
      <c r="CK144" s="165"/>
      <c r="CL144" s="165"/>
      <c r="CM144" s="165"/>
      <c r="CN144" s="165"/>
      <c r="CO144" s="165"/>
      <c r="CP144" s="165"/>
      <c r="CQ144" s="165"/>
    </row>
    <row r="145" spans="1:95" outlineLevel="1" x14ac:dyDescent="0.25">
      <c r="A145" s="228"/>
      <c r="B145" s="236" t="str">
        <f>Table1[[#Headers],[Simulação]]</f>
        <v>Simulação</v>
      </c>
      <c r="C145" s="237" t="str">
        <f t="shared" si="8"/>
        <v>INSTRUMENT_INTRNL_SGMNT_CAT_MSTA</v>
      </c>
      <c r="D145" s="232" t="s">
        <v>414</v>
      </c>
      <c r="E145" s="232" t="s">
        <v>943</v>
      </c>
      <c r="F145" s="238"/>
      <c r="G145" s="233">
        <f>INDEX(Table1[[Especificação]:[Total Testes]],MATCH('Planemaneto rev.equipa'!C145,Table1[CONCAT],0),MATCH('Planemaneto rev.equipa'!B145,Table1[[#Headers],[Especificação]:[Total Testes]],0))</f>
        <v>0</v>
      </c>
      <c r="H145" s="239">
        <f t="shared" si="9"/>
        <v>0</v>
      </c>
      <c r="I145" s="240"/>
      <c r="J145" s="165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  <c r="AA145" s="165"/>
      <c r="AB145" s="165"/>
      <c r="AC145" s="165"/>
      <c r="AD145" s="165"/>
      <c r="AE145" s="165"/>
      <c r="AF145" s="165"/>
      <c r="AG145" s="165"/>
      <c r="AH145" s="165"/>
      <c r="AI145" s="165"/>
      <c r="AJ145" s="165"/>
      <c r="AK145" s="165"/>
      <c r="AL145" s="165"/>
      <c r="AM145" s="165"/>
      <c r="AN145" s="165"/>
      <c r="AO145" s="165"/>
      <c r="AP145" s="165"/>
      <c r="AQ145" s="165"/>
      <c r="AR145" s="165"/>
      <c r="AS145" s="165"/>
      <c r="AT145" s="165"/>
      <c r="AU145" s="165"/>
      <c r="AV145" s="165"/>
      <c r="AW145" s="165"/>
      <c r="AX145" s="165"/>
      <c r="AY145" s="165"/>
      <c r="AZ145" s="165"/>
      <c r="BA145" s="165"/>
      <c r="BB145" s="165"/>
      <c r="BC145" s="165"/>
      <c r="BD145" s="165"/>
      <c r="BE145" s="165"/>
      <c r="BF145" s="165"/>
      <c r="BG145" s="165"/>
      <c r="BH145" s="165"/>
      <c r="BI145" s="165"/>
      <c r="BJ145" s="165"/>
      <c r="BK145" s="165"/>
      <c r="BL145" s="165"/>
      <c r="BM145" s="165"/>
      <c r="BN145" s="165"/>
      <c r="BO145" s="165"/>
      <c r="BP145" s="165"/>
      <c r="BQ145" s="165"/>
      <c r="BR145" s="165"/>
      <c r="BS145" s="165"/>
      <c r="BT145" s="165"/>
      <c r="BU145" s="165"/>
      <c r="BV145" s="165"/>
      <c r="BW145" s="165"/>
      <c r="BX145" s="165"/>
      <c r="BY145" s="165"/>
      <c r="BZ145" s="165"/>
      <c r="CA145" s="165"/>
      <c r="CB145" s="165"/>
      <c r="CC145" s="165"/>
      <c r="CD145" s="165"/>
      <c r="CE145" s="165"/>
      <c r="CF145" s="165"/>
      <c r="CG145" s="165"/>
      <c r="CH145" s="165"/>
      <c r="CI145" s="165"/>
      <c r="CJ145" s="165"/>
      <c r="CK145" s="165"/>
      <c r="CL145" s="165"/>
      <c r="CM145" s="165"/>
      <c r="CN145" s="165"/>
      <c r="CO145" s="165"/>
      <c r="CP145" s="165"/>
      <c r="CQ145" s="165"/>
    </row>
    <row r="146" spans="1:95" outlineLevel="1" x14ac:dyDescent="0.25">
      <c r="A146" s="228"/>
      <c r="B146" s="236" t="str">
        <f>Table1[[#Headers],[Simulação]]</f>
        <v>Simulação</v>
      </c>
      <c r="C146" s="237" t="str">
        <f t="shared" si="8"/>
        <v>INSTRUMENT_INTRNL_SGMNT_CATGSUB</v>
      </c>
      <c r="D146" s="232" t="s">
        <v>414</v>
      </c>
      <c r="E146" s="232" t="s">
        <v>946</v>
      </c>
      <c r="F146" s="238"/>
      <c r="G146" s="233">
        <f>INDEX(Table1[[Especificação]:[Total Testes]],MATCH('Planemaneto rev.equipa'!C146,Table1[CONCAT],0),MATCH('Planemaneto rev.equipa'!B146,Table1[[#Headers],[Especificação]:[Total Testes]],0))</f>
        <v>0</v>
      </c>
      <c r="H146" s="239">
        <f t="shared" si="9"/>
        <v>0</v>
      </c>
      <c r="I146" s="240"/>
      <c r="J146" s="165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  <c r="AA146" s="165"/>
      <c r="AB146" s="165"/>
      <c r="AC146" s="165"/>
      <c r="AD146" s="165"/>
      <c r="AE146" s="165"/>
      <c r="AF146" s="165"/>
      <c r="AG146" s="165"/>
      <c r="AH146" s="165"/>
      <c r="AI146" s="165"/>
      <c r="AJ146" s="165"/>
      <c r="AK146" s="165"/>
      <c r="AL146" s="165"/>
      <c r="AM146" s="165"/>
      <c r="AN146" s="165"/>
      <c r="AO146" s="165"/>
      <c r="AP146" s="165"/>
      <c r="AQ146" s="165"/>
      <c r="AR146" s="165"/>
      <c r="AS146" s="165"/>
      <c r="AT146" s="165"/>
      <c r="AU146" s="165"/>
      <c r="AV146" s="165"/>
      <c r="AW146" s="165"/>
      <c r="AX146" s="165"/>
      <c r="AY146" s="165"/>
      <c r="AZ146" s="165"/>
      <c r="BA146" s="165"/>
      <c r="BB146" s="165"/>
      <c r="BC146" s="165"/>
      <c r="BD146" s="165"/>
      <c r="BE146" s="165"/>
      <c r="BF146" s="165"/>
      <c r="BG146" s="165"/>
      <c r="BH146" s="165"/>
      <c r="BI146" s="165"/>
      <c r="BJ146" s="165"/>
      <c r="BK146" s="165"/>
      <c r="BL146" s="165"/>
      <c r="BM146" s="165"/>
      <c r="BN146" s="165"/>
      <c r="BO146" s="165"/>
      <c r="BP146" s="165"/>
      <c r="BQ146" s="165"/>
      <c r="BR146" s="165"/>
      <c r="BS146" s="165"/>
      <c r="BT146" s="165"/>
      <c r="BU146" s="165"/>
      <c r="BV146" s="165"/>
      <c r="BW146" s="165"/>
      <c r="BX146" s="165"/>
      <c r="BY146" s="165"/>
      <c r="BZ146" s="165"/>
      <c r="CA146" s="165"/>
      <c r="CB146" s="165"/>
      <c r="CC146" s="165"/>
      <c r="CD146" s="165"/>
      <c r="CE146" s="165"/>
      <c r="CF146" s="165"/>
      <c r="CG146" s="165"/>
      <c r="CH146" s="165"/>
      <c r="CI146" s="165"/>
      <c r="CJ146" s="165"/>
      <c r="CK146" s="165"/>
      <c r="CL146" s="165"/>
      <c r="CM146" s="165"/>
      <c r="CN146" s="165"/>
      <c r="CO146" s="165"/>
      <c r="CP146" s="165"/>
      <c r="CQ146" s="165"/>
    </row>
    <row r="147" spans="1:95" outlineLevel="1" x14ac:dyDescent="0.25">
      <c r="A147" s="228"/>
      <c r="B147" s="236" t="str">
        <f>Table1[[#Headers],[Simulação]]</f>
        <v>Simulação</v>
      </c>
      <c r="C147" s="237" t="str">
        <f t="shared" si="8"/>
        <v>PROTECTION_RL_ESTT_ADDRSS</v>
      </c>
      <c r="D147" s="232" t="s">
        <v>1114</v>
      </c>
      <c r="E147" s="232" t="s">
        <v>1127</v>
      </c>
      <c r="F147" s="238"/>
      <c r="G147" s="233">
        <f>INDEX(Table1[[Especificação]:[Total Testes]],MATCH('Planemaneto rev.equipa'!C147,Table1[CONCAT],0),MATCH('Planemaneto rev.equipa'!B147,Table1[[#Headers],[Especificação]:[Total Testes]],0))</f>
        <v>0</v>
      </c>
      <c r="H147" s="239">
        <f t="shared" si="9"/>
        <v>0</v>
      </c>
      <c r="I147" s="240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  <c r="AA147" s="165"/>
      <c r="AB147" s="165"/>
      <c r="AC147" s="165"/>
      <c r="AD147" s="165"/>
      <c r="AE147" s="165"/>
      <c r="AF147" s="165"/>
      <c r="AG147" s="165"/>
      <c r="AH147" s="165"/>
      <c r="AI147" s="165"/>
      <c r="AJ147" s="165"/>
      <c r="AK147" s="165"/>
      <c r="AL147" s="165"/>
      <c r="AM147" s="165"/>
      <c r="AN147" s="165"/>
      <c r="AO147" s="165"/>
      <c r="AP147" s="165"/>
      <c r="AQ147" s="165"/>
      <c r="AR147" s="165"/>
      <c r="AS147" s="165"/>
      <c r="AT147" s="165"/>
      <c r="AU147" s="165"/>
      <c r="AV147" s="165"/>
      <c r="AW147" s="165"/>
      <c r="AX147" s="165"/>
      <c r="AY147" s="165"/>
      <c r="AZ147" s="165"/>
      <c r="BA147" s="165"/>
      <c r="BB147" s="165"/>
      <c r="BC147" s="165"/>
      <c r="BD147" s="165"/>
      <c r="BE147" s="165"/>
      <c r="BF147" s="165"/>
      <c r="BG147" s="165"/>
      <c r="BH147" s="165"/>
      <c r="BI147" s="165"/>
      <c r="BJ147" s="165"/>
      <c r="BK147" s="165"/>
      <c r="BL147" s="165"/>
      <c r="BM147" s="165"/>
      <c r="BN147" s="165"/>
      <c r="BO147" s="165"/>
      <c r="BP147" s="165"/>
      <c r="BQ147" s="165"/>
      <c r="BR147" s="165"/>
      <c r="BS147" s="165"/>
      <c r="BT147" s="165"/>
      <c r="BU147" s="165"/>
      <c r="BV147" s="165"/>
      <c r="BW147" s="165"/>
      <c r="BX147" s="165"/>
      <c r="BY147" s="165"/>
      <c r="BZ147" s="165"/>
      <c r="CA147" s="165"/>
      <c r="CB147" s="165"/>
      <c r="CC147" s="165"/>
      <c r="CD147" s="165"/>
      <c r="CE147" s="165"/>
      <c r="CF147" s="165"/>
      <c r="CG147" s="165"/>
      <c r="CH147" s="165"/>
      <c r="CI147" s="165"/>
      <c r="CJ147" s="165"/>
      <c r="CK147" s="165"/>
      <c r="CL147" s="165"/>
      <c r="CM147" s="165"/>
      <c r="CN147" s="165"/>
      <c r="CO147" s="165"/>
      <c r="CP147" s="165"/>
      <c r="CQ147" s="165"/>
    </row>
    <row r="148" spans="1:95" outlineLevel="1" x14ac:dyDescent="0.25">
      <c r="A148" s="228"/>
      <c r="B148" s="236" t="str">
        <f>Table1[[#Headers],[Simulação]]</f>
        <v>Simulação</v>
      </c>
      <c r="C148" s="237" t="str">
        <f t="shared" si="8"/>
        <v>PROTECTION_RL_ESTT_CLLTRL_LCTN_INT</v>
      </c>
      <c r="D148" s="232" t="s">
        <v>1114</v>
      </c>
      <c r="E148" s="232" t="s">
        <v>1133</v>
      </c>
      <c r="F148" s="238"/>
      <c r="G148" s="233">
        <f>INDEX(Table1[[Especificação]:[Total Testes]],MATCH('Planemaneto rev.equipa'!C148,Table1[CONCAT],0),MATCH('Planemaneto rev.equipa'!B148,Table1[[#Headers],[Especificação]:[Total Testes]],0))</f>
        <v>0</v>
      </c>
      <c r="H148" s="239">
        <f t="shared" si="9"/>
        <v>0</v>
      </c>
      <c r="I148" s="240"/>
      <c r="J148" s="165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  <c r="AA148" s="165"/>
      <c r="AB148" s="165"/>
      <c r="AC148" s="165"/>
      <c r="AD148" s="165"/>
      <c r="AE148" s="165"/>
      <c r="AF148" s="165"/>
      <c r="AG148" s="165"/>
      <c r="AH148" s="165"/>
      <c r="AI148" s="165"/>
      <c r="AJ148" s="165"/>
      <c r="AK148" s="165"/>
      <c r="AL148" s="165"/>
      <c r="AM148" s="165"/>
      <c r="AN148" s="165"/>
      <c r="AO148" s="165"/>
      <c r="AP148" s="165"/>
      <c r="AQ148" s="165"/>
      <c r="AR148" s="165"/>
      <c r="AS148" s="165"/>
      <c r="AT148" s="165"/>
      <c r="AU148" s="165"/>
      <c r="AV148" s="165"/>
      <c r="AW148" s="165"/>
      <c r="AX148" s="165"/>
      <c r="AY148" s="165"/>
      <c r="AZ148" s="165"/>
      <c r="BA148" s="165"/>
      <c r="BB148" s="165"/>
      <c r="BC148" s="165"/>
      <c r="BD148" s="165"/>
      <c r="BE148" s="165"/>
      <c r="BF148" s="165"/>
      <c r="BG148" s="165"/>
      <c r="BH148" s="165"/>
      <c r="BI148" s="165"/>
      <c r="BJ148" s="165"/>
      <c r="BK148" s="165"/>
      <c r="BL148" s="165"/>
      <c r="BM148" s="165"/>
      <c r="BN148" s="165"/>
      <c r="BO148" s="165"/>
      <c r="BP148" s="165"/>
      <c r="BQ148" s="165"/>
      <c r="BR148" s="165"/>
      <c r="BS148" s="165"/>
      <c r="BT148" s="165"/>
      <c r="BU148" s="165"/>
      <c r="BV148" s="165"/>
      <c r="BW148" s="165"/>
      <c r="BX148" s="165"/>
      <c r="BY148" s="165"/>
      <c r="BZ148" s="165"/>
      <c r="CA148" s="165"/>
      <c r="CB148" s="165"/>
      <c r="CC148" s="165"/>
      <c r="CD148" s="165"/>
      <c r="CE148" s="165"/>
      <c r="CF148" s="165"/>
      <c r="CG148" s="165"/>
      <c r="CH148" s="165"/>
      <c r="CI148" s="165"/>
      <c r="CJ148" s="165"/>
      <c r="CK148" s="165"/>
      <c r="CL148" s="165"/>
      <c r="CM148" s="165"/>
      <c r="CN148" s="165"/>
      <c r="CO148" s="165"/>
      <c r="CP148" s="165"/>
      <c r="CQ148" s="165"/>
    </row>
    <row r="149" spans="1:95" outlineLevel="1" x14ac:dyDescent="0.25">
      <c r="A149" s="228"/>
      <c r="B149" s="236" t="str">
        <f>Table1[[#Headers],[Simulação]]</f>
        <v>Simulação</v>
      </c>
      <c r="C149" s="237" t="str">
        <f t="shared" si="8"/>
        <v>PROTECTION_RL_ESTT_CTY</v>
      </c>
      <c r="D149" s="232" t="s">
        <v>1114</v>
      </c>
      <c r="E149" s="232" t="s">
        <v>1136</v>
      </c>
      <c r="F149" s="238"/>
      <c r="G149" s="233">
        <f>INDEX(Table1[[Especificação]:[Total Testes]],MATCH('Planemaneto rev.equipa'!C149,Table1[CONCAT],0),MATCH('Planemaneto rev.equipa'!B149,Table1[[#Headers],[Especificação]:[Total Testes]],0))</f>
        <v>0</v>
      </c>
      <c r="H149" s="239">
        <f t="shared" si="9"/>
        <v>0</v>
      </c>
      <c r="I149" s="240"/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65"/>
      <c r="AB149" s="165"/>
      <c r="AC149" s="165"/>
      <c r="AD149" s="165"/>
      <c r="AE149" s="165"/>
      <c r="AF149" s="165"/>
      <c r="AG149" s="165"/>
      <c r="AH149" s="165"/>
      <c r="AI149" s="165"/>
      <c r="AJ149" s="165"/>
      <c r="AK149" s="165"/>
      <c r="AL149" s="165"/>
      <c r="AM149" s="165"/>
      <c r="AN149" s="165"/>
      <c r="AO149" s="165"/>
      <c r="AP149" s="165"/>
      <c r="AQ149" s="165"/>
      <c r="AR149" s="165"/>
      <c r="AS149" s="165"/>
      <c r="AT149" s="165"/>
      <c r="AU149" s="165"/>
      <c r="AV149" s="165"/>
      <c r="AW149" s="165"/>
      <c r="AX149" s="165"/>
      <c r="AY149" s="165"/>
      <c r="AZ149" s="165"/>
      <c r="BA149" s="165"/>
      <c r="BB149" s="165"/>
      <c r="BC149" s="165"/>
      <c r="BD149" s="165"/>
      <c r="BE149" s="165"/>
      <c r="BF149" s="165"/>
      <c r="BG149" s="165"/>
      <c r="BH149" s="165"/>
      <c r="BI149" s="165"/>
      <c r="BJ149" s="165"/>
      <c r="BK149" s="165"/>
      <c r="BL149" s="165"/>
      <c r="BM149" s="165"/>
      <c r="BN149" s="165"/>
      <c r="BO149" s="165"/>
      <c r="BP149" s="165"/>
      <c r="BQ149" s="165"/>
      <c r="BR149" s="165"/>
      <c r="BS149" s="165"/>
      <c r="BT149" s="165"/>
      <c r="BU149" s="165"/>
      <c r="BV149" s="165"/>
      <c r="BW149" s="165"/>
      <c r="BX149" s="165"/>
      <c r="BY149" s="165"/>
      <c r="BZ149" s="165"/>
      <c r="CA149" s="165"/>
      <c r="CB149" s="165"/>
      <c r="CC149" s="165"/>
      <c r="CD149" s="165"/>
      <c r="CE149" s="165"/>
      <c r="CF149" s="165"/>
      <c r="CG149" s="165"/>
      <c r="CH149" s="165"/>
      <c r="CI149" s="165"/>
      <c r="CJ149" s="165"/>
      <c r="CK149" s="165"/>
      <c r="CL149" s="165"/>
      <c r="CM149" s="165"/>
      <c r="CN149" s="165"/>
      <c r="CO149" s="165"/>
      <c r="CP149" s="165"/>
      <c r="CQ149" s="165"/>
    </row>
    <row r="150" spans="1:95" outlineLevel="1" x14ac:dyDescent="0.25">
      <c r="A150" s="228"/>
      <c r="B150" s="236" t="str">
        <f>Table1[[#Headers],[Simulação]]</f>
        <v>Simulação</v>
      </c>
      <c r="C150" s="237" t="str">
        <f t="shared" si="8"/>
        <v>INSTRUMENT_TYP_OFF_BLNC_PRDCT</v>
      </c>
      <c r="D150" s="232" t="s">
        <v>414</v>
      </c>
      <c r="E150" s="232" t="s">
        <v>1351</v>
      </c>
      <c r="F150" s="238"/>
      <c r="G150" s="233">
        <f>INDEX(Table1[[Especificação]:[Total Testes]],MATCH('Planemaneto rev.equipa'!C150,Table1[CONCAT],0),MATCH('Planemaneto rev.equipa'!B150,Table1[[#Headers],[Especificação]:[Total Testes]],0))</f>
        <v>0</v>
      </c>
      <c r="H150" s="239">
        <f t="shared" si="9"/>
        <v>0</v>
      </c>
      <c r="I150" s="240"/>
      <c r="J150" s="165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  <c r="AA150" s="165"/>
      <c r="AB150" s="165"/>
      <c r="AC150" s="165"/>
      <c r="AD150" s="165"/>
      <c r="AE150" s="165"/>
      <c r="AF150" s="165"/>
      <c r="AG150" s="165"/>
      <c r="AH150" s="165"/>
      <c r="AI150" s="165"/>
      <c r="AJ150" s="165"/>
      <c r="AK150" s="165"/>
      <c r="AL150" s="165"/>
      <c r="AM150" s="165"/>
      <c r="AN150" s="165"/>
      <c r="AO150" s="165"/>
      <c r="AP150" s="165"/>
      <c r="AQ150" s="165"/>
      <c r="AR150" s="165"/>
      <c r="AS150" s="165"/>
      <c r="AT150" s="165"/>
      <c r="AU150" s="165"/>
      <c r="AV150" s="165"/>
      <c r="AW150" s="165"/>
      <c r="AX150" s="165"/>
      <c r="AY150" s="165"/>
      <c r="AZ150" s="165"/>
      <c r="BA150" s="165"/>
      <c r="BB150" s="165"/>
      <c r="BC150" s="165"/>
      <c r="BD150" s="165"/>
      <c r="BE150" s="165"/>
      <c r="BF150" s="165"/>
      <c r="BG150" s="165"/>
      <c r="BH150" s="165"/>
      <c r="BI150" s="165"/>
      <c r="BJ150" s="165"/>
      <c r="BK150" s="165"/>
      <c r="BL150" s="165"/>
      <c r="BM150" s="165"/>
      <c r="BN150" s="165"/>
      <c r="BO150" s="165"/>
      <c r="BP150" s="165"/>
      <c r="BQ150" s="165"/>
      <c r="BR150" s="165"/>
      <c r="BS150" s="165"/>
      <c r="BT150" s="165"/>
      <c r="BU150" s="165"/>
      <c r="BV150" s="165"/>
      <c r="BW150" s="165"/>
      <c r="BX150" s="165"/>
      <c r="BY150" s="165"/>
      <c r="BZ150" s="165"/>
      <c r="CA150" s="165"/>
      <c r="CB150" s="165"/>
      <c r="CC150" s="165"/>
      <c r="CD150" s="165"/>
      <c r="CE150" s="165"/>
      <c r="CF150" s="165"/>
      <c r="CG150" s="165"/>
      <c r="CH150" s="165"/>
      <c r="CI150" s="165"/>
      <c r="CJ150" s="165"/>
      <c r="CK150" s="165"/>
      <c r="CL150" s="165"/>
      <c r="CM150" s="165"/>
      <c r="CN150" s="165"/>
      <c r="CO150" s="165"/>
      <c r="CP150" s="165"/>
      <c r="CQ150" s="165"/>
    </row>
    <row r="151" spans="1:95" outlineLevel="1" x14ac:dyDescent="0.25">
      <c r="A151" s="228"/>
      <c r="B151" s="236" t="str">
        <f>Table1[[#Headers],[Simulação]]</f>
        <v>Simulação</v>
      </c>
      <c r="C151" s="237" t="str">
        <f t="shared" si="8"/>
        <v>INSTRUMENT_FLG_MNMM_SFGRDS</v>
      </c>
      <c r="D151" s="232" t="s">
        <v>414</v>
      </c>
      <c r="E151" s="232" t="s">
        <v>1480</v>
      </c>
      <c r="F151" s="238"/>
      <c r="G151" s="233">
        <f>INDEX(Table1[[Especificação]:[Total Testes]],MATCH('Planemaneto rev.equipa'!C151,Table1[CONCAT],0),MATCH('Planemaneto rev.equipa'!B151,Table1[[#Headers],[Especificação]:[Total Testes]],0))</f>
        <v>0</v>
      </c>
      <c r="H151" s="239">
        <f t="shared" si="9"/>
        <v>0</v>
      </c>
      <c r="I151" s="240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  <c r="AA151" s="165"/>
      <c r="AB151" s="165"/>
      <c r="AC151" s="165"/>
      <c r="AD151" s="165"/>
      <c r="AE151" s="165"/>
      <c r="AF151" s="165"/>
      <c r="AG151" s="165"/>
      <c r="AH151" s="165"/>
      <c r="AI151" s="165"/>
      <c r="AJ151" s="165"/>
      <c r="AK151" s="165"/>
      <c r="AL151" s="165"/>
      <c r="AM151" s="165"/>
      <c r="AN151" s="165"/>
      <c r="AO151" s="165"/>
      <c r="AP151" s="165"/>
      <c r="AQ151" s="165"/>
      <c r="AR151" s="165"/>
      <c r="AS151" s="165"/>
      <c r="AT151" s="165"/>
      <c r="AU151" s="165"/>
      <c r="AV151" s="165"/>
      <c r="AW151" s="165"/>
      <c r="AX151" s="165"/>
      <c r="AY151" s="165"/>
      <c r="AZ151" s="165"/>
      <c r="BA151" s="165"/>
      <c r="BB151" s="165"/>
      <c r="BC151" s="165"/>
      <c r="BD151" s="165"/>
      <c r="BE151" s="165"/>
      <c r="BF151" s="165"/>
      <c r="BG151" s="165"/>
      <c r="BH151" s="165"/>
      <c r="BI151" s="165"/>
      <c r="BJ151" s="165"/>
      <c r="BK151" s="165"/>
      <c r="BL151" s="165"/>
      <c r="BM151" s="165"/>
      <c r="BN151" s="165"/>
      <c r="BO151" s="165"/>
      <c r="BP151" s="165"/>
      <c r="BQ151" s="165"/>
      <c r="BR151" s="165"/>
      <c r="BS151" s="165"/>
      <c r="BT151" s="165"/>
      <c r="BU151" s="165"/>
      <c r="BV151" s="165"/>
      <c r="BW151" s="165"/>
      <c r="BX151" s="165"/>
      <c r="BY151" s="165"/>
      <c r="BZ151" s="165"/>
      <c r="CA151" s="165"/>
      <c r="CB151" s="165"/>
      <c r="CC151" s="165"/>
      <c r="CD151" s="165"/>
      <c r="CE151" s="165"/>
      <c r="CF151" s="165"/>
      <c r="CG151" s="165"/>
      <c r="CH151" s="165"/>
      <c r="CI151" s="165"/>
      <c r="CJ151" s="165"/>
      <c r="CK151" s="165"/>
      <c r="CL151" s="165"/>
      <c r="CM151" s="165"/>
      <c r="CN151" s="165"/>
      <c r="CO151" s="165"/>
      <c r="CP151" s="165"/>
      <c r="CQ151" s="165"/>
    </row>
    <row r="152" spans="1:95" outlineLevel="1" x14ac:dyDescent="0.25">
      <c r="A152" s="228"/>
      <c r="B152" s="236" t="str">
        <f>Table1[[#Headers],[Simulação]]</f>
        <v>Simulação</v>
      </c>
      <c r="C152" s="237" t="str">
        <f t="shared" si="8"/>
        <v>PROTECTION_RL_ESTT_CRTFCTN</v>
      </c>
      <c r="D152" s="232" t="s">
        <v>1114</v>
      </c>
      <c r="E152" s="232" t="s">
        <v>1512</v>
      </c>
      <c r="F152" s="238"/>
      <c r="G152" s="233">
        <f>INDEX(Table1[[Especificação]:[Total Testes]],MATCH('Planemaneto rev.equipa'!C152,Table1[CONCAT],0),MATCH('Planemaneto rev.equipa'!B152,Table1[[#Headers],[Especificação]:[Total Testes]],0))</f>
        <v>0</v>
      </c>
      <c r="H152" s="239">
        <f t="shared" si="9"/>
        <v>0</v>
      </c>
      <c r="I152" s="240"/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  <c r="AA152" s="165"/>
      <c r="AB152" s="165"/>
      <c r="AC152" s="165"/>
      <c r="AD152" s="165"/>
      <c r="AE152" s="165"/>
      <c r="AF152" s="165"/>
      <c r="AG152" s="165"/>
      <c r="AH152" s="165"/>
      <c r="AI152" s="165"/>
      <c r="AJ152" s="165"/>
      <c r="AK152" s="165"/>
      <c r="AL152" s="165"/>
      <c r="AM152" s="165"/>
      <c r="AN152" s="165"/>
      <c r="AO152" s="165"/>
      <c r="AP152" s="165"/>
      <c r="AQ152" s="165"/>
      <c r="AR152" s="165"/>
      <c r="AS152" s="165"/>
      <c r="AT152" s="165"/>
      <c r="AU152" s="165"/>
      <c r="AV152" s="165"/>
      <c r="AW152" s="165"/>
      <c r="AX152" s="165"/>
      <c r="AY152" s="165"/>
      <c r="AZ152" s="165"/>
      <c r="BA152" s="165"/>
      <c r="BB152" s="165"/>
      <c r="BC152" s="165"/>
      <c r="BD152" s="165"/>
      <c r="BE152" s="165"/>
      <c r="BF152" s="165"/>
      <c r="BG152" s="165"/>
      <c r="BH152" s="165"/>
      <c r="BI152" s="165"/>
      <c r="BJ152" s="165"/>
      <c r="BK152" s="165"/>
      <c r="BL152" s="165"/>
      <c r="BM152" s="165"/>
      <c r="BN152" s="165"/>
      <c r="BO152" s="165"/>
      <c r="BP152" s="165"/>
      <c r="BQ152" s="165"/>
      <c r="BR152" s="165"/>
      <c r="BS152" s="165"/>
      <c r="BT152" s="165"/>
      <c r="BU152" s="165"/>
      <c r="BV152" s="165"/>
      <c r="BW152" s="165"/>
      <c r="BX152" s="165"/>
      <c r="BY152" s="165"/>
      <c r="BZ152" s="165"/>
      <c r="CA152" s="165"/>
      <c r="CB152" s="165"/>
      <c r="CC152" s="165"/>
      <c r="CD152" s="165"/>
      <c r="CE152" s="165"/>
      <c r="CF152" s="165"/>
      <c r="CG152" s="165"/>
      <c r="CH152" s="165"/>
      <c r="CI152" s="165"/>
      <c r="CJ152" s="165"/>
      <c r="CK152" s="165"/>
      <c r="CL152" s="165"/>
      <c r="CM152" s="165"/>
      <c r="CN152" s="165"/>
      <c r="CO152" s="165"/>
      <c r="CP152" s="165"/>
      <c r="CQ152" s="165"/>
    </row>
    <row r="153" spans="1:95" outlineLevel="1" x14ac:dyDescent="0.25">
      <c r="A153" s="228"/>
      <c r="B153" s="236" t="str">
        <f>Table1[[#Headers],[Simulação]]</f>
        <v>Simulação</v>
      </c>
      <c r="C153" s="237" t="str">
        <f t="shared" si="8"/>
        <v>PROTECTION_TYP_VHCL</v>
      </c>
      <c r="D153" s="232" t="s">
        <v>1114</v>
      </c>
      <c r="E153" s="232" t="s">
        <v>1515</v>
      </c>
      <c r="F153" s="238"/>
      <c r="G153" s="233">
        <f>INDEX(Table1[[Especificação]:[Total Testes]],MATCH('Planemaneto rev.equipa'!C153,Table1[CONCAT],0),MATCH('Planemaneto rev.equipa'!B153,Table1[[#Headers],[Especificação]:[Total Testes]],0))</f>
        <v>0</v>
      </c>
      <c r="H153" s="239">
        <f t="shared" si="9"/>
        <v>0</v>
      </c>
      <c r="I153" s="240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  <c r="AA153" s="165"/>
      <c r="AB153" s="165"/>
      <c r="AC153" s="165"/>
      <c r="AD153" s="165"/>
      <c r="AE153" s="165"/>
      <c r="AF153" s="165"/>
      <c r="AG153" s="165"/>
      <c r="AH153" s="165"/>
      <c r="AI153" s="165"/>
      <c r="AJ153" s="165"/>
      <c r="AK153" s="165"/>
      <c r="AL153" s="165"/>
      <c r="AM153" s="165"/>
      <c r="AN153" s="165"/>
      <c r="AO153" s="165"/>
      <c r="AP153" s="165"/>
      <c r="AQ153" s="165"/>
      <c r="AR153" s="165"/>
      <c r="AS153" s="165"/>
      <c r="AT153" s="165"/>
      <c r="AU153" s="165"/>
      <c r="AV153" s="165"/>
      <c r="AW153" s="165"/>
      <c r="AX153" s="165"/>
      <c r="AY153" s="165"/>
      <c r="AZ153" s="165"/>
      <c r="BA153" s="165"/>
      <c r="BB153" s="165"/>
      <c r="BC153" s="165"/>
      <c r="BD153" s="165"/>
      <c r="BE153" s="165"/>
      <c r="BF153" s="165"/>
      <c r="BG153" s="165"/>
      <c r="BH153" s="165"/>
      <c r="BI153" s="165"/>
      <c r="BJ153" s="165"/>
      <c r="BK153" s="165"/>
      <c r="BL153" s="165"/>
      <c r="BM153" s="165"/>
      <c r="BN153" s="165"/>
      <c r="BO153" s="165"/>
      <c r="BP153" s="165"/>
      <c r="BQ153" s="165"/>
      <c r="BR153" s="165"/>
      <c r="BS153" s="165"/>
      <c r="BT153" s="165"/>
      <c r="BU153" s="165"/>
      <c r="BV153" s="165"/>
      <c r="BW153" s="165"/>
      <c r="BX153" s="165"/>
      <c r="BY153" s="165"/>
      <c r="BZ153" s="165"/>
      <c r="CA153" s="165"/>
      <c r="CB153" s="165"/>
      <c r="CC153" s="165"/>
      <c r="CD153" s="165"/>
      <c r="CE153" s="165"/>
      <c r="CF153" s="165"/>
      <c r="CG153" s="165"/>
      <c r="CH153" s="165"/>
      <c r="CI153" s="165"/>
      <c r="CJ153" s="165"/>
      <c r="CK153" s="165"/>
      <c r="CL153" s="165"/>
      <c r="CM153" s="165"/>
      <c r="CN153" s="165"/>
      <c r="CO153" s="165"/>
      <c r="CP153" s="165"/>
      <c r="CQ153" s="165"/>
    </row>
    <row r="154" spans="1:95" outlineLevel="1" x14ac:dyDescent="0.25">
      <c r="A154" s="228"/>
      <c r="B154" s="236" t="str">
        <f>Table1[[#Headers],[Simulação]]</f>
        <v>Simulação</v>
      </c>
      <c r="C154" s="237" t="str">
        <f t="shared" ref="C154:C161" si="10">D154&amp;"_"&amp;E154</f>
        <v>PROTECTION_DT_RGSTRTN</v>
      </c>
      <c r="D154" s="232" t="s">
        <v>1114</v>
      </c>
      <c r="E154" s="232" t="s">
        <v>1518</v>
      </c>
      <c r="F154" s="238"/>
      <c r="G154" s="233">
        <f>INDEX(Table1[[Especificação]:[Total Testes]],MATCH('Planemaneto rev.equipa'!C154,Table1[CONCAT],0),MATCH('Planemaneto rev.equipa'!B154,Table1[[#Headers],[Especificação]:[Total Testes]],0))</f>
        <v>0</v>
      </c>
      <c r="H154" s="239">
        <f t="shared" ref="H154:H161" si="11">ROUND(G154/8,2)</f>
        <v>0</v>
      </c>
      <c r="I154" s="240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  <c r="AA154" s="165"/>
      <c r="AB154" s="165"/>
      <c r="AC154" s="165"/>
      <c r="AD154" s="165"/>
      <c r="AE154" s="165"/>
      <c r="AF154" s="165"/>
      <c r="AG154" s="165"/>
      <c r="AH154" s="165"/>
      <c r="AI154" s="165"/>
      <c r="AJ154" s="165"/>
      <c r="AK154" s="165"/>
      <c r="AL154" s="165"/>
      <c r="AM154" s="165"/>
      <c r="AN154" s="165"/>
      <c r="AO154" s="165"/>
      <c r="AP154" s="165"/>
      <c r="AQ154" s="165"/>
      <c r="AR154" s="165"/>
      <c r="AS154" s="165"/>
      <c r="AT154" s="165"/>
      <c r="AU154" s="165"/>
      <c r="AV154" s="165"/>
      <c r="AW154" s="165"/>
      <c r="AX154" s="165"/>
      <c r="AY154" s="165"/>
      <c r="AZ154" s="165"/>
      <c r="BA154" s="165"/>
      <c r="BB154" s="165"/>
      <c r="BC154" s="165"/>
      <c r="BD154" s="165"/>
      <c r="BE154" s="165"/>
      <c r="BF154" s="165"/>
      <c r="BG154" s="165"/>
      <c r="BH154" s="165"/>
      <c r="BI154" s="165"/>
      <c r="BJ154" s="165"/>
      <c r="BK154" s="165"/>
      <c r="BL154" s="165"/>
      <c r="BM154" s="165"/>
      <c r="BN154" s="165"/>
      <c r="BO154" s="165"/>
      <c r="BP154" s="165"/>
      <c r="BQ154" s="165"/>
      <c r="BR154" s="165"/>
      <c r="BS154" s="165"/>
      <c r="BT154" s="165"/>
      <c r="BU154" s="165"/>
      <c r="BV154" s="165"/>
      <c r="BW154" s="165"/>
      <c r="BX154" s="165"/>
      <c r="BY154" s="165"/>
      <c r="BZ154" s="165"/>
      <c r="CA154" s="165"/>
      <c r="CB154" s="165"/>
      <c r="CC154" s="165"/>
      <c r="CD154" s="165"/>
      <c r="CE154" s="165"/>
      <c r="CF154" s="165"/>
      <c r="CG154" s="165"/>
      <c r="CH154" s="165"/>
      <c r="CI154" s="165"/>
      <c r="CJ154" s="165"/>
      <c r="CK154" s="165"/>
      <c r="CL154" s="165"/>
      <c r="CM154" s="165"/>
      <c r="CN154" s="165"/>
      <c r="CO154" s="165"/>
      <c r="CP154" s="165"/>
      <c r="CQ154" s="165"/>
    </row>
    <row r="155" spans="1:95" outlineLevel="1" x14ac:dyDescent="0.25">
      <c r="A155" s="228"/>
      <c r="B155" s="236" t="str">
        <f>Table1[[#Headers],[Simulação]]</f>
        <v>Simulação</v>
      </c>
      <c r="C155" s="237" t="str">
        <f t="shared" si="10"/>
        <v>PROTECTION_BLDNG_AR</v>
      </c>
      <c r="D155" s="232" t="s">
        <v>1114</v>
      </c>
      <c r="E155" s="232" t="s">
        <v>1387</v>
      </c>
      <c r="F155" s="238"/>
      <c r="G155" s="233">
        <f>INDEX(Table1[[Especificação]:[Total Testes]],MATCH('Planemaneto rev.equipa'!C155,Table1[CONCAT],0),MATCH('Planemaneto rev.equipa'!B155,Table1[[#Headers],[Especificação]:[Total Testes]],0))</f>
        <v>0</v>
      </c>
      <c r="H155" s="239">
        <f t="shared" si="11"/>
        <v>0</v>
      </c>
      <c r="I155" s="240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  <c r="AA155" s="165"/>
      <c r="AB155" s="165"/>
      <c r="AC155" s="165"/>
      <c r="AD155" s="165"/>
      <c r="AE155" s="165"/>
      <c r="AF155" s="165"/>
      <c r="AG155" s="165"/>
      <c r="AH155" s="165"/>
      <c r="AI155" s="165"/>
      <c r="AJ155" s="165"/>
      <c r="AK155" s="165"/>
      <c r="AL155" s="165"/>
      <c r="AM155" s="165"/>
      <c r="AN155" s="165"/>
      <c r="AO155" s="165"/>
      <c r="AP155" s="165"/>
      <c r="AQ155" s="165"/>
      <c r="AR155" s="165"/>
      <c r="AS155" s="165"/>
      <c r="AT155" s="165"/>
      <c r="AU155" s="165"/>
      <c r="AV155" s="165"/>
      <c r="AW155" s="165"/>
      <c r="AX155" s="165"/>
      <c r="AY155" s="165"/>
      <c r="AZ155" s="165"/>
      <c r="BA155" s="165"/>
      <c r="BB155" s="165"/>
      <c r="BC155" s="165"/>
      <c r="BD155" s="165"/>
      <c r="BE155" s="165"/>
      <c r="BF155" s="165"/>
      <c r="BG155" s="165"/>
      <c r="BH155" s="165"/>
      <c r="BI155" s="165"/>
      <c r="BJ155" s="165"/>
      <c r="BK155" s="165"/>
      <c r="BL155" s="165"/>
      <c r="BM155" s="165"/>
      <c r="BN155" s="165"/>
      <c r="BO155" s="165"/>
      <c r="BP155" s="165"/>
      <c r="BQ155" s="165"/>
      <c r="BR155" s="165"/>
      <c r="BS155" s="165"/>
      <c r="BT155" s="165"/>
      <c r="BU155" s="165"/>
      <c r="BV155" s="165"/>
      <c r="BW155" s="165"/>
      <c r="BX155" s="165"/>
      <c r="BY155" s="165"/>
      <c r="BZ155" s="165"/>
      <c r="CA155" s="165"/>
      <c r="CB155" s="165"/>
      <c r="CC155" s="165"/>
      <c r="CD155" s="165"/>
      <c r="CE155" s="165"/>
      <c r="CF155" s="165"/>
      <c r="CG155" s="165"/>
      <c r="CH155" s="165"/>
      <c r="CI155" s="165"/>
      <c r="CJ155" s="165"/>
      <c r="CK155" s="165"/>
      <c r="CL155" s="165"/>
      <c r="CM155" s="165"/>
      <c r="CN155" s="165"/>
      <c r="CO155" s="165"/>
      <c r="CP155" s="165"/>
      <c r="CQ155" s="165"/>
    </row>
    <row r="156" spans="1:95" outlineLevel="1" x14ac:dyDescent="0.25">
      <c r="A156" s="228"/>
      <c r="B156" s="236" t="str">
        <f>Table1[[#Headers],[Simulação]]</f>
        <v>Simulação</v>
      </c>
      <c r="C156" s="237" t="str">
        <f t="shared" si="10"/>
        <v>INSTR_ACTIVITY_FLG_DNSH_CMPLNC</v>
      </c>
      <c r="D156" s="232" t="s">
        <v>1542</v>
      </c>
      <c r="E156" s="232" t="s">
        <v>1557</v>
      </c>
      <c r="F156" s="238"/>
      <c r="G156" s="233">
        <f>INDEX(Table1[[Especificação]:[Total Testes]],MATCH('Planemaneto rev.equipa'!C156,Table1[CONCAT],0),MATCH('Planemaneto rev.equipa'!B156,Table1[[#Headers],[Especificação]:[Total Testes]],0))</f>
        <v>0</v>
      </c>
      <c r="H156" s="239">
        <f t="shared" si="11"/>
        <v>0</v>
      </c>
      <c r="I156" s="240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  <c r="AA156" s="165"/>
      <c r="AB156" s="165"/>
      <c r="AC156" s="165"/>
      <c r="AD156" s="165"/>
      <c r="AE156" s="165"/>
      <c r="AF156" s="165"/>
      <c r="AG156" s="165"/>
      <c r="AH156" s="165"/>
      <c r="AI156" s="165"/>
      <c r="AJ156" s="165"/>
      <c r="AK156" s="165"/>
      <c r="AL156" s="165"/>
      <c r="AM156" s="165"/>
      <c r="AN156" s="165"/>
      <c r="AO156" s="165"/>
      <c r="AP156" s="165"/>
      <c r="AQ156" s="165"/>
      <c r="AR156" s="165"/>
      <c r="AS156" s="165"/>
      <c r="AT156" s="165"/>
      <c r="AU156" s="165"/>
      <c r="AV156" s="165"/>
      <c r="AW156" s="165"/>
      <c r="AX156" s="165"/>
      <c r="AY156" s="165"/>
      <c r="AZ156" s="165"/>
      <c r="BA156" s="165"/>
      <c r="BB156" s="165"/>
      <c r="BC156" s="165"/>
      <c r="BD156" s="165"/>
      <c r="BE156" s="165"/>
      <c r="BF156" s="165"/>
      <c r="BG156" s="165"/>
      <c r="BH156" s="165"/>
      <c r="BI156" s="165"/>
      <c r="BJ156" s="165"/>
      <c r="BK156" s="165"/>
      <c r="BL156" s="165"/>
      <c r="BM156" s="165"/>
      <c r="BN156" s="165"/>
      <c r="BO156" s="165"/>
      <c r="BP156" s="165"/>
      <c r="BQ156" s="165"/>
      <c r="BR156" s="165"/>
      <c r="BS156" s="165"/>
      <c r="BT156" s="165"/>
      <c r="BU156" s="165"/>
      <c r="BV156" s="165"/>
      <c r="BW156" s="165"/>
      <c r="BX156" s="165"/>
      <c r="BY156" s="165"/>
      <c r="BZ156" s="165"/>
      <c r="CA156" s="165"/>
      <c r="CB156" s="165"/>
      <c r="CC156" s="165"/>
      <c r="CD156" s="165"/>
      <c r="CE156" s="165"/>
      <c r="CF156" s="165"/>
      <c r="CG156" s="165"/>
      <c r="CH156" s="165"/>
      <c r="CI156" s="165"/>
      <c r="CJ156" s="165"/>
      <c r="CK156" s="165"/>
      <c r="CL156" s="165"/>
      <c r="CM156" s="165"/>
      <c r="CN156" s="165"/>
      <c r="CO156" s="165"/>
      <c r="CP156" s="165"/>
      <c r="CQ156" s="165"/>
    </row>
    <row r="157" spans="1:95" outlineLevel="1" x14ac:dyDescent="0.25">
      <c r="A157" s="228"/>
      <c r="B157" s="236" t="str">
        <f>Table1[[#Headers],[Simulação]]</f>
        <v>Simulação</v>
      </c>
      <c r="C157" s="237" t="str">
        <f t="shared" si="10"/>
        <v>INSTR_ACTIVITY_DNSH_DTL</v>
      </c>
      <c r="D157" s="232" t="s">
        <v>1542</v>
      </c>
      <c r="E157" s="232" t="s">
        <v>1560</v>
      </c>
      <c r="F157" s="238"/>
      <c r="G157" s="233">
        <f>INDEX(Table1[[Especificação]:[Total Testes]],MATCH('Planemaneto rev.equipa'!C157,Table1[CONCAT],0),MATCH('Planemaneto rev.equipa'!B157,Table1[[#Headers],[Especificação]:[Total Testes]],0))</f>
        <v>0</v>
      </c>
      <c r="H157" s="239">
        <f t="shared" si="11"/>
        <v>0</v>
      </c>
      <c r="I157" s="240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  <c r="AA157" s="165"/>
      <c r="AB157" s="165"/>
      <c r="AC157" s="165"/>
      <c r="AD157" s="165"/>
      <c r="AE157" s="165"/>
      <c r="AF157" s="165"/>
      <c r="AG157" s="165"/>
      <c r="AH157" s="165"/>
      <c r="AI157" s="165"/>
      <c r="AJ157" s="165"/>
      <c r="AK157" s="165"/>
      <c r="AL157" s="165"/>
      <c r="AM157" s="165"/>
      <c r="AN157" s="165"/>
      <c r="AO157" s="165"/>
      <c r="AP157" s="165"/>
      <c r="AQ157" s="165"/>
      <c r="AR157" s="165"/>
      <c r="AS157" s="165"/>
      <c r="AT157" s="165"/>
      <c r="AU157" s="165"/>
      <c r="AV157" s="165"/>
      <c r="AW157" s="165"/>
      <c r="AX157" s="165"/>
      <c r="AY157" s="165"/>
      <c r="AZ157" s="165"/>
      <c r="BA157" s="165"/>
      <c r="BB157" s="165"/>
      <c r="BC157" s="165"/>
      <c r="BD157" s="165"/>
      <c r="BE157" s="165"/>
      <c r="BF157" s="165"/>
      <c r="BG157" s="165"/>
      <c r="BH157" s="165"/>
      <c r="BI157" s="165"/>
      <c r="BJ157" s="165"/>
      <c r="BK157" s="165"/>
      <c r="BL157" s="165"/>
      <c r="BM157" s="165"/>
      <c r="BN157" s="165"/>
      <c r="BO157" s="165"/>
      <c r="BP157" s="165"/>
      <c r="BQ157" s="165"/>
      <c r="BR157" s="165"/>
      <c r="BS157" s="165"/>
      <c r="BT157" s="165"/>
      <c r="BU157" s="165"/>
      <c r="BV157" s="165"/>
      <c r="BW157" s="165"/>
      <c r="BX157" s="165"/>
      <c r="BY157" s="165"/>
      <c r="BZ157" s="165"/>
      <c r="CA157" s="165"/>
      <c r="CB157" s="165"/>
      <c r="CC157" s="165"/>
      <c r="CD157" s="165"/>
      <c r="CE157" s="165"/>
      <c r="CF157" s="165"/>
      <c r="CG157" s="165"/>
      <c r="CH157" s="165"/>
      <c r="CI157" s="165"/>
      <c r="CJ157" s="165"/>
      <c r="CK157" s="165"/>
      <c r="CL157" s="165"/>
      <c r="CM157" s="165"/>
      <c r="CN157" s="165"/>
      <c r="CO157" s="165"/>
      <c r="CP157" s="165"/>
      <c r="CQ157" s="165"/>
    </row>
    <row r="158" spans="1:95" x14ac:dyDescent="0.25">
      <c r="B158" s="156"/>
      <c r="C158" s="177" t="s">
        <v>1750</v>
      </c>
      <c r="D158" s="178"/>
      <c r="E158" s="179"/>
      <c r="F158" s="205">
        <f>COUNTA(E159:E190)</f>
        <v>32</v>
      </c>
      <c r="G158" s="205">
        <f>SUM(G159:G190)</f>
        <v>121</v>
      </c>
      <c r="H158" s="208">
        <f>ROUND(SUM(H159:H190),1)</f>
        <v>15.1</v>
      </c>
      <c r="I158" s="222">
        <f t="shared" ref="I158" si="12">SUM(J158:CQ158)-H158</f>
        <v>-15.1</v>
      </c>
      <c r="J158" s="165"/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5"/>
      <c r="AJ158" s="165"/>
      <c r="AK158" s="165"/>
      <c r="AL158" s="165"/>
      <c r="AM158" s="165"/>
      <c r="AN158" s="165"/>
      <c r="AO158" s="165"/>
      <c r="AP158" s="165"/>
      <c r="AQ158" s="165"/>
      <c r="AR158" s="165"/>
      <c r="AS158" s="165"/>
      <c r="AT158" s="165"/>
      <c r="AU158" s="165"/>
      <c r="AV158" s="165"/>
      <c r="AW158" s="165"/>
      <c r="AX158" s="165"/>
      <c r="AY158" s="165"/>
      <c r="AZ158" s="165"/>
      <c r="BA158" s="165"/>
      <c r="BB158" s="165"/>
      <c r="BC158" s="165"/>
      <c r="BD158" s="165"/>
      <c r="BE158" s="165"/>
      <c r="BF158" s="165"/>
      <c r="BG158" s="165"/>
      <c r="BH158" s="165"/>
      <c r="BI158" s="165"/>
      <c r="BJ158" s="165"/>
      <c r="BK158" s="165"/>
      <c r="BL158" s="165"/>
      <c r="BM158" s="165"/>
      <c r="BN158" s="165"/>
      <c r="BO158" s="165"/>
      <c r="BP158" s="165"/>
      <c r="BQ158" s="165"/>
      <c r="BR158" s="165"/>
      <c r="BS158" s="165"/>
      <c r="BT158" s="165"/>
      <c r="BU158" s="165"/>
      <c r="BV158" s="165"/>
      <c r="BW158" s="165"/>
      <c r="BX158" s="165"/>
      <c r="BY158" s="165"/>
      <c r="BZ158" s="165"/>
      <c r="CA158" s="165"/>
      <c r="CB158" s="165"/>
      <c r="CC158" s="165"/>
      <c r="CD158" s="165"/>
      <c r="CE158" s="165"/>
      <c r="CF158" s="165"/>
      <c r="CG158" s="165"/>
      <c r="CH158" s="165"/>
      <c r="CI158" s="165"/>
      <c r="CJ158" s="165"/>
      <c r="CK158" s="165"/>
      <c r="CL158" s="165"/>
      <c r="CM158" s="165"/>
      <c r="CN158" s="165"/>
      <c r="CO158" s="165"/>
      <c r="CP158" s="165"/>
      <c r="CQ158" s="165"/>
    </row>
    <row r="159" spans="1:95" outlineLevel="1" x14ac:dyDescent="0.25">
      <c r="B159" s="156" t="str">
        <f>Table1[[#Headers],[Total Testes]]</f>
        <v>Total Testes</v>
      </c>
      <c r="C159" s="264" t="str">
        <f t="shared" ref="C159:C222" si="13">D159&amp;"_"&amp;E159</f>
        <v>ENTITY_TXNMY_ELGBL_CAPEX_W</v>
      </c>
      <c r="D159" s="153" t="s">
        <v>10</v>
      </c>
      <c r="E159" s="153" t="s">
        <v>1402</v>
      </c>
      <c r="G159" s="172">
        <f>INDEX(Table1[[Especificação]:[Total Testes]],MATCH('Planemaneto rev.equipa'!C159,Table1[CONCAT],0),MATCH('Planemaneto rev.equipa'!B159,Table1[[#Headers],[Especificação]:[Total Testes]],0))</f>
        <v>7.5</v>
      </c>
      <c r="H159" s="191">
        <f t="shared" ref="H159:H222" si="14">ROUND(G159/8,2)</f>
        <v>0.94</v>
      </c>
      <c r="I159" s="193"/>
      <c r="J159" s="165"/>
      <c r="K159" s="165"/>
      <c r="L159" s="165"/>
      <c r="M159" s="165"/>
      <c r="N159" s="165"/>
      <c r="O159" s="165"/>
      <c r="P159" s="165"/>
      <c r="Q159" s="165"/>
      <c r="S159" s="165"/>
      <c r="T159" s="165"/>
      <c r="U159" s="165"/>
      <c r="V159" s="165"/>
      <c r="W159" s="165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5"/>
      <c r="AJ159" s="165"/>
      <c r="AK159" s="165"/>
      <c r="AL159" s="165"/>
      <c r="AM159" s="165"/>
      <c r="AN159" s="165"/>
      <c r="AO159" s="165"/>
      <c r="AP159" s="165"/>
      <c r="AQ159" s="165"/>
      <c r="AR159" s="165"/>
      <c r="AS159" s="165"/>
      <c r="AT159" s="165"/>
      <c r="AU159" s="165"/>
      <c r="AV159" s="165"/>
      <c r="AW159" s="165"/>
      <c r="AX159" s="165"/>
      <c r="AY159" s="165"/>
      <c r="AZ159" s="165"/>
      <c r="BA159" s="165"/>
      <c r="BB159" s="165"/>
      <c r="BC159" s="165"/>
      <c r="BD159" s="165"/>
      <c r="BE159" s="165"/>
      <c r="BF159" s="165"/>
      <c r="BG159" s="165"/>
      <c r="BH159" s="165"/>
      <c r="BI159" s="165"/>
      <c r="BJ159" s="165"/>
      <c r="BK159" s="165"/>
      <c r="BL159" s="165"/>
      <c r="BM159" s="165"/>
      <c r="BN159" s="165"/>
      <c r="BO159" s="165"/>
      <c r="BP159" s="165"/>
      <c r="BQ159" s="165"/>
      <c r="BR159" s="165"/>
      <c r="BS159" s="165"/>
      <c r="BT159" s="165"/>
      <c r="BU159" s="165"/>
      <c r="BV159" s="165"/>
      <c r="BW159" s="165"/>
      <c r="BX159" s="165"/>
      <c r="BY159" s="165"/>
      <c r="BZ159" s="165"/>
      <c r="CA159" s="165"/>
      <c r="CB159" s="165"/>
      <c r="CC159" s="165"/>
      <c r="CD159" s="165"/>
      <c r="CE159" s="165"/>
      <c r="CF159" s="165"/>
      <c r="CG159" s="165"/>
      <c r="CH159" s="165"/>
      <c r="CI159" s="165"/>
      <c r="CJ159" s="165"/>
      <c r="CK159" s="165"/>
      <c r="CL159" s="165"/>
      <c r="CM159" s="165"/>
      <c r="CN159" s="165"/>
      <c r="CO159" s="165"/>
      <c r="CP159" s="165"/>
      <c r="CQ159" s="165"/>
    </row>
    <row r="160" spans="1:95" outlineLevel="1" x14ac:dyDescent="0.25">
      <c r="B160" s="156" t="str">
        <f>Table1[[#Headers],[Total Testes]]</f>
        <v>Total Testes</v>
      </c>
      <c r="C160" s="264" t="str">
        <f t="shared" si="13"/>
        <v>ENTITY_TXNMY_ELGBL_TRNVR_W</v>
      </c>
      <c r="D160" s="153" t="s">
        <v>10</v>
      </c>
      <c r="E160" s="153" t="s">
        <v>1405</v>
      </c>
      <c r="G160" s="172">
        <f>INDEX(Table1[[Especificação]:[Total Testes]],MATCH('Planemaneto rev.equipa'!C160,Table1[CONCAT],0),MATCH('Planemaneto rev.equipa'!B160,Table1[[#Headers],[Especificação]:[Total Testes]],0))</f>
        <v>7.5</v>
      </c>
      <c r="H160" s="191">
        <f t="shared" si="14"/>
        <v>0.94</v>
      </c>
      <c r="I160" s="193"/>
      <c r="J160" s="165"/>
      <c r="K160" s="165"/>
      <c r="L160" s="165"/>
      <c r="M160" s="165"/>
      <c r="N160" s="165"/>
      <c r="O160" s="165"/>
      <c r="P160" s="165"/>
      <c r="Q160" s="165"/>
      <c r="S160" s="165"/>
      <c r="T160" s="165"/>
      <c r="U160" s="165"/>
      <c r="V160" s="165"/>
      <c r="W160" s="165"/>
      <c r="X160" s="165"/>
      <c r="Y160" s="165"/>
      <c r="Z160" s="165"/>
      <c r="AA160" s="165"/>
      <c r="AB160" s="165"/>
      <c r="AC160" s="165"/>
      <c r="AD160" s="165"/>
      <c r="AE160" s="165"/>
      <c r="AF160" s="165"/>
      <c r="AG160" s="165"/>
      <c r="AH160" s="165"/>
      <c r="AI160" s="165"/>
      <c r="AJ160" s="165"/>
      <c r="AK160" s="165"/>
      <c r="AL160" s="165"/>
      <c r="AM160" s="165"/>
      <c r="AN160" s="165"/>
      <c r="AO160" s="165"/>
      <c r="AP160" s="165"/>
      <c r="AQ160" s="165"/>
      <c r="AR160" s="165"/>
      <c r="AS160" s="165"/>
      <c r="AT160" s="165"/>
      <c r="AU160" s="165"/>
      <c r="AV160" s="165"/>
      <c r="AW160" s="165"/>
      <c r="AX160" s="165"/>
      <c r="AY160" s="165"/>
      <c r="AZ160" s="165"/>
      <c r="BA160" s="165"/>
      <c r="BB160" s="165"/>
      <c r="BC160" s="165"/>
      <c r="BD160" s="165"/>
      <c r="BE160" s="165"/>
      <c r="BF160" s="165"/>
      <c r="BG160" s="165"/>
      <c r="BH160" s="165"/>
      <c r="BI160" s="165"/>
      <c r="BJ160" s="165"/>
      <c r="BK160" s="165"/>
      <c r="BL160" s="165"/>
      <c r="BM160" s="165"/>
      <c r="BN160" s="165"/>
      <c r="BO160" s="165"/>
      <c r="BP160" s="165"/>
      <c r="BQ160" s="165"/>
      <c r="BR160" s="165"/>
      <c r="BS160" s="165"/>
      <c r="BT160" s="165"/>
      <c r="BU160" s="165"/>
      <c r="BV160" s="165"/>
      <c r="BW160" s="165"/>
      <c r="BX160" s="165"/>
      <c r="BY160" s="165"/>
      <c r="BZ160" s="165"/>
      <c r="CA160" s="165"/>
      <c r="CB160" s="165"/>
      <c r="CC160" s="165"/>
      <c r="CD160" s="165"/>
      <c r="CE160" s="165"/>
      <c r="CF160" s="165"/>
      <c r="CG160" s="165"/>
      <c r="CH160" s="165"/>
      <c r="CI160" s="165"/>
      <c r="CJ160" s="165"/>
      <c r="CK160" s="165"/>
      <c r="CL160" s="165"/>
      <c r="CM160" s="165"/>
      <c r="CN160" s="165"/>
      <c r="CO160" s="165"/>
      <c r="CP160" s="165"/>
      <c r="CQ160" s="165"/>
    </row>
    <row r="161" spans="2:95" outlineLevel="1" x14ac:dyDescent="0.25">
      <c r="B161" s="156" t="str">
        <f>Table1[[#Headers],[Total Testes]]</f>
        <v>Total Testes</v>
      </c>
      <c r="C161" s="264" t="str">
        <f t="shared" si="13"/>
        <v>ENTITY_TXNMY_ELGBL_CAPEX_P</v>
      </c>
      <c r="D161" s="153" t="s">
        <v>10</v>
      </c>
      <c r="E161" s="153" t="s">
        <v>1408</v>
      </c>
      <c r="G161" s="172">
        <f>INDEX(Table1[[Especificação]:[Total Testes]],MATCH('Planemaneto rev.equipa'!C161,Table1[CONCAT],0),MATCH('Planemaneto rev.equipa'!B161,Table1[[#Headers],[Especificação]:[Total Testes]],0))</f>
        <v>2.5</v>
      </c>
      <c r="H161" s="191">
        <f t="shared" si="14"/>
        <v>0.31</v>
      </c>
      <c r="I161" s="193"/>
      <c r="J161" s="165"/>
      <c r="K161" s="165"/>
      <c r="L161" s="165"/>
      <c r="M161" s="165"/>
      <c r="N161" s="165"/>
      <c r="O161" s="165"/>
      <c r="P161" s="165"/>
      <c r="Q161" s="165"/>
      <c r="S161" s="165"/>
      <c r="T161" s="165"/>
      <c r="U161" s="165"/>
      <c r="V161" s="165"/>
      <c r="W161" s="165"/>
      <c r="X161" s="165"/>
      <c r="Y161" s="165"/>
      <c r="Z161" s="165"/>
      <c r="AA161" s="165"/>
      <c r="AB161" s="165"/>
      <c r="AC161" s="165"/>
      <c r="AD161" s="165"/>
      <c r="AE161" s="165"/>
      <c r="AF161" s="165"/>
      <c r="AG161" s="165"/>
      <c r="AH161" s="165"/>
      <c r="AI161" s="165"/>
      <c r="AJ161" s="165"/>
      <c r="AK161" s="165"/>
      <c r="AL161" s="165"/>
      <c r="AM161" s="165"/>
      <c r="AN161" s="165"/>
      <c r="AO161" s="165"/>
      <c r="AP161" s="165"/>
      <c r="AQ161" s="165"/>
      <c r="AR161" s="165"/>
      <c r="AS161" s="165"/>
      <c r="AT161" s="165"/>
      <c r="AU161" s="165"/>
      <c r="AV161" s="165"/>
      <c r="AW161" s="165"/>
      <c r="AX161" s="165"/>
      <c r="AY161" s="165"/>
      <c r="AZ161" s="165"/>
      <c r="BA161" s="165"/>
      <c r="BB161" s="165"/>
      <c r="BC161" s="165"/>
      <c r="BD161" s="165"/>
      <c r="BE161" s="165"/>
      <c r="BF161" s="165"/>
      <c r="BG161" s="165"/>
      <c r="BH161" s="165"/>
      <c r="BI161" s="165"/>
      <c r="BJ161" s="165"/>
      <c r="BK161" s="165"/>
      <c r="BL161" s="165"/>
      <c r="BM161" s="165"/>
      <c r="BN161" s="165"/>
      <c r="BO161" s="165"/>
      <c r="BP161" s="165"/>
      <c r="BQ161" s="165"/>
      <c r="BR161" s="165"/>
      <c r="BS161" s="165"/>
      <c r="BT161" s="165"/>
      <c r="BU161" s="165"/>
      <c r="BV161" s="165"/>
      <c r="BW161" s="165"/>
      <c r="BX161" s="165"/>
      <c r="BY161" s="165"/>
      <c r="BZ161" s="165"/>
      <c r="CA161" s="165"/>
      <c r="CB161" s="165"/>
      <c r="CC161" s="165"/>
      <c r="CD161" s="165"/>
      <c r="CE161" s="165"/>
      <c r="CF161" s="165"/>
      <c r="CG161" s="165"/>
      <c r="CH161" s="165"/>
      <c r="CI161" s="165"/>
      <c r="CJ161" s="165"/>
      <c r="CK161" s="165"/>
      <c r="CL161" s="165"/>
      <c r="CM161" s="165"/>
      <c r="CN161" s="165"/>
      <c r="CO161" s="165"/>
      <c r="CP161" s="165"/>
      <c r="CQ161" s="165"/>
    </row>
    <row r="162" spans="2:95" outlineLevel="1" x14ac:dyDescent="0.25">
      <c r="B162" s="156" t="str">
        <f>Table1[[#Headers],[Total Testes]]</f>
        <v>Total Testes</v>
      </c>
      <c r="C162" s="264" t="str">
        <f t="shared" si="13"/>
        <v>ENTITY_TXNMY_ELGBL_TRNVR_P</v>
      </c>
      <c r="D162" s="153" t="s">
        <v>10</v>
      </c>
      <c r="E162" s="153" t="s">
        <v>1411</v>
      </c>
      <c r="G162" s="172">
        <f>INDEX(Table1[[Especificação]:[Total Testes]],MATCH('Planemaneto rev.equipa'!C162,Table1[CONCAT],0),MATCH('Planemaneto rev.equipa'!B162,Table1[[#Headers],[Especificação]:[Total Testes]],0))</f>
        <v>2.5</v>
      </c>
      <c r="H162" s="191">
        <f t="shared" si="14"/>
        <v>0.31</v>
      </c>
      <c r="I162" s="193"/>
      <c r="J162" s="165"/>
      <c r="K162" s="165"/>
      <c r="L162" s="165"/>
      <c r="M162" s="165"/>
      <c r="N162" s="165"/>
      <c r="O162" s="165"/>
      <c r="P162" s="165"/>
      <c r="Q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  <c r="AD162" s="165"/>
      <c r="AE162" s="165"/>
      <c r="AF162" s="165"/>
      <c r="AG162" s="165"/>
      <c r="AH162" s="165"/>
      <c r="AI162" s="165"/>
      <c r="AJ162" s="165"/>
      <c r="AK162" s="165"/>
      <c r="AL162" s="165"/>
      <c r="AM162" s="165"/>
      <c r="AN162" s="165"/>
      <c r="AO162" s="165"/>
      <c r="AP162" s="165"/>
      <c r="AQ162" s="165"/>
      <c r="AR162" s="165"/>
      <c r="AS162" s="165"/>
      <c r="AT162" s="165"/>
      <c r="AU162" s="165"/>
      <c r="AV162" s="165"/>
      <c r="AW162" s="165"/>
      <c r="AX162" s="165"/>
      <c r="AY162" s="165"/>
      <c r="AZ162" s="165"/>
      <c r="BA162" s="165"/>
      <c r="BB162" s="165"/>
      <c r="BC162" s="165"/>
      <c r="BD162" s="165"/>
      <c r="BE162" s="165"/>
      <c r="BF162" s="165"/>
      <c r="BG162" s="165"/>
      <c r="BH162" s="165"/>
      <c r="BI162" s="165"/>
      <c r="BJ162" s="165"/>
      <c r="BK162" s="165"/>
      <c r="BL162" s="165"/>
      <c r="BM162" s="165"/>
      <c r="BN162" s="165"/>
      <c r="BO162" s="165"/>
      <c r="BP162" s="165"/>
      <c r="BQ162" s="165"/>
      <c r="BR162" s="165"/>
      <c r="BS162" s="165"/>
      <c r="BT162" s="165"/>
      <c r="BU162" s="165"/>
      <c r="BV162" s="165"/>
      <c r="BW162" s="165"/>
      <c r="BX162" s="165"/>
      <c r="BY162" s="165"/>
      <c r="BZ162" s="165"/>
      <c r="CA162" s="165"/>
      <c r="CB162" s="165"/>
      <c r="CC162" s="165"/>
      <c r="CD162" s="165"/>
      <c r="CE162" s="165"/>
      <c r="CF162" s="165"/>
      <c r="CG162" s="165"/>
      <c r="CH162" s="165"/>
      <c r="CI162" s="165"/>
      <c r="CJ162" s="165"/>
      <c r="CK162" s="165"/>
      <c r="CL162" s="165"/>
      <c r="CM162" s="165"/>
      <c r="CN162" s="165"/>
      <c r="CO162" s="165"/>
      <c r="CP162" s="165"/>
      <c r="CQ162" s="165"/>
    </row>
    <row r="163" spans="2:95" outlineLevel="1" x14ac:dyDescent="0.25">
      <c r="B163" s="156" t="str">
        <f>Table1[[#Headers],[Total Testes]]</f>
        <v>Total Testes</v>
      </c>
      <c r="C163" s="264" t="str">
        <f t="shared" si="13"/>
        <v>ENTITY_TXNMY_ELGBL_CAPEX_B</v>
      </c>
      <c r="D163" s="153" t="s">
        <v>10</v>
      </c>
      <c r="E163" s="153" t="s">
        <v>1414</v>
      </c>
      <c r="G163" s="172">
        <f>INDEX(Table1[[Especificação]:[Total Testes]],MATCH('Planemaneto rev.equipa'!C163,Table1[CONCAT],0),MATCH('Planemaneto rev.equipa'!B163,Table1[[#Headers],[Especificação]:[Total Testes]],0))</f>
        <v>2.5</v>
      </c>
      <c r="H163" s="191">
        <f t="shared" si="14"/>
        <v>0.31</v>
      </c>
      <c r="I163" s="193"/>
      <c r="J163" s="165"/>
      <c r="K163" s="165"/>
      <c r="L163" s="165"/>
      <c r="M163" s="165"/>
      <c r="N163" s="165"/>
      <c r="O163" s="165"/>
      <c r="P163" s="165"/>
      <c r="Q163" s="165"/>
      <c r="S163" s="165"/>
      <c r="T163" s="165"/>
      <c r="U163" s="165"/>
      <c r="V163" s="165"/>
      <c r="W163" s="165"/>
      <c r="X163" s="165"/>
      <c r="Y163" s="165"/>
      <c r="Z163" s="165"/>
      <c r="AA163" s="165"/>
      <c r="AB163" s="165"/>
      <c r="AC163" s="165"/>
      <c r="AD163" s="165"/>
      <c r="AE163" s="165"/>
      <c r="AF163" s="165"/>
      <c r="AG163" s="165"/>
      <c r="AH163" s="165"/>
      <c r="AI163" s="165"/>
      <c r="AJ163" s="165"/>
      <c r="AK163" s="165"/>
      <c r="AL163" s="165"/>
      <c r="AM163" s="165"/>
      <c r="AN163" s="165"/>
      <c r="AO163" s="165"/>
      <c r="AP163" s="165"/>
      <c r="AQ163" s="165"/>
      <c r="AR163" s="165"/>
      <c r="AS163" s="165"/>
      <c r="AT163" s="165"/>
      <c r="AU163" s="165"/>
      <c r="AV163" s="165"/>
      <c r="AW163" s="165"/>
      <c r="AX163" s="165"/>
      <c r="AY163" s="165"/>
      <c r="AZ163" s="165"/>
      <c r="BA163" s="165"/>
      <c r="BB163" s="165"/>
      <c r="BC163" s="165"/>
      <c r="BD163" s="165"/>
      <c r="BE163" s="165"/>
      <c r="BF163" s="165"/>
      <c r="BG163" s="165"/>
      <c r="BH163" s="165"/>
      <c r="BI163" s="165"/>
      <c r="BJ163" s="165"/>
      <c r="BK163" s="165"/>
      <c r="BL163" s="165"/>
      <c r="BM163" s="165"/>
      <c r="BN163" s="165"/>
      <c r="BO163" s="165"/>
      <c r="BP163" s="165"/>
      <c r="BQ163" s="165"/>
      <c r="BR163" s="165"/>
      <c r="BS163" s="165"/>
      <c r="BT163" s="165"/>
      <c r="BU163" s="165"/>
      <c r="BV163" s="165"/>
      <c r="BW163" s="165"/>
      <c r="BX163" s="165"/>
      <c r="BY163" s="165"/>
      <c r="BZ163" s="165"/>
      <c r="CA163" s="165"/>
      <c r="CB163" s="165"/>
      <c r="CC163" s="165"/>
      <c r="CD163" s="165"/>
      <c r="CE163" s="165"/>
      <c r="CF163" s="165"/>
      <c r="CG163" s="165"/>
      <c r="CH163" s="165"/>
      <c r="CI163" s="165"/>
      <c r="CJ163" s="165"/>
      <c r="CK163" s="165"/>
      <c r="CL163" s="165"/>
      <c r="CM163" s="165"/>
      <c r="CN163" s="165"/>
      <c r="CO163" s="165"/>
      <c r="CP163" s="165"/>
      <c r="CQ163" s="165"/>
    </row>
    <row r="164" spans="2:95" outlineLevel="1" x14ac:dyDescent="0.25">
      <c r="B164" s="156" t="str">
        <f>Table1[[#Headers],[Total Testes]]</f>
        <v>Total Testes</v>
      </c>
      <c r="C164" s="264" t="str">
        <f t="shared" si="13"/>
        <v>ENTITY_TXNMY_ELGBL_TRNVR_B</v>
      </c>
      <c r="D164" s="153" t="s">
        <v>10</v>
      </c>
      <c r="E164" s="153" t="s">
        <v>1417</v>
      </c>
      <c r="G164" s="172">
        <f>INDEX(Table1[[Especificação]:[Total Testes]],MATCH('Planemaneto rev.equipa'!C164,Table1[CONCAT],0),MATCH('Planemaneto rev.equipa'!B164,Table1[[#Headers],[Especificação]:[Total Testes]],0))</f>
        <v>2.5</v>
      </c>
      <c r="H164" s="191">
        <f t="shared" si="14"/>
        <v>0.31</v>
      </c>
      <c r="I164" s="193"/>
      <c r="J164" s="165"/>
      <c r="K164" s="165"/>
      <c r="L164" s="165"/>
      <c r="M164" s="165"/>
      <c r="N164" s="165"/>
      <c r="O164" s="165"/>
      <c r="P164" s="165"/>
      <c r="Q164" s="165"/>
      <c r="S164" s="165"/>
      <c r="T164" s="165"/>
      <c r="U164" s="165"/>
      <c r="V164" s="165"/>
      <c r="W164" s="165"/>
      <c r="X164" s="165"/>
      <c r="Y164" s="165"/>
      <c r="Z164" s="165"/>
      <c r="AA164" s="165"/>
      <c r="AB164" s="165"/>
      <c r="AC164" s="165"/>
      <c r="AD164" s="165"/>
      <c r="AE164" s="165"/>
      <c r="AF164" s="165"/>
      <c r="AG164" s="165"/>
      <c r="AH164" s="165"/>
      <c r="AI164" s="165"/>
      <c r="AJ164" s="165"/>
      <c r="AK164" s="165"/>
      <c r="AL164" s="165"/>
      <c r="AM164" s="165"/>
      <c r="AN164" s="165"/>
      <c r="AO164" s="165"/>
      <c r="AP164" s="165"/>
      <c r="AQ164" s="165"/>
      <c r="AR164" s="165"/>
      <c r="AS164" s="165"/>
      <c r="AT164" s="165"/>
      <c r="AU164" s="165"/>
      <c r="AV164" s="165"/>
      <c r="AW164" s="165"/>
      <c r="AX164" s="165"/>
      <c r="AY164" s="165"/>
      <c r="AZ164" s="165"/>
      <c r="BA164" s="165"/>
      <c r="BB164" s="165"/>
      <c r="BC164" s="165"/>
      <c r="BD164" s="165"/>
      <c r="BE164" s="165"/>
      <c r="BF164" s="165"/>
      <c r="BG164" s="165"/>
      <c r="BH164" s="165"/>
      <c r="BI164" s="165"/>
      <c r="BJ164" s="165"/>
      <c r="BK164" s="165"/>
      <c r="BL164" s="165"/>
      <c r="BM164" s="165"/>
      <c r="BN164" s="165"/>
      <c r="BO164" s="165"/>
      <c r="BP164" s="165"/>
      <c r="BQ164" s="165"/>
      <c r="BR164" s="165"/>
      <c r="BS164" s="165"/>
      <c r="BT164" s="165"/>
      <c r="BU164" s="165"/>
      <c r="BV164" s="165"/>
      <c r="BW164" s="165"/>
      <c r="BX164" s="165"/>
      <c r="BY164" s="165"/>
      <c r="BZ164" s="165"/>
      <c r="CA164" s="165"/>
      <c r="CB164" s="165"/>
      <c r="CC164" s="165"/>
      <c r="CD164" s="165"/>
      <c r="CE164" s="165"/>
      <c r="CF164" s="165"/>
      <c r="CG164" s="165"/>
      <c r="CH164" s="165"/>
      <c r="CI164" s="165"/>
      <c r="CJ164" s="165"/>
      <c r="CK164" s="165"/>
      <c r="CL164" s="165"/>
      <c r="CM164" s="165"/>
      <c r="CN164" s="165"/>
      <c r="CO164" s="165"/>
      <c r="CP164" s="165"/>
      <c r="CQ164" s="165"/>
    </row>
    <row r="165" spans="2:95" outlineLevel="1" x14ac:dyDescent="0.25">
      <c r="B165" s="156" t="str">
        <f>Table1[[#Headers],[Total Testes]]</f>
        <v>Total Testes</v>
      </c>
      <c r="C165" s="264" t="str">
        <f t="shared" si="13"/>
        <v>ENTITY_TXNMY_ELGBL_CAPEX_CE</v>
      </c>
      <c r="D165" s="153" t="s">
        <v>10</v>
      </c>
      <c r="E165" s="153" t="s">
        <v>1420</v>
      </c>
      <c r="G165" s="172">
        <f>INDEX(Table1[[Especificação]:[Total Testes]],MATCH('Planemaneto rev.equipa'!C165,Table1[CONCAT],0),MATCH('Planemaneto rev.equipa'!B165,Table1[[#Headers],[Especificação]:[Total Testes]],0))</f>
        <v>2.5</v>
      </c>
      <c r="H165" s="191">
        <f t="shared" si="14"/>
        <v>0.31</v>
      </c>
      <c r="I165" s="193"/>
      <c r="J165" s="165"/>
      <c r="K165" s="165"/>
      <c r="L165" s="165"/>
      <c r="M165" s="165"/>
      <c r="N165" s="165"/>
      <c r="O165" s="165"/>
      <c r="P165" s="165"/>
      <c r="Q165" s="165"/>
      <c r="S165" s="165"/>
      <c r="T165" s="165"/>
      <c r="U165" s="165"/>
      <c r="V165" s="165"/>
      <c r="W165" s="165"/>
      <c r="X165" s="165"/>
      <c r="Y165" s="165"/>
      <c r="Z165" s="165"/>
      <c r="AA165" s="165"/>
      <c r="AB165" s="165"/>
      <c r="AC165" s="165"/>
      <c r="AD165" s="165"/>
      <c r="AE165" s="165"/>
      <c r="AF165" s="165"/>
      <c r="AG165" s="165"/>
      <c r="AH165" s="165"/>
      <c r="AI165" s="165"/>
      <c r="AJ165" s="165"/>
      <c r="AK165" s="165"/>
      <c r="AL165" s="165"/>
      <c r="AM165" s="165"/>
      <c r="AN165" s="165"/>
      <c r="AO165" s="165"/>
      <c r="AP165" s="165"/>
      <c r="AQ165" s="165"/>
      <c r="AR165" s="165"/>
      <c r="AS165" s="165"/>
      <c r="AT165" s="165"/>
      <c r="AU165" s="165"/>
      <c r="AV165" s="165"/>
      <c r="AW165" s="165"/>
      <c r="AX165" s="165"/>
      <c r="AY165" s="165"/>
      <c r="AZ165" s="165"/>
      <c r="BA165" s="165"/>
      <c r="BB165" s="165"/>
      <c r="BC165" s="165"/>
      <c r="BD165" s="165"/>
      <c r="BE165" s="165"/>
      <c r="BF165" s="165"/>
      <c r="BG165" s="165"/>
      <c r="BH165" s="165"/>
      <c r="BI165" s="165"/>
      <c r="BJ165" s="165"/>
      <c r="BK165" s="165"/>
      <c r="BL165" s="165"/>
      <c r="BM165" s="165"/>
      <c r="BN165" s="165"/>
      <c r="BO165" s="165"/>
      <c r="BP165" s="165"/>
      <c r="BQ165" s="165"/>
      <c r="BR165" s="165"/>
      <c r="BS165" s="165"/>
      <c r="BT165" s="165"/>
      <c r="BU165" s="165"/>
      <c r="BV165" s="165"/>
      <c r="BW165" s="165"/>
      <c r="BX165" s="165"/>
      <c r="BY165" s="165"/>
      <c r="BZ165" s="165"/>
      <c r="CA165" s="165"/>
      <c r="CB165" s="165"/>
      <c r="CC165" s="165"/>
      <c r="CD165" s="165"/>
      <c r="CE165" s="165"/>
      <c r="CF165" s="165"/>
      <c r="CG165" s="165"/>
      <c r="CH165" s="165"/>
      <c r="CI165" s="165"/>
      <c r="CJ165" s="165"/>
      <c r="CK165" s="165"/>
      <c r="CL165" s="165"/>
      <c r="CM165" s="165"/>
      <c r="CN165" s="165"/>
      <c r="CO165" s="165"/>
      <c r="CP165" s="165"/>
      <c r="CQ165" s="165"/>
    </row>
    <row r="166" spans="2:95" outlineLevel="1" x14ac:dyDescent="0.25">
      <c r="B166" s="156" t="str">
        <f>Table1[[#Headers],[Total Testes]]</f>
        <v>Total Testes</v>
      </c>
      <c r="C166" s="264" t="str">
        <f t="shared" si="13"/>
        <v>ENTITY_TXNMY_ELGBL_TRNVR_CE</v>
      </c>
      <c r="D166" s="153" t="s">
        <v>10</v>
      </c>
      <c r="E166" s="155" t="s">
        <v>1423</v>
      </c>
      <c r="G166" s="172">
        <f>INDEX(Table1[[Especificação]:[Total Testes]],MATCH('Planemaneto rev.equipa'!C166,Table1[CONCAT],0),MATCH('Planemaneto rev.equipa'!B166,Table1[[#Headers],[Especificação]:[Total Testes]],0))</f>
        <v>2.5</v>
      </c>
      <c r="H166" s="191">
        <f t="shared" si="14"/>
        <v>0.31</v>
      </c>
      <c r="I166" s="193"/>
      <c r="J166" s="165"/>
      <c r="K166" s="165"/>
      <c r="L166" s="165"/>
      <c r="M166" s="165"/>
      <c r="N166" s="165"/>
      <c r="O166" s="165"/>
      <c r="P166" s="165"/>
      <c r="Q166" s="165"/>
      <c r="S166" s="165"/>
      <c r="T166" s="165"/>
      <c r="U166" s="165"/>
      <c r="V166" s="165"/>
      <c r="W166" s="165"/>
      <c r="X166" s="165"/>
      <c r="Y166" s="165"/>
      <c r="Z166" s="165"/>
      <c r="AA166" s="165"/>
      <c r="AB166" s="165"/>
      <c r="AC166" s="165"/>
      <c r="AD166" s="165"/>
      <c r="AE166" s="165"/>
      <c r="AF166" s="165"/>
      <c r="AG166" s="165"/>
      <c r="AH166" s="165"/>
      <c r="AI166" s="165"/>
      <c r="AJ166" s="165"/>
      <c r="AK166" s="165"/>
      <c r="AL166" s="165"/>
      <c r="AM166" s="165"/>
      <c r="AN166" s="165"/>
      <c r="AO166" s="165"/>
      <c r="AP166" s="165"/>
      <c r="AQ166" s="165"/>
      <c r="AR166" s="165"/>
      <c r="AS166" s="165"/>
      <c r="AT166" s="165"/>
      <c r="AU166" s="165"/>
      <c r="AV166" s="165"/>
      <c r="AW166" s="165"/>
      <c r="AX166" s="165"/>
      <c r="AY166" s="165"/>
      <c r="AZ166" s="165"/>
      <c r="BA166" s="165"/>
      <c r="BB166" s="165"/>
      <c r="BC166" s="165"/>
      <c r="BD166" s="165"/>
      <c r="BE166" s="165"/>
      <c r="BF166" s="165"/>
      <c r="BG166" s="165"/>
      <c r="BH166" s="165"/>
      <c r="BI166" s="165"/>
      <c r="BJ166" s="165"/>
      <c r="BK166" s="165"/>
      <c r="BL166" s="165"/>
      <c r="BM166" s="165"/>
      <c r="BN166" s="165"/>
      <c r="BO166" s="165"/>
      <c r="BP166" s="165"/>
      <c r="BQ166" s="165"/>
      <c r="BR166" s="165"/>
      <c r="BS166" s="165"/>
      <c r="BT166" s="165"/>
      <c r="BU166" s="165"/>
      <c r="BV166" s="165"/>
      <c r="BW166" s="165"/>
      <c r="BX166" s="165"/>
      <c r="BY166" s="165"/>
      <c r="BZ166" s="165"/>
      <c r="CA166" s="165"/>
      <c r="CB166" s="165"/>
      <c r="CC166" s="165"/>
      <c r="CD166" s="165"/>
      <c r="CE166" s="165"/>
      <c r="CF166" s="165"/>
      <c r="CG166" s="165"/>
      <c r="CH166" s="165"/>
      <c r="CI166" s="165"/>
      <c r="CJ166" s="165"/>
      <c r="CK166" s="165"/>
      <c r="CL166" s="165"/>
      <c r="CM166" s="165"/>
      <c r="CN166" s="165"/>
      <c r="CO166" s="165"/>
      <c r="CP166" s="165"/>
      <c r="CQ166" s="165"/>
    </row>
    <row r="167" spans="2:95" outlineLevel="1" x14ac:dyDescent="0.25">
      <c r="B167" s="156" t="str">
        <f>Table1[[#Headers],[Total Testes]]</f>
        <v>Total Testes</v>
      </c>
      <c r="C167" s="264" t="str">
        <f t="shared" si="13"/>
        <v>ENTITY_PURE_CAPEX_P</v>
      </c>
      <c r="D167" s="153" t="s">
        <v>10</v>
      </c>
      <c r="E167" s="153" t="s">
        <v>1426</v>
      </c>
      <c r="G167" s="172">
        <f>INDEX(Table1[[Especificação]:[Total Testes]],MATCH('Planemaneto rev.equipa'!C167,Table1[CONCAT],0),MATCH('Planemaneto rev.equipa'!B167,Table1[[#Headers],[Especificação]:[Total Testes]],0))</f>
        <v>2.5</v>
      </c>
      <c r="H167" s="191">
        <f t="shared" si="14"/>
        <v>0.31</v>
      </c>
      <c r="I167" s="193"/>
      <c r="J167" s="165"/>
      <c r="K167" s="165"/>
      <c r="L167" s="165"/>
      <c r="M167" s="165"/>
      <c r="N167" s="165"/>
      <c r="O167" s="165"/>
      <c r="P167" s="165"/>
      <c r="Q167" s="165"/>
      <c r="S167" s="165"/>
      <c r="T167" s="165"/>
      <c r="U167" s="165"/>
      <c r="V167" s="165"/>
      <c r="W167" s="165"/>
      <c r="X167" s="165"/>
      <c r="Y167" s="165"/>
      <c r="Z167" s="165"/>
      <c r="AA167" s="165"/>
      <c r="AB167" s="165"/>
      <c r="AC167" s="165"/>
      <c r="AD167" s="165"/>
      <c r="AE167" s="165"/>
      <c r="AF167" s="165"/>
      <c r="AG167" s="165"/>
      <c r="AH167" s="165"/>
      <c r="AI167" s="165"/>
      <c r="AJ167" s="165"/>
      <c r="AK167" s="165"/>
      <c r="AL167" s="165"/>
      <c r="AM167" s="165"/>
      <c r="AN167" s="165"/>
      <c r="AO167" s="165"/>
      <c r="AP167" s="165"/>
      <c r="AQ167" s="165"/>
      <c r="AR167" s="165"/>
      <c r="AS167" s="165"/>
      <c r="AT167" s="165"/>
      <c r="AU167" s="165"/>
      <c r="AV167" s="165"/>
      <c r="AW167" s="165"/>
      <c r="AX167" s="165"/>
      <c r="AY167" s="165"/>
      <c r="AZ167" s="165"/>
      <c r="BA167" s="165"/>
      <c r="BB167" s="165"/>
      <c r="BC167" s="165"/>
      <c r="BD167" s="165"/>
      <c r="BE167" s="165"/>
      <c r="BF167" s="165"/>
      <c r="BG167" s="165"/>
      <c r="BH167" s="165"/>
      <c r="BI167" s="165"/>
      <c r="BJ167" s="165"/>
      <c r="BK167" s="165"/>
      <c r="BL167" s="165"/>
      <c r="BM167" s="165"/>
      <c r="BN167" s="165"/>
      <c r="BO167" s="165"/>
      <c r="BP167" s="165"/>
      <c r="BQ167" s="165"/>
      <c r="BR167" s="165"/>
      <c r="BS167" s="165"/>
      <c r="BT167" s="165"/>
      <c r="BU167" s="165"/>
      <c r="BV167" s="165"/>
      <c r="BW167" s="165"/>
      <c r="BX167" s="165"/>
      <c r="BY167" s="165"/>
      <c r="BZ167" s="165"/>
      <c r="CA167" s="165"/>
      <c r="CB167" s="165"/>
      <c r="CC167" s="165"/>
      <c r="CD167" s="165"/>
      <c r="CE167" s="165"/>
      <c r="CF167" s="165"/>
      <c r="CG167" s="165"/>
      <c r="CH167" s="165"/>
      <c r="CI167" s="165"/>
      <c r="CJ167" s="165"/>
      <c r="CK167" s="165"/>
      <c r="CL167" s="165"/>
      <c r="CM167" s="165"/>
      <c r="CN167" s="165"/>
      <c r="CO167" s="165"/>
      <c r="CP167" s="165"/>
      <c r="CQ167" s="165"/>
    </row>
    <row r="168" spans="2:95" outlineLevel="1" x14ac:dyDescent="0.25">
      <c r="B168" s="156" t="str">
        <f>Table1[[#Headers],[Total Testes]]</f>
        <v>Total Testes</v>
      </c>
      <c r="C168" s="264" t="str">
        <f t="shared" si="13"/>
        <v>ENTITY_PURE_TRNVR_P</v>
      </c>
      <c r="D168" s="153" t="s">
        <v>10</v>
      </c>
      <c r="E168" s="153" t="s">
        <v>1429</v>
      </c>
      <c r="G168" s="172">
        <f>INDEX(Table1[[Especificação]:[Total Testes]],MATCH('Planemaneto rev.equipa'!C168,Table1[CONCAT],0),MATCH('Planemaneto rev.equipa'!B168,Table1[[#Headers],[Especificação]:[Total Testes]],0))</f>
        <v>2.5</v>
      </c>
      <c r="H168" s="191">
        <f t="shared" si="14"/>
        <v>0.31</v>
      </c>
      <c r="I168" s="193"/>
      <c r="J168" s="165"/>
      <c r="K168" s="165"/>
      <c r="L168" s="165"/>
      <c r="M168" s="165"/>
      <c r="N168" s="165"/>
      <c r="O168" s="165"/>
      <c r="P168" s="165"/>
      <c r="Q168" s="165"/>
      <c r="S168" s="165"/>
      <c r="T168" s="165"/>
      <c r="U168" s="165"/>
      <c r="V168" s="165"/>
      <c r="W168" s="165"/>
      <c r="X168" s="165"/>
      <c r="Y168" s="165"/>
      <c r="Z168" s="165"/>
      <c r="AA168" s="165"/>
      <c r="AB168" s="165"/>
      <c r="AC168" s="165"/>
      <c r="AD168" s="165"/>
      <c r="AE168" s="165"/>
      <c r="AF168" s="165"/>
      <c r="AG168" s="165"/>
      <c r="AH168" s="165"/>
      <c r="AI168" s="165"/>
      <c r="AJ168" s="165"/>
      <c r="AK168" s="165"/>
      <c r="AL168" s="165"/>
      <c r="AM168" s="165"/>
      <c r="AN168" s="165"/>
      <c r="AO168" s="165"/>
      <c r="AP168" s="165"/>
      <c r="AQ168" s="165"/>
      <c r="AR168" s="165"/>
      <c r="AS168" s="165"/>
      <c r="AT168" s="165"/>
      <c r="AU168" s="165"/>
      <c r="AV168" s="165"/>
      <c r="AW168" s="165"/>
      <c r="AX168" s="165"/>
      <c r="AY168" s="165"/>
      <c r="AZ168" s="165"/>
      <c r="BA168" s="165"/>
      <c r="BB168" s="165"/>
      <c r="BC168" s="165"/>
      <c r="BD168" s="165"/>
      <c r="BE168" s="165"/>
      <c r="BF168" s="165"/>
      <c r="BG168" s="165"/>
      <c r="BH168" s="165"/>
      <c r="BI168" s="165"/>
      <c r="BJ168" s="165"/>
      <c r="BK168" s="165"/>
      <c r="BL168" s="165"/>
      <c r="BM168" s="165"/>
      <c r="BN168" s="165"/>
      <c r="BO168" s="165"/>
      <c r="BP168" s="165"/>
      <c r="BQ168" s="165"/>
      <c r="BR168" s="165"/>
      <c r="BS168" s="165"/>
      <c r="BT168" s="165"/>
      <c r="BU168" s="165"/>
      <c r="BV168" s="165"/>
      <c r="BW168" s="165"/>
      <c r="BX168" s="165"/>
      <c r="BY168" s="165"/>
      <c r="BZ168" s="165"/>
      <c r="CA168" s="165"/>
      <c r="CB168" s="165"/>
      <c r="CC168" s="165"/>
      <c r="CD168" s="165"/>
      <c r="CE168" s="165"/>
      <c r="CF168" s="165"/>
      <c r="CG168" s="165"/>
      <c r="CH168" s="165"/>
      <c r="CI168" s="165"/>
      <c r="CJ168" s="165"/>
      <c r="CK168" s="165"/>
      <c r="CL168" s="165"/>
      <c r="CM168" s="165"/>
      <c r="CN168" s="165"/>
      <c r="CO168" s="165"/>
      <c r="CP168" s="165"/>
      <c r="CQ168" s="165"/>
    </row>
    <row r="169" spans="2:95" outlineLevel="1" x14ac:dyDescent="0.25">
      <c r="B169" s="156" t="str">
        <f>Table1[[#Headers],[Total Testes]]</f>
        <v>Total Testes</v>
      </c>
      <c r="C169" s="264" t="str">
        <f t="shared" si="13"/>
        <v>ENTITY_PURE_CAPEX_B</v>
      </c>
      <c r="D169" s="153" t="s">
        <v>10</v>
      </c>
      <c r="E169" s="153" t="s">
        <v>1432</v>
      </c>
      <c r="G169" s="172">
        <f>INDEX(Table1[[Especificação]:[Total Testes]],MATCH('Planemaneto rev.equipa'!C169,Table1[CONCAT],0),MATCH('Planemaneto rev.equipa'!B169,Table1[[#Headers],[Especificação]:[Total Testes]],0))</f>
        <v>2.5</v>
      </c>
      <c r="H169" s="191">
        <f t="shared" si="14"/>
        <v>0.31</v>
      </c>
      <c r="I169" s="193"/>
      <c r="J169" s="165"/>
      <c r="K169" s="165"/>
      <c r="L169" s="165"/>
      <c r="M169" s="165"/>
      <c r="N169" s="165"/>
      <c r="O169" s="165"/>
      <c r="P169" s="165"/>
      <c r="Q169" s="165"/>
      <c r="S169" s="165"/>
      <c r="T169" s="165"/>
      <c r="U169" s="165"/>
      <c r="V169" s="165"/>
      <c r="W169" s="165"/>
      <c r="X169" s="165"/>
      <c r="Y169" s="165"/>
      <c r="Z169" s="165"/>
      <c r="AA169" s="165"/>
      <c r="AB169" s="165"/>
      <c r="AC169" s="165"/>
      <c r="AD169" s="165"/>
      <c r="AE169" s="165"/>
      <c r="AF169" s="165"/>
      <c r="AG169" s="165"/>
      <c r="AH169" s="165"/>
      <c r="AI169" s="165"/>
      <c r="AJ169" s="165"/>
      <c r="AK169" s="165"/>
      <c r="AL169" s="165"/>
      <c r="AM169" s="165"/>
      <c r="AN169" s="165"/>
      <c r="AO169" s="165"/>
      <c r="AP169" s="165"/>
      <c r="AQ169" s="165"/>
      <c r="AR169" s="165"/>
      <c r="AS169" s="165"/>
      <c r="AT169" s="165"/>
      <c r="AU169" s="165"/>
      <c r="AV169" s="165"/>
      <c r="AW169" s="165"/>
      <c r="AX169" s="165"/>
      <c r="AY169" s="165"/>
      <c r="AZ169" s="165"/>
      <c r="BA169" s="165"/>
      <c r="BB169" s="165"/>
      <c r="BC169" s="165"/>
      <c r="BD169" s="165"/>
      <c r="BE169" s="165"/>
      <c r="BF169" s="165"/>
      <c r="BG169" s="165"/>
      <c r="BH169" s="165"/>
      <c r="BI169" s="165"/>
      <c r="BJ169" s="165"/>
      <c r="BK169" s="165"/>
      <c r="BL169" s="165"/>
      <c r="BM169" s="165"/>
      <c r="BN169" s="165"/>
      <c r="BO169" s="165"/>
      <c r="BP169" s="165"/>
      <c r="BQ169" s="165"/>
      <c r="BR169" s="165"/>
      <c r="BS169" s="165"/>
      <c r="BT169" s="165"/>
      <c r="BU169" s="165"/>
      <c r="BV169" s="165"/>
      <c r="BW169" s="165"/>
      <c r="BX169" s="165"/>
      <c r="BY169" s="165"/>
      <c r="BZ169" s="165"/>
      <c r="CA169" s="165"/>
      <c r="CB169" s="165"/>
      <c r="CC169" s="165"/>
      <c r="CD169" s="165"/>
      <c r="CE169" s="165"/>
      <c r="CF169" s="165"/>
      <c r="CG169" s="165"/>
      <c r="CH169" s="165"/>
      <c r="CI169" s="165"/>
      <c r="CJ169" s="165"/>
      <c r="CK169" s="165"/>
      <c r="CL169" s="165"/>
      <c r="CM169" s="165"/>
      <c r="CN169" s="165"/>
      <c r="CO169" s="165"/>
      <c r="CP169" s="165"/>
      <c r="CQ169" s="165"/>
    </row>
    <row r="170" spans="2:95" outlineLevel="1" x14ac:dyDescent="0.25">
      <c r="B170" s="156" t="str">
        <f>Table1[[#Headers],[Total Testes]]</f>
        <v>Total Testes</v>
      </c>
      <c r="C170" s="264" t="str">
        <f t="shared" si="13"/>
        <v>ENTITY_PURE_TRNVR_B</v>
      </c>
      <c r="D170" s="153" t="s">
        <v>10</v>
      </c>
      <c r="E170" s="153" t="s">
        <v>1435</v>
      </c>
      <c r="G170" s="172">
        <f>INDEX(Table1[[Especificação]:[Total Testes]],MATCH('Planemaneto rev.equipa'!C170,Table1[CONCAT],0),MATCH('Planemaneto rev.equipa'!B170,Table1[[#Headers],[Especificação]:[Total Testes]],0))</f>
        <v>2.5</v>
      </c>
      <c r="H170" s="191">
        <f t="shared" si="14"/>
        <v>0.31</v>
      </c>
      <c r="I170" s="193"/>
      <c r="J170" s="165"/>
      <c r="K170" s="165"/>
      <c r="L170" s="165"/>
      <c r="M170" s="165"/>
      <c r="N170" s="165"/>
      <c r="O170" s="165"/>
      <c r="P170" s="165"/>
      <c r="Q170" s="165"/>
      <c r="S170" s="165"/>
      <c r="T170" s="165"/>
      <c r="U170" s="165"/>
      <c r="V170" s="165"/>
      <c r="W170" s="165"/>
      <c r="X170" s="165"/>
      <c r="Y170" s="165"/>
      <c r="Z170" s="165"/>
      <c r="AA170" s="165"/>
      <c r="AB170" s="165"/>
      <c r="AC170" s="165"/>
      <c r="AD170" s="165"/>
      <c r="AE170" s="165"/>
      <c r="AF170" s="165"/>
      <c r="AG170" s="165"/>
      <c r="AH170" s="165"/>
      <c r="AI170" s="165"/>
      <c r="AJ170" s="165"/>
      <c r="AK170" s="165"/>
      <c r="AL170" s="165"/>
      <c r="AM170" s="165"/>
      <c r="AN170" s="165"/>
      <c r="AO170" s="165"/>
      <c r="AP170" s="165"/>
      <c r="AQ170" s="165"/>
      <c r="AR170" s="165"/>
      <c r="AS170" s="165"/>
      <c r="AT170" s="165"/>
      <c r="AU170" s="165"/>
      <c r="AV170" s="165"/>
      <c r="AW170" s="165"/>
      <c r="AX170" s="165"/>
      <c r="AY170" s="165"/>
      <c r="AZ170" s="165"/>
      <c r="BA170" s="165"/>
      <c r="BB170" s="165"/>
      <c r="BC170" s="165"/>
      <c r="BD170" s="165"/>
      <c r="BE170" s="165"/>
      <c r="BF170" s="165"/>
      <c r="BG170" s="165"/>
      <c r="BH170" s="165"/>
      <c r="BI170" s="165"/>
      <c r="BJ170" s="165"/>
      <c r="BK170" s="165"/>
      <c r="BL170" s="165"/>
      <c r="BM170" s="165"/>
      <c r="BN170" s="165"/>
      <c r="BO170" s="165"/>
      <c r="BP170" s="165"/>
      <c r="BQ170" s="165"/>
      <c r="BR170" s="165"/>
      <c r="BS170" s="165"/>
      <c r="BT170" s="165"/>
      <c r="BU170" s="165"/>
      <c r="BV170" s="165"/>
      <c r="BW170" s="165"/>
      <c r="BX170" s="165"/>
      <c r="BY170" s="165"/>
      <c r="BZ170" s="165"/>
      <c r="CA170" s="165"/>
      <c r="CB170" s="165"/>
      <c r="CC170" s="165"/>
      <c r="CD170" s="165"/>
      <c r="CE170" s="165"/>
      <c r="CF170" s="165"/>
      <c r="CG170" s="165"/>
      <c r="CH170" s="165"/>
      <c r="CI170" s="165"/>
      <c r="CJ170" s="165"/>
      <c r="CK170" s="165"/>
      <c r="CL170" s="165"/>
      <c r="CM170" s="165"/>
      <c r="CN170" s="165"/>
      <c r="CO170" s="165"/>
      <c r="CP170" s="165"/>
      <c r="CQ170" s="165"/>
    </row>
    <row r="171" spans="2:95" outlineLevel="1" x14ac:dyDescent="0.25">
      <c r="B171" s="156" t="str">
        <f>Table1[[#Headers],[Total Testes]]</f>
        <v>Total Testes</v>
      </c>
      <c r="C171" s="264" t="str">
        <f t="shared" si="13"/>
        <v>ENTITY_PURE_CAPEX_W</v>
      </c>
      <c r="D171" s="153" t="s">
        <v>10</v>
      </c>
      <c r="E171" s="153" t="s">
        <v>1438</v>
      </c>
      <c r="G171" s="172">
        <f>INDEX(Table1[[Especificação]:[Total Testes]],MATCH('Planemaneto rev.equipa'!C171,Table1[CONCAT],0),MATCH('Planemaneto rev.equipa'!B171,Table1[[#Headers],[Especificação]:[Total Testes]],0))</f>
        <v>2.5</v>
      </c>
      <c r="H171" s="191">
        <f t="shared" si="14"/>
        <v>0.31</v>
      </c>
      <c r="I171" s="193"/>
      <c r="J171" s="165"/>
      <c r="K171" s="165"/>
      <c r="L171" s="165"/>
      <c r="M171" s="165"/>
      <c r="N171" s="165"/>
      <c r="O171" s="165"/>
      <c r="P171" s="165"/>
      <c r="Q171" s="165"/>
      <c r="S171" s="165"/>
      <c r="T171" s="165"/>
      <c r="U171" s="165"/>
      <c r="V171" s="165"/>
      <c r="W171" s="165"/>
      <c r="X171" s="165"/>
      <c r="Y171" s="165"/>
      <c r="Z171" s="165"/>
      <c r="AA171" s="165"/>
      <c r="AB171" s="165"/>
      <c r="AC171" s="165"/>
      <c r="AD171" s="165"/>
      <c r="AE171" s="165"/>
      <c r="AF171" s="165"/>
      <c r="AG171" s="165"/>
      <c r="AH171" s="165"/>
      <c r="AI171" s="165"/>
      <c r="AJ171" s="165"/>
      <c r="AK171" s="165"/>
      <c r="AL171" s="165"/>
      <c r="AM171" s="165"/>
      <c r="AN171" s="165"/>
      <c r="AO171" s="165"/>
      <c r="AP171" s="165"/>
      <c r="AQ171" s="165"/>
      <c r="AR171" s="165"/>
      <c r="AS171" s="165"/>
      <c r="AT171" s="165"/>
      <c r="AU171" s="165"/>
      <c r="AV171" s="165"/>
      <c r="AW171" s="165"/>
      <c r="AX171" s="165"/>
      <c r="AY171" s="165"/>
      <c r="AZ171" s="165"/>
      <c r="BA171" s="165"/>
      <c r="BB171" s="165"/>
      <c r="BC171" s="165"/>
      <c r="BD171" s="165"/>
      <c r="BE171" s="165"/>
      <c r="BF171" s="165"/>
      <c r="BG171" s="165"/>
      <c r="BH171" s="165"/>
      <c r="BI171" s="165"/>
      <c r="BJ171" s="165"/>
      <c r="BK171" s="165"/>
      <c r="BL171" s="165"/>
      <c r="BM171" s="165"/>
      <c r="BN171" s="165"/>
      <c r="BO171" s="165"/>
      <c r="BP171" s="165"/>
      <c r="BQ171" s="165"/>
      <c r="BR171" s="165"/>
      <c r="BS171" s="165"/>
      <c r="BT171" s="165"/>
      <c r="BU171" s="165"/>
      <c r="BV171" s="165"/>
      <c r="BW171" s="165"/>
      <c r="BX171" s="165"/>
      <c r="BY171" s="165"/>
      <c r="BZ171" s="165"/>
      <c r="CA171" s="165"/>
      <c r="CB171" s="165"/>
      <c r="CC171" s="165"/>
      <c r="CD171" s="165"/>
      <c r="CE171" s="165"/>
      <c r="CF171" s="165"/>
      <c r="CG171" s="165"/>
      <c r="CH171" s="165"/>
      <c r="CI171" s="165"/>
      <c r="CJ171" s="165"/>
      <c r="CK171" s="165"/>
      <c r="CL171" s="165"/>
      <c r="CM171" s="165"/>
      <c r="CN171" s="165"/>
      <c r="CO171" s="165"/>
      <c r="CP171" s="165"/>
      <c r="CQ171" s="165"/>
    </row>
    <row r="172" spans="2:95" outlineLevel="1" x14ac:dyDescent="0.25">
      <c r="B172" s="156" t="str">
        <f>Table1[[#Headers],[Total Testes]]</f>
        <v>Total Testes</v>
      </c>
      <c r="C172" s="264" t="str">
        <f t="shared" si="13"/>
        <v>ENTITY_PURE_TRNVR_W</v>
      </c>
      <c r="D172" s="153" t="s">
        <v>10</v>
      </c>
      <c r="E172" s="153" t="s">
        <v>1441</v>
      </c>
      <c r="G172" s="172">
        <f>INDEX(Table1[[Especificação]:[Total Testes]],MATCH('Planemaneto rev.equipa'!C172,Table1[CONCAT],0),MATCH('Planemaneto rev.equipa'!B172,Table1[[#Headers],[Especificação]:[Total Testes]],0))</f>
        <v>2.5</v>
      </c>
      <c r="H172" s="191">
        <f t="shared" si="14"/>
        <v>0.31</v>
      </c>
      <c r="I172" s="193"/>
      <c r="J172" s="165"/>
      <c r="K172" s="165"/>
      <c r="L172" s="165"/>
      <c r="M172" s="165"/>
      <c r="N172" s="165"/>
      <c r="O172" s="165"/>
      <c r="P172" s="165"/>
      <c r="Q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5"/>
      <c r="AH172" s="165"/>
      <c r="AI172" s="165"/>
      <c r="AJ172" s="165"/>
      <c r="AK172" s="165"/>
      <c r="AL172" s="165"/>
      <c r="AM172" s="165"/>
      <c r="AN172" s="165"/>
      <c r="AO172" s="165"/>
      <c r="AP172" s="165"/>
      <c r="AQ172" s="165"/>
      <c r="AR172" s="165"/>
      <c r="AS172" s="165"/>
      <c r="AT172" s="165"/>
      <c r="AU172" s="165"/>
      <c r="AV172" s="165"/>
      <c r="AW172" s="165"/>
      <c r="AX172" s="165"/>
      <c r="AY172" s="165"/>
      <c r="AZ172" s="165"/>
      <c r="BA172" s="165"/>
      <c r="BB172" s="165"/>
      <c r="BC172" s="165"/>
      <c r="BD172" s="165"/>
      <c r="BE172" s="165"/>
      <c r="BF172" s="165"/>
      <c r="BG172" s="165"/>
      <c r="BH172" s="165"/>
      <c r="BI172" s="165"/>
      <c r="BJ172" s="165"/>
      <c r="BK172" s="165"/>
      <c r="BL172" s="165"/>
      <c r="BM172" s="165"/>
      <c r="BN172" s="165"/>
      <c r="BO172" s="165"/>
      <c r="BP172" s="165"/>
      <c r="BQ172" s="165"/>
      <c r="BR172" s="165"/>
      <c r="BS172" s="165"/>
      <c r="BT172" s="165"/>
      <c r="BU172" s="165"/>
      <c r="BV172" s="165"/>
      <c r="BW172" s="165"/>
      <c r="BX172" s="165"/>
      <c r="BY172" s="165"/>
      <c r="BZ172" s="165"/>
      <c r="CA172" s="165"/>
      <c r="CB172" s="165"/>
      <c r="CC172" s="165"/>
      <c r="CD172" s="165"/>
      <c r="CE172" s="165"/>
      <c r="CF172" s="165"/>
      <c r="CG172" s="165"/>
      <c r="CH172" s="165"/>
      <c r="CI172" s="165"/>
      <c r="CJ172" s="165"/>
      <c r="CK172" s="165"/>
      <c r="CL172" s="165"/>
      <c r="CM172" s="165"/>
      <c r="CN172" s="165"/>
      <c r="CO172" s="165"/>
      <c r="CP172" s="165"/>
      <c r="CQ172" s="165"/>
    </row>
    <row r="173" spans="2:95" outlineLevel="1" x14ac:dyDescent="0.25">
      <c r="B173" s="156" t="str">
        <f>Table1[[#Headers],[Total Testes]]</f>
        <v>Total Testes</v>
      </c>
      <c r="C173" s="264" t="str">
        <f t="shared" si="13"/>
        <v>ENTITY_PURE_CAPEX_CE</v>
      </c>
      <c r="D173" s="153" t="s">
        <v>10</v>
      </c>
      <c r="E173" s="153" t="s">
        <v>1444</v>
      </c>
      <c r="G173" s="172">
        <f>INDEX(Table1[[Especificação]:[Total Testes]],MATCH('Planemaneto rev.equipa'!C173,Table1[CONCAT],0),MATCH('Planemaneto rev.equipa'!B173,Table1[[#Headers],[Especificação]:[Total Testes]],0))</f>
        <v>2.5</v>
      </c>
      <c r="H173" s="191">
        <f t="shared" si="14"/>
        <v>0.31</v>
      </c>
      <c r="I173" s="193"/>
      <c r="J173" s="165"/>
      <c r="K173" s="165"/>
      <c r="L173" s="165"/>
      <c r="M173" s="165"/>
      <c r="N173" s="165"/>
      <c r="O173" s="165"/>
      <c r="P173" s="165"/>
      <c r="Q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5"/>
      <c r="AH173" s="165"/>
      <c r="AI173" s="165"/>
      <c r="AJ173" s="165"/>
      <c r="AK173" s="165"/>
      <c r="AL173" s="165"/>
      <c r="AM173" s="165"/>
      <c r="AN173" s="165"/>
      <c r="AO173" s="165"/>
      <c r="AP173" s="165"/>
      <c r="AQ173" s="165"/>
      <c r="AR173" s="165"/>
      <c r="AS173" s="165"/>
      <c r="AT173" s="165"/>
      <c r="AU173" s="165"/>
      <c r="AV173" s="165"/>
      <c r="AW173" s="165"/>
      <c r="AX173" s="165"/>
      <c r="AY173" s="165"/>
      <c r="AZ173" s="165"/>
      <c r="BA173" s="165"/>
      <c r="BB173" s="165"/>
      <c r="BC173" s="165"/>
      <c r="BD173" s="165"/>
      <c r="BE173" s="165"/>
      <c r="BF173" s="165"/>
      <c r="BG173" s="165"/>
      <c r="BH173" s="165"/>
      <c r="BI173" s="165"/>
      <c r="BJ173" s="165"/>
      <c r="BK173" s="165"/>
      <c r="BL173" s="165"/>
      <c r="BM173" s="165"/>
      <c r="BN173" s="165"/>
      <c r="BO173" s="165"/>
      <c r="BP173" s="165"/>
      <c r="BQ173" s="165"/>
      <c r="BR173" s="165"/>
      <c r="BS173" s="165"/>
      <c r="BT173" s="165"/>
      <c r="BU173" s="165"/>
      <c r="BV173" s="165"/>
      <c r="BW173" s="165"/>
      <c r="BX173" s="165"/>
      <c r="BY173" s="165"/>
      <c r="BZ173" s="165"/>
      <c r="CA173" s="165"/>
      <c r="CB173" s="165"/>
      <c r="CC173" s="165"/>
      <c r="CD173" s="165"/>
      <c r="CE173" s="165"/>
      <c r="CF173" s="165"/>
      <c r="CG173" s="165"/>
      <c r="CH173" s="165"/>
      <c r="CI173" s="165"/>
      <c r="CJ173" s="165"/>
      <c r="CK173" s="165"/>
      <c r="CL173" s="165"/>
      <c r="CM173" s="165"/>
      <c r="CN173" s="165"/>
      <c r="CO173" s="165"/>
      <c r="CP173" s="165"/>
      <c r="CQ173" s="165"/>
    </row>
    <row r="174" spans="2:95" outlineLevel="1" x14ac:dyDescent="0.25">
      <c r="B174" s="156" t="str">
        <f>Table1[[#Headers],[Total Testes]]</f>
        <v>Total Testes</v>
      </c>
      <c r="C174" s="264" t="str">
        <f t="shared" si="13"/>
        <v>ENTITY_PURE_TRNVR_CE</v>
      </c>
      <c r="D174" s="153" t="s">
        <v>10</v>
      </c>
      <c r="E174" s="153" t="s">
        <v>1447</v>
      </c>
      <c r="G174" s="172">
        <f>INDEX(Table1[[Especificação]:[Total Testes]],MATCH('Planemaneto rev.equipa'!C174,Table1[CONCAT],0),MATCH('Planemaneto rev.equipa'!B174,Table1[[#Headers],[Especificação]:[Total Testes]],0))</f>
        <v>2.5</v>
      </c>
      <c r="H174" s="191">
        <f t="shared" si="14"/>
        <v>0.31</v>
      </c>
      <c r="I174" s="193"/>
      <c r="J174" s="165"/>
      <c r="K174" s="165"/>
      <c r="L174" s="165"/>
      <c r="M174" s="165"/>
      <c r="N174" s="165"/>
      <c r="O174" s="165"/>
      <c r="P174" s="165"/>
      <c r="Q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5"/>
      <c r="AH174" s="165"/>
      <c r="AI174" s="165"/>
      <c r="AJ174" s="165"/>
      <c r="AK174" s="165"/>
      <c r="AL174" s="165"/>
      <c r="AM174" s="165"/>
      <c r="AN174" s="165"/>
      <c r="AO174" s="165"/>
      <c r="AP174" s="165"/>
      <c r="AQ174" s="165"/>
      <c r="AR174" s="165"/>
      <c r="AS174" s="165"/>
      <c r="AT174" s="165"/>
      <c r="AU174" s="165"/>
      <c r="AV174" s="165"/>
      <c r="AW174" s="165"/>
      <c r="AX174" s="165"/>
      <c r="AY174" s="165"/>
      <c r="AZ174" s="165"/>
      <c r="BA174" s="165"/>
      <c r="BB174" s="165"/>
      <c r="BC174" s="165"/>
      <c r="BD174" s="165"/>
      <c r="BE174" s="165"/>
      <c r="BF174" s="165"/>
      <c r="BG174" s="165"/>
      <c r="BH174" s="165"/>
      <c r="BI174" s="165"/>
      <c r="BJ174" s="165"/>
      <c r="BK174" s="165"/>
      <c r="BL174" s="165"/>
      <c r="BM174" s="165"/>
      <c r="BN174" s="165"/>
      <c r="BO174" s="165"/>
      <c r="BP174" s="165"/>
      <c r="BQ174" s="165"/>
      <c r="BR174" s="165"/>
      <c r="BS174" s="165"/>
      <c r="BT174" s="165"/>
      <c r="BU174" s="165"/>
      <c r="BV174" s="165"/>
      <c r="BW174" s="165"/>
      <c r="BX174" s="165"/>
      <c r="BY174" s="165"/>
      <c r="BZ174" s="165"/>
      <c r="CA174" s="165"/>
      <c r="CB174" s="165"/>
      <c r="CC174" s="165"/>
      <c r="CD174" s="165"/>
      <c r="CE174" s="165"/>
      <c r="CF174" s="165"/>
      <c r="CG174" s="165"/>
      <c r="CH174" s="165"/>
      <c r="CI174" s="165"/>
      <c r="CJ174" s="165"/>
      <c r="CK174" s="165"/>
      <c r="CL174" s="165"/>
      <c r="CM174" s="165"/>
      <c r="CN174" s="165"/>
      <c r="CO174" s="165"/>
      <c r="CP174" s="165"/>
      <c r="CQ174" s="165"/>
    </row>
    <row r="175" spans="2:95" outlineLevel="1" x14ac:dyDescent="0.25">
      <c r="B175" s="156" t="str">
        <f>Table1[[#Headers],[Total Testes]]</f>
        <v>Total Testes</v>
      </c>
      <c r="C175" s="264" t="str">
        <f t="shared" si="13"/>
        <v>ENTITY_ENBLNG_CAPEX_W</v>
      </c>
      <c r="D175" s="153" t="s">
        <v>10</v>
      </c>
      <c r="E175" s="153" t="s">
        <v>1450</v>
      </c>
      <c r="G175" s="172">
        <f>INDEX(Table1[[Especificação]:[Total Testes]],MATCH('Planemaneto rev.equipa'!C175,Table1[CONCAT],0),MATCH('Planemaneto rev.equipa'!B175,Table1[[#Headers],[Especificação]:[Total Testes]],0))</f>
        <v>2.5</v>
      </c>
      <c r="H175" s="191">
        <f t="shared" si="14"/>
        <v>0.31</v>
      </c>
      <c r="I175" s="193"/>
      <c r="J175" s="165"/>
      <c r="K175" s="165"/>
      <c r="L175" s="165"/>
      <c r="M175" s="165"/>
      <c r="N175" s="165"/>
      <c r="O175" s="165"/>
      <c r="P175" s="165"/>
      <c r="Q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5"/>
      <c r="AH175" s="165"/>
      <c r="AI175" s="165"/>
      <c r="AJ175" s="165"/>
      <c r="AK175" s="165"/>
      <c r="AL175" s="165"/>
      <c r="AM175" s="165"/>
      <c r="AN175" s="165"/>
      <c r="AO175" s="165"/>
      <c r="AP175" s="165"/>
      <c r="AQ175" s="165"/>
      <c r="AR175" s="165"/>
      <c r="AS175" s="165"/>
      <c r="AT175" s="165"/>
      <c r="AU175" s="165"/>
      <c r="AV175" s="165"/>
      <c r="AW175" s="165"/>
      <c r="AX175" s="165"/>
      <c r="AY175" s="165"/>
      <c r="AZ175" s="165"/>
      <c r="BA175" s="165"/>
      <c r="BB175" s="165"/>
      <c r="BC175" s="165"/>
      <c r="BD175" s="165"/>
      <c r="BE175" s="165"/>
      <c r="BF175" s="165"/>
      <c r="BG175" s="165"/>
      <c r="BH175" s="165"/>
      <c r="BI175" s="165"/>
      <c r="BJ175" s="165"/>
      <c r="BK175" s="165"/>
      <c r="BL175" s="165"/>
      <c r="BM175" s="165"/>
      <c r="BN175" s="165"/>
      <c r="BO175" s="165"/>
      <c r="BP175" s="165"/>
      <c r="BQ175" s="165"/>
      <c r="BR175" s="165"/>
      <c r="BS175" s="165"/>
      <c r="BT175" s="165"/>
      <c r="BU175" s="165"/>
      <c r="BV175" s="165"/>
      <c r="BW175" s="165"/>
      <c r="BX175" s="165"/>
      <c r="BY175" s="165"/>
      <c r="BZ175" s="165"/>
      <c r="CA175" s="165"/>
      <c r="CB175" s="165"/>
      <c r="CC175" s="165"/>
      <c r="CD175" s="165"/>
      <c r="CE175" s="165"/>
      <c r="CF175" s="165"/>
      <c r="CG175" s="165"/>
      <c r="CH175" s="165"/>
      <c r="CI175" s="165"/>
      <c r="CJ175" s="165"/>
      <c r="CK175" s="165"/>
      <c r="CL175" s="165"/>
      <c r="CM175" s="165"/>
      <c r="CN175" s="165"/>
      <c r="CO175" s="165"/>
      <c r="CP175" s="165"/>
      <c r="CQ175" s="165"/>
    </row>
    <row r="176" spans="2:95" outlineLevel="1" x14ac:dyDescent="0.25">
      <c r="B176" s="156" t="str">
        <f>Table1[[#Headers],[Total Testes]]</f>
        <v>Total Testes</v>
      </c>
      <c r="C176" s="264" t="str">
        <f t="shared" si="13"/>
        <v>ENTITY_ENBLNG_TRNVR_W</v>
      </c>
      <c r="D176" s="153" t="s">
        <v>10</v>
      </c>
      <c r="E176" s="153" t="s">
        <v>1453</v>
      </c>
      <c r="G176" s="172">
        <f>INDEX(Table1[[Especificação]:[Total Testes]],MATCH('Planemaneto rev.equipa'!C176,Table1[CONCAT],0),MATCH('Planemaneto rev.equipa'!B176,Table1[[#Headers],[Especificação]:[Total Testes]],0))</f>
        <v>2.5</v>
      </c>
      <c r="H176" s="191">
        <f t="shared" si="14"/>
        <v>0.31</v>
      </c>
      <c r="I176" s="193"/>
      <c r="J176" s="165"/>
      <c r="K176" s="165"/>
      <c r="L176" s="165"/>
      <c r="M176" s="165"/>
      <c r="N176" s="165"/>
      <c r="O176" s="165"/>
      <c r="P176" s="165"/>
      <c r="Q176" s="165"/>
      <c r="S176" s="165"/>
      <c r="T176" s="165"/>
      <c r="U176" s="165"/>
      <c r="V176" s="165"/>
      <c r="W176" s="165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5"/>
      <c r="AH176" s="165"/>
      <c r="AI176" s="165"/>
      <c r="AJ176" s="165"/>
      <c r="AK176" s="165"/>
      <c r="AL176" s="165"/>
      <c r="AM176" s="165"/>
      <c r="AN176" s="165"/>
      <c r="AO176" s="165"/>
      <c r="AP176" s="165"/>
      <c r="AQ176" s="165"/>
      <c r="AR176" s="165"/>
      <c r="AS176" s="165"/>
      <c r="AT176" s="165"/>
      <c r="AU176" s="165"/>
      <c r="AV176" s="165"/>
      <c r="AW176" s="165"/>
      <c r="AX176" s="165"/>
      <c r="AY176" s="165"/>
      <c r="AZ176" s="165"/>
      <c r="BA176" s="165"/>
      <c r="BB176" s="165"/>
      <c r="BC176" s="165"/>
      <c r="BD176" s="165"/>
      <c r="BE176" s="165"/>
      <c r="BF176" s="165"/>
      <c r="BG176" s="165"/>
      <c r="BH176" s="165"/>
      <c r="BI176" s="165"/>
      <c r="BJ176" s="165"/>
      <c r="BK176" s="165"/>
      <c r="BL176" s="165"/>
      <c r="BM176" s="165"/>
      <c r="BN176" s="165"/>
      <c r="BO176" s="165"/>
      <c r="BP176" s="165"/>
      <c r="BQ176" s="165"/>
      <c r="BR176" s="165"/>
      <c r="BS176" s="165"/>
      <c r="BT176" s="165"/>
      <c r="BU176" s="165"/>
      <c r="BV176" s="165"/>
      <c r="BW176" s="165"/>
      <c r="BX176" s="165"/>
      <c r="BY176" s="165"/>
      <c r="BZ176" s="165"/>
      <c r="CA176" s="165"/>
      <c r="CB176" s="165"/>
      <c r="CC176" s="165"/>
      <c r="CD176" s="165"/>
      <c r="CE176" s="165"/>
      <c r="CF176" s="165"/>
      <c r="CG176" s="165"/>
      <c r="CH176" s="165"/>
      <c r="CI176" s="165"/>
      <c r="CJ176" s="165"/>
      <c r="CK176" s="165"/>
      <c r="CL176" s="165"/>
      <c r="CM176" s="165"/>
      <c r="CN176" s="165"/>
      <c r="CO176" s="165"/>
      <c r="CP176" s="165"/>
      <c r="CQ176" s="165"/>
    </row>
    <row r="177" spans="1:95" outlineLevel="1" x14ac:dyDescent="0.25">
      <c r="B177" s="156" t="str">
        <f>Table1[[#Headers],[Total Testes]]</f>
        <v>Total Testes</v>
      </c>
      <c r="C177" s="264" t="str">
        <f t="shared" si="13"/>
        <v>ENTITY_ENBLNG_CAPEX_CE</v>
      </c>
      <c r="D177" s="153" t="s">
        <v>10</v>
      </c>
      <c r="E177" s="153" t="s">
        <v>1456</v>
      </c>
      <c r="G177" s="172">
        <f>INDEX(Table1[[Especificação]:[Total Testes]],MATCH('Planemaneto rev.equipa'!C177,Table1[CONCAT],0),MATCH('Planemaneto rev.equipa'!B177,Table1[[#Headers],[Especificação]:[Total Testes]],0))</f>
        <v>2.5</v>
      </c>
      <c r="H177" s="191">
        <f t="shared" si="14"/>
        <v>0.31</v>
      </c>
      <c r="I177" s="193"/>
      <c r="J177" s="165"/>
      <c r="K177" s="165"/>
      <c r="L177" s="165"/>
      <c r="M177" s="165"/>
      <c r="N177" s="165"/>
      <c r="O177" s="165"/>
      <c r="P177" s="165"/>
      <c r="Q177" s="165"/>
      <c r="S177" s="165"/>
      <c r="T177" s="165"/>
      <c r="U177" s="165"/>
      <c r="V177" s="165"/>
      <c r="W177" s="16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5"/>
      <c r="AH177" s="165"/>
      <c r="AI177" s="165"/>
      <c r="AJ177" s="165"/>
      <c r="AK177" s="165"/>
      <c r="AL177" s="165"/>
      <c r="AM177" s="165"/>
      <c r="AN177" s="165"/>
      <c r="AO177" s="165"/>
      <c r="AP177" s="165"/>
      <c r="AQ177" s="165"/>
      <c r="AR177" s="165"/>
      <c r="AS177" s="165"/>
      <c r="AT177" s="165"/>
      <c r="AU177" s="165"/>
      <c r="AV177" s="165"/>
      <c r="AW177" s="165"/>
      <c r="AX177" s="165"/>
      <c r="AY177" s="165"/>
      <c r="AZ177" s="165"/>
      <c r="BA177" s="165"/>
      <c r="BB177" s="165"/>
      <c r="BC177" s="165"/>
      <c r="BD177" s="165"/>
      <c r="BE177" s="165"/>
      <c r="BF177" s="165"/>
      <c r="BG177" s="165"/>
      <c r="BH177" s="165"/>
      <c r="BI177" s="165"/>
      <c r="BJ177" s="165"/>
      <c r="BK177" s="165"/>
      <c r="BL177" s="165"/>
      <c r="BM177" s="165"/>
      <c r="BN177" s="165"/>
      <c r="BO177" s="165"/>
      <c r="BP177" s="165"/>
      <c r="BQ177" s="165"/>
      <c r="BR177" s="165"/>
      <c r="BS177" s="165"/>
      <c r="BT177" s="165"/>
      <c r="BU177" s="165"/>
      <c r="BV177" s="165"/>
      <c r="BW177" s="165"/>
      <c r="BX177" s="165"/>
      <c r="BY177" s="165"/>
      <c r="BZ177" s="165"/>
      <c r="CA177" s="165"/>
      <c r="CB177" s="165"/>
      <c r="CC177" s="165"/>
      <c r="CD177" s="165"/>
      <c r="CE177" s="165"/>
      <c r="CF177" s="165"/>
      <c r="CG177" s="165"/>
      <c r="CH177" s="165"/>
      <c r="CI177" s="165"/>
      <c r="CJ177" s="165"/>
      <c r="CK177" s="165"/>
      <c r="CL177" s="165"/>
      <c r="CM177" s="165"/>
      <c r="CN177" s="165"/>
      <c r="CO177" s="165"/>
      <c r="CP177" s="165"/>
      <c r="CQ177" s="165"/>
    </row>
    <row r="178" spans="1:95" outlineLevel="1" x14ac:dyDescent="0.25">
      <c r="B178" s="156" t="str">
        <f>Table1[[#Headers],[Total Testes]]</f>
        <v>Total Testes</v>
      </c>
      <c r="C178" s="264" t="str">
        <f t="shared" si="13"/>
        <v>ENTITY_ENBLNG_TRNVR_CE</v>
      </c>
      <c r="D178" s="153" t="s">
        <v>10</v>
      </c>
      <c r="E178" s="153" t="s">
        <v>1459</v>
      </c>
      <c r="G178" s="172">
        <f>INDEX(Table1[[Especificação]:[Total Testes]],MATCH('Planemaneto rev.equipa'!C178,Table1[CONCAT],0),MATCH('Planemaneto rev.equipa'!B178,Table1[[#Headers],[Especificação]:[Total Testes]],0))</f>
        <v>2.5</v>
      </c>
      <c r="H178" s="191">
        <f t="shared" si="14"/>
        <v>0.31</v>
      </c>
      <c r="I178" s="193"/>
      <c r="J178" s="165"/>
      <c r="K178" s="165"/>
      <c r="L178" s="165"/>
      <c r="M178" s="165"/>
      <c r="N178" s="165"/>
      <c r="O178" s="165"/>
      <c r="P178" s="165"/>
      <c r="Q178" s="165"/>
      <c r="S178" s="165"/>
      <c r="T178" s="165"/>
      <c r="U178" s="165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5"/>
      <c r="AH178" s="165"/>
      <c r="AI178" s="165"/>
      <c r="AJ178" s="165"/>
      <c r="AK178" s="165"/>
      <c r="AL178" s="165"/>
      <c r="AM178" s="165"/>
      <c r="AN178" s="165"/>
      <c r="AO178" s="165"/>
      <c r="AP178" s="165"/>
      <c r="AQ178" s="165"/>
      <c r="AR178" s="165"/>
      <c r="AS178" s="165"/>
      <c r="AT178" s="165"/>
      <c r="AU178" s="165"/>
      <c r="AV178" s="165"/>
      <c r="AW178" s="165"/>
      <c r="AX178" s="165"/>
      <c r="AY178" s="165"/>
      <c r="AZ178" s="165"/>
      <c r="BA178" s="165"/>
      <c r="BB178" s="165"/>
      <c r="BC178" s="165"/>
      <c r="BD178" s="165"/>
      <c r="BE178" s="165"/>
      <c r="BF178" s="165"/>
      <c r="BG178" s="165"/>
      <c r="BH178" s="165"/>
      <c r="BI178" s="165"/>
      <c r="BJ178" s="165"/>
      <c r="BK178" s="165"/>
      <c r="BL178" s="165"/>
      <c r="BM178" s="165"/>
      <c r="BN178" s="165"/>
      <c r="BO178" s="165"/>
      <c r="BP178" s="165"/>
      <c r="BQ178" s="165"/>
      <c r="BR178" s="165"/>
      <c r="BS178" s="165"/>
      <c r="BT178" s="165"/>
      <c r="BU178" s="165"/>
      <c r="BV178" s="165"/>
      <c r="BW178" s="165"/>
      <c r="BX178" s="165"/>
      <c r="BY178" s="165"/>
      <c r="BZ178" s="165"/>
      <c r="CA178" s="165"/>
      <c r="CB178" s="165"/>
      <c r="CC178" s="165"/>
      <c r="CD178" s="165"/>
      <c r="CE178" s="165"/>
      <c r="CF178" s="165"/>
      <c r="CG178" s="165"/>
      <c r="CH178" s="165"/>
      <c r="CI178" s="165"/>
      <c r="CJ178" s="165"/>
      <c r="CK178" s="165"/>
      <c r="CL178" s="165"/>
      <c r="CM178" s="165"/>
      <c r="CN178" s="165"/>
      <c r="CO178" s="165"/>
      <c r="CP178" s="165"/>
      <c r="CQ178" s="165"/>
    </row>
    <row r="179" spans="1:95" outlineLevel="1" x14ac:dyDescent="0.25">
      <c r="B179" s="156" t="str">
        <f>Table1[[#Headers],[Total Testes]]</f>
        <v>Total Testes</v>
      </c>
      <c r="C179" s="154" t="str">
        <f t="shared" si="13"/>
        <v>PROTECTION_PRMRY_ENRGY_DMND_NN_RNWBL</v>
      </c>
      <c r="D179" s="153" t="s">
        <v>1114</v>
      </c>
      <c r="E179" s="153" t="s">
        <v>1521</v>
      </c>
      <c r="G179" s="172">
        <f>INDEX(Table1[[Especificação]:[Total Testes]],MATCH('Planemaneto rev.equipa'!C179,Table1[CONCAT],0),MATCH('Planemaneto rev.equipa'!B179,Table1[[#Headers],[Especificação]:[Total Testes]],0))</f>
        <v>6</v>
      </c>
      <c r="H179" s="191">
        <f t="shared" si="14"/>
        <v>0.75</v>
      </c>
      <c r="I179" s="193"/>
      <c r="J179" s="165"/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5"/>
      <c r="AH179" s="165"/>
      <c r="AI179" s="165"/>
      <c r="AJ179" s="165"/>
      <c r="AK179" s="165"/>
      <c r="AL179" s="165"/>
      <c r="AM179" s="165"/>
      <c r="AN179" s="165"/>
      <c r="AO179" s="165"/>
      <c r="AP179" s="165"/>
      <c r="AQ179" s="165"/>
      <c r="AR179" s="165"/>
      <c r="AS179" s="165"/>
      <c r="AT179" s="165"/>
      <c r="AU179" s="165"/>
      <c r="AV179" s="165"/>
      <c r="AW179" s="165"/>
      <c r="AX179" s="165"/>
      <c r="AY179" s="165"/>
      <c r="AZ179" s="165"/>
      <c r="BA179" s="165"/>
      <c r="BB179" s="165"/>
      <c r="BC179" s="165"/>
      <c r="BD179" s="165"/>
      <c r="BE179" s="165"/>
      <c r="BF179" s="165"/>
      <c r="BG179" s="165"/>
      <c r="BH179" s="165"/>
      <c r="BI179" s="165"/>
      <c r="BJ179" s="165"/>
      <c r="BK179" s="165"/>
      <c r="BL179" s="165"/>
      <c r="BM179" s="165"/>
      <c r="BN179" s="165"/>
      <c r="BO179" s="165"/>
      <c r="BP179" s="165"/>
      <c r="BQ179" s="165"/>
      <c r="BR179" s="165"/>
      <c r="BS179" s="165"/>
      <c r="BT179" s="165"/>
      <c r="BU179" s="165"/>
      <c r="BV179" s="165"/>
      <c r="BW179" s="165"/>
      <c r="BX179" s="165"/>
      <c r="BY179" s="165"/>
      <c r="BZ179" s="165"/>
      <c r="CA179" s="165"/>
      <c r="CB179" s="165"/>
      <c r="CC179" s="165"/>
      <c r="CD179" s="165"/>
      <c r="CE179" s="165"/>
      <c r="CF179" s="165"/>
      <c r="CG179" s="165"/>
      <c r="CH179" s="165"/>
      <c r="CI179" s="165"/>
      <c r="CJ179" s="165"/>
      <c r="CK179" s="165"/>
      <c r="CL179" s="165"/>
      <c r="CM179" s="165"/>
      <c r="CN179" s="165"/>
      <c r="CO179" s="165"/>
      <c r="CP179" s="165"/>
      <c r="CQ179" s="165"/>
    </row>
    <row r="180" spans="1:95" outlineLevel="1" x14ac:dyDescent="0.25">
      <c r="B180" s="156" t="str">
        <f>Table1[[#Headers],[Total Testes]]</f>
        <v>Total Testes</v>
      </c>
      <c r="C180" s="154" t="str">
        <f t="shared" si="13"/>
        <v>PROTECTION_PRMRY_ENRGY_DMND_TTL</v>
      </c>
      <c r="D180" s="153" t="s">
        <v>1114</v>
      </c>
      <c r="E180" s="153" t="s">
        <v>1524</v>
      </c>
      <c r="G180" s="172">
        <f>INDEX(Table1[[Especificação]:[Total Testes]],MATCH('Planemaneto rev.equipa'!C180,Table1[CONCAT],0),MATCH('Planemaneto rev.equipa'!B180,Table1[[#Headers],[Especificação]:[Total Testes]],0))</f>
        <v>7.5</v>
      </c>
      <c r="H180" s="191">
        <f t="shared" si="14"/>
        <v>0.94</v>
      </c>
      <c r="I180" s="193"/>
      <c r="J180" s="165"/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  <c r="AA180" s="165"/>
      <c r="AB180" s="165"/>
      <c r="AC180" s="165"/>
      <c r="AD180" s="165"/>
      <c r="AE180" s="165"/>
      <c r="AF180" s="165"/>
      <c r="AG180" s="165"/>
      <c r="AH180" s="165"/>
      <c r="AI180" s="165"/>
      <c r="AJ180" s="165"/>
      <c r="AK180" s="165"/>
      <c r="AL180" s="165"/>
      <c r="AM180" s="165"/>
      <c r="AN180" s="165"/>
      <c r="AO180" s="165"/>
      <c r="AP180" s="165"/>
      <c r="AQ180" s="165"/>
      <c r="AR180" s="165"/>
      <c r="AS180" s="165"/>
      <c r="AT180" s="165"/>
      <c r="AU180" s="165"/>
      <c r="AV180" s="165"/>
      <c r="AW180" s="165"/>
      <c r="AX180" s="165"/>
      <c r="AY180" s="165"/>
      <c r="AZ180" s="165"/>
      <c r="BA180" s="165"/>
      <c r="BB180" s="165"/>
      <c r="BC180" s="165"/>
      <c r="BD180" s="165"/>
      <c r="BE180" s="165"/>
      <c r="BF180" s="165"/>
      <c r="BG180" s="165"/>
      <c r="BH180" s="165"/>
      <c r="BI180" s="165"/>
      <c r="BJ180" s="165"/>
      <c r="BK180" s="165"/>
      <c r="BL180" s="165"/>
      <c r="BM180" s="165"/>
      <c r="BN180" s="165"/>
      <c r="BO180" s="165"/>
      <c r="BP180" s="165"/>
      <c r="BQ180" s="165"/>
      <c r="BR180" s="165"/>
      <c r="BS180" s="165"/>
      <c r="BT180" s="165"/>
      <c r="BU180" s="165"/>
      <c r="BV180" s="165"/>
      <c r="BW180" s="165"/>
      <c r="BX180" s="165"/>
      <c r="BY180" s="165"/>
      <c r="BZ180" s="165"/>
      <c r="CA180" s="165"/>
      <c r="CB180" s="165"/>
      <c r="CC180" s="165"/>
      <c r="CD180" s="165"/>
      <c r="CE180" s="165"/>
      <c r="CF180" s="165"/>
      <c r="CG180" s="165"/>
      <c r="CH180" s="165"/>
      <c r="CI180" s="165"/>
      <c r="CJ180" s="165"/>
      <c r="CK180" s="165"/>
      <c r="CL180" s="165"/>
      <c r="CM180" s="165"/>
      <c r="CN180" s="165"/>
      <c r="CO180" s="165"/>
      <c r="CP180" s="165"/>
      <c r="CQ180" s="165"/>
    </row>
    <row r="181" spans="1:95" outlineLevel="1" x14ac:dyDescent="0.25">
      <c r="B181" s="156" t="str">
        <f>Table1[[#Headers],[Total Testes]]</f>
        <v>Total Testes</v>
      </c>
      <c r="C181" s="154" t="str">
        <f t="shared" si="13"/>
        <v>PROTECTION_PRMRY_ENRGY_DMND_RFRNC_VL</v>
      </c>
      <c r="D181" s="153" t="s">
        <v>1114</v>
      </c>
      <c r="E181" s="153" t="s">
        <v>1527</v>
      </c>
      <c r="G181" s="172">
        <f>INDEX(Table1[[Especificação]:[Total Testes]],MATCH('Planemaneto rev.equipa'!C181,Table1[CONCAT],0),MATCH('Planemaneto rev.equipa'!B181,Table1[[#Headers],[Especificação]:[Total Testes]],0))</f>
        <v>7.5</v>
      </c>
      <c r="H181" s="191">
        <f t="shared" si="14"/>
        <v>0.94</v>
      </c>
      <c r="I181" s="193"/>
      <c r="J181" s="165"/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  <c r="AA181" s="165"/>
      <c r="AB181" s="165"/>
      <c r="AC181" s="165"/>
      <c r="AD181" s="165"/>
      <c r="AE181" s="165"/>
      <c r="AF181" s="165"/>
      <c r="AG181" s="165"/>
      <c r="AH181" s="165"/>
      <c r="AI181" s="165"/>
      <c r="AJ181" s="165"/>
      <c r="AK181" s="165"/>
      <c r="AL181" s="165"/>
      <c r="AM181" s="165"/>
      <c r="AN181" s="165"/>
      <c r="AO181" s="165"/>
      <c r="AP181" s="165"/>
      <c r="AQ181" s="165"/>
      <c r="AR181" s="165"/>
      <c r="AS181" s="165"/>
      <c r="AT181" s="165"/>
      <c r="AU181" s="165"/>
      <c r="AV181" s="165"/>
      <c r="AW181" s="165"/>
      <c r="AX181" s="165"/>
      <c r="AY181" s="165"/>
      <c r="AZ181" s="165"/>
      <c r="BA181" s="165"/>
      <c r="BB181" s="165"/>
      <c r="BC181" s="165"/>
      <c r="BD181" s="165"/>
      <c r="BE181" s="165"/>
      <c r="BF181" s="165"/>
      <c r="BG181" s="165"/>
      <c r="BH181" s="165"/>
      <c r="BI181" s="165"/>
      <c r="BJ181" s="165"/>
      <c r="BK181" s="165"/>
      <c r="BL181" s="165"/>
      <c r="BM181" s="165"/>
      <c r="BN181" s="165"/>
      <c r="BO181" s="165"/>
      <c r="BP181" s="165"/>
      <c r="BQ181" s="165"/>
      <c r="BR181" s="165"/>
      <c r="BS181" s="165"/>
      <c r="BT181" s="165"/>
      <c r="BU181" s="165"/>
      <c r="BV181" s="165"/>
      <c r="BW181" s="165"/>
      <c r="BX181" s="165"/>
      <c r="BY181" s="165"/>
      <c r="BZ181" s="165"/>
      <c r="CA181" s="165"/>
      <c r="CB181" s="165"/>
      <c r="CC181" s="165"/>
      <c r="CD181" s="165"/>
      <c r="CE181" s="165"/>
      <c r="CF181" s="165"/>
      <c r="CG181" s="165"/>
      <c r="CH181" s="165"/>
      <c r="CI181" s="165"/>
      <c r="CJ181" s="165"/>
      <c r="CK181" s="165"/>
      <c r="CL181" s="165"/>
      <c r="CM181" s="165"/>
      <c r="CN181" s="165"/>
      <c r="CO181" s="165"/>
      <c r="CP181" s="165"/>
      <c r="CQ181" s="165"/>
    </row>
    <row r="182" spans="1:95" outlineLevel="1" x14ac:dyDescent="0.25">
      <c r="B182" s="156" t="str">
        <f>Table1[[#Headers],[Total Testes]]</f>
        <v>Total Testes</v>
      </c>
      <c r="C182" s="154" t="str">
        <f t="shared" si="13"/>
        <v>PROTECTION_RL_ESTT_CLMT_ZN</v>
      </c>
      <c r="D182" s="153" t="s">
        <v>1114</v>
      </c>
      <c r="E182" s="153" t="s">
        <v>1530</v>
      </c>
      <c r="G182" s="172">
        <f>INDEX(Table1[[Especificação]:[Total Testes]],MATCH('Planemaneto rev.equipa'!C182,Table1[CONCAT],0),MATCH('Planemaneto rev.equipa'!B182,Table1[[#Headers],[Especificação]:[Total Testes]],0))</f>
        <v>8</v>
      </c>
      <c r="H182" s="191">
        <f t="shared" si="14"/>
        <v>1</v>
      </c>
      <c r="I182" s="193"/>
      <c r="J182" s="165"/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  <c r="AA182" s="165"/>
      <c r="AB182" s="165"/>
      <c r="AC182" s="165"/>
      <c r="AD182" s="165"/>
      <c r="AE182" s="165"/>
      <c r="AF182" s="165"/>
      <c r="AG182" s="165"/>
      <c r="AH182" s="165"/>
      <c r="AI182" s="165"/>
      <c r="AJ182" s="165"/>
      <c r="AK182" s="165"/>
      <c r="AL182" s="165"/>
      <c r="AM182" s="165"/>
      <c r="AN182" s="165"/>
      <c r="AO182" s="165"/>
      <c r="AP182" s="165"/>
      <c r="AQ182" s="165"/>
      <c r="AR182" s="165"/>
      <c r="AS182" s="165"/>
      <c r="AT182" s="165"/>
      <c r="AU182" s="165"/>
      <c r="AV182" s="165"/>
      <c r="AW182" s="165"/>
      <c r="AX182" s="165"/>
      <c r="AY182" s="165"/>
      <c r="AZ182" s="165"/>
      <c r="BA182" s="165"/>
      <c r="BB182" s="165"/>
      <c r="BC182" s="165"/>
      <c r="BD182" s="165"/>
      <c r="BE182" s="165"/>
      <c r="BF182" s="165"/>
      <c r="BG182" s="165"/>
      <c r="BH182" s="165"/>
      <c r="BI182" s="165"/>
      <c r="BJ182" s="165"/>
      <c r="BK182" s="165"/>
      <c r="BL182" s="165"/>
      <c r="BM182" s="165"/>
      <c r="BN182" s="165"/>
      <c r="BO182" s="165"/>
      <c r="BP182" s="165"/>
      <c r="BQ182" s="165"/>
      <c r="BR182" s="165"/>
      <c r="BS182" s="165"/>
      <c r="BT182" s="165"/>
      <c r="BU182" s="165"/>
      <c r="BV182" s="165"/>
      <c r="BW182" s="165"/>
      <c r="BX182" s="165"/>
      <c r="BY182" s="165"/>
      <c r="BZ182" s="165"/>
      <c r="CA182" s="165"/>
      <c r="CB182" s="165"/>
      <c r="CC182" s="165"/>
      <c r="CD182" s="165"/>
      <c r="CE182" s="165"/>
      <c r="CF182" s="165"/>
      <c r="CG182" s="165"/>
      <c r="CH182" s="165"/>
      <c r="CI182" s="165"/>
      <c r="CJ182" s="165"/>
      <c r="CK182" s="165"/>
      <c r="CL182" s="165"/>
      <c r="CM182" s="165"/>
      <c r="CN182" s="165"/>
      <c r="CO182" s="165"/>
      <c r="CP182" s="165"/>
      <c r="CQ182" s="165"/>
    </row>
    <row r="183" spans="1:95" outlineLevel="1" x14ac:dyDescent="0.25">
      <c r="B183" s="156" t="str">
        <f>Table1[[#Headers],[Total Testes]]</f>
        <v>Total Testes</v>
      </c>
      <c r="C183" s="154" t="str">
        <f t="shared" si="13"/>
        <v>INSTR_ACTIVITY_FLG_SBSTNTL_CNTRBTN</v>
      </c>
      <c r="D183" s="153" t="s">
        <v>1542</v>
      </c>
      <c r="E183" s="153" t="s">
        <v>1554</v>
      </c>
      <c r="G183" s="172">
        <f>INDEX(Table1[[Especificação]:[Total Testes]],MATCH('Planemaneto rev.equipa'!C183,Table1[CONCAT],0),MATCH('Planemaneto rev.equipa'!B183,Table1[[#Headers],[Especificação]:[Total Testes]],0))</f>
        <v>4.5</v>
      </c>
      <c r="H183" s="191">
        <f t="shared" si="14"/>
        <v>0.56000000000000005</v>
      </c>
      <c r="I183" s="193"/>
      <c r="J183" s="165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  <c r="AA183" s="165"/>
      <c r="AB183" s="165"/>
      <c r="AC183" s="165"/>
      <c r="AD183" s="165"/>
      <c r="AE183" s="165"/>
      <c r="AF183" s="165"/>
      <c r="AG183" s="165"/>
      <c r="AH183" s="165"/>
      <c r="AI183" s="165"/>
      <c r="AJ183" s="165"/>
      <c r="AK183" s="165"/>
      <c r="AL183" s="165"/>
      <c r="AM183" s="165"/>
      <c r="AN183" s="165"/>
      <c r="AO183" s="165"/>
      <c r="AP183" s="165"/>
      <c r="AQ183" s="165"/>
      <c r="AR183" s="165"/>
      <c r="AS183" s="165"/>
      <c r="AT183" s="165"/>
      <c r="AU183" s="165"/>
      <c r="AV183" s="165"/>
      <c r="AW183" s="165"/>
      <c r="AX183" s="165"/>
      <c r="AY183" s="165"/>
      <c r="AZ183" s="165"/>
      <c r="BA183" s="165"/>
      <c r="BB183" s="165"/>
      <c r="BC183" s="165"/>
      <c r="BD183" s="165"/>
      <c r="BE183" s="165"/>
      <c r="BF183" s="165"/>
      <c r="BG183" s="165"/>
      <c r="BH183" s="165"/>
      <c r="BI183" s="165"/>
      <c r="BJ183" s="165"/>
      <c r="BK183" s="165"/>
      <c r="BL183" s="165"/>
      <c r="BM183" s="165"/>
      <c r="BN183" s="165"/>
      <c r="BO183" s="165"/>
      <c r="BP183" s="165"/>
      <c r="BQ183" s="165"/>
      <c r="BR183" s="165"/>
      <c r="BS183" s="165"/>
      <c r="BT183" s="165"/>
      <c r="BU183" s="165"/>
      <c r="BV183" s="165"/>
      <c r="BW183" s="165"/>
      <c r="BX183" s="165"/>
      <c r="BY183" s="165"/>
      <c r="BZ183" s="165"/>
      <c r="CA183" s="165"/>
      <c r="CB183" s="165"/>
      <c r="CC183" s="165"/>
      <c r="CD183" s="165"/>
      <c r="CE183" s="165"/>
      <c r="CF183" s="165"/>
      <c r="CG183" s="165"/>
      <c r="CH183" s="165"/>
      <c r="CI183" s="165"/>
      <c r="CJ183" s="165"/>
      <c r="CK183" s="165"/>
      <c r="CL183" s="165"/>
      <c r="CM183" s="165"/>
      <c r="CN183" s="165"/>
      <c r="CO183" s="165"/>
      <c r="CP183" s="165"/>
      <c r="CQ183" s="165"/>
    </row>
    <row r="184" spans="1:95" outlineLevel="1" x14ac:dyDescent="0.25">
      <c r="B184" s="156" t="str">
        <f>Table1[[#Headers],[Total Testes]]</f>
        <v>Total Testes</v>
      </c>
      <c r="C184" s="154" t="str">
        <f t="shared" si="13"/>
        <v>ENTITY_GRP_ECNMC_ACTVTY</v>
      </c>
      <c r="D184" s="153" t="s">
        <v>10</v>
      </c>
      <c r="E184" s="153" t="s">
        <v>382</v>
      </c>
      <c r="G184" s="172">
        <f>INDEX(Table1[[Especificação]:[Total Testes]],MATCH('Planemaneto rev.equipa'!C184,Table1[CONCAT],0),MATCH('Planemaneto rev.equipa'!B184,Table1[[#Headers],[Especificação]:[Total Testes]],0))</f>
        <v>3.5</v>
      </c>
      <c r="H184" s="191">
        <f t="shared" si="14"/>
        <v>0.44</v>
      </c>
      <c r="I184" s="193"/>
      <c r="J184" s="165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  <c r="AA184" s="165"/>
      <c r="AB184" s="165"/>
      <c r="AC184" s="165"/>
      <c r="AD184" s="165"/>
      <c r="AE184" s="165"/>
      <c r="AF184" s="165"/>
      <c r="AG184" s="165"/>
      <c r="AH184" s="165"/>
      <c r="AI184" s="165"/>
      <c r="AJ184" s="165"/>
      <c r="AK184" s="165"/>
      <c r="AL184" s="165"/>
      <c r="AM184" s="165"/>
      <c r="AN184" s="165"/>
      <c r="AO184" s="165"/>
      <c r="AP184" s="165"/>
      <c r="AQ184" s="165"/>
      <c r="AR184" s="165"/>
      <c r="AS184" s="165"/>
      <c r="AT184" s="165"/>
      <c r="AU184" s="165"/>
      <c r="AV184" s="165"/>
      <c r="AW184" s="165"/>
      <c r="AX184" s="165"/>
      <c r="AY184" s="165"/>
      <c r="AZ184" s="165"/>
      <c r="BA184" s="165"/>
      <c r="BB184" s="165"/>
      <c r="BC184" s="165"/>
      <c r="BD184" s="165"/>
      <c r="BE184" s="165"/>
      <c r="BF184" s="165"/>
      <c r="BG184" s="165"/>
      <c r="BH184" s="165"/>
      <c r="BI184" s="165"/>
      <c r="BJ184" s="165"/>
      <c r="BK184" s="165"/>
      <c r="BL184" s="165"/>
      <c r="BM184" s="165"/>
      <c r="BN184" s="165"/>
      <c r="BO184" s="165"/>
      <c r="BP184" s="165"/>
      <c r="BQ184" s="165"/>
      <c r="BR184" s="165"/>
      <c r="BS184" s="165"/>
      <c r="BT184" s="165"/>
      <c r="BU184" s="165"/>
      <c r="BV184" s="165"/>
      <c r="BW184" s="165"/>
      <c r="BX184" s="165"/>
      <c r="BY184" s="165"/>
      <c r="BZ184" s="165"/>
      <c r="CA184" s="165"/>
      <c r="CB184" s="165"/>
      <c r="CC184" s="165"/>
      <c r="CD184" s="165"/>
      <c r="CE184" s="165"/>
      <c r="CF184" s="165"/>
      <c r="CG184" s="165"/>
      <c r="CH184" s="165"/>
      <c r="CI184" s="165"/>
      <c r="CJ184" s="165"/>
      <c r="CK184" s="165"/>
      <c r="CL184" s="165"/>
      <c r="CM184" s="165"/>
      <c r="CN184" s="165"/>
      <c r="CO184" s="165"/>
      <c r="CP184" s="165"/>
      <c r="CQ184" s="165"/>
    </row>
    <row r="185" spans="1:95" outlineLevel="1" x14ac:dyDescent="0.25">
      <c r="B185" s="156" t="str">
        <f>Table1[[#Headers],[Total Testes]]</f>
        <v>Total Testes</v>
      </c>
      <c r="C185" s="154" t="str">
        <f t="shared" si="13"/>
        <v>INSTR_ACTIVITY_COD_SOC</v>
      </c>
      <c r="D185" s="153" t="s">
        <v>1542</v>
      </c>
      <c r="E185" s="153" t="s">
        <v>12</v>
      </c>
      <c r="G185" s="172">
        <f>INDEX(Table1[[Especificação]:[Total Testes]],MATCH('Planemaneto rev.equipa'!C185,Table1[CONCAT],0),MATCH('Planemaneto rev.equipa'!B185,Table1[[#Headers],[Especificação]:[Total Testes]],0))</f>
        <v>2.5</v>
      </c>
      <c r="H185" s="191">
        <f t="shared" si="14"/>
        <v>0.31</v>
      </c>
      <c r="I185" s="193"/>
      <c r="J185" s="165"/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  <c r="AA185" s="165"/>
      <c r="AB185" s="165"/>
      <c r="AC185" s="165"/>
      <c r="AD185" s="165"/>
      <c r="AE185" s="165"/>
      <c r="AF185" s="165"/>
      <c r="AG185" s="165"/>
      <c r="AH185" s="165"/>
      <c r="AI185" s="165"/>
      <c r="AJ185" s="165"/>
      <c r="AK185" s="165"/>
      <c r="AL185" s="165"/>
      <c r="AM185" s="165"/>
      <c r="AN185" s="165"/>
      <c r="AO185" s="165"/>
      <c r="AP185" s="165"/>
      <c r="AQ185" s="165"/>
      <c r="AR185" s="165"/>
      <c r="AS185" s="165"/>
      <c r="AT185" s="165"/>
      <c r="AU185" s="165"/>
      <c r="AV185" s="165"/>
      <c r="AW185" s="165"/>
      <c r="AX185" s="165"/>
      <c r="AY185" s="165"/>
      <c r="AZ185" s="165"/>
      <c r="BA185" s="165"/>
      <c r="BB185" s="165"/>
      <c r="BC185" s="165"/>
      <c r="BD185" s="165"/>
      <c r="BE185" s="165"/>
      <c r="BF185" s="165"/>
      <c r="BG185" s="165"/>
      <c r="BH185" s="165"/>
      <c r="BI185" s="165"/>
      <c r="BJ185" s="165"/>
      <c r="BK185" s="165"/>
      <c r="BL185" s="165"/>
      <c r="BM185" s="165"/>
      <c r="BN185" s="165"/>
      <c r="BO185" s="165"/>
      <c r="BP185" s="165"/>
      <c r="BQ185" s="165"/>
      <c r="BR185" s="165"/>
      <c r="BS185" s="165"/>
      <c r="BT185" s="165"/>
      <c r="BU185" s="165"/>
      <c r="BV185" s="165"/>
      <c r="BW185" s="165"/>
      <c r="BX185" s="165"/>
      <c r="BY185" s="165"/>
      <c r="BZ185" s="165"/>
      <c r="CA185" s="165"/>
      <c r="CB185" s="165"/>
      <c r="CC185" s="165"/>
      <c r="CD185" s="165"/>
      <c r="CE185" s="165"/>
      <c r="CF185" s="165"/>
      <c r="CG185" s="165"/>
      <c r="CH185" s="165"/>
      <c r="CI185" s="165"/>
      <c r="CJ185" s="165"/>
      <c r="CK185" s="165"/>
      <c r="CL185" s="165"/>
      <c r="CM185" s="165"/>
      <c r="CN185" s="165"/>
      <c r="CO185" s="165"/>
      <c r="CP185" s="165"/>
      <c r="CQ185" s="165"/>
    </row>
    <row r="186" spans="1:95" outlineLevel="1" x14ac:dyDescent="0.25">
      <c r="B186" s="156" t="str">
        <f>Table1[[#Headers],[Total Testes]]</f>
        <v>Total Testes</v>
      </c>
      <c r="C186" s="154" t="str">
        <f t="shared" si="13"/>
        <v>INSTR_ACTIVITY_DT_RFRNC</v>
      </c>
      <c r="D186" s="153" t="s">
        <v>1542</v>
      </c>
      <c r="E186" s="153" t="s">
        <v>38</v>
      </c>
      <c r="G186" s="172">
        <f>INDEX(Table1[[Especificação]:[Total Testes]],MATCH('Planemaneto rev.equipa'!C186,Table1[CONCAT],0),MATCH('Planemaneto rev.equipa'!B186,Table1[[#Headers],[Especificação]:[Total Testes]],0))</f>
        <v>2.5</v>
      </c>
      <c r="H186" s="191">
        <f t="shared" si="14"/>
        <v>0.31</v>
      </c>
      <c r="I186" s="193"/>
      <c r="J186" s="165"/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  <c r="AA186" s="165"/>
      <c r="AB186" s="165"/>
      <c r="AC186" s="165"/>
      <c r="AD186" s="165"/>
      <c r="AE186" s="165"/>
      <c r="AF186" s="165"/>
      <c r="AG186" s="165"/>
      <c r="AH186" s="165"/>
      <c r="AI186" s="165"/>
      <c r="AJ186" s="165"/>
      <c r="AK186" s="165"/>
      <c r="AL186" s="165"/>
      <c r="AM186" s="165"/>
      <c r="AN186" s="165"/>
      <c r="AO186" s="165"/>
      <c r="AP186" s="165"/>
      <c r="AQ186" s="165"/>
      <c r="AR186" s="165"/>
      <c r="AS186" s="165"/>
      <c r="AT186" s="165"/>
      <c r="AU186" s="165"/>
      <c r="AV186" s="165"/>
      <c r="AW186" s="165"/>
      <c r="AX186" s="165"/>
      <c r="AY186" s="165"/>
      <c r="AZ186" s="165"/>
      <c r="BA186" s="165"/>
      <c r="BB186" s="165"/>
      <c r="BC186" s="165"/>
      <c r="BD186" s="165"/>
      <c r="BE186" s="165"/>
      <c r="BF186" s="165"/>
      <c r="BG186" s="165"/>
      <c r="BH186" s="165"/>
      <c r="BI186" s="165"/>
      <c r="BJ186" s="165"/>
      <c r="BK186" s="165"/>
      <c r="BL186" s="165"/>
      <c r="BM186" s="165"/>
      <c r="BN186" s="165"/>
      <c r="BO186" s="165"/>
      <c r="BP186" s="165"/>
      <c r="BQ186" s="165"/>
      <c r="BR186" s="165"/>
      <c r="BS186" s="165"/>
      <c r="BT186" s="165"/>
      <c r="BU186" s="165"/>
      <c r="BV186" s="165"/>
      <c r="BW186" s="165"/>
      <c r="BX186" s="165"/>
      <c r="BY186" s="165"/>
      <c r="BZ186" s="165"/>
      <c r="CA186" s="165"/>
      <c r="CB186" s="165"/>
      <c r="CC186" s="165"/>
      <c r="CD186" s="165"/>
      <c r="CE186" s="165"/>
      <c r="CF186" s="165"/>
      <c r="CG186" s="165"/>
      <c r="CH186" s="165"/>
      <c r="CI186" s="165"/>
      <c r="CJ186" s="165"/>
      <c r="CK186" s="165"/>
      <c r="CL186" s="165"/>
      <c r="CM186" s="165"/>
      <c r="CN186" s="165"/>
      <c r="CO186" s="165"/>
      <c r="CP186" s="165"/>
      <c r="CQ186" s="165"/>
    </row>
    <row r="187" spans="1:95" outlineLevel="1" x14ac:dyDescent="0.25">
      <c r="B187" s="156" t="str">
        <f>Table1[[#Headers],[Total Testes]]</f>
        <v>Total Testes</v>
      </c>
      <c r="C187" s="154" t="str">
        <f t="shared" si="13"/>
        <v>INSTR_ACTIVITY_INSTRMNT_ID</v>
      </c>
      <c r="D187" s="153" t="s">
        <v>1542</v>
      </c>
      <c r="E187" s="153" t="s">
        <v>405</v>
      </c>
      <c r="G187" s="172">
        <f>INDEX(Table1[[Especificação]:[Total Testes]],MATCH('Planemaneto rev.equipa'!C187,Table1[CONCAT],0),MATCH('Planemaneto rev.equipa'!B187,Table1[[#Headers],[Especificação]:[Total Testes]],0))</f>
        <v>2.5</v>
      </c>
      <c r="H187" s="191">
        <f t="shared" si="14"/>
        <v>0.31</v>
      </c>
      <c r="I187" s="193"/>
      <c r="J187" s="165"/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65"/>
      <c r="AB187" s="165"/>
      <c r="AC187" s="165"/>
      <c r="AD187" s="165"/>
      <c r="AE187" s="165"/>
      <c r="AF187" s="165"/>
      <c r="AG187" s="165"/>
      <c r="AH187" s="165"/>
      <c r="AI187" s="165"/>
      <c r="AJ187" s="165"/>
      <c r="AK187" s="165"/>
      <c r="AL187" s="165"/>
      <c r="AM187" s="165"/>
      <c r="AN187" s="165"/>
      <c r="AO187" s="165"/>
      <c r="AP187" s="165"/>
      <c r="AQ187" s="165"/>
      <c r="AR187" s="165"/>
      <c r="AS187" s="165"/>
      <c r="AT187" s="165"/>
      <c r="AU187" s="165"/>
      <c r="AV187" s="165"/>
      <c r="AW187" s="165"/>
      <c r="AX187" s="165"/>
      <c r="AY187" s="165"/>
      <c r="AZ187" s="165"/>
      <c r="BA187" s="165"/>
      <c r="BB187" s="165"/>
      <c r="BC187" s="165"/>
      <c r="BD187" s="165"/>
      <c r="BE187" s="165"/>
      <c r="BF187" s="165"/>
      <c r="BG187" s="165"/>
      <c r="BH187" s="165"/>
      <c r="BI187" s="165"/>
      <c r="BJ187" s="165"/>
      <c r="BK187" s="165"/>
      <c r="BL187" s="165"/>
      <c r="BM187" s="165"/>
      <c r="BN187" s="165"/>
      <c r="BO187" s="165"/>
      <c r="BP187" s="165"/>
      <c r="BQ187" s="165"/>
      <c r="BR187" s="165"/>
      <c r="BS187" s="165"/>
      <c r="BT187" s="165"/>
      <c r="BU187" s="165"/>
      <c r="BV187" s="165"/>
      <c r="BW187" s="165"/>
      <c r="BX187" s="165"/>
      <c r="BY187" s="165"/>
      <c r="BZ187" s="165"/>
      <c r="CA187" s="165"/>
      <c r="CB187" s="165"/>
      <c r="CC187" s="165"/>
      <c r="CD187" s="165"/>
      <c r="CE187" s="165"/>
      <c r="CF187" s="165"/>
      <c r="CG187" s="165"/>
      <c r="CH187" s="165"/>
      <c r="CI187" s="165"/>
      <c r="CJ187" s="165"/>
      <c r="CK187" s="165"/>
      <c r="CL187" s="165"/>
      <c r="CM187" s="165"/>
      <c r="CN187" s="165"/>
      <c r="CO187" s="165"/>
      <c r="CP187" s="165"/>
      <c r="CQ187" s="165"/>
    </row>
    <row r="188" spans="1:95" outlineLevel="1" x14ac:dyDescent="0.25">
      <c r="B188" s="156" t="str">
        <f>Table1[[#Headers],[Total Testes]]</f>
        <v>Total Testes</v>
      </c>
      <c r="C188" s="154" t="str">
        <f t="shared" si="13"/>
        <v>INSTR_ACTIVITY_PRCNTG_ACTVTY</v>
      </c>
      <c r="D188" s="153" t="s">
        <v>1542</v>
      </c>
      <c r="E188" s="153" t="s">
        <v>1548</v>
      </c>
      <c r="G188" s="172">
        <f>INDEX(Table1[[Especificação]:[Total Testes]],MATCH('Planemaneto rev.equipa'!C188,Table1[CONCAT],0),MATCH('Planemaneto rev.equipa'!B188,Table1[[#Headers],[Especificação]:[Total Testes]],0))</f>
        <v>4.5</v>
      </c>
      <c r="H188" s="191">
        <f t="shared" si="14"/>
        <v>0.56000000000000005</v>
      </c>
      <c r="I188" s="193"/>
      <c r="J188" s="165"/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165"/>
      <c r="AB188" s="165"/>
      <c r="AC188" s="165"/>
      <c r="AD188" s="165"/>
      <c r="AE188" s="165"/>
      <c r="AF188" s="165"/>
      <c r="AG188" s="165"/>
      <c r="AH188" s="165"/>
      <c r="AI188" s="165"/>
      <c r="AJ188" s="165"/>
      <c r="AK188" s="165"/>
      <c r="AL188" s="165"/>
      <c r="AM188" s="165"/>
      <c r="AN188" s="165"/>
      <c r="AO188" s="165"/>
      <c r="AP188" s="165"/>
      <c r="AQ188" s="165"/>
      <c r="AR188" s="165"/>
      <c r="AS188" s="165"/>
      <c r="AT188" s="165"/>
      <c r="AU188" s="165"/>
      <c r="AV188" s="165"/>
      <c r="AW188" s="165"/>
      <c r="AX188" s="165"/>
      <c r="AY188" s="165"/>
      <c r="AZ188" s="165"/>
      <c r="BA188" s="165"/>
      <c r="BB188" s="165"/>
      <c r="BC188" s="165"/>
      <c r="BD188" s="165"/>
      <c r="BE188" s="165"/>
      <c r="BF188" s="165"/>
      <c r="BG188" s="165"/>
      <c r="BH188" s="165"/>
      <c r="BI188" s="165"/>
      <c r="BJ188" s="165"/>
      <c r="BK188" s="165"/>
      <c r="BL188" s="165"/>
      <c r="BM188" s="165"/>
      <c r="BN188" s="165"/>
      <c r="BO188" s="165"/>
      <c r="BP188" s="165"/>
      <c r="BQ188" s="165"/>
      <c r="BR188" s="165"/>
      <c r="BS188" s="165"/>
      <c r="BT188" s="165"/>
      <c r="BU188" s="165"/>
      <c r="BV188" s="165"/>
      <c r="BW188" s="165"/>
      <c r="BX188" s="165"/>
      <c r="BY188" s="165"/>
      <c r="BZ188" s="165"/>
      <c r="CA188" s="165"/>
      <c r="CB188" s="165"/>
      <c r="CC188" s="165"/>
      <c r="CD188" s="165"/>
      <c r="CE188" s="165"/>
      <c r="CF188" s="165"/>
      <c r="CG188" s="165"/>
      <c r="CH188" s="165"/>
      <c r="CI188" s="165"/>
      <c r="CJ188" s="165"/>
      <c r="CK188" s="165"/>
      <c r="CL188" s="165"/>
      <c r="CM188" s="165"/>
      <c r="CN188" s="165"/>
      <c r="CO188" s="165"/>
      <c r="CP188" s="165"/>
      <c r="CQ188" s="165"/>
    </row>
    <row r="189" spans="1:95" outlineLevel="1" x14ac:dyDescent="0.25">
      <c r="B189" s="156" t="str">
        <f>Table1[[#Headers],[Total Testes]]</f>
        <v>Total Testes</v>
      </c>
      <c r="C189" s="154" t="str">
        <f t="shared" si="13"/>
        <v>INSTR_PROTECTION_TYP_RLTN</v>
      </c>
      <c r="D189" s="153" t="s">
        <v>1101</v>
      </c>
      <c r="E189" s="153" t="s">
        <v>1384</v>
      </c>
      <c r="G189" s="172">
        <f>INDEX(Table1[[Especificação]:[Total Testes]],MATCH('Planemaneto rev.equipa'!C189,Table1[CONCAT],0),MATCH('Planemaneto rev.equipa'!B189,Table1[[#Headers],[Especificação]:[Total Testes]],0))</f>
        <v>5</v>
      </c>
      <c r="H189" s="191">
        <f t="shared" si="14"/>
        <v>0.63</v>
      </c>
      <c r="I189" s="193"/>
      <c r="J189" s="165"/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  <c r="AA189" s="165"/>
      <c r="AB189" s="165"/>
      <c r="AC189" s="165"/>
      <c r="AD189" s="165"/>
      <c r="AE189" s="165"/>
      <c r="AF189" s="165"/>
      <c r="AG189" s="165"/>
      <c r="AH189" s="165"/>
      <c r="AI189" s="165"/>
      <c r="AJ189" s="165"/>
      <c r="AK189" s="165"/>
      <c r="AL189" s="165"/>
      <c r="AM189" s="165"/>
      <c r="AN189" s="165"/>
      <c r="AO189" s="165"/>
      <c r="AP189" s="165"/>
      <c r="AQ189" s="165"/>
      <c r="AR189" s="165"/>
      <c r="AS189" s="165"/>
      <c r="AT189" s="165"/>
      <c r="AU189" s="165"/>
      <c r="AV189" s="165"/>
      <c r="AW189" s="165"/>
      <c r="AX189" s="165"/>
      <c r="AY189" s="165"/>
      <c r="AZ189" s="165"/>
      <c r="BA189" s="165"/>
      <c r="BB189" s="165"/>
      <c r="BC189" s="165"/>
      <c r="BD189" s="165"/>
      <c r="BE189" s="165"/>
      <c r="BF189" s="165"/>
      <c r="BG189" s="165"/>
      <c r="BH189" s="165"/>
      <c r="BI189" s="165"/>
      <c r="BJ189" s="165"/>
      <c r="BK189" s="165"/>
      <c r="BL189" s="165"/>
      <c r="BM189" s="165"/>
      <c r="BN189" s="165"/>
      <c r="BO189" s="165"/>
      <c r="BP189" s="165"/>
      <c r="BQ189" s="165"/>
      <c r="BR189" s="165"/>
      <c r="BS189" s="165"/>
      <c r="BT189" s="165"/>
      <c r="BU189" s="165"/>
      <c r="BV189" s="165"/>
      <c r="BW189" s="165"/>
      <c r="BX189" s="165"/>
      <c r="BY189" s="165"/>
      <c r="BZ189" s="165"/>
      <c r="CA189" s="165"/>
      <c r="CB189" s="165"/>
      <c r="CC189" s="165"/>
      <c r="CD189" s="165"/>
      <c r="CE189" s="165"/>
      <c r="CF189" s="165"/>
      <c r="CG189" s="165"/>
      <c r="CH189" s="165"/>
      <c r="CI189" s="165"/>
      <c r="CJ189" s="165"/>
      <c r="CK189" s="165"/>
      <c r="CL189" s="165"/>
      <c r="CM189" s="165"/>
      <c r="CN189" s="165"/>
      <c r="CO189" s="165"/>
      <c r="CP189" s="165"/>
      <c r="CQ189" s="165"/>
    </row>
    <row r="190" spans="1:95" outlineLevel="1" x14ac:dyDescent="0.25">
      <c r="B190" s="156" t="str">
        <f>Table1[[#Headers],[Total Testes]]</f>
        <v>Total Testes</v>
      </c>
      <c r="C190" s="154" t="str">
        <f t="shared" si="13"/>
        <v>INSTRUMENT_NW_BSNSS</v>
      </c>
      <c r="D190" s="153" t="s">
        <v>414</v>
      </c>
      <c r="E190" s="153" t="s">
        <v>973</v>
      </c>
      <c r="G190" s="172">
        <f>INDEX(Table1[[Especificação]:[Total Testes]],MATCH('Planemaneto rev.equipa'!C190,Table1[CONCAT],0),MATCH('Planemaneto rev.equipa'!B190,Table1[[#Headers],[Especificação]:[Total Testes]],0))</f>
        <v>7</v>
      </c>
      <c r="H190" s="191">
        <f t="shared" si="14"/>
        <v>0.88</v>
      </c>
      <c r="I190" s="193"/>
      <c r="J190" s="165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  <c r="AA190" s="165"/>
      <c r="AB190" s="165"/>
      <c r="AC190" s="165"/>
      <c r="AD190" s="165"/>
      <c r="AE190" s="165"/>
      <c r="AF190" s="165"/>
      <c r="AG190" s="165"/>
      <c r="AH190" s="165"/>
      <c r="AI190" s="165"/>
      <c r="AJ190" s="165"/>
      <c r="AK190" s="165"/>
      <c r="AL190" s="165"/>
      <c r="AM190" s="165"/>
      <c r="AN190" s="165"/>
      <c r="AO190" s="165"/>
      <c r="AP190" s="165"/>
      <c r="AQ190" s="165"/>
      <c r="AR190" s="165"/>
      <c r="AS190" s="165"/>
      <c r="AT190" s="165"/>
      <c r="AU190" s="165"/>
      <c r="AV190" s="165"/>
      <c r="AW190" s="165"/>
      <c r="AX190" s="165"/>
      <c r="AY190" s="165"/>
      <c r="AZ190" s="165"/>
      <c r="BA190" s="165"/>
      <c r="BB190" s="165"/>
      <c r="BC190" s="165"/>
      <c r="BD190" s="165"/>
      <c r="BE190" s="165"/>
      <c r="BF190" s="165"/>
      <c r="BG190" s="165"/>
      <c r="BH190" s="165"/>
      <c r="BI190" s="165"/>
      <c r="BJ190" s="165"/>
      <c r="BK190" s="165"/>
      <c r="BL190" s="165"/>
      <c r="BM190" s="165"/>
      <c r="BN190" s="165"/>
      <c r="BO190" s="165"/>
      <c r="BP190" s="165"/>
      <c r="BQ190" s="165"/>
      <c r="BR190" s="165"/>
      <c r="BS190" s="165"/>
      <c r="BT190" s="165"/>
      <c r="BU190" s="165"/>
      <c r="BV190" s="165"/>
      <c r="BW190" s="165"/>
      <c r="BX190" s="165"/>
      <c r="BY190" s="165"/>
      <c r="BZ190" s="165"/>
      <c r="CA190" s="165"/>
      <c r="CB190" s="165"/>
      <c r="CC190" s="165"/>
      <c r="CD190" s="165"/>
      <c r="CE190" s="165"/>
      <c r="CF190" s="165"/>
      <c r="CG190" s="165"/>
      <c r="CH190" s="165"/>
      <c r="CI190" s="165"/>
      <c r="CJ190" s="165"/>
      <c r="CK190" s="165"/>
      <c r="CL190" s="165"/>
      <c r="CM190" s="165"/>
      <c r="CN190" s="165"/>
      <c r="CO190" s="165"/>
      <c r="CP190" s="165"/>
      <c r="CQ190" s="165"/>
    </row>
    <row r="191" spans="1:95" outlineLevel="1" x14ac:dyDescent="0.25">
      <c r="A191" s="228"/>
      <c r="B191" s="236" t="str">
        <f>Table1[[#Headers],[Total Testes]]</f>
        <v>Total Testes</v>
      </c>
      <c r="C191" s="237" t="str">
        <f t="shared" si="13"/>
        <v>PROTECTION_TYP_EMSSNS_LBL</v>
      </c>
      <c r="D191" s="232" t="s">
        <v>1114</v>
      </c>
      <c r="E191" s="232" t="s">
        <v>1235</v>
      </c>
      <c r="F191" s="238"/>
      <c r="G191" s="233">
        <f>INDEX(Table1[[Especificação]:[Total Testes]],MATCH('Planemaneto rev.equipa'!C191,Table1[CONCAT],0),MATCH('Planemaneto rev.equipa'!B191,Table1[[#Headers],[Especificação]:[Total Testes]],0))</f>
        <v>0</v>
      </c>
      <c r="H191" s="239">
        <f t="shared" si="14"/>
        <v>0</v>
      </c>
      <c r="I191" s="235"/>
      <c r="J191" s="165"/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  <c r="AA191" s="165"/>
      <c r="AB191" s="165"/>
      <c r="AC191" s="165"/>
      <c r="AD191" s="165"/>
      <c r="AE191" s="165"/>
      <c r="AF191" s="165"/>
      <c r="AG191" s="165"/>
      <c r="AH191" s="165"/>
      <c r="AI191" s="165"/>
      <c r="AJ191" s="165"/>
      <c r="AK191" s="165"/>
      <c r="AL191" s="165"/>
      <c r="AM191" s="165"/>
      <c r="AN191" s="165"/>
      <c r="AO191" s="165"/>
      <c r="AP191" s="165"/>
      <c r="AQ191" s="165"/>
      <c r="AR191" s="165"/>
      <c r="AS191" s="165"/>
      <c r="AT191" s="165"/>
      <c r="AU191" s="165"/>
      <c r="AV191" s="165"/>
      <c r="AW191" s="165"/>
      <c r="AX191" s="165"/>
      <c r="AY191" s="165"/>
      <c r="AZ191" s="165"/>
      <c r="BA191" s="165"/>
      <c r="BB191" s="165"/>
      <c r="BC191" s="165"/>
      <c r="BD191" s="165"/>
      <c r="BE191" s="165"/>
      <c r="BF191" s="165"/>
      <c r="BG191" s="165"/>
      <c r="BH191" s="165"/>
      <c r="BI191" s="165"/>
      <c r="BJ191" s="165"/>
      <c r="BK191" s="165"/>
      <c r="BL191" s="165"/>
      <c r="BM191" s="165"/>
      <c r="BN191" s="165"/>
      <c r="BO191" s="165"/>
      <c r="BP191" s="165"/>
      <c r="BQ191" s="165"/>
      <c r="BR191" s="165"/>
      <c r="BS191" s="165"/>
      <c r="BT191" s="165"/>
      <c r="BU191" s="165"/>
      <c r="BV191" s="165"/>
      <c r="BW191" s="165"/>
      <c r="BX191" s="165"/>
      <c r="BY191" s="165"/>
      <c r="BZ191" s="165"/>
      <c r="CA191" s="165"/>
      <c r="CB191" s="165"/>
      <c r="CC191" s="165"/>
      <c r="CD191" s="165"/>
      <c r="CE191" s="165"/>
      <c r="CF191" s="165"/>
      <c r="CG191" s="165"/>
      <c r="CH191" s="165"/>
      <c r="CI191" s="165"/>
      <c r="CJ191" s="165"/>
      <c r="CK191" s="165"/>
      <c r="CL191" s="165"/>
      <c r="CM191" s="165"/>
      <c r="CN191" s="165"/>
      <c r="CO191" s="165"/>
      <c r="CP191" s="165"/>
      <c r="CQ191" s="165"/>
    </row>
    <row r="192" spans="1:95" outlineLevel="1" x14ac:dyDescent="0.25">
      <c r="A192" s="228"/>
      <c r="B192" s="236" t="str">
        <f>Table1[[#Headers],[Total Testes]]</f>
        <v>Total Testes</v>
      </c>
      <c r="C192" s="237" t="str">
        <f t="shared" si="13"/>
        <v>PROTECTION_EPC_EMSSNS_LBL</v>
      </c>
      <c r="D192" s="232" t="s">
        <v>1114</v>
      </c>
      <c r="E192" s="232" t="s">
        <v>1238</v>
      </c>
      <c r="F192" s="238"/>
      <c r="G192" s="233">
        <f>INDEX(Table1[[Especificação]:[Total Testes]],MATCH('Planemaneto rev.equipa'!C192,Table1[CONCAT],0),MATCH('Planemaneto rev.equipa'!B192,Table1[[#Headers],[Especificação]:[Total Testes]],0))</f>
        <v>0</v>
      </c>
      <c r="H192" s="239">
        <f t="shared" si="14"/>
        <v>0</v>
      </c>
      <c r="I192" s="235"/>
      <c r="J192" s="165"/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  <c r="AA192" s="165"/>
      <c r="AB192" s="165"/>
      <c r="AC192" s="165"/>
      <c r="AD192" s="165"/>
      <c r="AE192" s="165"/>
      <c r="AF192" s="165"/>
      <c r="AG192" s="165"/>
      <c r="AH192" s="165"/>
      <c r="AI192" s="165"/>
      <c r="AJ192" s="165"/>
      <c r="AK192" s="165"/>
      <c r="AL192" s="165"/>
      <c r="AM192" s="165"/>
      <c r="AN192" s="165"/>
      <c r="AO192" s="165"/>
      <c r="AP192" s="165"/>
      <c r="AQ192" s="165"/>
      <c r="AR192" s="165"/>
      <c r="AS192" s="165"/>
      <c r="AT192" s="165"/>
      <c r="AU192" s="165"/>
      <c r="AV192" s="165"/>
      <c r="AW192" s="165"/>
      <c r="AX192" s="165"/>
      <c r="AY192" s="165"/>
      <c r="AZ192" s="165"/>
      <c r="BA192" s="165"/>
      <c r="BB192" s="165"/>
      <c r="BC192" s="165"/>
      <c r="BD192" s="165"/>
      <c r="BE192" s="165"/>
      <c r="BF192" s="165"/>
      <c r="BG192" s="165"/>
      <c r="BH192" s="165"/>
      <c r="BI192" s="165"/>
      <c r="BJ192" s="165"/>
      <c r="BK192" s="165"/>
      <c r="BL192" s="165"/>
      <c r="BM192" s="165"/>
      <c r="BN192" s="165"/>
      <c r="BO192" s="165"/>
      <c r="BP192" s="165"/>
      <c r="BQ192" s="165"/>
      <c r="BR192" s="165"/>
      <c r="BS192" s="165"/>
      <c r="BT192" s="165"/>
      <c r="BU192" s="165"/>
      <c r="BV192" s="165"/>
      <c r="BW192" s="165"/>
      <c r="BX192" s="165"/>
      <c r="BY192" s="165"/>
      <c r="BZ192" s="165"/>
      <c r="CA192" s="165"/>
      <c r="CB192" s="165"/>
      <c r="CC192" s="165"/>
      <c r="CD192" s="165"/>
      <c r="CE192" s="165"/>
      <c r="CF192" s="165"/>
      <c r="CG192" s="165"/>
      <c r="CH192" s="165"/>
      <c r="CI192" s="165"/>
      <c r="CJ192" s="165"/>
      <c r="CK192" s="165"/>
      <c r="CL192" s="165"/>
      <c r="CM192" s="165"/>
      <c r="CN192" s="165"/>
      <c r="CO192" s="165"/>
      <c r="CP192" s="165"/>
      <c r="CQ192" s="165"/>
    </row>
    <row r="193" spans="1:95" outlineLevel="1" x14ac:dyDescent="0.25">
      <c r="A193" s="228"/>
      <c r="B193" s="236" t="str">
        <f>Table1[[#Headers],[Total Testes]]</f>
        <v>Total Testes</v>
      </c>
      <c r="C193" s="237" t="str">
        <f t="shared" si="13"/>
        <v>PROTECTION_VHCL_EMSSNS_LBL</v>
      </c>
      <c r="D193" s="232" t="s">
        <v>1114</v>
      </c>
      <c r="E193" s="232" t="s">
        <v>1241</v>
      </c>
      <c r="F193" s="238"/>
      <c r="G193" s="233">
        <f>INDEX(Table1[[Especificação]:[Total Testes]],MATCH('Planemaneto rev.equipa'!C193,Table1[CONCAT],0),MATCH('Planemaneto rev.equipa'!B193,Table1[[#Headers],[Especificação]:[Total Testes]],0))</f>
        <v>0</v>
      </c>
      <c r="H193" s="239">
        <f t="shared" si="14"/>
        <v>0</v>
      </c>
      <c r="I193" s="235"/>
      <c r="J193" s="165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  <c r="AA193" s="165"/>
      <c r="AB193" s="165"/>
      <c r="AC193" s="165"/>
      <c r="AD193" s="165"/>
      <c r="AE193" s="165"/>
      <c r="AF193" s="165"/>
      <c r="AG193" s="165"/>
      <c r="AH193" s="165"/>
      <c r="AI193" s="165"/>
      <c r="AJ193" s="165"/>
      <c r="AK193" s="165"/>
      <c r="AL193" s="165"/>
      <c r="AM193" s="165"/>
      <c r="AN193" s="165"/>
      <c r="AO193" s="165"/>
      <c r="AP193" s="165"/>
      <c r="AQ193" s="165"/>
      <c r="AR193" s="165"/>
      <c r="AS193" s="165"/>
      <c r="AT193" s="165"/>
      <c r="AU193" s="165"/>
      <c r="AV193" s="165"/>
      <c r="AW193" s="165"/>
      <c r="AX193" s="165"/>
      <c r="AY193" s="165"/>
      <c r="AZ193" s="165"/>
      <c r="BA193" s="165"/>
      <c r="BB193" s="165"/>
      <c r="BC193" s="165"/>
      <c r="BD193" s="165"/>
      <c r="BE193" s="165"/>
      <c r="BF193" s="165"/>
      <c r="BG193" s="165"/>
      <c r="BH193" s="165"/>
      <c r="BI193" s="165"/>
      <c r="BJ193" s="165"/>
      <c r="BK193" s="165"/>
      <c r="BL193" s="165"/>
      <c r="BM193" s="165"/>
      <c r="BN193" s="165"/>
      <c r="BO193" s="165"/>
      <c r="BP193" s="165"/>
      <c r="BQ193" s="165"/>
      <c r="BR193" s="165"/>
      <c r="BS193" s="165"/>
      <c r="BT193" s="165"/>
      <c r="BU193" s="165"/>
      <c r="BV193" s="165"/>
      <c r="BW193" s="165"/>
      <c r="BX193" s="165"/>
      <c r="BY193" s="165"/>
      <c r="BZ193" s="165"/>
      <c r="CA193" s="165"/>
      <c r="CB193" s="165"/>
      <c r="CC193" s="165"/>
      <c r="CD193" s="165"/>
      <c r="CE193" s="165"/>
      <c r="CF193" s="165"/>
      <c r="CG193" s="165"/>
      <c r="CH193" s="165"/>
      <c r="CI193" s="165"/>
      <c r="CJ193" s="165"/>
      <c r="CK193" s="165"/>
      <c r="CL193" s="165"/>
      <c r="CM193" s="165"/>
      <c r="CN193" s="165"/>
      <c r="CO193" s="165"/>
      <c r="CP193" s="165"/>
      <c r="CQ193" s="165"/>
    </row>
    <row r="194" spans="1:95" outlineLevel="1" x14ac:dyDescent="0.25">
      <c r="A194" s="228"/>
      <c r="B194" s="236" t="str">
        <f>Table1[[#Headers],[Total Testes]]</f>
        <v>Total Testes</v>
      </c>
      <c r="C194" s="237" t="str">
        <f t="shared" si="13"/>
        <v>PROTECTION_TYP_EMSSNS_SCR</v>
      </c>
      <c r="D194" s="232" t="s">
        <v>1114</v>
      </c>
      <c r="E194" s="232" t="s">
        <v>1244</v>
      </c>
      <c r="F194" s="238"/>
      <c r="G194" s="233">
        <f>INDEX(Table1[[Especificação]:[Total Testes]],MATCH('Planemaneto rev.equipa'!C194,Table1[CONCAT],0),MATCH('Planemaneto rev.equipa'!B194,Table1[[#Headers],[Especificação]:[Total Testes]],0))</f>
        <v>0</v>
      </c>
      <c r="H194" s="239">
        <f t="shared" si="14"/>
        <v>0</v>
      </c>
      <c r="I194" s="235"/>
      <c r="J194" s="165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  <c r="AA194" s="165"/>
      <c r="AB194" s="165"/>
      <c r="AC194" s="165"/>
      <c r="AD194" s="165"/>
      <c r="AE194" s="165"/>
      <c r="AF194" s="165"/>
      <c r="AG194" s="165"/>
      <c r="AH194" s="165"/>
      <c r="AI194" s="165"/>
      <c r="AJ194" s="165"/>
      <c r="AK194" s="165"/>
      <c r="AL194" s="165"/>
      <c r="AM194" s="165"/>
      <c r="AN194" s="165"/>
      <c r="AO194" s="165"/>
      <c r="AP194" s="165"/>
      <c r="AQ194" s="165"/>
      <c r="AR194" s="165"/>
      <c r="AS194" s="165"/>
      <c r="AT194" s="165"/>
      <c r="AU194" s="165"/>
      <c r="AV194" s="165"/>
      <c r="AW194" s="165"/>
      <c r="AX194" s="165"/>
      <c r="AY194" s="165"/>
      <c r="AZ194" s="165"/>
      <c r="BA194" s="165"/>
      <c r="BB194" s="165"/>
      <c r="BC194" s="165"/>
      <c r="BD194" s="165"/>
      <c r="BE194" s="165"/>
      <c r="BF194" s="165"/>
      <c r="BG194" s="165"/>
      <c r="BH194" s="165"/>
      <c r="BI194" s="165"/>
      <c r="BJ194" s="165"/>
      <c r="BK194" s="165"/>
      <c r="BL194" s="165"/>
      <c r="BM194" s="165"/>
      <c r="BN194" s="165"/>
      <c r="BO194" s="165"/>
      <c r="BP194" s="165"/>
      <c r="BQ194" s="165"/>
      <c r="BR194" s="165"/>
      <c r="BS194" s="165"/>
      <c r="BT194" s="165"/>
      <c r="BU194" s="165"/>
      <c r="BV194" s="165"/>
      <c r="BW194" s="165"/>
      <c r="BX194" s="165"/>
      <c r="BY194" s="165"/>
      <c r="BZ194" s="165"/>
      <c r="CA194" s="165"/>
      <c r="CB194" s="165"/>
      <c r="CC194" s="165"/>
      <c r="CD194" s="165"/>
      <c r="CE194" s="165"/>
      <c r="CF194" s="165"/>
      <c r="CG194" s="165"/>
      <c r="CH194" s="165"/>
      <c r="CI194" s="165"/>
      <c r="CJ194" s="165"/>
      <c r="CK194" s="165"/>
      <c r="CL194" s="165"/>
      <c r="CM194" s="165"/>
      <c r="CN194" s="165"/>
      <c r="CO194" s="165"/>
      <c r="CP194" s="165"/>
      <c r="CQ194" s="165"/>
    </row>
    <row r="195" spans="1:95" outlineLevel="1" x14ac:dyDescent="0.25">
      <c r="A195" s="228"/>
      <c r="B195" s="236" t="str">
        <f>Table1[[#Headers],[Total Testes]]</f>
        <v>Total Testes</v>
      </c>
      <c r="C195" s="237" t="str">
        <f t="shared" si="13"/>
        <v>PROTECTION_EPC_EMSSNS_SCR</v>
      </c>
      <c r="D195" s="232" t="s">
        <v>1114</v>
      </c>
      <c r="E195" s="232" t="s">
        <v>1247</v>
      </c>
      <c r="F195" s="238"/>
      <c r="G195" s="233">
        <f>INDEX(Table1[[Especificação]:[Total Testes]],MATCH('Planemaneto rev.equipa'!C195,Table1[CONCAT],0),MATCH('Planemaneto rev.equipa'!B195,Table1[[#Headers],[Especificação]:[Total Testes]],0))</f>
        <v>0</v>
      </c>
      <c r="H195" s="239">
        <f t="shared" si="14"/>
        <v>0</v>
      </c>
      <c r="I195" s="235"/>
      <c r="J195" s="165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  <c r="AA195" s="165"/>
      <c r="AB195" s="165"/>
      <c r="AC195" s="165"/>
      <c r="AD195" s="165"/>
      <c r="AE195" s="165"/>
      <c r="AF195" s="165"/>
      <c r="AG195" s="165"/>
      <c r="AH195" s="165"/>
      <c r="AI195" s="165"/>
      <c r="AJ195" s="165"/>
      <c r="AK195" s="165"/>
      <c r="AL195" s="165"/>
      <c r="AM195" s="165"/>
      <c r="AN195" s="165"/>
      <c r="AO195" s="165"/>
      <c r="AP195" s="165"/>
      <c r="AQ195" s="165"/>
      <c r="AR195" s="165"/>
      <c r="AS195" s="165"/>
      <c r="AT195" s="165"/>
      <c r="AU195" s="165"/>
      <c r="AV195" s="165"/>
      <c r="AW195" s="165"/>
      <c r="AX195" s="165"/>
      <c r="AY195" s="165"/>
      <c r="AZ195" s="165"/>
      <c r="BA195" s="165"/>
      <c r="BB195" s="165"/>
      <c r="BC195" s="165"/>
      <c r="BD195" s="165"/>
      <c r="BE195" s="165"/>
      <c r="BF195" s="165"/>
      <c r="BG195" s="165"/>
      <c r="BH195" s="165"/>
      <c r="BI195" s="165"/>
      <c r="BJ195" s="165"/>
      <c r="BK195" s="165"/>
      <c r="BL195" s="165"/>
      <c r="BM195" s="165"/>
      <c r="BN195" s="165"/>
      <c r="BO195" s="165"/>
      <c r="BP195" s="165"/>
      <c r="BQ195" s="165"/>
      <c r="BR195" s="165"/>
      <c r="BS195" s="165"/>
      <c r="BT195" s="165"/>
      <c r="BU195" s="165"/>
      <c r="BV195" s="165"/>
      <c r="BW195" s="165"/>
      <c r="BX195" s="165"/>
      <c r="BY195" s="165"/>
      <c r="BZ195" s="165"/>
      <c r="CA195" s="165"/>
      <c r="CB195" s="165"/>
      <c r="CC195" s="165"/>
      <c r="CD195" s="165"/>
      <c r="CE195" s="165"/>
      <c r="CF195" s="165"/>
      <c r="CG195" s="165"/>
      <c r="CH195" s="165"/>
      <c r="CI195" s="165"/>
      <c r="CJ195" s="165"/>
      <c r="CK195" s="165"/>
      <c r="CL195" s="165"/>
      <c r="CM195" s="165"/>
      <c r="CN195" s="165"/>
      <c r="CO195" s="165"/>
      <c r="CP195" s="165"/>
      <c r="CQ195" s="165"/>
    </row>
    <row r="196" spans="1:95" outlineLevel="1" x14ac:dyDescent="0.25">
      <c r="A196" s="228"/>
      <c r="B196" s="236" t="str">
        <f>Table1[[#Headers],[Total Testes]]</f>
        <v>Total Testes</v>
      </c>
      <c r="C196" s="237" t="str">
        <f t="shared" si="13"/>
        <v>PROTECTION_VHCL_EMSSNS_SCR</v>
      </c>
      <c r="D196" s="232" t="s">
        <v>1114</v>
      </c>
      <c r="E196" s="232" t="s">
        <v>1250</v>
      </c>
      <c r="F196" s="238"/>
      <c r="G196" s="233">
        <f>INDEX(Table1[[Especificação]:[Total Testes]],MATCH('Planemaneto rev.equipa'!C196,Table1[CONCAT],0),MATCH('Planemaneto rev.equipa'!B196,Table1[[#Headers],[Especificação]:[Total Testes]],0))</f>
        <v>0</v>
      </c>
      <c r="H196" s="239">
        <f t="shared" si="14"/>
        <v>0</v>
      </c>
      <c r="I196" s="235"/>
      <c r="J196" s="165"/>
      <c r="K196" s="165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  <c r="AA196" s="165"/>
      <c r="AB196" s="165"/>
      <c r="AC196" s="165"/>
      <c r="AD196" s="165"/>
      <c r="AE196" s="165"/>
      <c r="AF196" s="165"/>
      <c r="AG196" s="165"/>
      <c r="AH196" s="165"/>
      <c r="AI196" s="165"/>
      <c r="AJ196" s="165"/>
      <c r="AK196" s="165"/>
      <c r="AL196" s="165"/>
      <c r="AM196" s="165"/>
      <c r="AN196" s="165"/>
      <c r="AO196" s="165"/>
      <c r="AP196" s="165"/>
      <c r="AQ196" s="165"/>
      <c r="AR196" s="165"/>
      <c r="AS196" s="165"/>
      <c r="AT196" s="165"/>
      <c r="AU196" s="165"/>
      <c r="AV196" s="165"/>
      <c r="AW196" s="165"/>
      <c r="AX196" s="165"/>
      <c r="AY196" s="165"/>
      <c r="AZ196" s="165"/>
      <c r="BA196" s="165"/>
      <c r="BB196" s="165"/>
      <c r="BC196" s="165"/>
      <c r="BD196" s="165"/>
      <c r="BE196" s="165"/>
      <c r="BF196" s="165"/>
      <c r="BG196" s="165"/>
      <c r="BH196" s="165"/>
      <c r="BI196" s="165"/>
      <c r="BJ196" s="165"/>
      <c r="BK196" s="165"/>
      <c r="BL196" s="165"/>
      <c r="BM196" s="165"/>
      <c r="BN196" s="165"/>
      <c r="BO196" s="165"/>
      <c r="BP196" s="165"/>
      <c r="BQ196" s="165"/>
      <c r="BR196" s="165"/>
      <c r="BS196" s="165"/>
      <c r="BT196" s="165"/>
      <c r="BU196" s="165"/>
      <c r="BV196" s="165"/>
      <c r="BW196" s="165"/>
      <c r="BX196" s="165"/>
      <c r="BY196" s="165"/>
      <c r="BZ196" s="165"/>
      <c r="CA196" s="165"/>
      <c r="CB196" s="165"/>
      <c r="CC196" s="165"/>
      <c r="CD196" s="165"/>
      <c r="CE196" s="165"/>
      <c r="CF196" s="165"/>
      <c r="CG196" s="165"/>
      <c r="CH196" s="165"/>
      <c r="CI196" s="165"/>
      <c r="CJ196" s="165"/>
      <c r="CK196" s="165"/>
      <c r="CL196" s="165"/>
      <c r="CM196" s="165"/>
      <c r="CN196" s="165"/>
      <c r="CO196" s="165"/>
      <c r="CP196" s="165"/>
      <c r="CQ196" s="165"/>
    </row>
    <row r="197" spans="1:95" outlineLevel="1" x14ac:dyDescent="0.25">
      <c r="A197" s="228"/>
      <c r="B197" s="236" t="str">
        <f>Table1[[#Headers],[Total Testes]]</f>
        <v>Total Testes</v>
      </c>
      <c r="C197" s="237" t="str">
        <f t="shared" si="13"/>
        <v>PROTECTION_INSRNC_ID</v>
      </c>
      <c r="D197" s="232" t="s">
        <v>1114</v>
      </c>
      <c r="E197" s="232" t="s">
        <v>1275</v>
      </c>
      <c r="F197" s="238"/>
      <c r="G197" s="233">
        <f>INDEX(Table1[[Especificação]:[Total Testes]],MATCH('Planemaneto rev.equipa'!C197,Table1[CONCAT],0),MATCH('Planemaneto rev.equipa'!B197,Table1[[#Headers],[Especificação]:[Total Testes]],0))</f>
        <v>0</v>
      </c>
      <c r="H197" s="239">
        <f t="shared" si="14"/>
        <v>0</v>
      </c>
      <c r="I197" s="235"/>
      <c r="J197" s="165"/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  <c r="AA197" s="165"/>
      <c r="AB197" s="165"/>
      <c r="AC197" s="165"/>
      <c r="AD197" s="165"/>
      <c r="AE197" s="165"/>
      <c r="AF197" s="165"/>
      <c r="AG197" s="165"/>
      <c r="AH197" s="165"/>
      <c r="AI197" s="165"/>
      <c r="AJ197" s="165"/>
      <c r="AK197" s="165"/>
      <c r="AL197" s="165"/>
      <c r="AM197" s="165"/>
      <c r="AN197" s="165"/>
      <c r="AO197" s="165"/>
      <c r="AP197" s="165"/>
      <c r="AQ197" s="165"/>
      <c r="AR197" s="165"/>
      <c r="AS197" s="165"/>
      <c r="AT197" s="165"/>
      <c r="AU197" s="165"/>
      <c r="AV197" s="165"/>
      <c r="AW197" s="165"/>
      <c r="AX197" s="165"/>
      <c r="AY197" s="165"/>
      <c r="AZ197" s="165"/>
      <c r="BA197" s="165"/>
      <c r="BB197" s="165"/>
      <c r="BC197" s="165"/>
      <c r="BD197" s="165"/>
      <c r="BE197" s="165"/>
      <c r="BF197" s="165"/>
      <c r="BG197" s="165"/>
      <c r="BH197" s="165"/>
      <c r="BI197" s="165"/>
      <c r="BJ197" s="165"/>
      <c r="BK197" s="165"/>
      <c r="BL197" s="165"/>
      <c r="BM197" s="165"/>
      <c r="BN197" s="165"/>
      <c r="BO197" s="165"/>
      <c r="BP197" s="165"/>
      <c r="BQ197" s="165"/>
      <c r="BR197" s="165"/>
      <c r="BS197" s="165"/>
      <c r="BT197" s="165"/>
      <c r="BU197" s="165"/>
      <c r="BV197" s="165"/>
      <c r="BW197" s="165"/>
      <c r="BX197" s="165"/>
      <c r="BY197" s="165"/>
      <c r="BZ197" s="165"/>
      <c r="CA197" s="165"/>
      <c r="CB197" s="165"/>
      <c r="CC197" s="165"/>
      <c r="CD197" s="165"/>
      <c r="CE197" s="165"/>
      <c r="CF197" s="165"/>
      <c r="CG197" s="165"/>
      <c r="CH197" s="165"/>
      <c r="CI197" s="165"/>
      <c r="CJ197" s="165"/>
      <c r="CK197" s="165"/>
      <c r="CL197" s="165"/>
      <c r="CM197" s="165"/>
      <c r="CN197" s="165"/>
      <c r="CO197" s="165"/>
      <c r="CP197" s="165"/>
      <c r="CQ197" s="165"/>
    </row>
    <row r="198" spans="1:95" outlineLevel="1" x14ac:dyDescent="0.25">
      <c r="A198" s="228"/>
      <c r="B198" s="236" t="str">
        <f>Table1[[#Headers],[Total Testes]]</f>
        <v>Total Testes</v>
      </c>
      <c r="C198" s="237" t="str">
        <f t="shared" si="13"/>
        <v>PROTECTION_TYP_HZRDS_INSRD</v>
      </c>
      <c r="D198" s="232" t="s">
        <v>1114</v>
      </c>
      <c r="E198" s="232" t="s">
        <v>1278</v>
      </c>
      <c r="F198" s="238"/>
      <c r="G198" s="233">
        <f>INDEX(Table1[[Especificação]:[Total Testes]],MATCH('Planemaneto rev.equipa'!C198,Table1[CONCAT],0),MATCH('Planemaneto rev.equipa'!B198,Table1[[#Headers],[Especificação]:[Total Testes]],0))</f>
        <v>0</v>
      </c>
      <c r="H198" s="239">
        <f t="shared" si="14"/>
        <v>0</v>
      </c>
      <c r="I198" s="235"/>
      <c r="J198" s="165"/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  <c r="AA198" s="165"/>
      <c r="AB198" s="165"/>
      <c r="AC198" s="165"/>
      <c r="AD198" s="165"/>
      <c r="AE198" s="165"/>
      <c r="AF198" s="165"/>
      <c r="AG198" s="165"/>
      <c r="AH198" s="165"/>
      <c r="AI198" s="165"/>
      <c r="AJ198" s="165"/>
      <c r="AK198" s="165"/>
      <c r="AL198" s="165"/>
      <c r="AM198" s="165"/>
      <c r="AN198" s="165"/>
      <c r="AO198" s="165"/>
      <c r="AP198" s="165"/>
      <c r="AQ198" s="165"/>
      <c r="AR198" s="165"/>
      <c r="AS198" s="165"/>
      <c r="AT198" s="165"/>
      <c r="AU198" s="165"/>
      <c r="AV198" s="165"/>
      <c r="AW198" s="165"/>
      <c r="AX198" s="165"/>
      <c r="AY198" s="165"/>
      <c r="AZ198" s="165"/>
      <c r="BA198" s="165"/>
      <c r="BB198" s="165"/>
      <c r="BC198" s="165"/>
      <c r="BD198" s="165"/>
      <c r="BE198" s="165"/>
      <c r="BF198" s="165"/>
      <c r="BG198" s="165"/>
      <c r="BH198" s="165"/>
      <c r="BI198" s="165"/>
      <c r="BJ198" s="165"/>
      <c r="BK198" s="165"/>
      <c r="BL198" s="165"/>
      <c r="BM198" s="165"/>
      <c r="BN198" s="165"/>
      <c r="BO198" s="165"/>
      <c r="BP198" s="165"/>
      <c r="BQ198" s="165"/>
      <c r="BR198" s="165"/>
      <c r="BS198" s="165"/>
      <c r="BT198" s="165"/>
      <c r="BU198" s="165"/>
      <c r="BV198" s="165"/>
      <c r="BW198" s="165"/>
      <c r="BX198" s="165"/>
      <c r="BY198" s="165"/>
      <c r="BZ198" s="165"/>
      <c r="CA198" s="165"/>
      <c r="CB198" s="165"/>
      <c r="CC198" s="165"/>
      <c r="CD198" s="165"/>
      <c r="CE198" s="165"/>
      <c r="CF198" s="165"/>
      <c r="CG198" s="165"/>
      <c r="CH198" s="165"/>
      <c r="CI198" s="165"/>
      <c r="CJ198" s="165"/>
      <c r="CK198" s="165"/>
      <c r="CL198" s="165"/>
      <c r="CM198" s="165"/>
      <c r="CN198" s="165"/>
      <c r="CO198" s="165"/>
      <c r="CP198" s="165"/>
      <c r="CQ198" s="165"/>
    </row>
    <row r="199" spans="1:95" outlineLevel="1" x14ac:dyDescent="0.25">
      <c r="A199" s="228"/>
      <c r="B199" s="236" t="str">
        <f>Table1[[#Headers],[Total Testes]]</f>
        <v>Total Testes</v>
      </c>
      <c r="C199" s="237" t="str">
        <f t="shared" si="13"/>
        <v>PROTECTION_AMNT_CVRD_INSRNC</v>
      </c>
      <c r="D199" s="232" t="s">
        <v>1114</v>
      </c>
      <c r="E199" s="232" t="s">
        <v>1281</v>
      </c>
      <c r="F199" s="238"/>
      <c r="G199" s="233">
        <f>INDEX(Table1[[Especificação]:[Total Testes]],MATCH('Planemaneto rev.equipa'!C199,Table1[CONCAT],0),MATCH('Planemaneto rev.equipa'!B199,Table1[[#Headers],[Especificação]:[Total Testes]],0))</f>
        <v>0</v>
      </c>
      <c r="H199" s="239">
        <f t="shared" si="14"/>
        <v>0</v>
      </c>
      <c r="I199" s="235"/>
      <c r="J199" s="165"/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  <c r="AA199" s="165"/>
      <c r="AB199" s="165"/>
      <c r="AC199" s="165"/>
      <c r="AD199" s="165"/>
      <c r="AE199" s="165"/>
      <c r="AF199" s="165"/>
      <c r="AG199" s="165"/>
      <c r="AH199" s="165"/>
      <c r="AI199" s="165"/>
      <c r="AJ199" s="165"/>
      <c r="AK199" s="165"/>
      <c r="AL199" s="165"/>
      <c r="AM199" s="165"/>
      <c r="AN199" s="165"/>
      <c r="AO199" s="165"/>
      <c r="AP199" s="165"/>
      <c r="AQ199" s="165"/>
      <c r="AR199" s="165"/>
      <c r="AS199" s="165"/>
      <c r="AT199" s="165"/>
      <c r="AU199" s="165"/>
      <c r="AV199" s="165"/>
      <c r="AW199" s="165"/>
      <c r="AX199" s="165"/>
      <c r="AY199" s="165"/>
      <c r="AZ199" s="165"/>
      <c r="BA199" s="165"/>
      <c r="BB199" s="165"/>
      <c r="BC199" s="165"/>
      <c r="BD199" s="165"/>
      <c r="BE199" s="165"/>
      <c r="BF199" s="165"/>
      <c r="BG199" s="165"/>
      <c r="BH199" s="165"/>
      <c r="BI199" s="165"/>
      <c r="BJ199" s="165"/>
      <c r="BK199" s="165"/>
      <c r="BL199" s="165"/>
      <c r="BM199" s="165"/>
      <c r="BN199" s="165"/>
      <c r="BO199" s="165"/>
      <c r="BP199" s="165"/>
      <c r="BQ199" s="165"/>
      <c r="BR199" s="165"/>
      <c r="BS199" s="165"/>
      <c r="BT199" s="165"/>
      <c r="BU199" s="165"/>
      <c r="BV199" s="165"/>
      <c r="BW199" s="165"/>
      <c r="BX199" s="165"/>
      <c r="BY199" s="165"/>
      <c r="BZ199" s="165"/>
      <c r="CA199" s="165"/>
      <c r="CB199" s="165"/>
      <c r="CC199" s="165"/>
      <c r="CD199" s="165"/>
      <c r="CE199" s="165"/>
      <c r="CF199" s="165"/>
      <c r="CG199" s="165"/>
      <c r="CH199" s="165"/>
      <c r="CI199" s="165"/>
      <c r="CJ199" s="165"/>
      <c r="CK199" s="165"/>
      <c r="CL199" s="165"/>
      <c r="CM199" s="165"/>
      <c r="CN199" s="165"/>
      <c r="CO199" s="165"/>
      <c r="CP199" s="165"/>
      <c r="CQ199" s="165"/>
    </row>
    <row r="200" spans="1:95" outlineLevel="1" x14ac:dyDescent="0.25">
      <c r="A200" s="228"/>
      <c r="B200" s="236" t="str">
        <f>Table1[[#Headers],[Total Testes]]</f>
        <v>Total Testes</v>
      </c>
      <c r="C200" s="237" t="str">
        <f t="shared" si="13"/>
        <v>PROTECTION_DT_MTRTY_INSRNC</v>
      </c>
      <c r="D200" s="232" t="s">
        <v>1114</v>
      </c>
      <c r="E200" s="232" t="s">
        <v>1284</v>
      </c>
      <c r="F200" s="238"/>
      <c r="G200" s="233">
        <f>INDEX(Table1[[Especificação]:[Total Testes]],MATCH('Planemaneto rev.equipa'!C200,Table1[CONCAT],0),MATCH('Planemaneto rev.equipa'!B200,Table1[[#Headers],[Especificação]:[Total Testes]],0))</f>
        <v>0</v>
      </c>
      <c r="H200" s="239">
        <f t="shared" si="14"/>
        <v>0</v>
      </c>
      <c r="I200" s="235"/>
      <c r="J200" s="165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  <c r="AA200" s="165"/>
      <c r="AB200" s="165"/>
      <c r="AC200" s="165"/>
      <c r="AD200" s="165"/>
      <c r="AE200" s="165"/>
      <c r="AF200" s="165"/>
      <c r="AG200" s="165"/>
      <c r="AH200" s="165"/>
      <c r="AI200" s="165"/>
      <c r="AJ200" s="165"/>
      <c r="AK200" s="165"/>
      <c r="AL200" s="165"/>
      <c r="AM200" s="165"/>
      <c r="AN200" s="165"/>
      <c r="AO200" s="165"/>
      <c r="AP200" s="165"/>
      <c r="AQ200" s="165"/>
      <c r="AR200" s="165"/>
      <c r="AS200" s="165"/>
      <c r="AT200" s="165"/>
      <c r="AU200" s="165"/>
      <c r="AV200" s="165"/>
      <c r="AW200" s="165"/>
      <c r="AX200" s="165"/>
      <c r="AY200" s="165"/>
      <c r="AZ200" s="165"/>
      <c r="BA200" s="165"/>
      <c r="BB200" s="165"/>
      <c r="BC200" s="165"/>
      <c r="BD200" s="165"/>
      <c r="BE200" s="165"/>
      <c r="BF200" s="165"/>
      <c r="BG200" s="165"/>
      <c r="BH200" s="165"/>
      <c r="BI200" s="165"/>
      <c r="BJ200" s="165"/>
      <c r="BK200" s="165"/>
      <c r="BL200" s="165"/>
      <c r="BM200" s="165"/>
      <c r="BN200" s="165"/>
      <c r="BO200" s="165"/>
      <c r="BP200" s="165"/>
      <c r="BQ200" s="165"/>
      <c r="BR200" s="165"/>
      <c r="BS200" s="165"/>
      <c r="BT200" s="165"/>
      <c r="BU200" s="165"/>
      <c r="BV200" s="165"/>
      <c r="BW200" s="165"/>
      <c r="BX200" s="165"/>
      <c r="BY200" s="165"/>
      <c r="BZ200" s="165"/>
      <c r="CA200" s="165"/>
      <c r="CB200" s="165"/>
      <c r="CC200" s="165"/>
      <c r="CD200" s="165"/>
      <c r="CE200" s="165"/>
      <c r="CF200" s="165"/>
      <c r="CG200" s="165"/>
      <c r="CH200" s="165"/>
      <c r="CI200" s="165"/>
      <c r="CJ200" s="165"/>
      <c r="CK200" s="165"/>
      <c r="CL200" s="165"/>
      <c r="CM200" s="165"/>
      <c r="CN200" s="165"/>
      <c r="CO200" s="165"/>
      <c r="CP200" s="165"/>
      <c r="CQ200" s="165"/>
    </row>
    <row r="201" spans="1:95" outlineLevel="1" x14ac:dyDescent="0.25">
      <c r="A201" s="228"/>
      <c r="B201" s="236" t="str">
        <f>Table1[[#Headers],[Total Testes]]</f>
        <v>Total Testes</v>
      </c>
      <c r="C201" s="237" t="str">
        <f t="shared" si="13"/>
        <v>PROTECTION_FLG_FRST_HM</v>
      </c>
      <c r="D201" s="232" t="s">
        <v>1114</v>
      </c>
      <c r="E201" s="243" t="s">
        <v>1287</v>
      </c>
      <c r="F201" s="238"/>
      <c r="G201" s="233">
        <f>INDEX(Table1[[Especificação]:[Total Testes]],MATCH('Planemaneto rev.equipa'!C201,Table1[CONCAT],0),MATCH('Planemaneto rev.equipa'!B201,Table1[[#Headers],[Especificação]:[Total Testes]],0))</f>
        <v>0</v>
      </c>
      <c r="H201" s="239">
        <f t="shared" si="14"/>
        <v>0</v>
      </c>
      <c r="I201" s="235"/>
      <c r="J201" s="165"/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  <c r="AA201" s="165"/>
      <c r="AB201" s="165"/>
      <c r="AC201" s="165"/>
      <c r="AD201" s="165"/>
      <c r="AE201" s="165"/>
      <c r="AF201" s="165"/>
      <c r="AG201" s="165"/>
      <c r="AH201" s="165"/>
      <c r="AI201" s="165"/>
      <c r="AJ201" s="165"/>
      <c r="AK201" s="165"/>
      <c r="AL201" s="165"/>
      <c r="AM201" s="165"/>
      <c r="AN201" s="165"/>
      <c r="AO201" s="165"/>
      <c r="AP201" s="165"/>
      <c r="AQ201" s="165"/>
      <c r="AR201" s="165"/>
      <c r="AS201" s="165"/>
      <c r="AT201" s="165"/>
      <c r="AU201" s="165"/>
      <c r="AV201" s="165"/>
      <c r="AW201" s="165"/>
      <c r="AX201" s="165"/>
      <c r="AY201" s="165"/>
      <c r="AZ201" s="165"/>
      <c r="BA201" s="165"/>
      <c r="BB201" s="165"/>
      <c r="BC201" s="165"/>
      <c r="BD201" s="165"/>
      <c r="BE201" s="165"/>
      <c r="BF201" s="165"/>
      <c r="BG201" s="165"/>
      <c r="BH201" s="165"/>
      <c r="BI201" s="165"/>
      <c r="BJ201" s="165"/>
      <c r="BK201" s="165"/>
      <c r="BL201" s="165"/>
      <c r="BM201" s="165"/>
      <c r="BN201" s="165"/>
      <c r="BO201" s="165"/>
      <c r="BP201" s="165"/>
      <c r="BQ201" s="165"/>
      <c r="BR201" s="165"/>
      <c r="BS201" s="165"/>
      <c r="BT201" s="165"/>
      <c r="BU201" s="165"/>
      <c r="BV201" s="165"/>
      <c r="BW201" s="165"/>
      <c r="BX201" s="165"/>
      <c r="BY201" s="165"/>
      <c r="BZ201" s="165"/>
      <c r="CA201" s="165"/>
      <c r="CB201" s="165"/>
      <c r="CC201" s="165"/>
      <c r="CD201" s="165"/>
      <c r="CE201" s="165"/>
      <c r="CF201" s="165"/>
      <c r="CG201" s="165"/>
      <c r="CH201" s="165"/>
      <c r="CI201" s="165"/>
      <c r="CJ201" s="165"/>
      <c r="CK201" s="165"/>
      <c r="CL201" s="165"/>
      <c r="CM201" s="165"/>
      <c r="CN201" s="165"/>
      <c r="CO201" s="165"/>
      <c r="CP201" s="165"/>
      <c r="CQ201" s="165"/>
    </row>
    <row r="202" spans="1:95" outlineLevel="1" x14ac:dyDescent="0.25">
      <c r="A202" s="228"/>
      <c r="B202" s="236" t="str">
        <f>Table1[[#Headers],[Total Testes]]</f>
        <v>Total Testes</v>
      </c>
      <c r="C202" s="237" t="str">
        <f t="shared" si="13"/>
        <v>ENTITY_ENTTY_NM</v>
      </c>
      <c r="D202" s="232" t="s">
        <v>10</v>
      </c>
      <c r="E202" s="232" t="s">
        <v>59</v>
      </c>
      <c r="F202" s="238"/>
      <c r="G202" s="233">
        <f>INDEX(Table1[[Especificação]:[Total Testes]],MATCH('Planemaneto rev.equipa'!C202,Table1[CONCAT],0),MATCH('Planemaneto rev.equipa'!B202,Table1[[#Headers],[Especificação]:[Total Testes]],0))</f>
        <v>0</v>
      </c>
      <c r="H202" s="239">
        <f t="shared" si="14"/>
        <v>0</v>
      </c>
      <c r="I202" s="235"/>
      <c r="J202" s="165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  <c r="AA202" s="165"/>
      <c r="AB202" s="165"/>
      <c r="AC202" s="165"/>
      <c r="AD202" s="165"/>
      <c r="AE202" s="165"/>
      <c r="AF202" s="165"/>
      <c r="AG202" s="165"/>
      <c r="AH202" s="165"/>
      <c r="AI202" s="165"/>
      <c r="AJ202" s="165"/>
      <c r="AK202" s="165"/>
      <c r="AL202" s="165"/>
      <c r="AM202" s="165"/>
      <c r="AN202" s="165"/>
      <c r="AO202" s="165"/>
      <c r="AP202" s="165"/>
      <c r="AQ202" s="165"/>
      <c r="AR202" s="165"/>
      <c r="AS202" s="165"/>
      <c r="AT202" s="165"/>
      <c r="AU202" s="165"/>
      <c r="AV202" s="165"/>
      <c r="AW202" s="165"/>
      <c r="AX202" s="165"/>
      <c r="AY202" s="165"/>
      <c r="AZ202" s="165"/>
      <c r="BA202" s="165"/>
      <c r="BB202" s="165"/>
      <c r="BC202" s="165"/>
      <c r="BD202" s="165"/>
      <c r="BE202" s="165"/>
      <c r="BF202" s="165"/>
      <c r="BG202" s="165"/>
      <c r="BH202" s="165"/>
      <c r="BI202" s="165"/>
      <c r="BJ202" s="165"/>
      <c r="BK202" s="165"/>
      <c r="BL202" s="165"/>
      <c r="BM202" s="165"/>
      <c r="BN202" s="165"/>
      <c r="BO202" s="165"/>
      <c r="BP202" s="165"/>
      <c r="BQ202" s="165"/>
      <c r="BR202" s="165"/>
      <c r="BS202" s="165"/>
      <c r="BT202" s="165"/>
      <c r="BU202" s="165"/>
      <c r="BV202" s="165"/>
      <c r="BW202" s="165"/>
      <c r="BX202" s="165"/>
      <c r="BY202" s="165"/>
      <c r="BZ202" s="165"/>
      <c r="CA202" s="165"/>
      <c r="CB202" s="165"/>
      <c r="CC202" s="165"/>
      <c r="CD202" s="165"/>
      <c r="CE202" s="165"/>
      <c r="CF202" s="165"/>
      <c r="CG202" s="165"/>
      <c r="CH202" s="165"/>
      <c r="CI202" s="165"/>
      <c r="CJ202" s="165"/>
      <c r="CK202" s="165"/>
      <c r="CL202" s="165"/>
      <c r="CM202" s="165"/>
      <c r="CN202" s="165"/>
      <c r="CO202" s="165"/>
      <c r="CP202" s="165"/>
      <c r="CQ202" s="165"/>
    </row>
    <row r="203" spans="1:95" outlineLevel="1" x14ac:dyDescent="0.25">
      <c r="A203" s="228"/>
      <c r="B203" s="236" t="str">
        <f>Table1[[#Headers],[Total Testes]]</f>
        <v>Total Testes</v>
      </c>
      <c r="C203" s="237" t="str">
        <f t="shared" si="13"/>
        <v>ENTITY_EC_GRP_NM</v>
      </c>
      <c r="D203" s="232" t="s">
        <v>10</v>
      </c>
      <c r="E203" s="232" t="s">
        <v>284</v>
      </c>
      <c r="F203" s="238"/>
      <c r="G203" s="233">
        <f>INDEX(Table1[[Especificação]:[Total Testes]],MATCH('Planemaneto rev.equipa'!C203,Table1[CONCAT],0),MATCH('Planemaneto rev.equipa'!B203,Table1[[#Headers],[Especificação]:[Total Testes]],0))</f>
        <v>0</v>
      </c>
      <c r="H203" s="239">
        <f t="shared" si="14"/>
        <v>0</v>
      </c>
      <c r="I203" s="235"/>
      <c r="J203" s="165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  <c r="AA203" s="165"/>
      <c r="AB203" s="165"/>
      <c r="AC203" s="165"/>
      <c r="AD203" s="165"/>
      <c r="AE203" s="165"/>
      <c r="AF203" s="165"/>
      <c r="AG203" s="165"/>
      <c r="AH203" s="165"/>
      <c r="AI203" s="165"/>
      <c r="AJ203" s="165"/>
      <c r="AK203" s="165"/>
      <c r="AL203" s="165"/>
      <c r="AM203" s="165"/>
      <c r="AN203" s="165"/>
      <c r="AO203" s="165"/>
      <c r="AP203" s="165"/>
      <c r="AQ203" s="165"/>
      <c r="AR203" s="165"/>
      <c r="AS203" s="165"/>
      <c r="AT203" s="165"/>
      <c r="AU203" s="165"/>
      <c r="AV203" s="165"/>
      <c r="AW203" s="165"/>
      <c r="AX203" s="165"/>
      <c r="AY203" s="165"/>
      <c r="AZ203" s="165"/>
      <c r="BA203" s="165"/>
      <c r="BB203" s="165"/>
      <c r="BC203" s="165"/>
      <c r="BD203" s="165"/>
      <c r="BE203" s="165"/>
      <c r="BF203" s="165"/>
      <c r="BG203" s="165"/>
      <c r="BH203" s="165"/>
      <c r="BI203" s="165"/>
      <c r="BJ203" s="165"/>
      <c r="BK203" s="165"/>
      <c r="BL203" s="165"/>
      <c r="BM203" s="165"/>
      <c r="BN203" s="165"/>
      <c r="BO203" s="165"/>
      <c r="BP203" s="165"/>
      <c r="BQ203" s="165"/>
      <c r="BR203" s="165"/>
      <c r="BS203" s="165"/>
      <c r="BT203" s="165"/>
      <c r="BU203" s="165"/>
      <c r="BV203" s="165"/>
      <c r="BW203" s="165"/>
      <c r="BX203" s="165"/>
      <c r="BY203" s="165"/>
      <c r="BZ203" s="165"/>
      <c r="CA203" s="165"/>
      <c r="CB203" s="165"/>
      <c r="CC203" s="165"/>
      <c r="CD203" s="165"/>
      <c r="CE203" s="165"/>
      <c r="CF203" s="165"/>
      <c r="CG203" s="165"/>
      <c r="CH203" s="165"/>
      <c r="CI203" s="165"/>
      <c r="CJ203" s="165"/>
      <c r="CK203" s="165"/>
      <c r="CL203" s="165"/>
      <c r="CM203" s="165"/>
      <c r="CN203" s="165"/>
      <c r="CO203" s="165"/>
      <c r="CP203" s="165"/>
      <c r="CQ203" s="165"/>
    </row>
    <row r="204" spans="1:95" outlineLevel="1" x14ac:dyDescent="0.25">
      <c r="A204" s="228"/>
      <c r="B204" s="236" t="str">
        <f>Table1[[#Headers],[Total Testes]]</f>
        <v>Total Testes</v>
      </c>
      <c r="C204" s="237" t="str">
        <f t="shared" si="13"/>
        <v>INSTRUMENT_FRBRNC_STTS_INSTRMNT</v>
      </c>
      <c r="D204" s="232" t="s">
        <v>414</v>
      </c>
      <c r="E204" s="232" t="s">
        <v>501</v>
      </c>
      <c r="F204" s="238"/>
      <c r="G204" s="233">
        <f>INDEX(Table1[[Especificação]:[Total Testes]],MATCH('Planemaneto rev.equipa'!C204,Table1[CONCAT],0),MATCH('Planemaneto rev.equipa'!B204,Table1[[#Headers],[Especificação]:[Total Testes]],0))</f>
        <v>0</v>
      </c>
      <c r="H204" s="239">
        <f t="shared" si="14"/>
        <v>0</v>
      </c>
      <c r="I204" s="235"/>
      <c r="J204" s="165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  <c r="AA204" s="165"/>
      <c r="AB204" s="165"/>
      <c r="AC204" s="165"/>
      <c r="AD204" s="165"/>
      <c r="AE204" s="165"/>
      <c r="AF204" s="165"/>
      <c r="AG204" s="165"/>
      <c r="AH204" s="165"/>
      <c r="AI204" s="165"/>
      <c r="AJ204" s="165"/>
      <c r="AK204" s="165"/>
      <c r="AL204" s="165"/>
      <c r="AM204" s="165"/>
      <c r="AN204" s="165"/>
      <c r="AO204" s="165"/>
      <c r="AP204" s="165"/>
      <c r="AQ204" s="165"/>
      <c r="AR204" s="165"/>
      <c r="AS204" s="165"/>
      <c r="AT204" s="165"/>
      <c r="AU204" s="165"/>
      <c r="AV204" s="165"/>
      <c r="AW204" s="165"/>
      <c r="AX204" s="165"/>
      <c r="AY204" s="165"/>
      <c r="AZ204" s="165"/>
      <c r="BA204" s="165"/>
      <c r="BB204" s="165"/>
      <c r="BC204" s="165"/>
      <c r="BD204" s="165"/>
      <c r="BE204" s="165"/>
      <c r="BF204" s="165"/>
      <c r="BG204" s="165"/>
      <c r="BH204" s="165"/>
      <c r="BI204" s="165"/>
      <c r="BJ204" s="165"/>
      <c r="BK204" s="165"/>
      <c r="BL204" s="165"/>
      <c r="BM204" s="165"/>
      <c r="BN204" s="165"/>
      <c r="BO204" s="165"/>
      <c r="BP204" s="165"/>
      <c r="BQ204" s="165"/>
      <c r="BR204" s="165"/>
      <c r="BS204" s="165"/>
      <c r="BT204" s="165"/>
      <c r="BU204" s="165"/>
      <c r="BV204" s="165"/>
      <c r="BW204" s="165"/>
      <c r="BX204" s="165"/>
      <c r="BY204" s="165"/>
      <c r="BZ204" s="165"/>
      <c r="CA204" s="165"/>
      <c r="CB204" s="165"/>
      <c r="CC204" s="165"/>
      <c r="CD204" s="165"/>
      <c r="CE204" s="165"/>
      <c r="CF204" s="165"/>
      <c r="CG204" s="165"/>
      <c r="CH204" s="165"/>
      <c r="CI204" s="165"/>
      <c r="CJ204" s="165"/>
      <c r="CK204" s="165"/>
      <c r="CL204" s="165"/>
      <c r="CM204" s="165"/>
      <c r="CN204" s="165"/>
      <c r="CO204" s="165"/>
      <c r="CP204" s="165"/>
      <c r="CQ204" s="165"/>
    </row>
    <row r="205" spans="1:95" outlineLevel="1" x14ac:dyDescent="0.25">
      <c r="A205" s="228"/>
      <c r="B205" s="236" t="str">
        <f>Table1[[#Headers],[Total Testes]]</f>
        <v>Total Testes</v>
      </c>
      <c r="C205" s="237" t="str">
        <f t="shared" si="13"/>
        <v>INSTRUMENT_IFRS9_BHVRL_MTRTY</v>
      </c>
      <c r="D205" s="232" t="s">
        <v>414</v>
      </c>
      <c r="E205" s="232" t="s">
        <v>614</v>
      </c>
      <c r="F205" s="238"/>
      <c r="G205" s="233">
        <f>INDEX(Table1[[Especificação]:[Total Testes]],MATCH('Planemaneto rev.equipa'!C205,Table1[CONCAT],0),MATCH('Planemaneto rev.equipa'!B205,Table1[[#Headers],[Especificação]:[Total Testes]],0))</f>
        <v>0</v>
      </c>
      <c r="H205" s="239">
        <f t="shared" si="14"/>
        <v>0</v>
      </c>
      <c r="I205" s="23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5"/>
      <c r="AO205" s="165"/>
      <c r="AP205" s="165"/>
      <c r="AQ205" s="165"/>
      <c r="AR205" s="165"/>
      <c r="AS205" s="165"/>
      <c r="AT205" s="165"/>
      <c r="AU205" s="165"/>
      <c r="AV205" s="165"/>
      <c r="AW205" s="165"/>
      <c r="AX205" s="165"/>
      <c r="AY205" s="165"/>
      <c r="AZ205" s="165"/>
      <c r="BA205" s="165"/>
      <c r="BB205" s="165"/>
      <c r="BC205" s="165"/>
      <c r="BD205" s="165"/>
      <c r="BE205" s="165"/>
      <c r="BF205" s="165"/>
      <c r="BG205" s="165"/>
      <c r="BH205" s="165"/>
      <c r="BI205" s="165"/>
      <c r="BJ205" s="165"/>
      <c r="BK205" s="165"/>
      <c r="BL205" s="165"/>
      <c r="BM205" s="165"/>
      <c r="BN205" s="165"/>
      <c r="BO205" s="165"/>
      <c r="BP205" s="165"/>
      <c r="BQ205" s="165"/>
      <c r="BR205" s="165"/>
      <c r="BS205" s="165"/>
      <c r="BT205" s="165"/>
      <c r="BU205" s="165"/>
      <c r="BV205" s="165"/>
      <c r="BW205" s="165"/>
      <c r="BX205" s="165"/>
      <c r="BY205" s="165"/>
      <c r="BZ205" s="165"/>
      <c r="CA205" s="165"/>
      <c r="CB205" s="165"/>
      <c r="CC205" s="165"/>
      <c r="CD205" s="165"/>
      <c r="CE205" s="165"/>
      <c r="CF205" s="165"/>
      <c r="CG205" s="165"/>
      <c r="CH205" s="165"/>
      <c r="CI205" s="165"/>
      <c r="CJ205" s="165"/>
      <c r="CK205" s="165"/>
      <c r="CL205" s="165"/>
      <c r="CM205" s="165"/>
      <c r="CN205" s="165"/>
      <c r="CO205" s="165"/>
      <c r="CP205" s="165"/>
      <c r="CQ205" s="165"/>
    </row>
    <row r="206" spans="1:95" outlineLevel="1" x14ac:dyDescent="0.25">
      <c r="A206" s="228"/>
      <c r="B206" s="236" t="str">
        <f>Table1[[#Headers],[Total Testes]]</f>
        <v>Total Testes</v>
      </c>
      <c r="C206" s="237" t="str">
        <f t="shared" si="13"/>
        <v>INSTRUMENT_LTV</v>
      </c>
      <c r="D206" s="232" t="s">
        <v>414</v>
      </c>
      <c r="E206" s="232" t="s">
        <v>724</v>
      </c>
      <c r="F206" s="238"/>
      <c r="G206" s="233">
        <f>INDEX(Table1[[Especificação]:[Total Testes]],MATCH('Planemaneto rev.equipa'!C206,Table1[CONCAT],0),MATCH('Planemaneto rev.equipa'!B206,Table1[[#Headers],[Especificação]:[Total Testes]],0))</f>
        <v>0</v>
      </c>
      <c r="H206" s="239">
        <f t="shared" si="14"/>
        <v>0</v>
      </c>
      <c r="I206" s="23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  <c r="AA206" s="165"/>
      <c r="AB206" s="165"/>
      <c r="AC206" s="165"/>
      <c r="AD206" s="165"/>
      <c r="AE206" s="165"/>
      <c r="AF206" s="165"/>
      <c r="AG206" s="165"/>
      <c r="AH206" s="165"/>
      <c r="AI206" s="165"/>
      <c r="AJ206" s="165"/>
      <c r="AK206" s="165"/>
      <c r="AL206" s="165"/>
      <c r="AM206" s="165"/>
      <c r="AN206" s="165"/>
      <c r="AO206" s="165"/>
      <c r="AP206" s="165"/>
      <c r="AQ206" s="165"/>
      <c r="AR206" s="165"/>
      <c r="AS206" s="165"/>
      <c r="AT206" s="165"/>
      <c r="AU206" s="165"/>
      <c r="AV206" s="165"/>
      <c r="AW206" s="165"/>
      <c r="AX206" s="165"/>
      <c r="AY206" s="165"/>
      <c r="AZ206" s="165"/>
      <c r="BA206" s="165"/>
      <c r="BB206" s="165"/>
      <c r="BC206" s="165"/>
      <c r="BD206" s="165"/>
      <c r="BE206" s="165"/>
      <c r="BF206" s="165"/>
      <c r="BG206" s="165"/>
      <c r="BH206" s="165"/>
      <c r="BI206" s="165"/>
      <c r="BJ206" s="165"/>
      <c r="BK206" s="165"/>
      <c r="BL206" s="165"/>
      <c r="BM206" s="165"/>
      <c r="BN206" s="165"/>
      <c r="BO206" s="165"/>
      <c r="BP206" s="165"/>
      <c r="BQ206" s="165"/>
      <c r="BR206" s="165"/>
      <c r="BS206" s="165"/>
      <c r="BT206" s="165"/>
      <c r="BU206" s="165"/>
      <c r="BV206" s="165"/>
      <c r="BW206" s="165"/>
      <c r="BX206" s="165"/>
      <c r="BY206" s="165"/>
      <c r="BZ206" s="165"/>
      <c r="CA206" s="165"/>
      <c r="CB206" s="165"/>
      <c r="CC206" s="165"/>
      <c r="CD206" s="165"/>
      <c r="CE206" s="165"/>
      <c r="CF206" s="165"/>
      <c r="CG206" s="165"/>
      <c r="CH206" s="165"/>
      <c r="CI206" s="165"/>
      <c r="CJ206" s="165"/>
      <c r="CK206" s="165"/>
      <c r="CL206" s="165"/>
      <c r="CM206" s="165"/>
      <c r="CN206" s="165"/>
      <c r="CO206" s="165"/>
      <c r="CP206" s="165"/>
      <c r="CQ206" s="165"/>
    </row>
    <row r="207" spans="1:95" outlineLevel="1" x14ac:dyDescent="0.25">
      <c r="A207" s="228"/>
      <c r="B207" s="236" t="str">
        <f>Table1[[#Headers],[Total Testes]]</f>
        <v>Total Testes</v>
      </c>
      <c r="C207" s="237" t="str">
        <f t="shared" si="13"/>
        <v>INSTRUMENT_LTV_INCPTN</v>
      </c>
      <c r="D207" s="232" t="s">
        <v>414</v>
      </c>
      <c r="E207" s="232" t="s">
        <v>727</v>
      </c>
      <c r="F207" s="238"/>
      <c r="G207" s="233">
        <f>INDEX(Table1[[Especificação]:[Total Testes]],MATCH('Planemaneto rev.equipa'!C207,Table1[CONCAT],0),MATCH('Planemaneto rev.equipa'!B207,Table1[[#Headers],[Especificação]:[Total Testes]],0))</f>
        <v>0</v>
      </c>
      <c r="H207" s="239">
        <f t="shared" si="14"/>
        <v>0</v>
      </c>
      <c r="I207" s="235"/>
      <c r="J207" s="165"/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  <c r="AA207" s="165"/>
      <c r="AB207" s="165"/>
      <c r="AC207" s="165"/>
      <c r="AD207" s="165"/>
      <c r="AE207" s="165"/>
      <c r="AF207" s="165"/>
      <c r="AG207" s="165"/>
      <c r="AH207" s="165"/>
      <c r="AI207" s="165"/>
      <c r="AJ207" s="165"/>
      <c r="AK207" s="165"/>
      <c r="AL207" s="165"/>
      <c r="AM207" s="165"/>
      <c r="AN207" s="165"/>
      <c r="AO207" s="165"/>
      <c r="AP207" s="165"/>
      <c r="AQ207" s="165"/>
      <c r="AR207" s="165"/>
      <c r="AS207" s="165"/>
      <c r="AT207" s="165"/>
      <c r="AU207" s="165"/>
      <c r="AV207" s="165"/>
      <c r="AW207" s="165"/>
      <c r="AX207" s="165"/>
      <c r="AY207" s="165"/>
      <c r="AZ207" s="165"/>
      <c r="BA207" s="165"/>
      <c r="BB207" s="165"/>
      <c r="BC207" s="165"/>
      <c r="BD207" s="165"/>
      <c r="BE207" s="165"/>
      <c r="BF207" s="165"/>
      <c r="BG207" s="165"/>
      <c r="BH207" s="165"/>
      <c r="BI207" s="165"/>
      <c r="BJ207" s="165"/>
      <c r="BK207" s="165"/>
      <c r="BL207" s="165"/>
      <c r="BM207" s="165"/>
      <c r="BN207" s="165"/>
      <c r="BO207" s="165"/>
      <c r="BP207" s="165"/>
      <c r="BQ207" s="165"/>
      <c r="BR207" s="165"/>
      <c r="BS207" s="165"/>
      <c r="BT207" s="165"/>
      <c r="BU207" s="165"/>
      <c r="BV207" s="165"/>
      <c r="BW207" s="165"/>
      <c r="BX207" s="165"/>
      <c r="BY207" s="165"/>
      <c r="BZ207" s="165"/>
      <c r="CA207" s="165"/>
      <c r="CB207" s="165"/>
      <c r="CC207" s="165"/>
      <c r="CD207" s="165"/>
      <c r="CE207" s="165"/>
      <c r="CF207" s="165"/>
      <c r="CG207" s="165"/>
      <c r="CH207" s="165"/>
      <c r="CI207" s="165"/>
      <c r="CJ207" s="165"/>
      <c r="CK207" s="165"/>
      <c r="CL207" s="165"/>
      <c r="CM207" s="165"/>
      <c r="CN207" s="165"/>
      <c r="CO207" s="165"/>
      <c r="CP207" s="165"/>
      <c r="CQ207" s="165"/>
    </row>
    <row r="208" spans="1:95" outlineLevel="1" x14ac:dyDescent="0.25">
      <c r="A208" s="228"/>
      <c r="B208" s="236" t="str">
        <f>Table1[[#Headers],[Total Testes]]</f>
        <v>Total Testes</v>
      </c>
      <c r="C208" s="237" t="str">
        <f t="shared" si="13"/>
        <v>INSTRUMENT_ANNLSD_AGRD_RT</v>
      </c>
      <c r="D208" s="232" t="s">
        <v>414</v>
      </c>
      <c r="E208" s="232" t="s">
        <v>757</v>
      </c>
      <c r="F208" s="238"/>
      <c r="G208" s="233">
        <f>INDEX(Table1[[Especificação]:[Total Testes]],MATCH('Planemaneto rev.equipa'!C208,Table1[CONCAT],0),MATCH('Planemaneto rev.equipa'!B208,Table1[[#Headers],[Especificação]:[Total Testes]],0))</f>
        <v>0</v>
      </c>
      <c r="H208" s="239">
        <f t="shared" si="14"/>
        <v>0</v>
      </c>
      <c r="I208" s="235"/>
      <c r="J208" s="165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  <c r="AA208" s="165"/>
      <c r="AB208" s="165"/>
      <c r="AC208" s="165"/>
      <c r="AD208" s="165"/>
      <c r="AE208" s="165"/>
      <c r="AF208" s="165"/>
      <c r="AG208" s="165"/>
      <c r="AH208" s="165"/>
      <c r="AI208" s="165"/>
      <c r="AJ208" s="165"/>
      <c r="AK208" s="165"/>
      <c r="AL208" s="165"/>
      <c r="AM208" s="165"/>
      <c r="AN208" s="165"/>
      <c r="AO208" s="165"/>
      <c r="AP208" s="165"/>
      <c r="AQ208" s="165"/>
      <c r="AR208" s="165"/>
      <c r="AS208" s="165"/>
      <c r="AT208" s="165"/>
      <c r="AU208" s="165"/>
      <c r="AV208" s="165"/>
      <c r="AW208" s="165"/>
      <c r="AX208" s="165"/>
      <c r="AY208" s="165"/>
      <c r="AZ208" s="165"/>
      <c r="BA208" s="165"/>
      <c r="BB208" s="165"/>
      <c r="BC208" s="165"/>
      <c r="BD208" s="165"/>
      <c r="BE208" s="165"/>
      <c r="BF208" s="165"/>
      <c r="BG208" s="165"/>
      <c r="BH208" s="165"/>
      <c r="BI208" s="165"/>
      <c r="BJ208" s="165"/>
      <c r="BK208" s="165"/>
      <c r="BL208" s="165"/>
      <c r="BM208" s="165"/>
      <c r="BN208" s="165"/>
      <c r="BO208" s="165"/>
      <c r="BP208" s="165"/>
      <c r="BQ208" s="165"/>
      <c r="BR208" s="165"/>
      <c r="BS208" s="165"/>
      <c r="BT208" s="165"/>
      <c r="BU208" s="165"/>
      <c r="BV208" s="165"/>
      <c r="BW208" s="165"/>
      <c r="BX208" s="165"/>
      <c r="BY208" s="165"/>
      <c r="BZ208" s="165"/>
      <c r="CA208" s="165"/>
      <c r="CB208" s="165"/>
      <c r="CC208" s="165"/>
      <c r="CD208" s="165"/>
      <c r="CE208" s="165"/>
      <c r="CF208" s="165"/>
      <c r="CG208" s="165"/>
      <c r="CH208" s="165"/>
      <c r="CI208" s="165"/>
      <c r="CJ208" s="165"/>
      <c r="CK208" s="165"/>
      <c r="CL208" s="165"/>
      <c r="CM208" s="165"/>
      <c r="CN208" s="165"/>
      <c r="CO208" s="165"/>
      <c r="CP208" s="165"/>
      <c r="CQ208" s="165"/>
    </row>
    <row r="209" spans="1:95" outlineLevel="1" x14ac:dyDescent="0.25">
      <c r="A209" s="228"/>
      <c r="B209" s="236" t="str">
        <f>Table1[[#Headers],[Total Testes]]</f>
        <v>Total Testes</v>
      </c>
      <c r="C209" s="237" t="str">
        <f t="shared" si="13"/>
        <v>INSTRUMENT_EIR_INCPTN</v>
      </c>
      <c r="D209" s="232" t="s">
        <v>414</v>
      </c>
      <c r="E209" s="232" t="s">
        <v>763</v>
      </c>
      <c r="F209" s="238"/>
      <c r="G209" s="233">
        <f>INDEX(Table1[[Especificação]:[Total Testes]],MATCH('Planemaneto rev.equipa'!C209,Table1[CONCAT],0),MATCH('Planemaneto rev.equipa'!B209,Table1[[#Headers],[Especificação]:[Total Testes]],0))</f>
        <v>0</v>
      </c>
      <c r="H209" s="239">
        <f t="shared" si="14"/>
        <v>0</v>
      </c>
      <c r="I209" s="235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  <c r="AA209" s="165"/>
      <c r="AB209" s="165"/>
      <c r="AC209" s="165"/>
      <c r="AD209" s="165"/>
      <c r="AE209" s="165"/>
      <c r="AF209" s="165"/>
      <c r="AG209" s="165"/>
      <c r="AH209" s="165"/>
      <c r="AI209" s="165"/>
      <c r="AJ209" s="165"/>
      <c r="AK209" s="165"/>
      <c r="AL209" s="165"/>
      <c r="AM209" s="165"/>
      <c r="AN209" s="165"/>
      <c r="AO209" s="165"/>
      <c r="AP209" s="165"/>
      <c r="AQ209" s="165"/>
      <c r="AR209" s="165"/>
      <c r="AS209" s="165"/>
      <c r="AT209" s="165"/>
      <c r="AU209" s="165"/>
      <c r="AV209" s="165"/>
      <c r="AW209" s="165"/>
      <c r="AX209" s="165"/>
      <c r="AY209" s="165"/>
      <c r="AZ209" s="165"/>
      <c r="BA209" s="165"/>
      <c r="BB209" s="165"/>
      <c r="BC209" s="165"/>
      <c r="BD209" s="165"/>
      <c r="BE209" s="165"/>
      <c r="BF209" s="165"/>
      <c r="BG209" s="165"/>
      <c r="BH209" s="165"/>
      <c r="BI209" s="165"/>
      <c r="BJ209" s="165"/>
      <c r="BK209" s="165"/>
      <c r="BL209" s="165"/>
      <c r="BM209" s="165"/>
      <c r="BN209" s="165"/>
      <c r="BO209" s="165"/>
      <c r="BP209" s="165"/>
      <c r="BQ209" s="165"/>
      <c r="BR209" s="165"/>
      <c r="BS209" s="165"/>
      <c r="BT209" s="165"/>
      <c r="BU209" s="165"/>
      <c r="BV209" s="165"/>
      <c r="BW209" s="165"/>
      <c r="BX209" s="165"/>
      <c r="BY209" s="165"/>
      <c r="BZ209" s="165"/>
      <c r="CA209" s="165"/>
      <c r="CB209" s="165"/>
      <c r="CC209" s="165"/>
      <c r="CD209" s="165"/>
      <c r="CE209" s="165"/>
      <c r="CF209" s="165"/>
      <c r="CG209" s="165"/>
      <c r="CH209" s="165"/>
      <c r="CI209" s="165"/>
      <c r="CJ209" s="165"/>
      <c r="CK209" s="165"/>
      <c r="CL209" s="165"/>
      <c r="CM209" s="165"/>
      <c r="CN209" s="165"/>
      <c r="CO209" s="165"/>
      <c r="CP209" s="165"/>
      <c r="CQ209" s="165"/>
    </row>
    <row r="210" spans="1:95" outlineLevel="1" x14ac:dyDescent="0.25">
      <c r="A210" s="228"/>
      <c r="B210" s="236" t="str">
        <f>Table1[[#Headers],[Total Testes]]</f>
        <v>Total Testes</v>
      </c>
      <c r="C210" s="237" t="str">
        <f t="shared" si="13"/>
        <v>PROTECTION_YR_CNSTRCTN</v>
      </c>
      <c r="D210" s="232" t="s">
        <v>1114</v>
      </c>
      <c r="E210" s="232" t="s">
        <v>1290</v>
      </c>
      <c r="F210" s="238"/>
      <c r="G210" s="233">
        <f>INDEX(Table1[[Especificação]:[Total Testes]],MATCH('Planemaneto rev.equipa'!C210,Table1[CONCAT],0),MATCH('Planemaneto rev.equipa'!B210,Table1[[#Headers],[Especificação]:[Total Testes]],0))</f>
        <v>0</v>
      </c>
      <c r="H210" s="239">
        <f t="shared" si="14"/>
        <v>0</v>
      </c>
      <c r="I210" s="235"/>
      <c r="J210" s="165"/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5"/>
      <c r="AJ210" s="165"/>
      <c r="AK210" s="165"/>
      <c r="AL210" s="165"/>
      <c r="AM210" s="165"/>
      <c r="AN210" s="165"/>
      <c r="AO210" s="165"/>
      <c r="AP210" s="165"/>
      <c r="AQ210" s="165"/>
      <c r="AR210" s="165"/>
      <c r="AS210" s="165"/>
      <c r="AT210" s="165"/>
      <c r="AU210" s="165"/>
      <c r="AV210" s="165"/>
      <c r="AW210" s="165"/>
      <c r="AX210" s="165"/>
      <c r="AY210" s="165"/>
      <c r="AZ210" s="165"/>
      <c r="BA210" s="165"/>
      <c r="BB210" s="165"/>
      <c r="BC210" s="165"/>
      <c r="BD210" s="165"/>
      <c r="BE210" s="165"/>
      <c r="BF210" s="165"/>
      <c r="BG210" s="165"/>
      <c r="BH210" s="165"/>
      <c r="BI210" s="165"/>
      <c r="BJ210" s="165"/>
      <c r="BK210" s="165"/>
      <c r="BL210" s="165"/>
      <c r="BM210" s="165"/>
      <c r="BN210" s="165"/>
      <c r="BO210" s="165"/>
      <c r="BP210" s="165"/>
      <c r="BQ210" s="165"/>
      <c r="BR210" s="165"/>
      <c r="BS210" s="165"/>
      <c r="BT210" s="165"/>
      <c r="BU210" s="165"/>
      <c r="BV210" s="165"/>
      <c r="BW210" s="165"/>
      <c r="BX210" s="165"/>
      <c r="BY210" s="165"/>
      <c r="BZ210" s="165"/>
      <c r="CA210" s="165"/>
      <c r="CB210" s="165"/>
      <c r="CC210" s="165"/>
      <c r="CD210" s="165"/>
      <c r="CE210" s="165"/>
      <c r="CF210" s="165"/>
      <c r="CG210" s="165"/>
      <c r="CH210" s="165"/>
      <c r="CI210" s="165"/>
      <c r="CJ210" s="165"/>
      <c r="CK210" s="165"/>
      <c r="CL210" s="165"/>
      <c r="CM210" s="165"/>
      <c r="CN210" s="165"/>
      <c r="CO210" s="165"/>
      <c r="CP210" s="165"/>
      <c r="CQ210" s="165"/>
    </row>
    <row r="211" spans="1:95" outlineLevel="1" x14ac:dyDescent="0.25">
      <c r="A211" s="228"/>
      <c r="B211" s="236" t="str">
        <f>Table1[[#Headers],[Total Testes]]</f>
        <v>Total Testes</v>
      </c>
      <c r="C211" s="237" t="str">
        <f t="shared" si="13"/>
        <v>INSTRUMENT_INTRNL_SGMNT</v>
      </c>
      <c r="D211" s="232" t="s">
        <v>414</v>
      </c>
      <c r="E211" s="232" t="s">
        <v>50</v>
      </c>
      <c r="F211" s="238"/>
      <c r="G211" s="233">
        <f>INDEX(Table1[[Especificação]:[Total Testes]],MATCH('Planemaneto rev.equipa'!C211,Table1[CONCAT],0),MATCH('Planemaneto rev.equipa'!B211,Table1[[#Headers],[Especificação]:[Total Testes]],0))</f>
        <v>0</v>
      </c>
      <c r="H211" s="239">
        <f t="shared" si="14"/>
        <v>0</v>
      </c>
      <c r="I211" s="235"/>
      <c r="J211" s="165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5"/>
      <c r="AJ211" s="165"/>
      <c r="AK211" s="165"/>
      <c r="AL211" s="165"/>
      <c r="AM211" s="165"/>
      <c r="AN211" s="165"/>
      <c r="AO211" s="165"/>
      <c r="AP211" s="165"/>
      <c r="AQ211" s="165"/>
      <c r="AR211" s="165"/>
      <c r="AS211" s="165"/>
      <c r="AT211" s="165"/>
      <c r="AU211" s="165"/>
      <c r="AV211" s="165"/>
      <c r="AW211" s="165"/>
      <c r="AX211" s="165"/>
      <c r="AY211" s="165"/>
      <c r="AZ211" s="165"/>
      <c r="BA211" s="165"/>
      <c r="BB211" s="165"/>
      <c r="BC211" s="165"/>
      <c r="BD211" s="165"/>
      <c r="BE211" s="165"/>
      <c r="BF211" s="165"/>
      <c r="BG211" s="165"/>
      <c r="BH211" s="165"/>
      <c r="BI211" s="165"/>
      <c r="BJ211" s="165"/>
      <c r="BK211" s="165"/>
      <c r="BL211" s="165"/>
      <c r="BM211" s="165"/>
      <c r="BN211" s="165"/>
      <c r="BO211" s="165"/>
      <c r="BP211" s="165"/>
      <c r="BQ211" s="165"/>
      <c r="BR211" s="165"/>
      <c r="BS211" s="165"/>
      <c r="BT211" s="165"/>
      <c r="BU211" s="165"/>
      <c r="BV211" s="165"/>
      <c r="BW211" s="165"/>
      <c r="BX211" s="165"/>
      <c r="BY211" s="165"/>
      <c r="BZ211" s="165"/>
      <c r="CA211" s="165"/>
      <c r="CB211" s="165"/>
      <c r="CC211" s="165"/>
      <c r="CD211" s="165"/>
      <c r="CE211" s="165"/>
      <c r="CF211" s="165"/>
      <c r="CG211" s="165"/>
      <c r="CH211" s="165"/>
      <c r="CI211" s="165"/>
      <c r="CJ211" s="165"/>
      <c r="CK211" s="165"/>
      <c r="CL211" s="165"/>
      <c r="CM211" s="165"/>
      <c r="CN211" s="165"/>
      <c r="CO211" s="165"/>
      <c r="CP211" s="165"/>
      <c r="CQ211" s="165"/>
    </row>
    <row r="212" spans="1:95" outlineLevel="1" x14ac:dyDescent="0.25">
      <c r="A212" s="228"/>
      <c r="B212" s="236" t="str">
        <f>Table1[[#Headers],[Total Testes]]</f>
        <v>Total Testes</v>
      </c>
      <c r="C212" s="237" t="str">
        <f t="shared" si="13"/>
        <v>INSTRUMENT_EAD</v>
      </c>
      <c r="D212" s="232" t="s">
        <v>414</v>
      </c>
      <c r="E212" s="232" t="s">
        <v>617</v>
      </c>
      <c r="F212" s="238"/>
      <c r="G212" s="233">
        <f>INDEX(Table1[[Especificação]:[Total Testes]],MATCH('Planemaneto rev.equipa'!C212,Table1[CONCAT],0),MATCH('Planemaneto rev.equipa'!B212,Table1[[#Headers],[Especificação]:[Total Testes]],0))</f>
        <v>0</v>
      </c>
      <c r="H212" s="239">
        <f t="shared" si="14"/>
        <v>0</v>
      </c>
      <c r="I212" s="235"/>
      <c r="J212" s="165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  <c r="AA212" s="165"/>
      <c r="AB212" s="165"/>
      <c r="AC212" s="165"/>
      <c r="AD212" s="165"/>
      <c r="AE212" s="165"/>
      <c r="AF212" s="165"/>
      <c r="AG212" s="165"/>
      <c r="AH212" s="165"/>
      <c r="AI212" s="165"/>
      <c r="AJ212" s="165"/>
      <c r="AK212" s="165"/>
      <c r="AL212" s="165"/>
      <c r="AM212" s="165"/>
      <c r="AN212" s="165"/>
      <c r="AO212" s="165"/>
      <c r="AP212" s="165"/>
      <c r="AQ212" s="165"/>
      <c r="AR212" s="165"/>
      <c r="AS212" s="165"/>
      <c r="AT212" s="165"/>
      <c r="AU212" s="165"/>
      <c r="AV212" s="165"/>
      <c r="AW212" s="165"/>
      <c r="AX212" s="165"/>
      <c r="AY212" s="165"/>
      <c r="AZ212" s="165"/>
      <c r="BA212" s="165"/>
      <c r="BB212" s="165"/>
      <c r="BC212" s="165"/>
      <c r="BD212" s="165"/>
      <c r="BE212" s="165"/>
      <c r="BF212" s="165"/>
      <c r="BG212" s="165"/>
      <c r="BH212" s="165"/>
      <c r="BI212" s="165"/>
      <c r="BJ212" s="165"/>
      <c r="BK212" s="165"/>
      <c r="BL212" s="165"/>
      <c r="BM212" s="165"/>
      <c r="BN212" s="165"/>
      <c r="BO212" s="165"/>
      <c r="BP212" s="165"/>
      <c r="BQ212" s="165"/>
      <c r="BR212" s="165"/>
      <c r="BS212" s="165"/>
      <c r="BT212" s="165"/>
      <c r="BU212" s="165"/>
      <c r="BV212" s="165"/>
      <c r="BW212" s="165"/>
      <c r="BX212" s="165"/>
      <c r="BY212" s="165"/>
      <c r="BZ212" s="165"/>
      <c r="CA212" s="165"/>
      <c r="CB212" s="165"/>
      <c r="CC212" s="165"/>
      <c r="CD212" s="165"/>
      <c r="CE212" s="165"/>
      <c r="CF212" s="165"/>
      <c r="CG212" s="165"/>
      <c r="CH212" s="165"/>
      <c r="CI212" s="165"/>
      <c r="CJ212" s="165"/>
      <c r="CK212" s="165"/>
      <c r="CL212" s="165"/>
      <c r="CM212" s="165"/>
      <c r="CN212" s="165"/>
      <c r="CO212" s="165"/>
      <c r="CP212" s="165"/>
      <c r="CQ212" s="165"/>
    </row>
    <row r="213" spans="1:95" outlineLevel="1" x14ac:dyDescent="0.25">
      <c r="A213" s="228"/>
      <c r="B213" s="236" t="str">
        <f>Table1[[#Headers],[Total Testes]]</f>
        <v>Total Testes</v>
      </c>
      <c r="C213" s="237" t="str">
        <f t="shared" si="13"/>
        <v>INSTRUMENT_OFF_BLNC_SHT_AMNT_INSTRMNT</v>
      </c>
      <c r="D213" s="232" t="s">
        <v>414</v>
      </c>
      <c r="E213" s="232" t="s">
        <v>629</v>
      </c>
      <c r="F213" s="238"/>
      <c r="G213" s="233">
        <f>INDEX(Table1[[Especificação]:[Total Testes]],MATCH('Planemaneto rev.equipa'!C213,Table1[CONCAT],0),MATCH('Planemaneto rev.equipa'!B213,Table1[[#Headers],[Especificação]:[Total Testes]],0))</f>
        <v>0</v>
      </c>
      <c r="H213" s="239">
        <f t="shared" si="14"/>
        <v>0</v>
      </c>
      <c r="I213" s="235"/>
      <c r="J213" s="165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  <c r="AA213" s="165"/>
      <c r="AB213" s="165"/>
      <c r="AC213" s="165"/>
      <c r="AD213" s="165"/>
      <c r="AE213" s="165"/>
      <c r="AF213" s="165"/>
      <c r="AG213" s="165"/>
      <c r="AH213" s="165"/>
      <c r="AI213" s="165"/>
      <c r="AJ213" s="165"/>
      <c r="AK213" s="165"/>
      <c r="AL213" s="165"/>
      <c r="AM213" s="165"/>
      <c r="AN213" s="165"/>
      <c r="AO213" s="165"/>
      <c r="AP213" s="165"/>
      <c r="AQ213" s="165"/>
      <c r="AR213" s="165"/>
      <c r="AS213" s="165"/>
      <c r="AT213" s="165"/>
      <c r="AU213" s="165"/>
      <c r="AV213" s="165"/>
      <c r="AW213" s="165"/>
      <c r="AX213" s="165"/>
      <c r="AY213" s="165"/>
      <c r="AZ213" s="165"/>
      <c r="BA213" s="165"/>
      <c r="BB213" s="165"/>
      <c r="BC213" s="165"/>
      <c r="BD213" s="165"/>
      <c r="BE213" s="165"/>
      <c r="BF213" s="165"/>
      <c r="BG213" s="165"/>
      <c r="BH213" s="165"/>
      <c r="BI213" s="165"/>
      <c r="BJ213" s="165"/>
      <c r="BK213" s="165"/>
      <c r="BL213" s="165"/>
      <c r="BM213" s="165"/>
      <c r="BN213" s="165"/>
      <c r="BO213" s="165"/>
      <c r="BP213" s="165"/>
      <c r="BQ213" s="165"/>
      <c r="BR213" s="165"/>
      <c r="BS213" s="165"/>
      <c r="BT213" s="165"/>
      <c r="BU213" s="165"/>
      <c r="BV213" s="165"/>
      <c r="BW213" s="165"/>
      <c r="BX213" s="165"/>
      <c r="BY213" s="165"/>
      <c r="BZ213" s="165"/>
      <c r="CA213" s="165"/>
      <c r="CB213" s="165"/>
      <c r="CC213" s="165"/>
      <c r="CD213" s="165"/>
      <c r="CE213" s="165"/>
      <c r="CF213" s="165"/>
      <c r="CG213" s="165"/>
      <c r="CH213" s="165"/>
      <c r="CI213" s="165"/>
      <c r="CJ213" s="165"/>
      <c r="CK213" s="165"/>
      <c r="CL213" s="165"/>
      <c r="CM213" s="165"/>
      <c r="CN213" s="165"/>
      <c r="CO213" s="165"/>
      <c r="CP213" s="165"/>
      <c r="CQ213" s="165"/>
    </row>
    <row r="214" spans="1:95" outlineLevel="1" x14ac:dyDescent="0.25">
      <c r="A214" s="228"/>
      <c r="B214" s="236" t="str">
        <f>Table1[[#Headers],[Total Testes]]</f>
        <v>Total Testes</v>
      </c>
      <c r="C214" s="237" t="str">
        <f t="shared" si="13"/>
        <v>INSTRUMENT_INTRNL_SGMNT_CAT_MSTA</v>
      </c>
      <c r="D214" s="232" t="s">
        <v>414</v>
      </c>
      <c r="E214" s="232" t="s">
        <v>943</v>
      </c>
      <c r="F214" s="238"/>
      <c r="G214" s="233">
        <f>INDEX(Table1[[Especificação]:[Total Testes]],MATCH('Planemaneto rev.equipa'!C214,Table1[CONCAT],0),MATCH('Planemaneto rev.equipa'!B214,Table1[[#Headers],[Especificação]:[Total Testes]],0))</f>
        <v>0</v>
      </c>
      <c r="H214" s="239">
        <f t="shared" si="14"/>
        <v>0</v>
      </c>
      <c r="I214" s="235"/>
      <c r="J214" s="165"/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  <c r="AA214" s="165"/>
      <c r="AB214" s="165"/>
      <c r="AC214" s="165"/>
      <c r="AD214" s="165"/>
      <c r="AE214" s="165"/>
      <c r="AF214" s="165"/>
      <c r="AG214" s="165"/>
      <c r="AH214" s="165"/>
      <c r="AI214" s="165"/>
      <c r="AJ214" s="165"/>
      <c r="AK214" s="165"/>
      <c r="AL214" s="165"/>
      <c r="AM214" s="165"/>
      <c r="AN214" s="165"/>
      <c r="AO214" s="165"/>
      <c r="AP214" s="165"/>
      <c r="AQ214" s="165"/>
      <c r="AR214" s="165"/>
      <c r="AS214" s="165"/>
      <c r="AT214" s="165"/>
      <c r="AU214" s="165"/>
      <c r="AV214" s="165"/>
      <c r="AW214" s="165"/>
      <c r="AX214" s="165"/>
      <c r="AY214" s="165"/>
      <c r="AZ214" s="165"/>
      <c r="BA214" s="165"/>
      <c r="BB214" s="165"/>
      <c r="BC214" s="165"/>
      <c r="BD214" s="165"/>
      <c r="BE214" s="165"/>
      <c r="BF214" s="165"/>
      <c r="BG214" s="165"/>
      <c r="BH214" s="165"/>
      <c r="BI214" s="165"/>
      <c r="BJ214" s="165"/>
      <c r="BK214" s="165"/>
      <c r="BL214" s="165"/>
      <c r="BM214" s="165"/>
      <c r="BN214" s="165"/>
      <c r="BO214" s="165"/>
      <c r="BP214" s="165"/>
      <c r="BQ214" s="165"/>
      <c r="BR214" s="165"/>
      <c r="BS214" s="165"/>
      <c r="BT214" s="165"/>
      <c r="BU214" s="165"/>
      <c r="BV214" s="165"/>
      <c r="BW214" s="165"/>
      <c r="BX214" s="165"/>
      <c r="BY214" s="165"/>
      <c r="BZ214" s="165"/>
      <c r="CA214" s="165"/>
      <c r="CB214" s="165"/>
      <c r="CC214" s="165"/>
      <c r="CD214" s="165"/>
      <c r="CE214" s="165"/>
      <c r="CF214" s="165"/>
      <c r="CG214" s="165"/>
      <c r="CH214" s="165"/>
      <c r="CI214" s="165"/>
      <c r="CJ214" s="165"/>
      <c r="CK214" s="165"/>
      <c r="CL214" s="165"/>
      <c r="CM214" s="165"/>
      <c r="CN214" s="165"/>
      <c r="CO214" s="165"/>
      <c r="CP214" s="165"/>
      <c r="CQ214" s="165"/>
    </row>
    <row r="215" spans="1:95" outlineLevel="1" x14ac:dyDescent="0.25">
      <c r="A215" s="228"/>
      <c r="B215" s="236" t="str">
        <f>Table1[[#Headers],[Total Testes]]</f>
        <v>Total Testes</v>
      </c>
      <c r="C215" s="237" t="str">
        <f t="shared" si="13"/>
        <v>INSTRUMENT_INTRNL_SGMNT_CATGSUB</v>
      </c>
      <c r="D215" s="232" t="s">
        <v>414</v>
      </c>
      <c r="E215" s="232" t="s">
        <v>946</v>
      </c>
      <c r="F215" s="238"/>
      <c r="G215" s="233">
        <f>INDEX(Table1[[Especificação]:[Total Testes]],MATCH('Planemaneto rev.equipa'!C215,Table1[CONCAT],0),MATCH('Planemaneto rev.equipa'!B215,Table1[[#Headers],[Especificação]:[Total Testes]],0))</f>
        <v>0</v>
      </c>
      <c r="H215" s="239">
        <f t="shared" si="14"/>
        <v>0</v>
      </c>
      <c r="I215" s="235"/>
      <c r="J215" s="165"/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  <c r="AA215" s="165"/>
      <c r="AB215" s="165"/>
      <c r="AC215" s="165"/>
      <c r="AD215" s="165"/>
      <c r="AE215" s="165"/>
      <c r="AF215" s="165"/>
      <c r="AG215" s="165"/>
      <c r="AH215" s="165"/>
      <c r="AI215" s="165"/>
      <c r="AJ215" s="165"/>
      <c r="AK215" s="165"/>
      <c r="AL215" s="165"/>
      <c r="AM215" s="165"/>
      <c r="AN215" s="165"/>
      <c r="AO215" s="165"/>
      <c r="AP215" s="165"/>
      <c r="AQ215" s="165"/>
      <c r="AR215" s="165"/>
      <c r="AS215" s="165"/>
      <c r="AT215" s="165"/>
      <c r="AU215" s="165"/>
      <c r="AV215" s="165"/>
      <c r="AW215" s="165"/>
      <c r="AX215" s="165"/>
      <c r="AY215" s="165"/>
      <c r="AZ215" s="165"/>
      <c r="BA215" s="165"/>
      <c r="BB215" s="165"/>
      <c r="BC215" s="165"/>
      <c r="BD215" s="165"/>
      <c r="BE215" s="165"/>
      <c r="BF215" s="165"/>
      <c r="BG215" s="165"/>
      <c r="BH215" s="165"/>
      <c r="BI215" s="165"/>
      <c r="BJ215" s="165"/>
      <c r="BK215" s="165"/>
      <c r="BL215" s="165"/>
      <c r="BM215" s="165"/>
      <c r="BN215" s="165"/>
      <c r="BO215" s="165"/>
      <c r="BP215" s="165"/>
      <c r="BQ215" s="165"/>
      <c r="BR215" s="165"/>
      <c r="BS215" s="165"/>
      <c r="BT215" s="165"/>
      <c r="BU215" s="165"/>
      <c r="BV215" s="165"/>
      <c r="BW215" s="165"/>
      <c r="BX215" s="165"/>
      <c r="BY215" s="165"/>
      <c r="BZ215" s="165"/>
      <c r="CA215" s="165"/>
      <c r="CB215" s="165"/>
      <c r="CC215" s="165"/>
      <c r="CD215" s="165"/>
      <c r="CE215" s="165"/>
      <c r="CF215" s="165"/>
      <c r="CG215" s="165"/>
      <c r="CH215" s="165"/>
      <c r="CI215" s="165"/>
      <c r="CJ215" s="165"/>
      <c r="CK215" s="165"/>
      <c r="CL215" s="165"/>
      <c r="CM215" s="165"/>
      <c r="CN215" s="165"/>
      <c r="CO215" s="165"/>
      <c r="CP215" s="165"/>
      <c r="CQ215" s="165"/>
    </row>
    <row r="216" spans="1:95" outlineLevel="1" x14ac:dyDescent="0.25">
      <c r="A216" s="228"/>
      <c r="B216" s="236" t="str">
        <f>Table1[[#Headers],[Total Testes]]</f>
        <v>Total Testes</v>
      </c>
      <c r="C216" s="237" t="str">
        <f t="shared" si="13"/>
        <v>PROTECTION_RL_ESTT_ADDRSS</v>
      </c>
      <c r="D216" s="232" t="s">
        <v>1114</v>
      </c>
      <c r="E216" s="232" t="s">
        <v>1127</v>
      </c>
      <c r="F216" s="238"/>
      <c r="G216" s="233">
        <f>INDEX(Table1[[Especificação]:[Total Testes]],MATCH('Planemaneto rev.equipa'!C216,Table1[CONCAT],0),MATCH('Planemaneto rev.equipa'!B216,Table1[[#Headers],[Especificação]:[Total Testes]],0))</f>
        <v>0</v>
      </c>
      <c r="H216" s="239">
        <f t="shared" si="14"/>
        <v>0</v>
      </c>
      <c r="I216" s="235"/>
      <c r="J216" s="165"/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  <c r="AA216" s="165"/>
      <c r="AB216" s="165"/>
      <c r="AC216" s="165"/>
      <c r="AD216" s="165"/>
      <c r="AE216" s="165"/>
      <c r="AF216" s="165"/>
      <c r="AG216" s="165"/>
      <c r="AH216" s="165"/>
      <c r="AI216" s="165"/>
      <c r="AJ216" s="165"/>
      <c r="AK216" s="165"/>
      <c r="AL216" s="165"/>
      <c r="AM216" s="165"/>
      <c r="AN216" s="165"/>
      <c r="AO216" s="165"/>
      <c r="AP216" s="165"/>
      <c r="AQ216" s="165"/>
      <c r="AR216" s="165"/>
      <c r="AS216" s="165"/>
      <c r="AT216" s="165"/>
      <c r="AU216" s="165"/>
      <c r="AV216" s="165"/>
      <c r="AW216" s="165"/>
      <c r="AX216" s="165"/>
      <c r="AY216" s="165"/>
      <c r="AZ216" s="165"/>
      <c r="BA216" s="165"/>
      <c r="BB216" s="165"/>
      <c r="BC216" s="165"/>
      <c r="BD216" s="165"/>
      <c r="BE216" s="165"/>
      <c r="BF216" s="165"/>
      <c r="BG216" s="165"/>
      <c r="BH216" s="165"/>
      <c r="BI216" s="165"/>
      <c r="BJ216" s="165"/>
      <c r="BK216" s="165"/>
      <c r="BL216" s="165"/>
      <c r="BM216" s="165"/>
      <c r="BN216" s="165"/>
      <c r="BO216" s="165"/>
      <c r="BP216" s="165"/>
      <c r="BQ216" s="165"/>
      <c r="BR216" s="165"/>
      <c r="BS216" s="165"/>
      <c r="BT216" s="165"/>
      <c r="BU216" s="165"/>
      <c r="BV216" s="165"/>
      <c r="BW216" s="165"/>
      <c r="BX216" s="165"/>
      <c r="BY216" s="165"/>
      <c r="BZ216" s="165"/>
      <c r="CA216" s="165"/>
      <c r="CB216" s="165"/>
      <c r="CC216" s="165"/>
      <c r="CD216" s="165"/>
      <c r="CE216" s="165"/>
      <c r="CF216" s="165"/>
      <c r="CG216" s="165"/>
      <c r="CH216" s="165"/>
      <c r="CI216" s="165"/>
      <c r="CJ216" s="165"/>
      <c r="CK216" s="165"/>
      <c r="CL216" s="165"/>
      <c r="CM216" s="165"/>
      <c r="CN216" s="165"/>
      <c r="CO216" s="165"/>
      <c r="CP216" s="165"/>
      <c r="CQ216" s="165"/>
    </row>
    <row r="217" spans="1:95" outlineLevel="1" x14ac:dyDescent="0.25">
      <c r="A217" s="228"/>
      <c r="B217" s="236" t="str">
        <f>Table1[[#Headers],[Total Testes]]</f>
        <v>Total Testes</v>
      </c>
      <c r="C217" s="237" t="str">
        <f t="shared" si="13"/>
        <v>PROTECTION_RL_ESTT_CLLTRL_LCTN_INT</v>
      </c>
      <c r="D217" s="232" t="s">
        <v>1114</v>
      </c>
      <c r="E217" s="232" t="s">
        <v>1133</v>
      </c>
      <c r="F217" s="238"/>
      <c r="G217" s="233">
        <f>INDEX(Table1[[Especificação]:[Total Testes]],MATCH('Planemaneto rev.equipa'!C217,Table1[CONCAT],0),MATCH('Planemaneto rev.equipa'!B217,Table1[[#Headers],[Especificação]:[Total Testes]],0))</f>
        <v>0</v>
      </c>
      <c r="H217" s="239">
        <f t="shared" si="14"/>
        <v>0</v>
      </c>
      <c r="I217" s="235"/>
      <c r="J217" s="165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  <c r="AA217" s="165"/>
      <c r="AB217" s="165"/>
      <c r="AC217" s="165"/>
      <c r="AD217" s="165"/>
      <c r="AE217" s="165"/>
      <c r="AF217" s="165"/>
      <c r="AG217" s="165"/>
      <c r="AH217" s="165"/>
      <c r="AI217" s="165"/>
      <c r="AJ217" s="165"/>
      <c r="AK217" s="165"/>
      <c r="AL217" s="165"/>
      <c r="AM217" s="165"/>
      <c r="AN217" s="165"/>
      <c r="AO217" s="165"/>
      <c r="AP217" s="165"/>
      <c r="AQ217" s="165"/>
      <c r="AR217" s="165"/>
      <c r="AS217" s="165"/>
      <c r="AT217" s="165"/>
      <c r="AU217" s="165"/>
      <c r="AV217" s="165"/>
      <c r="AW217" s="165"/>
      <c r="AX217" s="165"/>
      <c r="AY217" s="165"/>
      <c r="AZ217" s="165"/>
      <c r="BA217" s="165"/>
      <c r="BB217" s="165"/>
      <c r="BC217" s="165"/>
      <c r="BD217" s="165"/>
      <c r="BE217" s="165"/>
      <c r="BF217" s="165"/>
      <c r="BG217" s="165"/>
      <c r="BH217" s="165"/>
      <c r="BI217" s="165"/>
      <c r="BJ217" s="165"/>
      <c r="BK217" s="165"/>
      <c r="BL217" s="165"/>
      <c r="BM217" s="165"/>
      <c r="BN217" s="165"/>
      <c r="BO217" s="165"/>
      <c r="BP217" s="165"/>
      <c r="BQ217" s="165"/>
      <c r="BR217" s="165"/>
      <c r="BS217" s="165"/>
      <c r="BT217" s="165"/>
      <c r="BU217" s="165"/>
      <c r="BV217" s="165"/>
      <c r="BW217" s="165"/>
      <c r="BX217" s="165"/>
      <c r="BY217" s="165"/>
      <c r="BZ217" s="165"/>
      <c r="CA217" s="165"/>
      <c r="CB217" s="165"/>
      <c r="CC217" s="165"/>
      <c r="CD217" s="165"/>
      <c r="CE217" s="165"/>
      <c r="CF217" s="165"/>
      <c r="CG217" s="165"/>
      <c r="CH217" s="165"/>
      <c r="CI217" s="165"/>
      <c r="CJ217" s="165"/>
      <c r="CK217" s="165"/>
      <c r="CL217" s="165"/>
      <c r="CM217" s="165"/>
      <c r="CN217" s="165"/>
      <c r="CO217" s="165"/>
      <c r="CP217" s="165"/>
      <c r="CQ217" s="165"/>
    </row>
    <row r="218" spans="1:95" outlineLevel="1" x14ac:dyDescent="0.25">
      <c r="A218" s="228"/>
      <c r="B218" s="236" t="str">
        <f>Table1[[#Headers],[Total Testes]]</f>
        <v>Total Testes</v>
      </c>
      <c r="C218" s="237" t="str">
        <f t="shared" si="13"/>
        <v>PROTECTION_RL_ESTT_CTY</v>
      </c>
      <c r="D218" s="232" t="s">
        <v>1114</v>
      </c>
      <c r="E218" s="232" t="s">
        <v>1136</v>
      </c>
      <c r="F218" s="238"/>
      <c r="G218" s="233">
        <f>INDEX(Table1[[Especificação]:[Total Testes]],MATCH('Planemaneto rev.equipa'!C218,Table1[CONCAT],0),MATCH('Planemaneto rev.equipa'!B218,Table1[[#Headers],[Especificação]:[Total Testes]],0))</f>
        <v>0</v>
      </c>
      <c r="H218" s="239">
        <f t="shared" si="14"/>
        <v>0</v>
      </c>
      <c r="I218" s="235"/>
      <c r="J218" s="165"/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  <c r="AA218" s="165"/>
      <c r="AB218" s="165"/>
      <c r="AC218" s="165"/>
      <c r="AD218" s="165"/>
      <c r="AE218" s="165"/>
      <c r="AF218" s="165"/>
      <c r="AG218" s="165"/>
      <c r="AH218" s="165"/>
      <c r="AI218" s="165"/>
      <c r="AJ218" s="165"/>
      <c r="AK218" s="165"/>
      <c r="AL218" s="165"/>
      <c r="AM218" s="165"/>
      <c r="AN218" s="165"/>
      <c r="AO218" s="165"/>
      <c r="AP218" s="165"/>
      <c r="AQ218" s="165"/>
      <c r="AR218" s="165"/>
      <c r="AS218" s="165"/>
      <c r="AT218" s="165"/>
      <c r="AU218" s="165"/>
      <c r="AV218" s="165"/>
      <c r="AW218" s="165"/>
      <c r="AX218" s="165"/>
      <c r="AY218" s="165"/>
      <c r="AZ218" s="165"/>
      <c r="BA218" s="165"/>
      <c r="BB218" s="165"/>
      <c r="BC218" s="165"/>
      <c r="BD218" s="165"/>
      <c r="BE218" s="165"/>
      <c r="BF218" s="165"/>
      <c r="BG218" s="165"/>
      <c r="BH218" s="165"/>
      <c r="BI218" s="165"/>
      <c r="BJ218" s="165"/>
      <c r="BK218" s="165"/>
      <c r="BL218" s="165"/>
      <c r="BM218" s="165"/>
      <c r="BN218" s="165"/>
      <c r="BO218" s="165"/>
      <c r="BP218" s="165"/>
      <c r="BQ218" s="165"/>
      <c r="BR218" s="165"/>
      <c r="BS218" s="165"/>
      <c r="BT218" s="165"/>
      <c r="BU218" s="165"/>
      <c r="BV218" s="165"/>
      <c r="BW218" s="165"/>
      <c r="BX218" s="165"/>
      <c r="BY218" s="165"/>
      <c r="BZ218" s="165"/>
      <c r="CA218" s="165"/>
      <c r="CB218" s="165"/>
      <c r="CC218" s="165"/>
      <c r="CD218" s="165"/>
      <c r="CE218" s="165"/>
      <c r="CF218" s="165"/>
      <c r="CG218" s="165"/>
      <c r="CH218" s="165"/>
      <c r="CI218" s="165"/>
      <c r="CJ218" s="165"/>
      <c r="CK218" s="165"/>
      <c r="CL218" s="165"/>
      <c r="CM218" s="165"/>
      <c r="CN218" s="165"/>
      <c r="CO218" s="165"/>
      <c r="CP218" s="165"/>
      <c r="CQ218" s="165"/>
    </row>
    <row r="219" spans="1:95" outlineLevel="1" x14ac:dyDescent="0.25">
      <c r="A219" s="228"/>
      <c r="B219" s="236" t="str">
        <f>Table1[[#Headers],[Total Testes]]</f>
        <v>Total Testes</v>
      </c>
      <c r="C219" s="237" t="str">
        <f t="shared" si="13"/>
        <v>INSTRUMENT_TYP_OFF_BLNC_PRDCT</v>
      </c>
      <c r="D219" s="232" t="s">
        <v>414</v>
      </c>
      <c r="E219" s="232" t="s">
        <v>1351</v>
      </c>
      <c r="F219" s="238"/>
      <c r="G219" s="233">
        <f>INDEX(Table1[[Especificação]:[Total Testes]],MATCH('Planemaneto rev.equipa'!C219,Table1[CONCAT],0),MATCH('Planemaneto rev.equipa'!B219,Table1[[#Headers],[Especificação]:[Total Testes]],0))</f>
        <v>0</v>
      </c>
      <c r="H219" s="239">
        <f t="shared" si="14"/>
        <v>0</v>
      </c>
      <c r="I219" s="235"/>
      <c r="J219" s="165"/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  <c r="AA219" s="165"/>
      <c r="AB219" s="165"/>
      <c r="AC219" s="165"/>
      <c r="AD219" s="165"/>
      <c r="AE219" s="165"/>
      <c r="AF219" s="165"/>
      <c r="AG219" s="165"/>
      <c r="AH219" s="165"/>
      <c r="AI219" s="165"/>
      <c r="AJ219" s="165"/>
      <c r="AK219" s="165"/>
      <c r="AL219" s="165"/>
      <c r="AM219" s="165"/>
      <c r="AN219" s="165"/>
      <c r="AO219" s="165"/>
      <c r="AP219" s="165"/>
      <c r="AQ219" s="165"/>
      <c r="AR219" s="165"/>
      <c r="AS219" s="165"/>
      <c r="AT219" s="165"/>
      <c r="AU219" s="165"/>
      <c r="AV219" s="165"/>
      <c r="AW219" s="165"/>
      <c r="AX219" s="165"/>
      <c r="AY219" s="165"/>
      <c r="AZ219" s="165"/>
      <c r="BA219" s="165"/>
      <c r="BB219" s="165"/>
      <c r="BC219" s="165"/>
      <c r="BD219" s="165"/>
      <c r="BE219" s="165"/>
      <c r="BF219" s="165"/>
      <c r="BG219" s="165"/>
      <c r="BH219" s="165"/>
      <c r="BI219" s="165"/>
      <c r="BJ219" s="165"/>
      <c r="BK219" s="165"/>
      <c r="BL219" s="165"/>
      <c r="BM219" s="165"/>
      <c r="BN219" s="165"/>
      <c r="BO219" s="165"/>
      <c r="BP219" s="165"/>
      <c r="BQ219" s="165"/>
      <c r="BR219" s="165"/>
      <c r="BS219" s="165"/>
      <c r="BT219" s="165"/>
      <c r="BU219" s="165"/>
      <c r="BV219" s="165"/>
      <c r="BW219" s="165"/>
      <c r="BX219" s="165"/>
      <c r="BY219" s="165"/>
      <c r="BZ219" s="165"/>
      <c r="CA219" s="165"/>
      <c r="CB219" s="165"/>
      <c r="CC219" s="165"/>
      <c r="CD219" s="165"/>
      <c r="CE219" s="165"/>
      <c r="CF219" s="165"/>
      <c r="CG219" s="165"/>
      <c r="CH219" s="165"/>
      <c r="CI219" s="165"/>
      <c r="CJ219" s="165"/>
      <c r="CK219" s="165"/>
      <c r="CL219" s="165"/>
      <c r="CM219" s="165"/>
      <c r="CN219" s="165"/>
      <c r="CO219" s="165"/>
      <c r="CP219" s="165"/>
      <c r="CQ219" s="165"/>
    </row>
    <row r="220" spans="1:95" outlineLevel="1" x14ac:dyDescent="0.25">
      <c r="A220" s="228"/>
      <c r="B220" s="236" t="str">
        <f>Table1[[#Headers],[Total Testes]]</f>
        <v>Total Testes</v>
      </c>
      <c r="C220" s="237" t="str">
        <f t="shared" si="13"/>
        <v>INSTRUMENT_FLG_MNMM_SFGRDS</v>
      </c>
      <c r="D220" s="232" t="s">
        <v>414</v>
      </c>
      <c r="E220" s="232" t="s">
        <v>1480</v>
      </c>
      <c r="F220" s="238"/>
      <c r="G220" s="233">
        <f>INDEX(Table1[[Especificação]:[Total Testes]],MATCH('Planemaneto rev.equipa'!C220,Table1[CONCAT],0),MATCH('Planemaneto rev.equipa'!B220,Table1[[#Headers],[Especificação]:[Total Testes]],0))</f>
        <v>0</v>
      </c>
      <c r="H220" s="239">
        <f t="shared" si="14"/>
        <v>0</v>
      </c>
      <c r="I220" s="235"/>
      <c r="J220" s="165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  <c r="AA220" s="165"/>
      <c r="AB220" s="165"/>
      <c r="AC220" s="165"/>
      <c r="AD220" s="165"/>
      <c r="AE220" s="165"/>
      <c r="AF220" s="165"/>
      <c r="AG220" s="165"/>
      <c r="AH220" s="165"/>
      <c r="AI220" s="165"/>
      <c r="AJ220" s="165"/>
      <c r="AK220" s="165"/>
      <c r="AL220" s="165"/>
      <c r="AM220" s="165"/>
      <c r="AN220" s="165"/>
      <c r="AO220" s="165"/>
      <c r="AP220" s="165"/>
      <c r="AQ220" s="165"/>
      <c r="AR220" s="165"/>
      <c r="AS220" s="165"/>
      <c r="AT220" s="165"/>
      <c r="AU220" s="165"/>
      <c r="AV220" s="165"/>
      <c r="AW220" s="165"/>
      <c r="AX220" s="165"/>
      <c r="AY220" s="165"/>
      <c r="AZ220" s="165"/>
      <c r="BA220" s="165"/>
      <c r="BB220" s="165"/>
      <c r="BC220" s="165"/>
      <c r="BD220" s="165"/>
      <c r="BE220" s="165"/>
      <c r="BF220" s="165"/>
      <c r="BG220" s="165"/>
      <c r="BH220" s="165"/>
      <c r="BI220" s="165"/>
      <c r="BJ220" s="165"/>
      <c r="BK220" s="165"/>
      <c r="BL220" s="165"/>
      <c r="BM220" s="165"/>
      <c r="BN220" s="165"/>
      <c r="BO220" s="165"/>
      <c r="BP220" s="165"/>
      <c r="BQ220" s="165"/>
      <c r="BR220" s="165"/>
      <c r="BS220" s="165"/>
      <c r="BT220" s="165"/>
      <c r="BU220" s="165"/>
      <c r="BV220" s="165"/>
      <c r="BW220" s="165"/>
      <c r="BX220" s="165"/>
      <c r="BY220" s="165"/>
      <c r="BZ220" s="165"/>
      <c r="CA220" s="165"/>
      <c r="CB220" s="165"/>
      <c r="CC220" s="165"/>
      <c r="CD220" s="165"/>
      <c r="CE220" s="165"/>
      <c r="CF220" s="165"/>
      <c r="CG220" s="165"/>
      <c r="CH220" s="165"/>
      <c r="CI220" s="165"/>
      <c r="CJ220" s="165"/>
      <c r="CK220" s="165"/>
      <c r="CL220" s="165"/>
      <c r="CM220" s="165"/>
      <c r="CN220" s="165"/>
      <c r="CO220" s="165"/>
      <c r="CP220" s="165"/>
      <c r="CQ220" s="165"/>
    </row>
    <row r="221" spans="1:95" outlineLevel="1" x14ac:dyDescent="0.25">
      <c r="A221" s="228"/>
      <c r="B221" s="236" t="str">
        <f>Table1[[#Headers],[Total Testes]]</f>
        <v>Total Testes</v>
      </c>
      <c r="C221" s="237" t="str">
        <f t="shared" si="13"/>
        <v>PROTECTION_BLDNG_AR</v>
      </c>
      <c r="D221" s="232" t="s">
        <v>1114</v>
      </c>
      <c r="E221" s="232" t="s">
        <v>1387</v>
      </c>
      <c r="F221" s="238"/>
      <c r="G221" s="233">
        <f>INDEX(Table1[[Especificação]:[Total Testes]],MATCH('Planemaneto rev.equipa'!C221,Table1[CONCAT],0),MATCH('Planemaneto rev.equipa'!B221,Table1[[#Headers],[Especificação]:[Total Testes]],0))</f>
        <v>0</v>
      </c>
      <c r="H221" s="239">
        <f t="shared" si="14"/>
        <v>0</v>
      </c>
      <c r="I221" s="235"/>
      <c r="J221" s="165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  <c r="AA221" s="165"/>
      <c r="AB221" s="165"/>
      <c r="AC221" s="165"/>
      <c r="AD221" s="165"/>
      <c r="AE221" s="165"/>
      <c r="AF221" s="165"/>
      <c r="AG221" s="165"/>
      <c r="AH221" s="165"/>
      <c r="AI221" s="165"/>
      <c r="AJ221" s="165"/>
      <c r="AK221" s="165"/>
      <c r="AL221" s="165"/>
      <c r="AM221" s="165"/>
      <c r="AN221" s="165"/>
      <c r="AO221" s="165"/>
      <c r="AP221" s="165"/>
      <c r="AQ221" s="165"/>
      <c r="AR221" s="165"/>
      <c r="AS221" s="165"/>
      <c r="AT221" s="165"/>
      <c r="AU221" s="165"/>
      <c r="AV221" s="165"/>
      <c r="AW221" s="165"/>
      <c r="AX221" s="165"/>
      <c r="AY221" s="165"/>
      <c r="AZ221" s="165"/>
      <c r="BA221" s="165"/>
      <c r="BB221" s="165"/>
      <c r="BC221" s="165"/>
      <c r="BD221" s="165"/>
      <c r="BE221" s="165"/>
      <c r="BF221" s="165"/>
      <c r="BG221" s="165"/>
      <c r="BH221" s="165"/>
      <c r="BI221" s="165"/>
      <c r="BJ221" s="165"/>
      <c r="BK221" s="165"/>
      <c r="BL221" s="165"/>
      <c r="BM221" s="165"/>
      <c r="BN221" s="165"/>
      <c r="BO221" s="165"/>
      <c r="BP221" s="165"/>
      <c r="BQ221" s="165"/>
      <c r="BR221" s="165"/>
      <c r="BS221" s="165"/>
      <c r="BT221" s="165"/>
      <c r="BU221" s="165"/>
      <c r="BV221" s="165"/>
      <c r="BW221" s="165"/>
      <c r="BX221" s="165"/>
      <c r="BY221" s="165"/>
      <c r="BZ221" s="165"/>
      <c r="CA221" s="165"/>
      <c r="CB221" s="165"/>
      <c r="CC221" s="165"/>
      <c r="CD221" s="165"/>
      <c r="CE221" s="165"/>
      <c r="CF221" s="165"/>
      <c r="CG221" s="165"/>
      <c r="CH221" s="165"/>
      <c r="CI221" s="165"/>
      <c r="CJ221" s="165"/>
      <c r="CK221" s="165"/>
      <c r="CL221" s="165"/>
      <c r="CM221" s="165"/>
      <c r="CN221" s="165"/>
      <c r="CO221" s="165"/>
      <c r="CP221" s="165"/>
      <c r="CQ221" s="165"/>
    </row>
    <row r="222" spans="1:95" outlineLevel="1" x14ac:dyDescent="0.25">
      <c r="A222" s="228"/>
      <c r="B222" s="236" t="str">
        <f>Table1[[#Headers],[Total Testes]]</f>
        <v>Total Testes</v>
      </c>
      <c r="C222" s="237" t="str">
        <f t="shared" si="13"/>
        <v>PROTECTION_RL_ESTT_CRTFCTN</v>
      </c>
      <c r="D222" s="232" t="s">
        <v>1114</v>
      </c>
      <c r="E222" s="232" t="s">
        <v>1512</v>
      </c>
      <c r="F222" s="238"/>
      <c r="G222" s="233">
        <f>INDEX(Table1[[Especificação]:[Total Testes]],MATCH('Planemaneto rev.equipa'!C222,Table1[CONCAT],0),MATCH('Planemaneto rev.equipa'!B222,Table1[[#Headers],[Especificação]:[Total Testes]],0))</f>
        <v>0</v>
      </c>
      <c r="H222" s="239">
        <f t="shared" si="14"/>
        <v>0</v>
      </c>
      <c r="I222" s="235"/>
      <c r="J222" s="165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  <c r="AA222" s="165"/>
      <c r="AB222" s="165"/>
      <c r="AC222" s="165"/>
      <c r="AD222" s="165"/>
      <c r="AE222" s="165"/>
      <c r="AF222" s="165"/>
      <c r="AG222" s="165"/>
      <c r="AH222" s="165"/>
      <c r="AI222" s="165"/>
      <c r="AJ222" s="165"/>
      <c r="AK222" s="165"/>
      <c r="AL222" s="165"/>
      <c r="AM222" s="165"/>
      <c r="AN222" s="165"/>
      <c r="AO222" s="165"/>
      <c r="AP222" s="165"/>
      <c r="AQ222" s="165"/>
      <c r="AR222" s="165"/>
      <c r="AS222" s="165"/>
      <c r="AT222" s="165"/>
      <c r="AU222" s="165"/>
      <c r="AV222" s="165"/>
      <c r="AW222" s="165"/>
      <c r="AX222" s="165"/>
      <c r="AY222" s="165"/>
      <c r="AZ222" s="165"/>
      <c r="BA222" s="165"/>
      <c r="BB222" s="165"/>
      <c r="BC222" s="165"/>
      <c r="BD222" s="165"/>
      <c r="BE222" s="165"/>
      <c r="BF222" s="165"/>
      <c r="BG222" s="165"/>
      <c r="BH222" s="165"/>
      <c r="BI222" s="165"/>
      <c r="BJ222" s="165"/>
      <c r="BK222" s="165"/>
      <c r="BL222" s="165"/>
      <c r="BM222" s="165"/>
      <c r="BN222" s="165"/>
      <c r="BO222" s="165"/>
      <c r="BP222" s="165"/>
      <c r="BQ222" s="165"/>
      <c r="BR222" s="165"/>
      <c r="BS222" s="165"/>
      <c r="BT222" s="165"/>
      <c r="BU222" s="165"/>
      <c r="BV222" s="165"/>
      <c r="BW222" s="165"/>
      <c r="BX222" s="165"/>
      <c r="BY222" s="165"/>
      <c r="BZ222" s="165"/>
      <c r="CA222" s="165"/>
      <c r="CB222" s="165"/>
      <c r="CC222" s="165"/>
      <c r="CD222" s="165"/>
      <c r="CE222" s="165"/>
      <c r="CF222" s="165"/>
      <c r="CG222" s="165"/>
      <c r="CH222" s="165"/>
      <c r="CI222" s="165"/>
      <c r="CJ222" s="165"/>
      <c r="CK222" s="165"/>
      <c r="CL222" s="165"/>
      <c r="CM222" s="165"/>
      <c r="CN222" s="165"/>
      <c r="CO222" s="165"/>
      <c r="CP222" s="165"/>
      <c r="CQ222" s="165"/>
    </row>
    <row r="223" spans="1:95" outlineLevel="1" x14ac:dyDescent="0.25">
      <c r="A223" s="228"/>
      <c r="B223" s="236" t="str">
        <f>Table1[[#Headers],[Total Testes]]</f>
        <v>Total Testes</v>
      </c>
      <c r="C223" s="237" t="str">
        <f t="shared" ref="C223:C230" si="15">D223&amp;"_"&amp;E223</f>
        <v>PROTECTION_TYP_VHCL</v>
      </c>
      <c r="D223" s="232" t="s">
        <v>1114</v>
      </c>
      <c r="E223" s="232" t="s">
        <v>1515</v>
      </c>
      <c r="F223" s="238"/>
      <c r="G223" s="233">
        <f>INDEX(Table1[[Especificação]:[Total Testes]],MATCH('Planemaneto rev.equipa'!C223,Table1[CONCAT],0),MATCH('Planemaneto rev.equipa'!B223,Table1[[#Headers],[Especificação]:[Total Testes]],0))</f>
        <v>0</v>
      </c>
      <c r="H223" s="239">
        <f t="shared" ref="H223:H230" si="16">ROUND(G223/8,2)</f>
        <v>0</v>
      </c>
      <c r="I223" s="235"/>
      <c r="J223" s="165"/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  <c r="AA223" s="165"/>
      <c r="AB223" s="165"/>
      <c r="AC223" s="165"/>
      <c r="AD223" s="165"/>
      <c r="AE223" s="165"/>
      <c r="AF223" s="165"/>
      <c r="AG223" s="165"/>
      <c r="AH223" s="165"/>
      <c r="AI223" s="165"/>
      <c r="AJ223" s="165"/>
      <c r="AK223" s="165"/>
      <c r="AL223" s="165"/>
      <c r="AM223" s="165"/>
      <c r="AN223" s="165"/>
      <c r="AO223" s="165"/>
      <c r="AP223" s="165"/>
      <c r="AQ223" s="165"/>
      <c r="AR223" s="165"/>
      <c r="AS223" s="165"/>
      <c r="AT223" s="165"/>
      <c r="AU223" s="165"/>
      <c r="AV223" s="165"/>
      <c r="AW223" s="165"/>
      <c r="AX223" s="165"/>
      <c r="AY223" s="165"/>
      <c r="AZ223" s="165"/>
      <c r="BA223" s="165"/>
      <c r="BB223" s="165"/>
      <c r="BC223" s="165"/>
      <c r="BD223" s="165"/>
      <c r="BE223" s="165"/>
      <c r="BF223" s="165"/>
      <c r="BG223" s="165"/>
      <c r="BH223" s="165"/>
      <c r="BI223" s="165"/>
      <c r="BJ223" s="165"/>
      <c r="BK223" s="165"/>
      <c r="BL223" s="165"/>
      <c r="BM223" s="165"/>
      <c r="BN223" s="165"/>
      <c r="BO223" s="165"/>
      <c r="BP223" s="165"/>
      <c r="BQ223" s="165"/>
      <c r="BR223" s="165"/>
      <c r="BS223" s="165"/>
      <c r="BT223" s="165"/>
      <c r="BU223" s="165"/>
      <c r="BV223" s="165"/>
      <c r="BW223" s="165"/>
      <c r="BX223" s="165"/>
      <c r="BY223" s="165"/>
      <c r="BZ223" s="165"/>
      <c r="CA223" s="165"/>
      <c r="CB223" s="165"/>
      <c r="CC223" s="165"/>
      <c r="CD223" s="165"/>
      <c r="CE223" s="165"/>
      <c r="CF223" s="165"/>
      <c r="CG223" s="165"/>
      <c r="CH223" s="165"/>
      <c r="CI223" s="165"/>
      <c r="CJ223" s="165"/>
      <c r="CK223" s="165"/>
      <c r="CL223" s="165"/>
      <c r="CM223" s="165"/>
      <c r="CN223" s="165"/>
      <c r="CO223" s="165"/>
      <c r="CP223" s="165"/>
      <c r="CQ223" s="165"/>
    </row>
    <row r="224" spans="1:95" outlineLevel="1" x14ac:dyDescent="0.25">
      <c r="A224" s="228"/>
      <c r="B224" s="236" t="str">
        <f>Table1[[#Headers],[Total Testes]]</f>
        <v>Total Testes</v>
      </c>
      <c r="C224" s="237" t="str">
        <f t="shared" si="15"/>
        <v>PROTECTION_DT_RGSTRTN</v>
      </c>
      <c r="D224" s="232" t="s">
        <v>1114</v>
      </c>
      <c r="E224" s="232" t="s">
        <v>1518</v>
      </c>
      <c r="F224" s="238"/>
      <c r="G224" s="233">
        <f>INDEX(Table1[[Especificação]:[Total Testes]],MATCH('Planemaneto rev.equipa'!C224,Table1[CONCAT],0),MATCH('Planemaneto rev.equipa'!B224,Table1[[#Headers],[Especificação]:[Total Testes]],0))</f>
        <v>0</v>
      </c>
      <c r="H224" s="239">
        <f t="shared" si="16"/>
        <v>0</v>
      </c>
      <c r="I224" s="235"/>
      <c r="J224" s="165"/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  <c r="AA224" s="165"/>
      <c r="AB224" s="165"/>
      <c r="AC224" s="165"/>
      <c r="AD224" s="165"/>
      <c r="AE224" s="165"/>
      <c r="AF224" s="165"/>
      <c r="AG224" s="165"/>
      <c r="AH224" s="165"/>
      <c r="AI224" s="165"/>
      <c r="AJ224" s="165"/>
      <c r="AK224" s="165"/>
      <c r="AL224" s="165"/>
      <c r="AM224" s="165"/>
      <c r="AN224" s="165"/>
      <c r="AO224" s="165"/>
      <c r="AP224" s="165"/>
      <c r="AQ224" s="165"/>
      <c r="AR224" s="165"/>
      <c r="AS224" s="165"/>
      <c r="AT224" s="165"/>
      <c r="AU224" s="165"/>
      <c r="AV224" s="165"/>
      <c r="AW224" s="165"/>
      <c r="AX224" s="165"/>
      <c r="AY224" s="165"/>
      <c r="AZ224" s="165"/>
      <c r="BA224" s="165"/>
      <c r="BB224" s="165"/>
      <c r="BC224" s="165"/>
      <c r="BD224" s="165"/>
      <c r="BE224" s="165"/>
      <c r="BF224" s="165"/>
      <c r="BG224" s="165"/>
      <c r="BH224" s="165"/>
      <c r="BI224" s="165"/>
      <c r="BJ224" s="165"/>
      <c r="BK224" s="165"/>
      <c r="BL224" s="165"/>
      <c r="BM224" s="165"/>
      <c r="BN224" s="165"/>
      <c r="BO224" s="165"/>
      <c r="BP224" s="165"/>
      <c r="BQ224" s="165"/>
      <c r="BR224" s="165"/>
      <c r="BS224" s="165"/>
      <c r="BT224" s="165"/>
      <c r="BU224" s="165"/>
      <c r="BV224" s="165"/>
      <c r="BW224" s="165"/>
      <c r="BX224" s="165"/>
      <c r="BY224" s="165"/>
      <c r="BZ224" s="165"/>
      <c r="CA224" s="165"/>
      <c r="CB224" s="165"/>
      <c r="CC224" s="165"/>
      <c r="CD224" s="165"/>
      <c r="CE224" s="165"/>
      <c r="CF224" s="165"/>
      <c r="CG224" s="165"/>
      <c r="CH224" s="165"/>
      <c r="CI224" s="165"/>
      <c r="CJ224" s="165"/>
      <c r="CK224" s="165"/>
      <c r="CL224" s="165"/>
      <c r="CM224" s="165"/>
      <c r="CN224" s="165"/>
      <c r="CO224" s="165"/>
      <c r="CP224" s="165"/>
      <c r="CQ224" s="165"/>
    </row>
    <row r="225" spans="1:95" outlineLevel="1" x14ac:dyDescent="0.25">
      <c r="A225" s="228"/>
      <c r="B225" s="236" t="str">
        <f>Table1[[#Headers],[Total Testes]]</f>
        <v>Total Testes</v>
      </c>
      <c r="C225" s="237" t="str">
        <f t="shared" si="15"/>
        <v>INSTR_ACTIVITY_FLG_DNSH_CMPLNC</v>
      </c>
      <c r="D225" s="232" t="s">
        <v>1542</v>
      </c>
      <c r="E225" s="232" t="s">
        <v>1557</v>
      </c>
      <c r="F225" s="238"/>
      <c r="G225" s="233">
        <f>INDEX(Table1[[Especificação]:[Total Testes]],MATCH('Planemaneto rev.equipa'!C225,Table1[CONCAT],0),MATCH('Planemaneto rev.equipa'!B225,Table1[[#Headers],[Especificação]:[Total Testes]],0))</f>
        <v>0</v>
      </c>
      <c r="H225" s="239">
        <f t="shared" si="16"/>
        <v>0</v>
      </c>
      <c r="I225" s="23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5"/>
      <c r="AH225" s="165"/>
      <c r="AI225" s="165"/>
      <c r="AJ225" s="165"/>
      <c r="AK225" s="165"/>
      <c r="AL225" s="165"/>
      <c r="AM225" s="165"/>
      <c r="AN225" s="165"/>
      <c r="AO225" s="165"/>
      <c r="AP225" s="165"/>
      <c r="AQ225" s="165"/>
      <c r="AR225" s="165"/>
      <c r="AS225" s="165"/>
      <c r="AT225" s="165"/>
      <c r="AU225" s="165"/>
      <c r="AV225" s="165"/>
      <c r="AW225" s="165"/>
      <c r="AX225" s="165"/>
      <c r="AY225" s="165"/>
      <c r="AZ225" s="165"/>
      <c r="BA225" s="165"/>
      <c r="BB225" s="165"/>
      <c r="BC225" s="165"/>
      <c r="BD225" s="165"/>
      <c r="BE225" s="165"/>
      <c r="BF225" s="165"/>
      <c r="BG225" s="165"/>
      <c r="BH225" s="165"/>
      <c r="BI225" s="165"/>
      <c r="BJ225" s="165"/>
      <c r="BK225" s="165"/>
      <c r="BL225" s="165"/>
      <c r="BM225" s="165"/>
      <c r="BN225" s="165"/>
      <c r="BO225" s="165"/>
      <c r="BP225" s="165"/>
      <c r="BQ225" s="165"/>
      <c r="BR225" s="165"/>
      <c r="BS225" s="165"/>
      <c r="BT225" s="165"/>
      <c r="BU225" s="165"/>
      <c r="BV225" s="165"/>
      <c r="BW225" s="165"/>
      <c r="BX225" s="165"/>
      <c r="BY225" s="165"/>
      <c r="BZ225" s="165"/>
      <c r="CA225" s="165"/>
      <c r="CB225" s="165"/>
      <c r="CC225" s="165"/>
      <c r="CD225" s="165"/>
      <c r="CE225" s="165"/>
      <c r="CF225" s="165"/>
      <c r="CG225" s="165"/>
      <c r="CH225" s="165"/>
      <c r="CI225" s="165"/>
      <c r="CJ225" s="165"/>
      <c r="CK225" s="165"/>
      <c r="CL225" s="165"/>
      <c r="CM225" s="165"/>
      <c r="CN225" s="165"/>
      <c r="CO225" s="165"/>
      <c r="CP225" s="165"/>
      <c r="CQ225" s="165"/>
    </row>
    <row r="226" spans="1:95" outlineLevel="1" x14ac:dyDescent="0.25">
      <c r="A226" s="228"/>
      <c r="B226" s="236" t="str">
        <f>Table1[[#Headers],[Total Testes]]</f>
        <v>Total Testes</v>
      </c>
      <c r="C226" s="237" t="str">
        <f t="shared" si="15"/>
        <v>INSTR_ACTIVITY_DNSH_DTL</v>
      </c>
      <c r="D226" s="232" t="s">
        <v>1542</v>
      </c>
      <c r="E226" s="232" t="s">
        <v>1560</v>
      </c>
      <c r="F226" s="238"/>
      <c r="G226" s="233">
        <f>INDEX(Table1[[Especificação]:[Total Testes]],MATCH('Planemaneto rev.equipa'!C226,Table1[CONCAT],0),MATCH('Planemaneto rev.equipa'!B226,Table1[[#Headers],[Especificação]:[Total Testes]],0))</f>
        <v>0</v>
      </c>
      <c r="H226" s="239">
        <f t="shared" si="16"/>
        <v>0</v>
      </c>
      <c r="I226" s="23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5"/>
      <c r="AH226" s="165"/>
      <c r="AI226" s="165"/>
      <c r="AJ226" s="165"/>
      <c r="AK226" s="165"/>
      <c r="AL226" s="165"/>
      <c r="AM226" s="165"/>
      <c r="AN226" s="165"/>
      <c r="AO226" s="165"/>
      <c r="AP226" s="165"/>
      <c r="AQ226" s="165"/>
      <c r="AR226" s="165"/>
      <c r="AS226" s="165"/>
      <c r="AT226" s="165"/>
      <c r="AU226" s="165"/>
      <c r="AV226" s="165"/>
      <c r="AW226" s="165"/>
      <c r="AX226" s="165"/>
      <c r="AY226" s="165"/>
      <c r="AZ226" s="165"/>
      <c r="BA226" s="165"/>
      <c r="BB226" s="165"/>
      <c r="BC226" s="165"/>
      <c r="BD226" s="165"/>
      <c r="BE226" s="165"/>
      <c r="BF226" s="165"/>
      <c r="BG226" s="165"/>
      <c r="BH226" s="165"/>
      <c r="BI226" s="165"/>
      <c r="BJ226" s="165"/>
      <c r="BK226" s="165"/>
      <c r="BL226" s="165"/>
      <c r="BM226" s="165"/>
      <c r="BN226" s="165"/>
      <c r="BO226" s="165"/>
      <c r="BP226" s="165"/>
      <c r="BQ226" s="165"/>
      <c r="BR226" s="165"/>
      <c r="BS226" s="165"/>
      <c r="BT226" s="165"/>
      <c r="BU226" s="165"/>
      <c r="BV226" s="165"/>
      <c r="BW226" s="165"/>
      <c r="BX226" s="165"/>
      <c r="BY226" s="165"/>
      <c r="BZ226" s="165"/>
      <c r="CA226" s="165"/>
      <c r="CB226" s="165"/>
      <c r="CC226" s="165"/>
      <c r="CD226" s="165"/>
      <c r="CE226" s="165"/>
      <c r="CF226" s="165"/>
      <c r="CG226" s="165"/>
      <c r="CH226" s="165"/>
      <c r="CI226" s="165"/>
      <c r="CJ226" s="165"/>
      <c r="CK226" s="165"/>
      <c r="CL226" s="165"/>
      <c r="CM226" s="165"/>
      <c r="CN226" s="165"/>
      <c r="CO226" s="165"/>
      <c r="CP226" s="165"/>
      <c r="CQ226" s="165"/>
    </row>
    <row r="227" spans="1:95" x14ac:dyDescent="0.25">
      <c r="B227" s="156"/>
      <c r="C227" s="177" t="s">
        <v>1751</v>
      </c>
      <c r="D227" s="178"/>
      <c r="E227" s="179"/>
      <c r="F227" s="205"/>
      <c r="G227" s="205">
        <f>H227*8</f>
        <v>32</v>
      </c>
      <c r="H227" s="208">
        <f>ROUNDUP(Auxiliar!$E$12*H158,0)</f>
        <v>4</v>
      </c>
      <c r="I227" s="222">
        <f t="shared" ref="I227" si="17">SUM(J227:CQ227)-H227</f>
        <v>-4</v>
      </c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5"/>
      <c r="AH227" s="165"/>
      <c r="AI227" s="165"/>
      <c r="AJ227" s="165"/>
      <c r="AK227" s="165"/>
      <c r="AL227" s="165"/>
      <c r="AM227" s="165"/>
      <c r="AN227" s="165"/>
      <c r="AO227" s="165"/>
      <c r="AP227" s="165"/>
      <c r="AQ227" s="165"/>
      <c r="AR227" s="165"/>
      <c r="AS227" s="165"/>
      <c r="AT227" s="165"/>
      <c r="AU227" s="165"/>
      <c r="AV227" s="165"/>
      <c r="AW227" s="165"/>
      <c r="AX227" s="165"/>
      <c r="AY227" s="165"/>
      <c r="AZ227" s="165"/>
      <c r="BA227" s="165"/>
      <c r="BB227" s="165"/>
      <c r="BC227" s="165"/>
      <c r="BD227" s="165"/>
      <c r="BE227" s="165"/>
      <c r="BF227" s="165"/>
      <c r="BG227" s="165"/>
      <c r="BH227" s="165"/>
      <c r="BI227" s="165"/>
      <c r="BJ227" s="165"/>
      <c r="BK227" s="165"/>
      <c r="BL227" s="165"/>
      <c r="BM227" s="165"/>
      <c r="BN227" s="165"/>
      <c r="BO227" s="165"/>
      <c r="BP227" s="165"/>
      <c r="BQ227" s="165"/>
      <c r="BR227" s="165"/>
      <c r="BS227" s="165"/>
      <c r="BT227" s="165"/>
      <c r="BU227" s="165"/>
      <c r="BV227" s="165"/>
      <c r="BW227" s="165"/>
      <c r="BX227" s="165"/>
      <c r="BY227" s="165"/>
      <c r="BZ227" s="165"/>
      <c r="CA227" s="165"/>
      <c r="CB227" s="165"/>
      <c r="CC227" s="165"/>
      <c r="CD227" s="165"/>
      <c r="CE227" s="165"/>
      <c r="CF227" s="165"/>
      <c r="CG227" s="165"/>
      <c r="CH227" s="165"/>
      <c r="CI227" s="165"/>
      <c r="CJ227" s="165"/>
      <c r="CK227" s="165"/>
      <c r="CL227" s="165"/>
      <c r="CM227" s="165"/>
      <c r="CN227" s="165"/>
      <c r="CO227" s="165"/>
      <c r="CP227" s="165"/>
      <c r="CQ227" s="165"/>
    </row>
    <row r="228" spans="1:95" x14ac:dyDescent="0.25">
      <c r="A228"/>
      <c r="B228"/>
      <c r="C228"/>
      <c r="D228"/>
      <c r="E228"/>
      <c r="F228" s="218"/>
      <c r="G228"/>
      <c r="H228"/>
      <c r="I228"/>
      <c r="J228"/>
      <c r="K228"/>
      <c r="L228"/>
      <c r="M228"/>
      <c r="N228"/>
    </row>
    <row r="233" spans="1:95" x14ac:dyDescent="0.25">
      <c r="C233" s="245" t="s">
        <v>1729</v>
      </c>
      <c r="D233" s="246">
        <f>SUM(K1:CA1)</f>
        <v>0</v>
      </c>
      <c r="E233" s="144" t="s">
        <v>1731</v>
      </c>
    </row>
    <row r="234" spans="1:95" x14ac:dyDescent="0.25">
      <c r="C234" s="143" t="s">
        <v>1730</v>
      </c>
      <c r="D234" s="224" t="s">
        <v>1752</v>
      </c>
      <c r="E234" s="144" t="s">
        <v>1732</v>
      </c>
    </row>
    <row r="236" spans="1:95" x14ac:dyDescent="0.25">
      <c r="D236" s="224"/>
    </row>
    <row r="238" spans="1:95" s="144" customFormat="1" x14ac:dyDescent="0.25">
      <c r="A238" s="145"/>
      <c r="B238" s="142"/>
      <c r="C238" s="143" t="s">
        <v>1753</v>
      </c>
      <c r="F238" s="173"/>
      <c r="H238" s="187"/>
      <c r="I238" s="145"/>
      <c r="J238" s="145"/>
      <c r="K238" s="145"/>
      <c r="L238" s="145"/>
      <c r="M238" s="145"/>
      <c r="N238" s="145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</row>
    <row r="239" spans="1:95" s="144" customFormat="1" x14ac:dyDescent="0.25">
      <c r="A239" s="145"/>
      <c r="B239" s="142"/>
      <c r="C239" s="143" t="s">
        <v>1754</v>
      </c>
      <c r="F239" s="173"/>
      <c r="H239" s="187"/>
      <c r="I239" s="145"/>
      <c r="J239" s="145"/>
      <c r="K239" s="145"/>
      <c r="L239" s="145"/>
      <c r="M239" s="145"/>
      <c r="N239" s="145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</row>
  </sheetData>
  <conditionalFormatting sqref="I8:I227">
    <cfRule type="cellIs" dxfId="1" priority="4" operator="notEqual">
      <formula>0</formula>
    </cfRule>
    <cfRule type="cellIs" dxfId="0" priority="7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47"/>
  <sheetViews>
    <sheetView topLeftCell="A10" workbookViewId="0">
      <selection activeCell="C51" sqref="C51"/>
    </sheetView>
  </sheetViews>
  <sheetFormatPr defaultRowHeight="13.8" x14ac:dyDescent="0.25"/>
  <cols>
    <col min="3" max="5" width="46.09765625" bestFit="1" customWidth="1"/>
  </cols>
  <sheetData>
    <row r="3" spans="3:5" x14ac:dyDescent="0.25">
      <c r="C3" t="s">
        <v>1756</v>
      </c>
      <c r="D3" t="s">
        <v>1757</v>
      </c>
    </row>
    <row r="4" spans="3:5" x14ac:dyDescent="0.25">
      <c r="C4" t="s">
        <v>1758</v>
      </c>
      <c r="D4" t="s">
        <v>1758</v>
      </c>
      <c r="E4" t="str">
        <f>VLOOKUP(D4,C:C,1,0)</f>
        <v>ENTITY_TXNMY_ELGBL_CAPEX_W</v>
      </c>
    </row>
    <row r="5" spans="3:5" x14ac:dyDescent="0.25">
      <c r="C5" t="s">
        <v>1759</v>
      </c>
      <c r="D5" t="s">
        <v>1759</v>
      </c>
      <c r="E5" t="str">
        <f t="shared" ref="E5:E47" si="0">VLOOKUP(D5,C:C,1,0)</f>
        <v>ENTITY_TXNMY_ELGBL_TRNVR_W</v>
      </c>
    </row>
    <row r="6" spans="3:5" x14ac:dyDescent="0.25">
      <c r="C6" t="s">
        <v>1760</v>
      </c>
      <c r="D6" t="s">
        <v>1760</v>
      </c>
      <c r="E6" t="str">
        <f t="shared" si="0"/>
        <v>ENTITY_TXNMY_ELGBL_CAPEX_P</v>
      </c>
    </row>
    <row r="7" spans="3:5" x14ac:dyDescent="0.25">
      <c r="C7" t="s">
        <v>1761</v>
      </c>
      <c r="D7" t="s">
        <v>1761</v>
      </c>
      <c r="E7" t="str">
        <f t="shared" si="0"/>
        <v>ENTITY_TXNMY_ELGBL_TRNVR_P</v>
      </c>
    </row>
    <row r="8" spans="3:5" x14ac:dyDescent="0.25">
      <c r="C8" t="s">
        <v>1762</v>
      </c>
      <c r="D8" t="s">
        <v>1762</v>
      </c>
      <c r="E8" t="str">
        <f t="shared" si="0"/>
        <v>ENTITY_TXNMY_ELGBL_CAPEX_B</v>
      </c>
    </row>
    <row r="9" spans="3:5" x14ac:dyDescent="0.25">
      <c r="C9" t="s">
        <v>1763</v>
      </c>
      <c r="D9" t="s">
        <v>1763</v>
      </c>
      <c r="E9" t="str">
        <f t="shared" si="0"/>
        <v>ENTITY_TXNMY_ELGBL_TRNVR_B</v>
      </c>
    </row>
    <row r="10" spans="3:5" x14ac:dyDescent="0.25">
      <c r="C10" t="s">
        <v>1764</v>
      </c>
      <c r="D10" t="s">
        <v>1764</v>
      </c>
      <c r="E10" t="str">
        <f t="shared" si="0"/>
        <v>ENTITY_TXNMY_ELGBL_CAPEX_CE</v>
      </c>
    </row>
    <row r="11" spans="3:5" x14ac:dyDescent="0.25">
      <c r="C11" t="s">
        <v>1765</v>
      </c>
      <c r="D11" t="s">
        <v>1765</v>
      </c>
      <c r="E11" t="str">
        <f t="shared" si="0"/>
        <v>ENTITY_TXNMY_ELGBL_TRNVR_CE</v>
      </c>
    </row>
    <row r="12" spans="3:5" x14ac:dyDescent="0.25">
      <c r="C12" t="s">
        <v>1766</v>
      </c>
      <c r="D12" t="s">
        <v>1766</v>
      </c>
      <c r="E12" t="str">
        <f t="shared" si="0"/>
        <v>ENTITY_PURE_CAPEX_P</v>
      </c>
    </row>
    <row r="13" spans="3:5" x14ac:dyDescent="0.25">
      <c r="C13" t="s">
        <v>1767</v>
      </c>
      <c r="D13" t="s">
        <v>1767</v>
      </c>
      <c r="E13" t="str">
        <f t="shared" si="0"/>
        <v>ENTITY_PURE_TRNVR_P</v>
      </c>
    </row>
    <row r="14" spans="3:5" x14ac:dyDescent="0.25">
      <c r="C14" t="s">
        <v>1768</v>
      </c>
      <c r="D14" t="s">
        <v>1768</v>
      </c>
      <c r="E14" t="str">
        <f t="shared" si="0"/>
        <v>ENTITY_PURE_CAPEX_B</v>
      </c>
    </row>
    <row r="15" spans="3:5" x14ac:dyDescent="0.25">
      <c r="C15" t="s">
        <v>1769</v>
      </c>
      <c r="D15" t="s">
        <v>1769</v>
      </c>
      <c r="E15" t="str">
        <f t="shared" si="0"/>
        <v>ENTITY_PURE_TRNVR_B</v>
      </c>
    </row>
    <row r="16" spans="3:5" x14ac:dyDescent="0.25">
      <c r="C16" t="s">
        <v>1770</v>
      </c>
      <c r="D16" t="s">
        <v>1770</v>
      </c>
      <c r="E16" t="str">
        <f t="shared" si="0"/>
        <v>ENTITY_PURE_CAPEX_W</v>
      </c>
    </row>
    <row r="17" spans="3:5" x14ac:dyDescent="0.25">
      <c r="C17" t="s">
        <v>1771</v>
      </c>
      <c r="D17" t="s">
        <v>1771</v>
      </c>
      <c r="E17" t="str">
        <f t="shared" si="0"/>
        <v>ENTITY_PURE_TRNVR_W</v>
      </c>
    </row>
    <row r="18" spans="3:5" x14ac:dyDescent="0.25">
      <c r="C18" t="s">
        <v>1772</v>
      </c>
      <c r="D18" t="s">
        <v>1772</v>
      </c>
      <c r="E18" t="str">
        <f t="shared" si="0"/>
        <v>ENTITY_PURE_CAPEX_CE</v>
      </c>
    </row>
    <row r="19" spans="3:5" x14ac:dyDescent="0.25">
      <c r="C19" t="s">
        <v>1773</v>
      </c>
      <c r="D19" t="s">
        <v>1773</v>
      </c>
      <c r="E19" t="str">
        <f t="shared" si="0"/>
        <v>ENTITY_PURE_TRNVR_CE</v>
      </c>
    </row>
    <row r="20" spans="3:5" x14ac:dyDescent="0.25">
      <c r="C20" t="s">
        <v>1774</v>
      </c>
      <c r="D20" t="s">
        <v>1774</v>
      </c>
      <c r="E20" t="str">
        <f t="shared" si="0"/>
        <v>ENTITY_ENBLNG_CAPEX_W</v>
      </c>
    </row>
    <row r="21" spans="3:5" x14ac:dyDescent="0.25">
      <c r="C21" t="s">
        <v>1775</v>
      </c>
      <c r="D21" t="s">
        <v>1775</v>
      </c>
      <c r="E21" t="str">
        <f t="shared" si="0"/>
        <v>ENTITY_ENBLNG_TRNVR_W</v>
      </c>
    </row>
    <row r="22" spans="3:5" x14ac:dyDescent="0.25">
      <c r="C22" t="s">
        <v>1776</v>
      </c>
      <c r="D22" t="s">
        <v>1776</v>
      </c>
      <c r="E22" t="str">
        <f t="shared" si="0"/>
        <v>ENTITY_ENBLNG_CAPEX_CE</v>
      </c>
    </row>
    <row r="23" spans="3:5" x14ac:dyDescent="0.25">
      <c r="C23" t="s">
        <v>1777</v>
      </c>
      <c r="D23" t="s">
        <v>1777</v>
      </c>
      <c r="E23" t="str">
        <f t="shared" si="0"/>
        <v>ENTITY_ENBLNG_TRNVR_CE</v>
      </c>
    </row>
    <row r="24" spans="3:5" x14ac:dyDescent="0.25">
      <c r="C24" t="s">
        <v>1778</v>
      </c>
      <c r="D24" t="s">
        <v>1789</v>
      </c>
      <c r="E24" t="str">
        <f t="shared" si="0"/>
        <v>INSTRUMENT_NW_BSNSS</v>
      </c>
    </row>
    <row r="25" spans="3:5" x14ac:dyDescent="0.25">
      <c r="C25" t="s">
        <v>1779</v>
      </c>
      <c r="D25" t="s">
        <v>1792</v>
      </c>
      <c r="E25" t="str">
        <f t="shared" si="0"/>
        <v>INSTR_PROTECTION_TYP_RLTN</v>
      </c>
    </row>
    <row r="26" spans="3:5" x14ac:dyDescent="0.25">
      <c r="C26" t="s">
        <v>1780</v>
      </c>
      <c r="D26" t="s">
        <v>1778</v>
      </c>
      <c r="E26" t="str">
        <f t="shared" si="0"/>
        <v>PROTECTION_BLDNG_AR</v>
      </c>
    </row>
    <row r="27" spans="3:5" x14ac:dyDescent="0.25">
      <c r="C27" t="s">
        <v>1781</v>
      </c>
      <c r="D27" t="s">
        <v>1779</v>
      </c>
      <c r="E27" t="str">
        <f t="shared" si="0"/>
        <v>PROTECTION_PRMRY_ENRGY_DMND_NN_RNWBL</v>
      </c>
    </row>
    <row r="28" spans="3:5" x14ac:dyDescent="0.25">
      <c r="C28" t="s">
        <v>1782</v>
      </c>
      <c r="D28" t="s">
        <v>1780</v>
      </c>
      <c r="E28" t="str">
        <f t="shared" si="0"/>
        <v>PROTECTION_PRMRY_ENRGY_DMND_TTL</v>
      </c>
    </row>
    <row r="29" spans="3:5" x14ac:dyDescent="0.25">
      <c r="C29" t="s">
        <v>1783</v>
      </c>
      <c r="D29" t="s">
        <v>1781</v>
      </c>
      <c r="E29" t="str">
        <f t="shared" si="0"/>
        <v>PROTECTION_PRMRY_ENRGY_DMND_RFRNC_VL</v>
      </c>
    </row>
    <row r="30" spans="3:5" x14ac:dyDescent="0.25">
      <c r="C30" t="s">
        <v>1784</v>
      </c>
      <c r="D30" t="s">
        <v>1782</v>
      </c>
      <c r="E30" t="str">
        <f t="shared" si="0"/>
        <v>PROTECTION_RL_ESTT_CLMT_ZN</v>
      </c>
    </row>
    <row r="31" spans="3:5" x14ac:dyDescent="0.25">
      <c r="C31" t="s">
        <v>1785</v>
      </c>
      <c r="D31" t="s">
        <v>1793</v>
      </c>
      <c r="E31" t="str">
        <f t="shared" si="0"/>
        <v>INSTR_ACTIVITY_COD_SOC</v>
      </c>
    </row>
    <row r="32" spans="3:5" x14ac:dyDescent="0.25">
      <c r="C32" t="s">
        <v>1786</v>
      </c>
      <c r="D32" t="s">
        <v>1794</v>
      </c>
      <c r="E32" t="str">
        <f t="shared" si="0"/>
        <v>INSTR_ACTIVITY_DT_RFRNC</v>
      </c>
    </row>
    <row r="33" spans="3:5" x14ac:dyDescent="0.25">
      <c r="C33" t="s">
        <v>1787</v>
      </c>
      <c r="D33" t="s">
        <v>1795</v>
      </c>
      <c r="E33" t="str">
        <f t="shared" si="0"/>
        <v>INSTR_ACTIVITY_INSTRMNT_ID</v>
      </c>
    </row>
    <row r="34" spans="3:5" x14ac:dyDescent="0.25">
      <c r="C34" t="s">
        <v>1788</v>
      </c>
      <c r="D34" t="s">
        <v>1796</v>
      </c>
      <c r="E34" t="str">
        <f t="shared" si="0"/>
        <v>INSTR_ACTIVITY_PRCNTG_ACTVTY</v>
      </c>
    </row>
    <row r="35" spans="3:5" x14ac:dyDescent="0.25">
      <c r="C35" t="s">
        <v>1789</v>
      </c>
      <c r="D35" t="s">
        <v>1783</v>
      </c>
      <c r="E35" t="str">
        <f t="shared" si="0"/>
        <v>INSTR_ACTIVITY_FLG_SBSTNTL_CNTRBTN</v>
      </c>
    </row>
    <row r="36" spans="3:5" x14ac:dyDescent="0.25">
      <c r="C36" t="s">
        <v>1790</v>
      </c>
      <c r="D36" t="s">
        <v>1800</v>
      </c>
      <c r="E36" t="e">
        <f t="shared" si="0"/>
        <v>#N/A</v>
      </c>
    </row>
    <row r="37" spans="3:5" x14ac:dyDescent="0.25">
      <c r="C37" t="s">
        <v>1791</v>
      </c>
      <c r="D37" t="s">
        <v>1801</v>
      </c>
      <c r="E37" t="e">
        <f t="shared" si="0"/>
        <v>#N/A</v>
      </c>
    </row>
    <row r="38" spans="3:5" x14ac:dyDescent="0.25">
      <c r="C38" t="s">
        <v>1792</v>
      </c>
      <c r="D38" t="s">
        <v>1802</v>
      </c>
      <c r="E38" t="e">
        <f t="shared" si="0"/>
        <v>#N/A</v>
      </c>
    </row>
    <row r="39" spans="3:5" x14ac:dyDescent="0.25">
      <c r="C39" t="s">
        <v>1793</v>
      </c>
      <c r="D39" t="s">
        <v>1803</v>
      </c>
      <c r="E39" t="e">
        <f t="shared" si="0"/>
        <v>#N/A</v>
      </c>
    </row>
    <row r="40" spans="3:5" x14ac:dyDescent="0.25">
      <c r="C40" t="s">
        <v>1794</v>
      </c>
      <c r="D40" t="s">
        <v>1804</v>
      </c>
      <c r="E40" t="e">
        <f t="shared" si="0"/>
        <v>#N/A</v>
      </c>
    </row>
    <row r="41" spans="3:5" x14ac:dyDescent="0.25">
      <c r="C41" t="s">
        <v>1795</v>
      </c>
      <c r="D41" t="s">
        <v>1805</v>
      </c>
      <c r="E41" t="e">
        <f t="shared" si="0"/>
        <v>#N/A</v>
      </c>
    </row>
    <row r="42" spans="3:5" x14ac:dyDescent="0.25">
      <c r="C42" t="s">
        <v>1796</v>
      </c>
      <c r="D42" t="s">
        <v>1806</v>
      </c>
      <c r="E42" t="e">
        <f t="shared" si="0"/>
        <v>#N/A</v>
      </c>
    </row>
    <row r="43" spans="3:5" x14ac:dyDescent="0.25">
      <c r="C43" t="s">
        <v>1797</v>
      </c>
      <c r="D43" t="s">
        <v>1807</v>
      </c>
      <c r="E43" t="e">
        <f t="shared" si="0"/>
        <v>#N/A</v>
      </c>
    </row>
    <row r="44" spans="3:5" x14ac:dyDescent="0.25">
      <c r="C44" t="s">
        <v>1798</v>
      </c>
      <c r="D44" t="s">
        <v>1808</v>
      </c>
      <c r="E44" t="e">
        <f t="shared" si="0"/>
        <v>#N/A</v>
      </c>
    </row>
    <row r="45" spans="3:5" x14ac:dyDescent="0.25">
      <c r="C45" t="s">
        <v>1799</v>
      </c>
      <c r="D45" t="s">
        <v>1809</v>
      </c>
      <c r="E45" t="e">
        <f t="shared" si="0"/>
        <v>#N/A</v>
      </c>
    </row>
    <row r="46" spans="3:5" x14ac:dyDescent="0.25">
      <c r="D46" t="s">
        <v>1810</v>
      </c>
      <c r="E46" t="e">
        <f t="shared" si="0"/>
        <v>#N/A</v>
      </c>
    </row>
    <row r="47" spans="3:5" x14ac:dyDescent="0.25">
      <c r="D47" t="s">
        <v>1811</v>
      </c>
      <c r="E47" t="e">
        <f t="shared" si="0"/>
        <v>#N/A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autoPageBreaks="0"/>
  </sheetPr>
  <dimension ref="A1:H81"/>
  <sheetViews>
    <sheetView showGridLines="0" zoomScale="98" zoomScaleNormal="80" workbookViewId="0">
      <pane xSplit="4" ySplit="3" topLeftCell="F4" activePane="bottomRight" state="frozen"/>
      <selection pane="topRight" activeCell="F1" sqref="F1"/>
      <selection pane="bottomLeft" activeCell="A4" sqref="A4"/>
      <selection pane="bottomRight" activeCell="G4" sqref="G4"/>
    </sheetView>
  </sheetViews>
  <sheetFormatPr defaultColWidth="9" defaultRowHeight="14.85" customHeight="1" x14ac:dyDescent="0.25"/>
  <cols>
    <col min="1" max="1" width="9" style="6"/>
    <col min="2" max="2" width="17.5" style="37" customWidth="1"/>
    <col min="3" max="3" width="40.8984375" style="38" customWidth="1"/>
    <col min="4" max="4" width="48" style="6" customWidth="1"/>
    <col min="5" max="5" width="22.3984375" style="6" bestFit="1" customWidth="1"/>
    <col min="6" max="6" width="28.59765625" style="6" customWidth="1"/>
    <col min="7" max="7" width="15.59765625" customWidth="1"/>
    <col min="8" max="8" width="60.59765625" style="6" customWidth="1"/>
    <col min="9" max="16384" width="9" style="6"/>
  </cols>
  <sheetData>
    <row r="1" spans="1:8" ht="14.85" customHeight="1" x14ac:dyDescent="0.25">
      <c r="F1" s="74" t="s">
        <v>1602</v>
      </c>
      <c r="G1" s="6"/>
    </row>
    <row r="2" spans="1:8" ht="13.8" x14ac:dyDescent="0.25">
      <c r="B2" s="79" t="s">
        <v>1741</v>
      </c>
      <c r="C2" s="79"/>
      <c r="D2" s="80"/>
      <c r="E2" s="80"/>
      <c r="F2" s="132" t="s">
        <v>1644</v>
      </c>
      <c r="G2" s="132"/>
      <c r="H2" s="132"/>
    </row>
    <row r="3" spans="1:8" ht="27.6" x14ac:dyDescent="0.25">
      <c r="B3" s="110" t="s">
        <v>1</v>
      </c>
      <c r="C3" s="110" t="s">
        <v>2</v>
      </c>
      <c r="D3" s="110" t="s">
        <v>3</v>
      </c>
      <c r="E3" s="110" t="s">
        <v>1664</v>
      </c>
      <c r="F3" s="134" t="s">
        <v>1568</v>
      </c>
      <c r="G3" s="134" t="s">
        <v>1665</v>
      </c>
      <c r="H3" s="164" t="s">
        <v>1616</v>
      </c>
    </row>
    <row r="4" spans="1:8" ht="13.8" x14ac:dyDescent="0.25">
      <c r="A4" s="6" t="str">
        <f>B4&amp;"_"&amp;C4</f>
        <v>ENTITY_ENTTY_NM</v>
      </c>
      <c r="B4" s="82" t="s">
        <v>10</v>
      </c>
      <c r="C4" s="83" t="s">
        <v>59</v>
      </c>
      <c r="D4" s="84" t="s">
        <v>60</v>
      </c>
      <c r="E4" s="87" t="s">
        <v>1652</v>
      </c>
      <c r="F4" s="87" t="s">
        <v>1612</v>
      </c>
      <c r="G4" s="87" t="s">
        <v>1636</v>
      </c>
      <c r="H4" s="6" t="s">
        <v>1742</v>
      </c>
    </row>
    <row r="5" spans="1:8" ht="13.8" x14ac:dyDescent="0.25">
      <c r="A5" s="6" t="str">
        <f t="shared" ref="A5:A68" si="0">B5&amp;"_"&amp;C5</f>
        <v>ENTITY_EC_GRP_NM</v>
      </c>
      <c r="B5" s="82" t="s">
        <v>10</v>
      </c>
      <c r="C5" s="83" t="s">
        <v>284</v>
      </c>
      <c r="D5" s="84" t="s">
        <v>285</v>
      </c>
      <c r="E5" s="87" t="s">
        <v>1652</v>
      </c>
      <c r="F5" s="87" t="s">
        <v>1612</v>
      </c>
      <c r="G5" s="87" t="s">
        <v>1636</v>
      </c>
      <c r="H5" s="6" t="s">
        <v>1742</v>
      </c>
    </row>
    <row r="6" spans="1:8" ht="13.8" hidden="1" x14ac:dyDescent="0.25">
      <c r="A6" s="6" t="str">
        <f t="shared" si="0"/>
        <v>ENTITY_GRP_ECNMC_ACTVTY</v>
      </c>
      <c r="B6" s="82" t="s">
        <v>10</v>
      </c>
      <c r="C6" s="83" t="s">
        <v>382</v>
      </c>
      <c r="D6" s="93" t="s">
        <v>383</v>
      </c>
      <c r="E6" s="87" t="s">
        <v>1650</v>
      </c>
      <c r="F6" s="137" t="s">
        <v>1600</v>
      </c>
      <c r="G6" s="87" t="s">
        <v>1638</v>
      </c>
      <c r="H6" s="6" t="s">
        <v>1743</v>
      </c>
    </row>
    <row r="7" spans="1:8" ht="13.8" hidden="1" x14ac:dyDescent="0.25">
      <c r="A7" s="6" t="str">
        <f t="shared" si="0"/>
        <v>ENTITY_TXNMY_ELGBL_CAPEX_W</v>
      </c>
      <c r="B7" s="82" t="s">
        <v>10</v>
      </c>
      <c r="C7" s="83" t="s">
        <v>1402</v>
      </c>
      <c r="D7" s="96" t="s">
        <v>1403</v>
      </c>
      <c r="E7" s="87" t="s">
        <v>1656</v>
      </c>
      <c r="F7" s="87" t="s">
        <v>1599</v>
      </c>
      <c r="G7" s="87" t="s">
        <v>1638</v>
      </c>
      <c r="H7" s="6" t="s">
        <v>1743</v>
      </c>
    </row>
    <row r="8" spans="1:8" ht="13.8" hidden="1" x14ac:dyDescent="0.25">
      <c r="A8" s="6" t="str">
        <f t="shared" si="0"/>
        <v>ENTITY_TXNMY_ELGBL_TRNVR_W</v>
      </c>
      <c r="B8" s="82" t="s">
        <v>10</v>
      </c>
      <c r="C8" s="83" t="s">
        <v>1405</v>
      </c>
      <c r="D8" s="96" t="s">
        <v>1406</v>
      </c>
      <c r="E8" s="87" t="s">
        <v>1656</v>
      </c>
      <c r="F8" s="87" t="s">
        <v>1599</v>
      </c>
      <c r="G8" s="87" t="s">
        <v>1674</v>
      </c>
      <c r="H8" s="6" t="s">
        <v>1743</v>
      </c>
    </row>
    <row r="9" spans="1:8" ht="13.8" hidden="1" x14ac:dyDescent="0.25">
      <c r="A9" s="6" t="str">
        <f t="shared" si="0"/>
        <v>ENTITY_TXNMY_ELGBL_CAPEX_P</v>
      </c>
      <c r="B9" s="82" t="s">
        <v>10</v>
      </c>
      <c r="C9" s="83" t="s">
        <v>1408</v>
      </c>
      <c r="D9" s="96" t="s">
        <v>1409</v>
      </c>
      <c r="E9" s="87" t="s">
        <v>1656</v>
      </c>
      <c r="F9" s="87" t="s">
        <v>1599</v>
      </c>
      <c r="G9" s="87" t="s">
        <v>1674</v>
      </c>
      <c r="H9" s="6" t="s">
        <v>1743</v>
      </c>
    </row>
    <row r="10" spans="1:8" ht="13.8" hidden="1" x14ac:dyDescent="0.25">
      <c r="A10" s="6" t="str">
        <f t="shared" si="0"/>
        <v>ENTITY_TXNMY_ELGBL_TRNVR_P</v>
      </c>
      <c r="B10" s="82" t="s">
        <v>10</v>
      </c>
      <c r="C10" s="83" t="s">
        <v>1411</v>
      </c>
      <c r="D10" s="96" t="s">
        <v>1412</v>
      </c>
      <c r="E10" s="87" t="s">
        <v>1656</v>
      </c>
      <c r="F10" s="87" t="s">
        <v>1599</v>
      </c>
      <c r="G10" s="87" t="s">
        <v>1674</v>
      </c>
      <c r="H10" s="6" t="s">
        <v>1743</v>
      </c>
    </row>
    <row r="11" spans="1:8" ht="13.8" hidden="1" x14ac:dyDescent="0.25">
      <c r="A11" s="6" t="str">
        <f t="shared" si="0"/>
        <v>ENTITY_TXNMY_ELGBL_CAPEX_B</v>
      </c>
      <c r="B11" s="82" t="s">
        <v>10</v>
      </c>
      <c r="C11" s="83" t="s">
        <v>1414</v>
      </c>
      <c r="D11" s="96" t="s">
        <v>1415</v>
      </c>
      <c r="E11" s="87" t="s">
        <v>1656</v>
      </c>
      <c r="F11" s="87" t="s">
        <v>1599</v>
      </c>
      <c r="G11" s="87" t="s">
        <v>1674</v>
      </c>
      <c r="H11" s="6" t="s">
        <v>1743</v>
      </c>
    </row>
    <row r="12" spans="1:8" ht="13.8" hidden="1" x14ac:dyDescent="0.25">
      <c r="A12" s="6" t="str">
        <f t="shared" si="0"/>
        <v>ENTITY_TXNMY_ELGBL_TRNVR_B</v>
      </c>
      <c r="B12" s="82" t="s">
        <v>10</v>
      </c>
      <c r="C12" s="83" t="s">
        <v>1417</v>
      </c>
      <c r="D12" s="96" t="s">
        <v>1418</v>
      </c>
      <c r="E12" s="87" t="s">
        <v>1656</v>
      </c>
      <c r="F12" s="87" t="s">
        <v>1599</v>
      </c>
      <c r="G12" s="87" t="s">
        <v>1674</v>
      </c>
      <c r="H12" s="6" t="s">
        <v>1743</v>
      </c>
    </row>
    <row r="13" spans="1:8" ht="13.8" hidden="1" x14ac:dyDescent="0.25">
      <c r="A13" s="6" t="str">
        <f t="shared" si="0"/>
        <v>ENTITY_TXNMY_ELGBL_CAPEX_CE</v>
      </c>
      <c r="B13" s="82" t="s">
        <v>10</v>
      </c>
      <c r="C13" s="83" t="s">
        <v>1420</v>
      </c>
      <c r="D13" s="96" t="s">
        <v>1421</v>
      </c>
      <c r="E13" s="87" t="s">
        <v>1656</v>
      </c>
      <c r="F13" s="87" t="s">
        <v>1599</v>
      </c>
      <c r="G13" s="87" t="s">
        <v>1674</v>
      </c>
      <c r="H13" s="6" t="s">
        <v>1743</v>
      </c>
    </row>
    <row r="14" spans="1:8" ht="13.8" hidden="1" x14ac:dyDescent="0.25">
      <c r="A14" s="6" t="str">
        <f t="shared" si="0"/>
        <v>ENTITY_TXNMY_ELGBL_TRNVR_CE</v>
      </c>
      <c r="B14" s="82" t="s">
        <v>10</v>
      </c>
      <c r="C14" s="83" t="s">
        <v>1423</v>
      </c>
      <c r="D14" s="96" t="s">
        <v>1424</v>
      </c>
      <c r="E14" s="87" t="s">
        <v>1656</v>
      </c>
      <c r="F14" s="87" t="s">
        <v>1599</v>
      </c>
      <c r="G14" s="87" t="s">
        <v>1674</v>
      </c>
      <c r="H14" s="6" t="s">
        <v>1743</v>
      </c>
    </row>
    <row r="15" spans="1:8" ht="13.8" hidden="1" x14ac:dyDescent="0.25">
      <c r="A15" s="6" t="str">
        <f t="shared" si="0"/>
        <v>ENTITY_PURE_CAPEX_P</v>
      </c>
      <c r="B15" s="82" t="s">
        <v>10</v>
      </c>
      <c r="C15" s="83" t="s">
        <v>1426</v>
      </c>
      <c r="D15" s="96" t="s">
        <v>1427</v>
      </c>
      <c r="E15" s="87" t="s">
        <v>1656</v>
      </c>
      <c r="F15" s="87" t="s">
        <v>1599</v>
      </c>
      <c r="G15" s="87" t="s">
        <v>1674</v>
      </c>
      <c r="H15" s="6" t="s">
        <v>1743</v>
      </c>
    </row>
    <row r="16" spans="1:8" ht="13.8" hidden="1" x14ac:dyDescent="0.25">
      <c r="A16" s="6" t="str">
        <f t="shared" si="0"/>
        <v>ENTITY_PURE_TRNVR_P</v>
      </c>
      <c r="B16" s="82" t="s">
        <v>10</v>
      </c>
      <c r="C16" s="83" t="s">
        <v>1429</v>
      </c>
      <c r="D16" s="96" t="s">
        <v>1430</v>
      </c>
      <c r="E16" s="87" t="s">
        <v>1656</v>
      </c>
      <c r="F16" s="87" t="s">
        <v>1599</v>
      </c>
      <c r="G16" s="87" t="s">
        <v>1674</v>
      </c>
      <c r="H16" s="6" t="s">
        <v>1743</v>
      </c>
    </row>
    <row r="17" spans="1:8" ht="13.8" hidden="1" x14ac:dyDescent="0.25">
      <c r="A17" s="6" t="str">
        <f t="shared" si="0"/>
        <v>ENTITY_PURE_CAPEX_B</v>
      </c>
      <c r="B17" s="82" t="s">
        <v>10</v>
      </c>
      <c r="C17" s="83" t="s">
        <v>1432</v>
      </c>
      <c r="D17" s="96" t="s">
        <v>1433</v>
      </c>
      <c r="E17" s="87" t="s">
        <v>1656</v>
      </c>
      <c r="F17" s="87" t="s">
        <v>1599</v>
      </c>
      <c r="G17" s="87" t="s">
        <v>1674</v>
      </c>
      <c r="H17" s="6" t="s">
        <v>1743</v>
      </c>
    </row>
    <row r="18" spans="1:8" ht="13.8" hidden="1" x14ac:dyDescent="0.25">
      <c r="A18" s="6" t="str">
        <f t="shared" si="0"/>
        <v>ENTITY_PURE_TRNVR_B</v>
      </c>
      <c r="B18" s="82" t="s">
        <v>10</v>
      </c>
      <c r="C18" s="83" t="s">
        <v>1435</v>
      </c>
      <c r="D18" s="96" t="s">
        <v>1436</v>
      </c>
      <c r="E18" s="87" t="s">
        <v>1656</v>
      </c>
      <c r="F18" s="87" t="s">
        <v>1599</v>
      </c>
      <c r="G18" s="87" t="s">
        <v>1674</v>
      </c>
      <c r="H18" s="6" t="s">
        <v>1743</v>
      </c>
    </row>
    <row r="19" spans="1:8" ht="13.8" hidden="1" x14ac:dyDescent="0.25">
      <c r="A19" s="6" t="str">
        <f t="shared" si="0"/>
        <v>ENTITY_PURE_CAPEX_W</v>
      </c>
      <c r="B19" s="82" t="s">
        <v>10</v>
      </c>
      <c r="C19" s="83" t="s">
        <v>1438</v>
      </c>
      <c r="D19" s="96" t="s">
        <v>1439</v>
      </c>
      <c r="E19" s="87" t="s">
        <v>1656</v>
      </c>
      <c r="F19" s="87" t="s">
        <v>1599</v>
      </c>
      <c r="G19" s="87" t="s">
        <v>1674</v>
      </c>
      <c r="H19" s="6" t="s">
        <v>1743</v>
      </c>
    </row>
    <row r="20" spans="1:8" ht="13.8" hidden="1" x14ac:dyDescent="0.25">
      <c r="A20" s="6" t="str">
        <f t="shared" si="0"/>
        <v>ENTITY_PURE_TRNVR_W</v>
      </c>
      <c r="B20" s="82" t="s">
        <v>10</v>
      </c>
      <c r="C20" s="83" t="s">
        <v>1441</v>
      </c>
      <c r="D20" s="96" t="s">
        <v>1442</v>
      </c>
      <c r="E20" s="87" t="s">
        <v>1656</v>
      </c>
      <c r="F20" s="87" t="s">
        <v>1599</v>
      </c>
      <c r="G20" s="87" t="s">
        <v>1674</v>
      </c>
      <c r="H20" s="6" t="s">
        <v>1743</v>
      </c>
    </row>
    <row r="21" spans="1:8" ht="13.8" hidden="1" x14ac:dyDescent="0.25">
      <c r="A21" s="6" t="str">
        <f t="shared" si="0"/>
        <v>ENTITY_PURE_CAPEX_CE</v>
      </c>
      <c r="B21" s="82" t="s">
        <v>10</v>
      </c>
      <c r="C21" s="83" t="s">
        <v>1444</v>
      </c>
      <c r="D21" s="96" t="s">
        <v>1445</v>
      </c>
      <c r="E21" s="87" t="s">
        <v>1656</v>
      </c>
      <c r="F21" s="87" t="s">
        <v>1599</v>
      </c>
      <c r="G21" s="87" t="s">
        <v>1674</v>
      </c>
      <c r="H21" s="6" t="s">
        <v>1743</v>
      </c>
    </row>
    <row r="22" spans="1:8" ht="13.8" hidden="1" x14ac:dyDescent="0.25">
      <c r="A22" s="6" t="str">
        <f t="shared" si="0"/>
        <v>ENTITY_PURE_TRNVR_CE</v>
      </c>
      <c r="B22" s="82" t="s">
        <v>10</v>
      </c>
      <c r="C22" s="83" t="s">
        <v>1447</v>
      </c>
      <c r="D22" s="96" t="s">
        <v>1448</v>
      </c>
      <c r="E22" s="87" t="s">
        <v>1656</v>
      </c>
      <c r="F22" s="87" t="s">
        <v>1599</v>
      </c>
      <c r="G22" s="87" t="s">
        <v>1674</v>
      </c>
      <c r="H22" s="6" t="s">
        <v>1743</v>
      </c>
    </row>
    <row r="23" spans="1:8" ht="13.8" hidden="1" x14ac:dyDescent="0.25">
      <c r="A23" s="6" t="str">
        <f t="shared" si="0"/>
        <v>ENTITY_ENBLNG_CAPEX_W</v>
      </c>
      <c r="B23" s="82" t="s">
        <v>10</v>
      </c>
      <c r="C23" s="83" t="s">
        <v>1450</v>
      </c>
      <c r="D23" s="96" t="s">
        <v>1451</v>
      </c>
      <c r="E23" s="87" t="s">
        <v>1656</v>
      </c>
      <c r="F23" s="87" t="s">
        <v>1599</v>
      </c>
      <c r="G23" s="87" t="s">
        <v>1674</v>
      </c>
      <c r="H23" s="6" t="s">
        <v>1743</v>
      </c>
    </row>
    <row r="24" spans="1:8" ht="13.8" hidden="1" x14ac:dyDescent="0.25">
      <c r="A24" s="6" t="str">
        <f t="shared" si="0"/>
        <v>ENTITY_ENBLNG_TRNVR_W</v>
      </c>
      <c r="B24" s="82" t="s">
        <v>10</v>
      </c>
      <c r="C24" s="83" t="s">
        <v>1453</v>
      </c>
      <c r="D24" s="96" t="s">
        <v>1454</v>
      </c>
      <c r="E24" s="87" t="s">
        <v>1656</v>
      </c>
      <c r="F24" s="87" t="s">
        <v>1599</v>
      </c>
      <c r="G24" s="87" t="s">
        <v>1674</v>
      </c>
      <c r="H24" s="6" t="s">
        <v>1743</v>
      </c>
    </row>
    <row r="25" spans="1:8" ht="13.8" hidden="1" x14ac:dyDescent="0.25">
      <c r="A25" s="6" t="str">
        <f t="shared" si="0"/>
        <v>ENTITY_ENBLNG_CAPEX_CE</v>
      </c>
      <c r="B25" s="82" t="s">
        <v>10</v>
      </c>
      <c r="C25" s="83" t="s">
        <v>1456</v>
      </c>
      <c r="D25" s="96" t="s">
        <v>1457</v>
      </c>
      <c r="E25" s="87" t="s">
        <v>1656</v>
      </c>
      <c r="F25" s="87" t="s">
        <v>1599</v>
      </c>
      <c r="G25" s="87" t="s">
        <v>1674</v>
      </c>
      <c r="H25" s="6" t="s">
        <v>1743</v>
      </c>
    </row>
    <row r="26" spans="1:8" ht="13.8" hidden="1" x14ac:dyDescent="0.25">
      <c r="A26" s="6" t="str">
        <f t="shared" si="0"/>
        <v>ENTITY_ENBLNG_TRNVR_CE</v>
      </c>
      <c r="B26" s="82" t="s">
        <v>10</v>
      </c>
      <c r="C26" s="83" t="s">
        <v>1459</v>
      </c>
      <c r="D26" s="96" t="s">
        <v>1460</v>
      </c>
      <c r="E26" s="87" t="s">
        <v>1656</v>
      </c>
      <c r="F26" s="87" t="s">
        <v>1599</v>
      </c>
      <c r="G26" s="87" t="s">
        <v>1674</v>
      </c>
      <c r="H26" s="6" t="s">
        <v>1743</v>
      </c>
    </row>
    <row r="27" spans="1:8" ht="13.8" x14ac:dyDescent="0.25">
      <c r="A27" s="6" t="str">
        <f t="shared" si="0"/>
        <v>INSTRUMENT_FRBRNC_STTS_INSTRMNT</v>
      </c>
      <c r="B27" s="82" t="s">
        <v>414</v>
      </c>
      <c r="C27" s="83" t="s">
        <v>501</v>
      </c>
      <c r="D27" s="84" t="s">
        <v>502</v>
      </c>
      <c r="E27" s="87" t="s">
        <v>1650</v>
      </c>
      <c r="F27" s="87" t="s">
        <v>1612</v>
      </c>
      <c r="G27" s="87" t="s">
        <v>1674</v>
      </c>
      <c r="H27" s="6" t="s">
        <v>1742</v>
      </c>
    </row>
    <row r="28" spans="1:8" ht="13.8" hidden="1" x14ac:dyDescent="0.25">
      <c r="A28" s="6" t="str">
        <f t="shared" si="0"/>
        <v>INSTRUMENT_INTRNL_SGMNT</v>
      </c>
      <c r="B28" s="82" t="s">
        <v>414</v>
      </c>
      <c r="C28" s="83" t="s">
        <v>50</v>
      </c>
      <c r="D28" s="84" t="s">
        <v>51</v>
      </c>
      <c r="E28" s="87" t="s">
        <v>1652</v>
      </c>
      <c r="F28" s="137" t="s">
        <v>1744</v>
      </c>
      <c r="G28" s="87" t="s">
        <v>1636</v>
      </c>
      <c r="H28" s="6" t="s">
        <v>1745</v>
      </c>
    </row>
    <row r="29" spans="1:8" ht="13.8" x14ac:dyDescent="0.25">
      <c r="A29" s="6" t="str">
        <f t="shared" si="0"/>
        <v>INSTRUMENT_IFRS9_BHVRL_MTRTY</v>
      </c>
      <c r="B29" s="82" t="s">
        <v>414</v>
      </c>
      <c r="C29" s="83" t="s">
        <v>614</v>
      </c>
      <c r="D29" s="84" t="s">
        <v>615</v>
      </c>
      <c r="E29" s="87" t="s">
        <v>1658</v>
      </c>
      <c r="F29" s="87" t="s">
        <v>1612</v>
      </c>
      <c r="G29" s="87" t="s">
        <v>1674</v>
      </c>
      <c r="H29" s="6" t="s">
        <v>1742</v>
      </c>
    </row>
    <row r="30" spans="1:8" ht="13.8" hidden="1" x14ac:dyDescent="0.25">
      <c r="A30" s="6" t="str">
        <f t="shared" si="0"/>
        <v>INSTRUMENT_EAD</v>
      </c>
      <c r="B30" s="82" t="s">
        <v>414</v>
      </c>
      <c r="C30" s="83" t="s">
        <v>617</v>
      </c>
      <c r="D30" s="84" t="s">
        <v>618</v>
      </c>
      <c r="E30" s="87" t="s">
        <v>1655</v>
      </c>
      <c r="F30" s="137" t="s">
        <v>1746</v>
      </c>
      <c r="G30" s="87" t="s">
        <v>1636</v>
      </c>
      <c r="H30" s="6" t="s">
        <v>1745</v>
      </c>
    </row>
    <row r="31" spans="1:8" ht="13.8" hidden="1" x14ac:dyDescent="0.25">
      <c r="A31" s="6" t="str">
        <f t="shared" si="0"/>
        <v>INSTRUMENT_OFF_BLNC_SHT_AMNT_INSTRMNT</v>
      </c>
      <c r="B31" s="82" t="s">
        <v>414</v>
      </c>
      <c r="C31" s="83" t="s">
        <v>629</v>
      </c>
      <c r="D31" s="84" t="s">
        <v>630</v>
      </c>
      <c r="E31" s="87" t="s">
        <v>1655</v>
      </c>
      <c r="F31" s="137" t="s">
        <v>1746</v>
      </c>
      <c r="G31" s="87" t="s">
        <v>1636</v>
      </c>
      <c r="H31" s="6" t="s">
        <v>1745</v>
      </c>
    </row>
    <row r="32" spans="1:8" ht="13.8" x14ac:dyDescent="0.25">
      <c r="A32" s="6" t="str">
        <f t="shared" si="0"/>
        <v>INSTRUMENT_LTV</v>
      </c>
      <c r="B32" s="82" t="s">
        <v>414</v>
      </c>
      <c r="C32" s="83" t="s">
        <v>724</v>
      </c>
      <c r="D32" s="84" t="s">
        <v>725</v>
      </c>
      <c r="E32" s="87" t="s">
        <v>1656</v>
      </c>
      <c r="F32" s="87" t="s">
        <v>1612</v>
      </c>
      <c r="G32" s="87" t="s">
        <v>1674</v>
      </c>
      <c r="H32" s="6" t="s">
        <v>1742</v>
      </c>
    </row>
    <row r="33" spans="1:8" ht="13.8" x14ac:dyDescent="0.25">
      <c r="A33" s="6" t="str">
        <f t="shared" si="0"/>
        <v>INSTRUMENT_LTV_INCPTN</v>
      </c>
      <c r="B33" s="82" t="s">
        <v>414</v>
      </c>
      <c r="C33" s="83" t="s">
        <v>727</v>
      </c>
      <c r="D33" s="84" t="s">
        <v>728</v>
      </c>
      <c r="E33" s="87" t="s">
        <v>1656</v>
      </c>
      <c r="F33" s="87" t="s">
        <v>1612</v>
      </c>
      <c r="G33" s="87" t="s">
        <v>1674</v>
      </c>
      <c r="H33" s="6" t="s">
        <v>1742</v>
      </c>
    </row>
    <row r="34" spans="1:8" ht="13.8" x14ac:dyDescent="0.25">
      <c r="A34" s="6" t="str">
        <f t="shared" si="0"/>
        <v>INSTRUMENT_ANNLSD_AGRD_RT</v>
      </c>
      <c r="B34" s="82" t="s">
        <v>414</v>
      </c>
      <c r="C34" s="83" t="s">
        <v>757</v>
      </c>
      <c r="D34" s="84" t="s">
        <v>1478</v>
      </c>
      <c r="E34" s="87" t="s">
        <v>1656</v>
      </c>
      <c r="F34" s="87" t="s">
        <v>1612</v>
      </c>
      <c r="G34" s="87" t="s">
        <v>1674</v>
      </c>
      <c r="H34" s="6" t="s">
        <v>1742</v>
      </c>
    </row>
    <row r="35" spans="1:8" ht="13.8" x14ac:dyDescent="0.25">
      <c r="A35" s="6" t="str">
        <f t="shared" si="0"/>
        <v>INSTRUMENT_EIR_INCPTN</v>
      </c>
      <c r="B35" s="82" t="s">
        <v>414</v>
      </c>
      <c r="C35" s="83" t="s">
        <v>763</v>
      </c>
      <c r="D35" s="84" t="s">
        <v>764</v>
      </c>
      <c r="E35" s="87" t="s">
        <v>1656</v>
      </c>
      <c r="F35" s="87" t="s">
        <v>1612</v>
      </c>
      <c r="G35" s="87" t="s">
        <v>1674</v>
      </c>
      <c r="H35" s="6" t="s">
        <v>1742</v>
      </c>
    </row>
    <row r="36" spans="1:8" s="20" customFormat="1" ht="13.8" hidden="1" x14ac:dyDescent="0.25">
      <c r="A36" s="6" t="str">
        <f t="shared" si="0"/>
        <v>INSTRUMENT_INTRNL_SGMNT_CAT_MSTA</v>
      </c>
      <c r="B36" s="82" t="s">
        <v>414</v>
      </c>
      <c r="C36" s="83" t="s">
        <v>943</v>
      </c>
      <c r="D36" s="84" t="s">
        <v>944</v>
      </c>
      <c r="E36" s="87" t="s">
        <v>1650</v>
      </c>
      <c r="F36" s="137" t="s">
        <v>1744</v>
      </c>
      <c r="G36" s="87" t="s">
        <v>1636</v>
      </c>
      <c r="H36" s="6" t="s">
        <v>1745</v>
      </c>
    </row>
    <row r="37" spans="1:8" s="31" customFormat="1" ht="13.8" hidden="1" x14ac:dyDescent="0.25">
      <c r="A37" s="6" t="str">
        <f t="shared" si="0"/>
        <v>INSTRUMENT_INTRNL_SGMNT_CATGSUB</v>
      </c>
      <c r="B37" s="82" t="s">
        <v>414</v>
      </c>
      <c r="C37" s="83" t="s">
        <v>946</v>
      </c>
      <c r="D37" s="84" t="s">
        <v>947</v>
      </c>
      <c r="E37" s="87" t="s">
        <v>1650</v>
      </c>
      <c r="F37" s="137" t="s">
        <v>1744</v>
      </c>
      <c r="G37" s="87" t="s">
        <v>1636</v>
      </c>
      <c r="H37" s="6" t="s">
        <v>1745</v>
      </c>
    </row>
    <row r="38" spans="1:8" ht="13.8" x14ac:dyDescent="0.25">
      <c r="A38" s="6" t="str">
        <f t="shared" si="0"/>
        <v>INSTRUMENT_NW_BSNSS</v>
      </c>
      <c r="B38" s="82" t="s">
        <v>414</v>
      </c>
      <c r="C38" s="83" t="s">
        <v>973</v>
      </c>
      <c r="D38" s="84" t="s">
        <v>974</v>
      </c>
      <c r="E38" s="87" t="s">
        <v>1654</v>
      </c>
      <c r="F38" s="87" t="s">
        <v>1610</v>
      </c>
      <c r="G38" s="87" t="s">
        <v>1677</v>
      </c>
      <c r="H38" s="6" t="s">
        <v>1747</v>
      </c>
    </row>
    <row r="39" spans="1:8" ht="13.8" x14ac:dyDescent="0.25">
      <c r="A39" s="6" t="str">
        <f t="shared" si="0"/>
        <v>INSTRUMENT_TYP_OFF_BLNC_PRDCT</v>
      </c>
      <c r="B39" s="82" t="s">
        <v>414</v>
      </c>
      <c r="C39" s="83" t="s">
        <v>1351</v>
      </c>
      <c r="D39" s="93" t="s">
        <v>1352</v>
      </c>
      <c r="E39" s="87" t="s">
        <v>1650</v>
      </c>
      <c r="F39" s="87" t="s">
        <v>1596</v>
      </c>
      <c r="G39" s="87" t="s">
        <v>1674</v>
      </c>
      <c r="H39" s="6" t="s">
        <v>1742</v>
      </c>
    </row>
    <row r="40" spans="1:8" ht="13.8" x14ac:dyDescent="0.25">
      <c r="A40" s="6" t="str">
        <f t="shared" si="0"/>
        <v>INSTRUMENT_FLG_MNMM_SFGRDS</v>
      </c>
      <c r="B40" s="82" t="s">
        <v>414</v>
      </c>
      <c r="C40" s="83" t="s">
        <v>1480</v>
      </c>
      <c r="D40" s="84" t="s">
        <v>1481</v>
      </c>
      <c r="E40" s="87" t="s">
        <v>1654</v>
      </c>
      <c r="F40" s="87" t="s">
        <v>1599</v>
      </c>
      <c r="G40" s="87" t="s">
        <v>1625</v>
      </c>
      <c r="H40" s="6" t="s">
        <v>1748</v>
      </c>
    </row>
    <row r="41" spans="1:8" ht="13.8" x14ac:dyDescent="0.25">
      <c r="A41" s="6" t="str">
        <f t="shared" si="0"/>
        <v>INSTR_PROTECTION_TYP_RLTN</v>
      </c>
      <c r="B41" s="82" t="s">
        <v>1101</v>
      </c>
      <c r="C41" s="83" t="s">
        <v>1384</v>
      </c>
      <c r="D41" s="84" t="s">
        <v>1385</v>
      </c>
      <c r="E41" s="87" t="s">
        <v>1650</v>
      </c>
      <c r="F41" s="87" t="s">
        <v>1610</v>
      </c>
      <c r="G41" s="87" t="s">
        <v>1637</v>
      </c>
      <c r="H41" s="6" t="s">
        <v>1747</v>
      </c>
    </row>
    <row r="42" spans="1:8" ht="13.8" hidden="1" x14ac:dyDescent="0.25">
      <c r="A42" s="6" t="str">
        <f t="shared" si="0"/>
        <v>PROTECTION_RL_ESTT_ADDRSS</v>
      </c>
      <c r="B42" s="82" t="s">
        <v>1114</v>
      </c>
      <c r="C42" s="83" t="s">
        <v>1127</v>
      </c>
      <c r="D42" s="84" t="s">
        <v>1128</v>
      </c>
      <c r="E42" s="87" t="s">
        <v>1652</v>
      </c>
      <c r="F42" s="137" t="s">
        <v>1744</v>
      </c>
      <c r="G42" s="87" t="s">
        <v>1636</v>
      </c>
      <c r="H42" s="6" t="s">
        <v>1745</v>
      </c>
    </row>
    <row r="43" spans="1:8" ht="13.8" hidden="1" x14ac:dyDescent="0.25">
      <c r="A43" s="6" t="str">
        <f t="shared" si="0"/>
        <v>PROTECTION_RL_ESTT_CLLTRL_LCTN_INT</v>
      </c>
      <c r="B43" s="82" t="s">
        <v>1114</v>
      </c>
      <c r="C43" s="83" t="s">
        <v>1133</v>
      </c>
      <c r="D43" s="84" t="s">
        <v>1134</v>
      </c>
      <c r="E43" s="87" t="s">
        <v>1652</v>
      </c>
      <c r="F43" s="137" t="s">
        <v>1744</v>
      </c>
      <c r="G43" s="87" t="s">
        <v>1636</v>
      </c>
      <c r="H43" s="6" t="s">
        <v>1745</v>
      </c>
    </row>
    <row r="44" spans="1:8" ht="13.8" hidden="1" x14ac:dyDescent="0.25">
      <c r="A44" s="6" t="str">
        <f t="shared" si="0"/>
        <v>PROTECTION_RL_ESTT_CTY</v>
      </c>
      <c r="B44" s="82" t="s">
        <v>1114</v>
      </c>
      <c r="C44" s="83" t="s">
        <v>1136</v>
      </c>
      <c r="D44" s="84" t="s">
        <v>1137</v>
      </c>
      <c r="E44" s="87" t="s">
        <v>1652</v>
      </c>
      <c r="F44" s="137" t="s">
        <v>1744</v>
      </c>
      <c r="G44" s="87" t="s">
        <v>1636</v>
      </c>
      <c r="H44" s="6" t="s">
        <v>1745</v>
      </c>
    </row>
    <row r="45" spans="1:8" ht="13.8" x14ac:dyDescent="0.25">
      <c r="A45" s="6" t="str">
        <f t="shared" si="0"/>
        <v>PROTECTION_TYP_EMSSNS_LBL</v>
      </c>
      <c r="B45" s="82" t="s">
        <v>1114</v>
      </c>
      <c r="C45" s="83" t="s">
        <v>1235</v>
      </c>
      <c r="D45" s="84" t="s">
        <v>1236</v>
      </c>
      <c r="E45" s="87" t="s">
        <v>1650</v>
      </c>
      <c r="F45" s="137" t="s">
        <v>1600</v>
      </c>
      <c r="G45" s="87" t="s">
        <v>1625</v>
      </c>
      <c r="H45" s="6" t="s">
        <v>1748</v>
      </c>
    </row>
    <row r="46" spans="1:8" ht="13.8" hidden="1" x14ac:dyDescent="0.25">
      <c r="A46" s="6" t="str">
        <f t="shared" si="0"/>
        <v>PROTECTION_EPC_EMSSNS_LBL</v>
      </c>
      <c r="B46" s="82" t="s">
        <v>1114</v>
      </c>
      <c r="C46" s="83" t="s">
        <v>1238</v>
      </c>
      <c r="D46" s="93" t="s">
        <v>1239</v>
      </c>
      <c r="E46" s="87" t="s">
        <v>1650</v>
      </c>
      <c r="F46" s="137" t="s">
        <v>1600</v>
      </c>
      <c r="G46" s="87" t="s">
        <v>1636</v>
      </c>
      <c r="H46" s="6" t="s">
        <v>1745</v>
      </c>
    </row>
    <row r="47" spans="1:8" ht="13.8" x14ac:dyDescent="0.25">
      <c r="A47" s="6" t="str">
        <f t="shared" si="0"/>
        <v>PROTECTION_VHCL_EMSSNS_LBL</v>
      </c>
      <c r="B47" s="82" t="s">
        <v>1114</v>
      </c>
      <c r="C47" s="83" t="s">
        <v>1241</v>
      </c>
      <c r="D47" s="84" t="s">
        <v>1242</v>
      </c>
      <c r="E47" s="87" t="s">
        <v>1650</v>
      </c>
      <c r="F47" s="137" t="s">
        <v>1600</v>
      </c>
      <c r="G47" s="87" t="s">
        <v>1625</v>
      </c>
      <c r="H47" s="6" t="s">
        <v>1748</v>
      </c>
    </row>
    <row r="48" spans="1:8" ht="13.8" hidden="1" x14ac:dyDescent="0.25">
      <c r="A48" s="6" t="str">
        <f t="shared" si="0"/>
        <v>PROTECTION_TYP_EMSSNS_SCR</v>
      </c>
      <c r="B48" s="82" t="s">
        <v>1114</v>
      </c>
      <c r="C48" s="83" t="s">
        <v>1244</v>
      </c>
      <c r="D48" s="84" t="s">
        <v>1245</v>
      </c>
      <c r="E48" s="87" t="s">
        <v>1650</v>
      </c>
      <c r="F48" s="137" t="s">
        <v>1600</v>
      </c>
      <c r="G48" s="87" t="s">
        <v>1636</v>
      </c>
      <c r="H48" s="6" t="s">
        <v>1745</v>
      </c>
    </row>
    <row r="49" spans="1:8" ht="13.8" hidden="1" x14ac:dyDescent="0.25">
      <c r="A49" s="6" t="str">
        <f t="shared" si="0"/>
        <v>PROTECTION_EPC_EMSSNS_SCR</v>
      </c>
      <c r="B49" s="82" t="s">
        <v>1114</v>
      </c>
      <c r="C49" s="83" t="s">
        <v>1247</v>
      </c>
      <c r="D49" s="93" t="s">
        <v>1248</v>
      </c>
      <c r="E49" s="87" t="s">
        <v>1656</v>
      </c>
      <c r="F49" s="137" t="s">
        <v>1600</v>
      </c>
      <c r="G49" s="87" t="s">
        <v>1637</v>
      </c>
      <c r="H49" s="6" t="s">
        <v>1745</v>
      </c>
    </row>
    <row r="50" spans="1:8" ht="13.8" x14ac:dyDescent="0.25">
      <c r="A50" s="6" t="str">
        <f t="shared" si="0"/>
        <v>PROTECTION_VHCL_EMSSNS_SCR</v>
      </c>
      <c r="B50" s="82" t="s">
        <v>1114</v>
      </c>
      <c r="C50" s="83" t="s">
        <v>1250</v>
      </c>
      <c r="D50" s="93" t="s">
        <v>1251</v>
      </c>
      <c r="E50" s="87" t="s">
        <v>1656</v>
      </c>
      <c r="F50" s="137" t="s">
        <v>1600</v>
      </c>
      <c r="G50" s="87" t="s">
        <v>1625</v>
      </c>
      <c r="H50" s="6" t="s">
        <v>1748</v>
      </c>
    </row>
    <row r="51" spans="1:8" ht="13.8" x14ac:dyDescent="0.25">
      <c r="A51" s="6" t="str">
        <f t="shared" si="0"/>
        <v>PROTECTION_INSRNC_ID</v>
      </c>
      <c r="B51" s="82" t="s">
        <v>1114</v>
      </c>
      <c r="C51" s="83" t="s">
        <v>1275</v>
      </c>
      <c r="D51" s="93" t="s">
        <v>1276</v>
      </c>
      <c r="E51" s="87" t="s">
        <v>1659</v>
      </c>
      <c r="F51" s="137" t="s">
        <v>1600</v>
      </c>
      <c r="G51" s="87" t="s">
        <v>1625</v>
      </c>
      <c r="H51" s="6" t="s">
        <v>1748</v>
      </c>
    </row>
    <row r="52" spans="1:8" ht="13.8" x14ac:dyDescent="0.25">
      <c r="A52" s="6" t="str">
        <f t="shared" si="0"/>
        <v>PROTECTION_TYP_HZRDS_INSRD</v>
      </c>
      <c r="B52" s="82" t="s">
        <v>1114</v>
      </c>
      <c r="C52" s="83" t="s">
        <v>1278</v>
      </c>
      <c r="D52" s="93" t="s">
        <v>1279</v>
      </c>
      <c r="E52" s="87" t="s">
        <v>1650</v>
      </c>
      <c r="F52" s="137" t="s">
        <v>1600</v>
      </c>
      <c r="G52" s="87" t="s">
        <v>1625</v>
      </c>
      <c r="H52" s="6" t="s">
        <v>1748</v>
      </c>
    </row>
    <row r="53" spans="1:8" ht="13.8" x14ac:dyDescent="0.25">
      <c r="A53" s="6" t="str">
        <f t="shared" si="0"/>
        <v>PROTECTION_AMNT_CVRD_INSRNC</v>
      </c>
      <c r="B53" s="82" t="s">
        <v>1114</v>
      </c>
      <c r="C53" s="83" t="s">
        <v>1281</v>
      </c>
      <c r="D53" s="93" t="s">
        <v>1282</v>
      </c>
      <c r="E53" s="87" t="s">
        <v>1655</v>
      </c>
      <c r="F53" s="137" t="s">
        <v>1600</v>
      </c>
      <c r="G53" s="87" t="s">
        <v>1625</v>
      </c>
      <c r="H53" s="6" t="s">
        <v>1748</v>
      </c>
    </row>
    <row r="54" spans="1:8" ht="13.8" x14ac:dyDescent="0.25">
      <c r="A54" s="6" t="str">
        <f t="shared" si="0"/>
        <v>PROTECTION_DT_MTRTY_INSRNC</v>
      </c>
      <c r="B54" s="82" t="s">
        <v>1114</v>
      </c>
      <c r="C54" s="83" t="s">
        <v>1284</v>
      </c>
      <c r="D54" s="93" t="s">
        <v>1285</v>
      </c>
      <c r="E54" s="87" t="s">
        <v>1651</v>
      </c>
      <c r="F54" s="137" t="s">
        <v>1600</v>
      </c>
      <c r="G54" s="87" t="s">
        <v>1625</v>
      </c>
      <c r="H54" s="6" t="s">
        <v>1748</v>
      </c>
    </row>
    <row r="55" spans="1:8" ht="13.8" x14ac:dyDescent="0.25">
      <c r="A55" s="6" t="str">
        <f t="shared" si="0"/>
        <v>PROTECTION_FLG_FRST_HM</v>
      </c>
      <c r="B55" s="82" t="s">
        <v>1114</v>
      </c>
      <c r="C55" s="83" t="s">
        <v>1287</v>
      </c>
      <c r="D55" s="93" t="s">
        <v>1288</v>
      </c>
      <c r="E55" s="87" t="s">
        <v>1654</v>
      </c>
      <c r="F55" s="137" t="s">
        <v>1600</v>
      </c>
      <c r="G55" s="87" t="s">
        <v>1625</v>
      </c>
      <c r="H55" s="6" t="s">
        <v>1748</v>
      </c>
    </row>
    <row r="56" spans="1:8" ht="13.8" x14ac:dyDescent="0.25">
      <c r="A56" s="6" t="str">
        <f t="shared" si="0"/>
        <v>PROTECTION_YR_CNSTRCTN</v>
      </c>
      <c r="B56" s="82" t="s">
        <v>1114</v>
      </c>
      <c r="C56" s="83" t="s">
        <v>1290</v>
      </c>
      <c r="D56" s="93" t="s">
        <v>1291</v>
      </c>
      <c r="E56" s="87" t="s">
        <v>1658</v>
      </c>
      <c r="F56" s="87" t="s">
        <v>1612</v>
      </c>
      <c r="G56" s="87" t="s">
        <v>1638</v>
      </c>
      <c r="H56" s="6" t="s">
        <v>1742</v>
      </c>
    </row>
    <row r="57" spans="1:8" ht="13.8" hidden="1" x14ac:dyDescent="0.25">
      <c r="A57" s="6" t="str">
        <f t="shared" si="0"/>
        <v>PROTECTION_BLDNG_AR</v>
      </c>
      <c r="B57" s="82" t="s">
        <v>1114</v>
      </c>
      <c r="C57" s="83" t="s">
        <v>1387</v>
      </c>
      <c r="D57" s="93" t="s">
        <v>1388</v>
      </c>
      <c r="E57" s="87" t="s">
        <v>1656</v>
      </c>
      <c r="F57" s="87" t="s">
        <v>1599</v>
      </c>
      <c r="G57" s="87" t="s">
        <v>1636</v>
      </c>
      <c r="H57" s="6" t="s">
        <v>1745</v>
      </c>
    </row>
    <row r="58" spans="1:8" ht="13.8" x14ac:dyDescent="0.25">
      <c r="A58" s="6" t="str">
        <f t="shared" si="0"/>
        <v>PROTECTION_RL_ESTT_CRTFCTN</v>
      </c>
      <c r="B58" s="82" t="s">
        <v>1114</v>
      </c>
      <c r="C58" s="83" t="s">
        <v>1512</v>
      </c>
      <c r="D58" s="93" t="s">
        <v>1513</v>
      </c>
      <c r="E58" s="87" t="s">
        <v>1650</v>
      </c>
      <c r="F58" s="87" t="s">
        <v>1599</v>
      </c>
      <c r="G58" s="87" t="s">
        <v>1625</v>
      </c>
      <c r="H58" s="6" t="s">
        <v>1748</v>
      </c>
    </row>
    <row r="59" spans="1:8" ht="13.8" x14ac:dyDescent="0.25">
      <c r="A59" s="6" t="str">
        <f t="shared" si="0"/>
        <v>PROTECTION_TYP_VHCL</v>
      </c>
      <c r="B59" s="82" t="s">
        <v>1114</v>
      </c>
      <c r="C59" s="83" t="s">
        <v>1515</v>
      </c>
      <c r="D59" s="93" t="s">
        <v>1516</v>
      </c>
      <c r="E59" s="87" t="s">
        <v>1650</v>
      </c>
      <c r="F59" s="87" t="s">
        <v>1599</v>
      </c>
      <c r="G59" s="87" t="s">
        <v>1625</v>
      </c>
      <c r="H59" s="6" t="s">
        <v>1748</v>
      </c>
    </row>
    <row r="60" spans="1:8" ht="13.8" x14ac:dyDescent="0.25">
      <c r="A60" s="6" t="str">
        <f t="shared" si="0"/>
        <v>PROTECTION_DT_RGSTRTN</v>
      </c>
      <c r="B60" s="82" t="s">
        <v>1114</v>
      </c>
      <c r="C60" s="83" t="s">
        <v>1518</v>
      </c>
      <c r="D60" s="93" t="s">
        <v>1519</v>
      </c>
      <c r="E60" s="87" t="s">
        <v>1651</v>
      </c>
      <c r="F60" s="87" t="s">
        <v>1599</v>
      </c>
      <c r="G60" s="87" t="s">
        <v>1625</v>
      </c>
      <c r="H60" s="6" t="s">
        <v>1748</v>
      </c>
    </row>
    <row r="61" spans="1:8" ht="13.8" hidden="1" x14ac:dyDescent="0.25">
      <c r="A61" s="6" t="str">
        <f t="shared" si="0"/>
        <v>PROTECTION_PRMRY_ENRGY_DMND_NN_RNWBL</v>
      </c>
      <c r="B61" s="82" t="s">
        <v>1114</v>
      </c>
      <c r="C61" s="83" t="s">
        <v>1521</v>
      </c>
      <c r="D61" s="93" t="s">
        <v>1522</v>
      </c>
      <c r="E61" s="87" t="s">
        <v>1656</v>
      </c>
      <c r="F61" s="87" t="s">
        <v>1599</v>
      </c>
      <c r="G61" s="87" t="s">
        <v>1677</v>
      </c>
      <c r="H61" s="6" t="s">
        <v>1743</v>
      </c>
    </row>
    <row r="62" spans="1:8" ht="13.8" hidden="1" x14ac:dyDescent="0.25">
      <c r="A62" s="6" t="str">
        <f t="shared" si="0"/>
        <v>PROTECTION_PRMRY_ENRGY_DMND_TTL</v>
      </c>
      <c r="B62" s="82" t="s">
        <v>1114</v>
      </c>
      <c r="C62" s="83" t="s">
        <v>1524</v>
      </c>
      <c r="D62" s="93" t="s">
        <v>1525</v>
      </c>
      <c r="E62" s="87" t="s">
        <v>1656</v>
      </c>
      <c r="F62" s="87" t="s">
        <v>1599</v>
      </c>
      <c r="G62" s="87" t="s">
        <v>1638</v>
      </c>
      <c r="H62" s="6" t="s">
        <v>1743</v>
      </c>
    </row>
    <row r="63" spans="1:8" ht="13.8" hidden="1" x14ac:dyDescent="0.25">
      <c r="A63" s="6" t="str">
        <f t="shared" si="0"/>
        <v>PROTECTION_PRMRY_ENRGY_DMND_RFRNC_VL</v>
      </c>
      <c r="B63" s="82" t="s">
        <v>1114</v>
      </c>
      <c r="C63" s="83" t="s">
        <v>1527</v>
      </c>
      <c r="D63" s="93" t="s">
        <v>1528</v>
      </c>
      <c r="E63" s="87" t="s">
        <v>1656</v>
      </c>
      <c r="F63" s="87" t="s">
        <v>1599</v>
      </c>
      <c r="G63" s="87" t="s">
        <v>1638</v>
      </c>
      <c r="H63" s="6" t="s">
        <v>1743</v>
      </c>
    </row>
    <row r="64" spans="1:8" ht="13.8" hidden="1" x14ac:dyDescent="0.25">
      <c r="A64" s="6" t="str">
        <f t="shared" si="0"/>
        <v>PROTECTION_RL_ESTT_CLMT_ZN</v>
      </c>
      <c r="B64" s="82" t="s">
        <v>1114</v>
      </c>
      <c r="C64" s="83" t="s">
        <v>1530</v>
      </c>
      <c r="D64" s="93" t="s">
        <v>1531</v>
      </c>
      <c r="E64" s="87" t="s">
        <v>1650</v>
      </c>
      <c r="F64" s="87" t="s">
        <v>1599</v>
      </c>
      <c r="G64" s="87" t="s">
        <v>1638</v>
      </c>
      <c r="H64" s="6" t="s">
        <v>1743</v>
      </c>
    </row>
    <row r="65" spans="1:8" ht="13.8" x14ac:dyDescent="0.25">
      <c r="A65" s="6" t="str">
        <f t="shared" si="0"/>
        <v>INSTR_ACTIVITY_COD_SOC</v>
      </c>
      <c r="B65" s="82" t="s">
        <v>1542</v>
      </c>
      <c r="C65" s="83" t="s">
        <v>12</v>
      </c>
      <c r="D65" s="84" t="s">
        <v>14</v>
      </c>
      <c r="E65" s="87" t="s">
        <v>1649</v>
      </c>
      <c r="F65" s="87" t="s">
        <v>1610</v>
      </c>
      <c r="G65" s="87" t="s">
        <v>1636</v>
      </c>
      <c r="H65" s="6" t="s">
        <v>1747</v>
      </c>
    </row>
    <row r="66" spans="1:8" ht="13.8" x14ac:dyDescent="0.25">
      <c r="A66" s="6" t="str">
        <f t="shared" si="0"/>
        <v>INSTR_ACTIVITY_DT_RFRNC</v>
      </c>
      <c r="B66" s="82" t="s">
        <v>1542</v>
      </c>
      <c r="C66" s="83" t="s">
        <v>38</v>
      </c>
      <c r="D66" s="84" t="s">
        <v>402</v>
      </c>
      <c r="E66" s="87" t="s">
        <v>1651</v>
      </c>
      <c r="F66" s="87" t="s">
        <v>1610</v>
      </c>
      <c r="G66" s="87" t="s">
        <v>1674</v>
      </c>
      <c r="H66" s="6" t="s">
        <v>1747</v>
      </c>
    </row>
    <row r="67" spans="1:8" ht="13.8" x14ac:dyDescent="0.25">
      <c r="A67" s="6" t="str">
        <f t="shared" si="0"/>
        <v>INSTR_ACTIVITY_INSTRMNT_ID</v>
      </c>
      <c r="B67" s="82" t="s">
        <v>1542</v>
      </c>
      <c r="C67" s="83" t="s">
        <v>405</v>
      </c>
      <c r="D67" s="84" t="s">
        <v>406</v>
      </c>
      <c r="E67" s="87" t="s">
        <v>1659</v>
      </c>
      <c r="F67" s="87" t="s">
        <v>1610</v>
      </c>
      <c r="G67" s="87" t="s">
        <v>1636</v>
      </c>
      <c r="H67" s="6" t="s">
        <v>1747</v>
      </c>
    </row>
    <row r="68" spans="1:8" ht="13.8" x14ac:dyDescent="0.25">
      <c r="A68" s="6" t="str">
        <f t="shared" si="0"/>
        <v>INSTR_ACTIVITY_PRCNTG_ACTVTY</v>
      </c>
      <c r="B68" s="82" t="s">
        <v>1542</v>
      </c>
      <c r="C68" s="83" t="s">
        <v>1548</v>
      </c>
      <c r="D68" s="87" t="s">
        <v>1549</v>
      </c>
      <c r="E68" s="87" t="s">
        <v>1656</v>
      </c>
      <c r="F68" s="87" t="s">
        <v>1610</v>
      </c>
      <c r="G68" s="87" t="s">
        <v>1637</v>
      </c>
      <c r="H68" s="6" t="s">
        <v>1747</v>
      </c>
    </row>
    <row r="69" spans="1:8" ht="13.8" hidden="1" x14ac:dyDescent="0.25">
      <c r="A69" s="6" t="str">
        <f t="shared" ref="A69:A71" si="1">B69&amp;"_"&amp;C69</f>
        <v>INSTR_ACTIVITY_FLG_SBSTNTL_CNTRBTN</v>
      </c>
      <c r="B69" s="82" t="s">
        <v>1542</v>
      </c>
      <c r="C69" s="83" t="s">
        <v>1554</v>
      </c>
      <c r="D69" s="84" t="s">
        <v>1555</v>
      </c>
      <c r="E69" s="87" t="s">
        <v>1654</v>
      </c>
      <c r="F69" s="87" t="s">
        <v>1599</v>
      </c>
      <c r="G69" s="87" t="s">
        <v>1637</v>
      </c>
      <c r="H69" s="6" t="s">
        <v>1743</v>
      </c>
    </row>
    <row r="70" spans="1:8" ht="13.8" x14ac:dyDescent="0.25">
      <c r="A70" s="6" t="str">
        <f t="shared" si="1"/>
        <v>INSTR_ACTIVITY_FLG_DNSH_CMPLNC</v>
      </c>
      <c r="B70" s="82" t="s">
        <v>1542</v>
      </c>
      <c r="C70" s="83" t="s">
        <v>1557</v>
      </c>
      <c r="D70" s="84" t="s">
        <v>1558</v>
      </c>
      <c r="E70" s="87" t="s">
        <v>1654</v>
      </c>
      <c r="F70" s="87" t="s">
        <v>1599</v>
      </c>
      <c r="G70" s="87" t="s">
        <v>1625</v>
      </c>
      <c r="H70" s="6" t="s">
        <v>1748</v>
      </c>
    </row>
    <row r="71" spans="1:8" ht="13.8" x14ac:dyDescent="0.25">
      <c r="A71" s="6" t="str">
        <f t="shared" si="1"/>
        <v>INSTR_ACTIVITY_DNSH_DTL</v>
      </c>
      <c r="B71" s="82" t="s">
        <v>1542</v>
      </c>
      <c r="C71" s="83" t="s">
        <v>1560</v>
      </c>
      <c r="D71" s="84" t="s">
        <v>1561</v>
      </c>
      <c r="E71" s="87" t="s">
        <v>1650</v>
      </c>
      <c r="F71" s="87" t="s">
        <v>1599</v>
      </c>
      <c r="G71" s="87" t="s">
        <v>1625</v>
      </c>
      <c r="H71" s="6" t="s">
        <v>1748</v>
      </c>
    </row>
    <row r="73" spans="1:8" ht="13.8" x14ac:dyDescent="0.25">
      <c r="C73" s="37"/>
    </row>
    <row r="74" spans="1:8" ht="14.85" customHeight="1" x14ac:dyDescent="0.25">
      <c r="C74" s="37"/>
    </row>
    <row r="75" spans="1:8" ht="14.85" customHeight="1" x14ac:dyDescent="0.25">
      <c r="C75" s="37"/>
    </row>
    <row r="76" spans="1:8" ht="14.85" customHeight="1" x14ac:dyDescent="0.25">
      <c r="C76" s="37"/>
    </row>
    <row r="77" spans="1:8" ht="14.85" customHeight="1" x14ac:dyDescent="0.25">
      <c r="C77" s="37"/>
    </row>
    <row r="78" spans="1:8" ht="14.85" customHeight="1" x14ac:dyDescent="0.25">
      <c r="C78" s="37"/>
    </row>
    <row r="79" spans="1:8" ht="14.85" customHeight="1" x14ac:dyDescent="0.25">
      <c r="C79" s="37"/>
    </row>
    <row r="80" spans="1:8" ht="14.85" customHeight="1" x14ac:dyDescent="0.25">
      <c r="C80" s="37"/>
    </row>
    <row r="81" spans="3:3" ht="14.85" customHeight="1" x14ac:dyDescent="0.25">
      <c r="C81" s="3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X429"/>
  <sheetViews>
    <sheetView workbookViewId="0"/>
  </sheetViews>
  <sheetFormatPr defaultRowHeight="13.8" x14ac:dyDescent="0.25"/>
  <cols>
    <col min="2" max="2" width="17.8984375" customWidth="1"/>
    <col min="3" max="3" width="38.09765625" customWidth="1"/>
    <col min="4" max="4" width="50.5" customWidth="1"/>
  </cols>
  <sheetData>
    <row r="2" spans="1:258" x14ac:dyDescent="0.25">
      <c r="E2" s="53"/>
      <c r="T2" s="53"/>
      <c r="U2" s="53"/>
      <c r="V2" s="53"/>
      <c r="W2" s="53"/>
      <c r="AC2" s="53"/>
      <c r="AF2" s="53"/>
      <c r="BT2" s="53"/>
      <c r="IX2" s="53"/>
    </row>
    <row r="4" spans="1:258" x14ac:dyDescent="0.25">
      <c r="A4" s="47" t="str">
        <f>B4&amp;"_"&amp;C4</f>
        <v>ENTITY_CNTRY</v>
      </c>
      <c r="B4" t="s">
        <v>10</v>
      </c>
      <c r="C4" t="s">
        <v>17</v>
      </c>
      <c r="D4" t="str">
        <f>VLOOKUP(A4,'LISTA - Atual'!$B$1:$B$444,1,0)</f>
        <v>ENTITY_CNTRY</v>
      </c>
    </row>
    <row r="5" spans="1:258" x14ac:dyDescent="0.25">
      <c r="A5" s="47" t="str">
        <f t="shared" ref="A5:A68" si="0">B5&amp;"_"&amp;C5</f>
        <v>ENTITY_DT_BRTH</v>
      </c>
      <c r="B5" t="s">
        <v>10</v>
      </c>
      <c r="C5" t="s">
        <v>20</v>
      </c>
      <c r="D5" t="str">
        <f>VLOOKUP(A5,'LISTA - Atual'!$B$1:$B$444,1,0)</f>
        <v>ENTITY_DT_BRTH</v>
      </c>
    </row>
    <row r="6" spans="1:258" x14ac:dyDescent="0.25">
      <c r="A6" s="47" t="str">
        <f t="shared" si="0"/>
        <v>ENTITY_DT_DFLT_STTS</v>
      </c>
      <c r="B6" t="s">
        <v>10</v>
      </c>
      <c r="C6" t="s">
        <v>23</v>
      </c>
      <c r="D6" t="str">
        <f>VLOOKUP(A6,'LISTA - Atual'!$B$1:$B$444,1,0)</f>
        <v>ENTITY_DT_DFLT_STTS</v>
      </c>
    </row>
    <row r="7" spans="1:258" x14ac:dyDescent="0.25">
      <c r="A7" s="47" t="str">
        <f t="shared" si="0"/>
        <v>ENTITY_DT_FNNCL_STTMTS</v>
      </c>
      <c r="B7" t="s">
        <v>10</v>
      </c>
      <c r="C7" t="s">
        <v>26</v>
      </c>
      <c r="D7" t="str">
        <f>VLOOKUP(A7,'LISTA - Atual'!$B$1:$B$444,1,0)</f>
        <v>ENTITY_DT_FNNCL_STTMTS</v>
      </c>
    </row>
    <row r="8" spans="1:258" x14ac:dyDescent="0.25">
      <c r="A8" s="47" t="str">
        <f t="shared" si="0"/>
        <v>ENTITY_DT_FNNCL_STTMTS_PRVS</v>
      </c>
      <c r="B8" t="s">
        <v>10</v>
      </c>
      <c r="C8" t="s">
        <v>29</v>
      </c>
      <c r="D8" t="str">
        <f>VLOOKUP(A8,'LISTA - Atual'!$B$1:$B$444,1,0)</f>
        <v>ENTITY_DT_FNNCL_STTMTS_PRVS</v>
      </c>
    </row>
    <row r="9" spans="1:258" x14ac:dyDescent="0.25">
      <c r="A9" s="47" t="str">
        <f t="shared" si="0"/>
        <v>ENTITY_DT_INTTN_LGL_PRCDNGS_LE</v>
      </c>
      <c r="B9" t="s">
        <v>10</v>
      </c>
      <c r="C9" t="s">
        <v>32</v>
      </c>
      <c r="D9" t="str">
        <f>VLOOKUP(A9,'LISTA - Atual'!$B$1:$B$444,1,0)</f>
        <v>ENTITY_DT_INTTN_LGL_PRCDNGS_LE</v>
      </c>
    </row>
    <row r="10" spans="1:258" x14ac:dyDescent="0.25">
      <c r="A10" s="47" t="str">
        <f t="shared" si="0"/>
        <v>ENTITY_DT_PRFRMNG_STTS_LE</v>
      </c>
      <c r="B10" t="s">
        <v>10</v>
      </c>
      <c r="C10" t="s">
        <v>35</v>
      </c>
      <c r="D10" t="str">
        <f>VLOOKUP(A10,'LISTA - Atual'!$B$1:$B$444,1,0)</f>
        <v>ENTITY_DT_PRFRMNG_STTS_LE</v>
      </c>
    </row>
    <row r="11" spans="1:258" x14ac:dyDescent="0.25">
      <c r="A11" s="47" t="str">
        <f t="shared" si="0"/>
        <v>ENTITY_ENTTY_ID</v>
      </c>
      <c r="B11" t="s">
        <v>10</v>
      </c>
      <c r="C11" t="s">
        <v>41</v>
      </c>
      <c r="D11" t="str">
        <f>VLOOKUP(A11,'LISTA - Atual'!$B$1:$B$444,1,0)</f>
        <v>ENTITY_ENTTY_ID</v>
      </c>
    </row>
    <row r="12" spans="1:258" x14ac:dyDescent="0.25">
      <c r="A12" s="47" t="str">
        <f t="shared" si="0"/>
        <v>ENTITY_GCC_PRNT_ID</v>
      </c>
      <c r="B12" t="s">
        <v>10</v>
      </c>
      <c r="C12" t="s">
        <v>44</v>
      </c>
      <c r="D12" t="str">
        <f>VLOOKUP(A12,'LISTA - Atual'!$B$1:$B$444,1,0)</f>
        <v>ENTITY_GCC_PRNT_ID</v>
      </c>
    </row>
    <row r="13" spans="1:258" x14ac:dyDescent="0.25">
      <c r="A13" s="47" t="str">
        <f t="shared" si="0"/>
        <v>ENTITY_GCC_PRNT_NM</v>
      </c>
      <c r="B13" t="s">
        <v>10</v>
      </c>
      <c r="C13" t="s">
        <v>47</v>
      </c>
      <c r="D13" t="str">
        <f>VLOOKUP(A13,'LISTA - Atual'!$B$1:$B$444,1,0)</f>
        <v>ENTITY_GCC_PRNT_NM</v>
      </c>
    </row>
    <row r="14" spans="1:258" x14ac:dyDescent="0.25">
      <c r="A14" s="47" t="str">
        <f t="shared" si="0"/>
        <v>ENTITY_INTRNL_SGMNT</v>
      </c>
      <c r="B14" t="s">
        <v>10</v>
      </c>
      <c r="C14" t="s">
        <v>50</v>
      </c>
      <c r="D14" t="str">
        <f>VLOOKUP(A14,'LISTA - Atual'!$B$1:$B$444,1,0)</f>
        <v>ENTITY_INTRNL_SGMNT</v>
      </c>
    </row>
    <row r="15" spans="1:258" x14ac:dyDescent="0.25">
      <c r="A15" s="47" t="str">
        <f t="shared" si="0"/>
        <v>ENTITY_INTRNL_UNT</v>
      </c>
      <c r="B15" t="s">
        <v>10</v>
      </c>
      <c r="C15" t="s">
        <v>53</v>
      </c>
      <c r="D15" t="str">
        <f>VLOOKUP(A15,'LISTA - Atual'!$B$1:$B$444,1,0)</f>
        <v>ENTITY_INTRNL_UNT</v>
      </c>
    </row>
    <row r="16" spans="1:258" x14ac:dyDescent="0.25">
      <c r="A16" s="47" t="str">
        <f t="shared" si="0"/>
        <v>ENTITY_LEI</v>
      </c>
      <c r="B16" t="s">
        <v>10</v>
      </c>
      <c r="C16" t="s">
        <v>56</v>
      </c>
      <c r="D16" t="str">
        <f>VLOOKUP(A16,'LISTA - Atual'!$B$1:$B$444,1,0)</f>
        <v>ENTITY_LEI</v>
      </c>
    </row>
    <row r="17" spans="1:4" x14ac:dyDescent="0.25">
      <c r="A17" s="47" t="str">
        <f t="shared" si="0"/>
        <v>ENTITY_ENTTY_NM</v>
      </c>
      <c r="B17" t="s">
        <v>10</v>
      </c>
      <c r="C17" t="s">
        <v>59</v>
      </c>
      <c r="D17" t="str">
        <f>VLOOKUP(A17,'LISTA - Atual'!$B$1:$B$444,1,0)</f>
        <v>ENTITY_ENTTY_NM</v>
      </c>
    </row>
    <row r="18" spans="1:4" x14ac:dyDescent="0.25">
      <c r="A18" s="47" t="str">
        <f t="shared" si="0"/>
        <v>ENTITY_EXTRNL_RTNG_NM</v>
      </c>
      <c r="B18" t="s">
        <v>10</v>
      </c>
      <c r="C18" t="s">
        <v>62</v>
      </c>
      <c r="D18" t="str">
        <f>VLOOKUP(A18,'LISTA - Atual'!$B$1:$B$444,1,0)</f>
        <v>ENTITY_EXTRNL_RTNG_NM</v>
      </c>
    </row>
    <row r="19" spans="1:4" x14ac:dyDescent="0.25">
      <c r="A19" s="47" t="str">
        <f t="shared" si="0"/>
        <v>ENTITY_ACCNTNG_FRMWRK_SL</v>
      </c>
      <c r="B19" t="s">
        <v>10</v>
      </c>
      <c r="C19" t="s">
        <v>65</v>
      </c>
      <c r="D19" t="str">
        <f>VLOOKUP(A19,'LISTA - Atual'!$B$1:$B$444,1,0)</f>
        <v>ENTITY_ACCNTNG_FRMWRK_SL</v>
      </c>
    </row>
    <row r="20" spans="1:4" x14ac:dyDescent="0.25">
      <c r="A20" s="47" t="str">
        <f t="shared" si="0"/>
        <v>ENTITY_CR_FLG</v>
      </c>
      <c r="B20" t="s">
        <v>10</v>
      </c>
      <c r="C20" t="s">
        <v>68</v>
      </c>
      <c r="D20" t="str">
        <f>VLOOKUP(A20,'LISTA - Atual'!$B$1:$B$444,1,0)</f>
        <v>ENTITY_CR_FLG</v>
      </c>
    </row>
    <row r="21" spans="1:4" x14ac:dyDescent="0.25">
      <c r="A21" s="47" t="str">
        <f t="shared" si="0"/>
        <v>ENTITY_DCSD</v>
      </c>
      <c r="B21" t="s">
        <v>10</v>
      </c>
      <c r="C21" t="s">
        <v>71</v>
      </c>
      <c r="D21" t="str">
        <f>VLOOKUP(A21,'LISTA - Atual'!$B$1:$B$444,1,0)</f>
        <v>ENTITY_DCSD</v>
      </c>
    </row>
    <row r="22" spans="1:4" x14ac:dyDescent="0.25">
      <c r="A22" s="47" t="str">
        <f t="shared" si="0"/>
        <v>ENTITY_DFLT_STTS</v>
      </c>
      <c r="B22" t="s">
        <v>10</v>
      </c>
      <c r="C22" t="s">
        <v>74</v>
      </c>
      <c r="D22" t="str">
        <f>VLOOKUP(A22,'LISTA - Atual'!$B$1:$B$444,1,0)</f>
        <v>ENTITY_DFLT_STTS</v>
      </c>
    </row>
    <row r="23" spans="1:4" x14ac:dyDescent="0.25">
      <c r="A23" s="47" t="str">
        <f t="shared" si="0"/>
        <v>ENTITY_DT_EXTRNL_RTNG</v>
      </c>
      <c r="B23" t="s">
        <v>10</v>
      </c>
      <c r="C23" t="s">
        <v>77</v>
      </c>
      <c r="D23" t="str">
        <f>VLOOKUP(A23,'LISTA - Atual'!$B$1:$B$444,1,0)</f>
        <v>ENTITY_DT_EXTRNL_RTNG</v>
      </c>
    </row>
    <row r="24" spans="1:4" x14ac:dyDescent="0.25">
      <c r="A24" s="47" t="str">
        <f t="shared" si="0"/>
        <v>ENTITY_DT_INTRNL_RTNG</v>
      </c>
      <c r="B24" t="s">
        <v>10</v>
      </c>
      <c r="C24" t="s">
        <v>80</v>
      </c>
      <c r="D24" t="str">
        <f>VLOOKUP(A24,'LISTA - Atual'!$B$1:$B$444,1,0)</f>
        <v>ENTITY_DT_INTRNL_RTNG</v>
      </c>
    </row>
    <row r="25" spans="1:4" x14ac:dyDescent="0.25">
      <c r="A25" s="47" t="str">
        <f t="shared" si="0"/>
        <v>ENTITY_ECNMC_ACTVTY</v>
      </c>
      <c r="B25" t="s">
        <v>10</v>
      </c>
      <c r="C25" t="s">
        <v>83</v>
      </c>
      <c r="D25" t="str">
        <f>VLOOKUP(A25,'LISTA - Atual'!$B$1:$B$444,1,0)</f>
        <v>ENTITY_ECNMC_ACTVTY</v>
      </c>
    </row>
    <row r="26" spans="1:4" x14ac:dyDescent="0.25">
      <c r="A26" s="47" t="str">
        <f t="shared" si="0"/>
        <v>ENTITY_EMPLYMNT_STTS_INTRNL</v>
      </c>
      <c r="B26" t="s">
        <v>10</v>
      </c>
      <c r="C26" t="s">
        <v>86</v>
      </c>
      <c r="D26" t="str">
        <f>VLOOKUP(A26,'LISTA - Atual'!$B$1:$B$444,1,0)</f>
        <v>ENTITY_EMPLYMNT_STTS_INTRNL</v>
      </c>
    </row>
    <row r="27" spans="1:4" x14ac:dyDescent="0.25">
      <c r="A27" s="47" t="str">
        <f t="shared" si="0"/>
        <v>ENTITY_EMPLYMNT_STTS</v>
      </c>
      <c r="B27" t="s">
        <v>10</v>
      </c>
      <c r="C27" t="s">
        <v>89</v>
      </c>
      <c r="D27" t="str">
        <f>VLOOKUP(A27,'LISTA - Atual'!$B$1:$B$444,1,0)</f>
        <v>ENTITY_EMPLYMNT_STTS</v>
      </c>
    </row>
    <row r="28" spans="1:4" x14ac:dyDescent="0.25">
      <c r="A28" s="47" t="str">
        <f t="shared" si="0"/>
        <v>ENTITY_ENTRPRS_SZ_LE</v>
      </c>
      <c r="B28" t="s">
        <v>10</v>
      </c>
      <c r="C28" t="s">
        <v>92</v>
      </c>
      <c r="D28" t="str">
        <f>VLOOKUP(A28,'LISTA - Atual'!$B$1:$B$444,1,0)</f>
        <v>ENTITY_ENTRPRS_SZ_LE</v>
      </c>
    </row>
    <row r="29" spans="1:4" x14ac:dyDescent="0.25">
      <c r="A29" s="47" t="str">
        <f t="shared" si="0"/>
        <v>ENTITY_EXTRNL_RTNG</v>
      </c>
      <c r="B29" t="s">
        <v>10</v>
      </c>
      <c r="C29" t="s">
        <v>95</v>
      </c>
      <c r="D29" t="str">
        <f>VLOOKUP(A29,'LISTA - Atual'!$B$1:$B$444,1,0)</f>
        <v>ENTITY_EXTRNL_RTNG</v>
      </c>
    </row>
    <row r="30" spans="1:4" x14ac:dyDescent="0.25">
      <c r="A30" s="47" t="str">
        <f t="shared" si="0"/>
        <v>ENTITY_EXTRNL_RTNG_PRVS</v>
      </c>
      <c r="B30" t="s">
        <v>10</v>
      </c>
      <c r="C30" t="s">
        <v>98</v>
      </c>
      <c r="D30" t="str">
        <f>VLOOKUP(A30,'LISTA - Atual'!$B$1:$B$444,1,0)</f>
        <v>ENTITY_EXTRNL_RTNG_PRVS</v>
      </c>
    </row>
    <row r="31" spans="1:4" x14ac:dyDescent="0.25">
      <c r="A31" s="47" t="str">
        <f t="shared" si="0"/>
        <v>ENTITY_FLG_BNKRPTCY_IN_GRP</v>
      </c>
      <c r="B31" t="s">
        <v>10</v>
      </c>
      <c r="C31" t="s">
        <v>101</v>
      </c>
      <c r="D31" t="str">
        <f>VLOOKUP(A31,'LISTA - Atual'!$B$1:$B$444,1,0)</f>
        <v>ENTITY_FLG_BNKRPTCY_IN_GRP</v>
      </c>
    </row>
    <row r="32" spans="1:4" x14ac:dyDescent="0.25">
      <c r="A32" s="47" t="str">
        <f t="shared" si="0"/>
        <v>ENTITY_FLG_HGH_CDS</v>
      </c>
      <c r="B32" t="s">
        <v>10</v>
      </c>
      <c r="C32" t="s">
        <v>104</v>
      </c>
      <c r="D32" t="str">
        <f>VLOOKUP(A32,'LISTA - Atual'!$B$1:$B$444,1,0)</f>
        <v>ENTITY_FLG_HGH_CDS</v>
      </c>
    </row>
    <row r="33" spans="1:4" x14ac:dyDescent="0.25">
      <c r="A33" s="47" t="str">
        <f t="shared" si="0"/>
        <v>ENTITY_FLG_ISDA_CRDT_EVNT</v>
      </c>
      <c r="B33" t="s">
        <v>10</v>
      </c>
      <c r="C33" t="s">
        <v>107</v>
      </c>
      <c r="D33" t="str">
        <f>VLOOKUP(A33,'LISTA - Atual'!$B$1:$B$444,1,0)</f>
        <v>ENTITY_FLG_ISDA_CRDT_EVNT</v>
      </c>
    </row>
    <row r="34" spans="1:4" x14ac:dyDescent="0.25">
      <c r="A34" s="47" t="str">
        <f t="shared" si="0"/>
        <v>ENTITY_FLG_RQST_BNKRPTCY</v>
      </c>
      <c r="B34" t="s">
        <v>10</v>
      </c>
      <c r="C34" t="s">
        <v>113</v>
      </c>
      <c r="D34" t="str">
        <f>VLOOKUP(A34,'LISTA - Atual'!$B$1:$B$444,1,0)</f>
        <v>ENTITY_FLG_RQST_BNKRPTCY</v>
      </c>
    </row>
    <row r="35" spans="1:4" x14ac:dyDescent="0.25">
      <c r="A35" s="47" t="str">
        <f t="shared" si="0"/>
        <v>ENTITY_FLG_RQST_DSTRSSD_RSTRCTRNG</v>
      </c>
      <c r="B35" t="s">
        <v>10</v>
      </c>
      <c r="C35" t="s">
        <v>116</v>
      </c>
      <c r="D35" t="str">
        <f>VLOOKUP(A35,'LISTA - Atual'!$B$1:$B$444,1,0)</f>
        <v>ENTITY_FLG_RQST_DSTRSSD_RSTRCTRNG</v>
      </c>
    </row>
    <row r="36" spans="1:4" x14ac:dyDescent="0.25">
      <c r="A36" s="47" t="str">
        <f t="shared" si="0"/>
        <v>ENTITY_FLG_RQST_EMRGNCY_FNDNG</v>
      </c>
      <c r="B36" t="s">
        <v>10</v>
      </c>
      <c r="C36" t="s">
        <v>119</v>
      </c>
      <c r="D36" t="str">
        <f>VLOOKUP(A36,'LISTA - Atual'!$B$1:$B$444,1,0)</f>
        <v>ENTITY_FLG_RQST_EMRGNCY_FNDNG</v>
      </c>
    </row>
    <row r="37" spans="1:4" x14ac:dyDescent="0.25">
      <c r="A37" s="47" t="str">
        <f t="shared" si="0"/>
        <v>ENTITY_FLG_SLL_WTH_LSS</v>
      </c>
      <c r="B37" t="s">
        <v>10</v>
      </c>
      <c r="C37" t="s">
        <v>122</v>
      </c>
      <c r="D37" t="str">
        <f>VLOOKUP(A37,'LISTA - Atual'!$B$1:$B$444,1,0)</f>
        <v>ENTITY_FLG_SLL_WTH_LSS</v>
      </c>
    </row>
    <row r="38" spans="1:4" x14ac:dyDescent="0.25">
      <c r="A38" s="47" t="str">
        <f t="shared" si="0"/>
        <v>ENTITY_INCM_SC</v>
      </c>
      <c r="B38" t="s">
        <v>10</v>
      </c>
      <c r="C38" t="s">
        <v>125</v>
      </c>
      <c r="D38" t="str">
        <f>VLOOKUP(A38,'LISTA - Atual'!$B$1:$B$444,1,0)</f>
        <v>ENTITY_INCM_SC</v>
      </c>
    </row>
    <row r="39" spans="1:4" x14ac:dyDescent="0.25">
      <c r="A39" s="47" t="str">
        <f t="shared" si="0"/>
        <v>ENTITY_INTRNL_RTNG</v>
      </c>
      <c r="B39" t="s">
        <v>10</v>
      </c>
      <c r="C39" t="s">
        <v>128</v>
      </c>
      <c r="D39" t="str">
        <f>VLOOKUP(A39,'LISTA - Atual'!$B$1:$B$444,1,0)</f>
        <v>ENTITY_INTRNL_RTNG</v>
      </c>
    </row>
    <row r="40" spans="1:4" x14ac:dyDescent="0.25">
      <c r="A40" s="47" t="str">
        <f t="shared" si="0"/>
        <v>ENTITY_INTRNL_RTNG_PRVS</v>
      </c>
      <c r="B40" t="s">
        <v>10</v>
      </c>
      <c r="C40" t="s">
        <v>131</v>
      </c>
      <c r="D40" t="str">
        <f>VLOOKUP(A40,'LISTA - Atual'!$B$1:$B$444,1,0)</f>
        <v>ENTITY_INTRNL_RTNG_PRVS</v>
      </c>
    </row>
    <row r="41" spans="1:4" x14ac:dyDescent="0.25">
      <c r="A41" s="47" t="str">
        <f t="shared" si="0"/>
        <v>ENTITY_LGL_PRCDNG_STTS_LE</v>
      </c>
      <c r="B41" t="s">
        <v>10</v>
      </c>
      <c r="C41" t="s">
        <v>134</v>
      </c>
      <c r="D41" t="str">
        <f>VLOOKUP(A41,'LISTA - Atual'!$B$1:$B$444,1,0)</f>
        <v>ENTITY_LGL_PRCDNG_STTS_LE</v>
      </c>
    </row>
    <row r="42" spans="1:4" x14ac:dyDescent="0.25">
      <c r="A42" s="47" t="str">
        <f t="shared" si="0"/>
        <v>ENTITY_OWND_BY_SPNSR</v>
      </c>
      <c r="B42" t="s">
        <v>10</v>
      </c>
      <c r="C42" t="s">
        <v>137</v>
      </c>
      <c r="D42" t="str">
        <f>VLOOKUP(A42,'LISTA - Atual'!$B$1:$B$444,1,0)</f>
        <v>ENTITY_OWND_BY_SPNSR</v>
      </c>
    </row>
    <row r="43" spans="1:4" x14ac:dyDescent="0.25">
      <c r="A43" s="47" t="str">
        <f t="shared" si="0"/>
        <v>ENTITY_PRFRMNG_STTS_LE</v>
      </c>
      <c r="B43" t="s">
        <v>10</v>
      </c>
      <c r="C43" t="s">
        <v>140</v>
      </c>
      <c r="D43" t="str">
        <f>VLOOKUP(A43,'LISTA - Atual'!$B$1:$B$444,1,0)</f>
        <v>ENTITY_PRFRMNG_STTS_LE</v>
      </c>
    </row>
    <row r="44" spans="1:4" x14ac:dyDescent="0.25">
      <c r="A44" s="47" t="str">
        <f t="shared" si="0"/>
        <v>ENTITY_RTNG_MTHD</v>
      </c>
      <c r="B44" t="s">
        <v>10</v>
      </c>
      <c r="C44" t="s">
        <v>143</v>
      </c>
      <c r="D44" t="str">
        <f>VLOOKUP(A44,'LISTA - Atual'!$B$1:$B$444,1,0)</f>
        <v>ENTITY_RTNG_MTHD</v>
      </c>
    </row>
    <row r="45" spans="1:4" x14ac:dyDescent="0.25">
      <c r="A45" s="47" t="str">
        <f t="shared" si="0"/>
        <v>ENTITY_RTNG_SCL</v>
      </c>
      <c r="B45" t="s">
        <v>10</v>
      </c>
      <c r="C45" t="s">
        <v>146</v>
      </c>
      <c r="D45" t="str">
        <f>VLOOKUP(A45,'LISTA - Atual'!$B$1:$B$444,1,0)</f>
        <v>ENTITY_RTNG_SCL</v>
      </c>
    </row>
    <row r="46" spans="1:4" x14ac:dyDescent="0.25">
      <c r="A46" s="47" t="str">
        <f t="shared" si="0"/>
        <v>ENTITY_WTCH_LST</v>
      </c>
      <c r="B46" t="s">
        <v>10</v>
      </c>
      <c r="C46" t="s">
        <v>149</v>
      </c>
      <c r="D46" t="str">
        <f>VLOOKUP(A46,'LISTA - Atual'!$B$1:$B$444,1,0)</f>
        <v>ENTITY_WTCH_LST</v>
      </c>
    </row>
    <row r="47" spans="1:4" x14ac:dyDescent="0.25">
      <c r="A47" s="47" t="str">
        <f t="shared" si="0"/>
        <v>ENTITY_SNGL_PRPS_VHCL</v>
      </c>
      <c r="B47" t="s">
        <v>10</v>
      </c>
      <c r="C47" t="s">
        <v>152</v>
      </c>
      <c r="D47" t="str">
        <f>VLOOKUP(A47,'LISTA - Atual'!$B$1:$B$444,1,0)</f>
        <v>ENTITY_SNGL_PRPS_VHCL</v>
      </c>
    </row>
    <row r="48" spans="1:4" x14ac:dyDescent="0.25">
      <c r="A48" s="47" t="str">
        <f t="shared" si="0"/>
        <v>ENTITY_GRP_EBITDA</v>
      </c>
      <c r="B48" t="s">
        <v>10</v>
      </c>
      <c r="C48" t="s">
        <v>155</v>
      </c>
      <c r="D48" t="str">
        <f>VLOOKUP(A48,'LISTA - Atual'!$B$1:$B$444,1,0)</f>
        <v>ENTITY_GRP_EBITDA</v>
      </c>
    </row>
    <row r="49" spans="1:4" x14ac:dyDescent="0.25">
      <c r="A49" s="47" t="str">
        <f t="shared" si="0"/>
        <v>ENTITY_GRP_EQTY</v>
      </c>
      <c r="B49" t="s">
        <v>10</v>
      </c>
      <c r="C49" t="s">
        <v>158</v>
      </c>
      <c r="D49" t="str">
        <f>VLOOKUP(A49,'LISTA - Atual'!$B$1:$B$444,1,0)</f>
        <v>ENTITY_GRP_EQTY</v>
      </c>
    </row>
    <row r="50" spans="1:4" x14ac:dyDescent="0.25">
      <c r="A50" s="47" t="str">
        <f t="shared" si="0"/>
        <v>ENTITY_GRP_NT_DBT</v>
      </c>
      <c r="B50" t="s">
        <v>10</v>
      </c>
      <c r="C50" t="s">
        <v>161</v>
      </c>
      <c r="D50" t="str">
        <f>VLOOKUP(A50,'LISTA - Atual'!$B$1:$B$444,1,0)</f>
        <v>ENTITY_GRP_NT_DBT</v>
      </c>
    </row>
    <row r="51" spans="1:4" x14ac:dyDescent="0.25">
      <c r="A51" s="47" t="str">
        <f t="shared" si="0"/>
        <v>ENTITY_ANNL_TRNVR_LE</v>
      </c>
      <c r="B51" t="s">
        <v>10</v>
      </c>
      <c r="C51" t="s">
        <v>164</v>
      </c>
      <c r="D51" t="str">
        <f>VLOOKUP(A51,'LISTA - Atual'!$B$1:$B$444,1,0)</f>
        <v>ENTITY_ANNL_TRNVR_LE</v>
      </c>
    </row>
    <row r="52" spans="1:4" x14ac:dyDescent="0.25">
      <c r="A52" s="47" t="str">
        <f t="shared" si="0"/>
        <v>ENTITY_ANNL_TRNVR_PRVS</v>
      </c>
      <c r="B52" t="s">
        <v>10</v>
      </c>
      <c r="C52" t="s">
        <v>167</v>
      </c>
      <c r="D52" t="str">
        <f>VLOOKUP(A52,'LISTA - Atual'!$B$1:$B$444,1,0)</f>
        <v>ENTITY_ANNL_TRNVR_PRVS</v>
      </c>
    </row>
    <row r="53" spans="1:4" x14ac:dyDescent="0.25">
      <c r="A53" s="47" t="str">
        <f t="shared" si="0"/>
        <v>ENTITY_CAPEX</v>
      </c>
      <c r="B53" t="s">
        <v>10</v>
      </c>
      <c r="C53" t="s">
        <v>170</v>
      </c>
      <c r="D53" t="str">
        <f>VLOOKUP(A53,'LISTA - Atual'!$B$1:$B$444,1,0)</f>
        <v>ENTITY_CAPEX</v>
      </c>
    </row>
    <row r="54" spans="1:4" x14ac:dyDescent="0.25">
      <c r="A54" s="47" t="str">
        <f t="shared" si="0"/>
        <v>ENTITY_CAPEX_PRVS</v>
      </c>
      <c r="B54" t="s">
        <v>10</v>
      </c>
      <c r="C54" t="s">
        <v>173</v>
      </c>
      <c r="D54" t="str">
        <f>VLOOKUP(A54,'LISTA - Atual'!$B$1:$B$444,1,0)</f>
        <v>ENTITY_CAPEX_PRVS</v>
      </c>
    </row>
    <row r="55" spans="1:4" x14ac:dyDescent="0.25">
      <c r="A55" s="47" t="str">
        <f t="shared" si="0"/>
        <v>ENTITY_CLLCTN_MD</v>
      </c>
      <c r="B55" t="s">
        <v>10</v>
      </c>
      <c r="C55" t="s">
        <v>176</v>
      </c>
      <c r="D55" t="str">
        <f>VLOOKUP(A55,'LISTA - Atual'!$B$1:$B$444,1,0)</f>
        <v>ENTITY_CLLCTN_MD</v>
      </c>
    </row>
    <row r="56" spans="1:4" x14ac:dyDescent="0.25">
      <c r="A56" s="47" t="str">
        <f t="shared" si="0"/>
        <v>ENTITY_CSH</v>
      </c>
      <c r="B56" t="s">
        <v>10</v>
      </c>
      <c r="C56" t="s">
        <v>179</v>
      </c>
      <c r="D56" t="str">
        <f>VLOOKUP(A56,'LISTA - Atual'!$B$1:$B$444,1,0)</f>
        <v>ENTITY_CSH</v>
      </c>
    </row>
    <row r="57" spans="1:4" x14ac:dyDescent="0.25">
      <c r="A57" s="47" t="str">
        <f t="shared" si="0"/>
        <v>ENTITY_CSH_PRVS</v>
      </c>
      <c r="B57" t="s">
        <v>10</v>
      </c>
      <c r="C57" t="s">
        <v>182</v>
      </c>
      <c r="D57" t="str">
        <f>VLOOKUP(A57,'LISTA - Atual'!$B$1:$B$444,1,0)</f>
        <v>ENTITY_CSH_PRVS</v>
      </c>
    </row>
    <row r="58" spans="1:4" x14ac:dyDescent="0.25">
      <c r="A58" s="47" t="str">
        <f t="shared" si="0"/>
        <v>ENTITY_EBITDA</v>
      </c>
      <c r="B58" t="s">
        <v>10</v>
      </c>
      <c r="C58" t="s">
        <v>185</v>
      </c>
      <c r="D58" t="str">
        <f>VLOOKUP(A58,'LISTA - Atual'!$B$1:$B$444,1,0)</f>
        <v>ENTITY_EBITDA</v>
      </c>
    </row>
    <row r="59" spans="1:4" x14ac:dyDescent="0.25">
      <c r="A59" s="47" t="str">
        <f t="shared" si="0"/>
        <v>ENTITY_EBITDA_PRVS</v>
      </c>
      <c r="B59" t="s">
        <v>10</v>
      </c>
      <c r="C59" t="s">
        <v>188</v>
      </c>
      <c r="D59" t="str">
        <f>VLOOKUP(A59,'LISTA - Atual'!$B$1:$B$444,1,0)</f>
        <v>ENTITY_EBITDA_PRVS</v>
      </c>
    </row>
    <row r="60" spans="1:4" x14ac:dyDescent="0.25">
      <c r="A60" s="47" t="str">
        <f t="shared" si="0"/>
        <v>ENTITY_EQTY</v>
      </c>
      <c r="B60" t="s">
        <v>10</v>
      </c>
      <c r="C60" t="s">
        <v>191</v>
      </c>
      <c r="D60" t="str">
        <f>VLOOKUP(A60,'LISTA - Atual'!$B$1:$B$444,1,0)</f>
        <v>ENTITY_EQTY</v>
      </c>
    </row>
    <row r="61" spans="1:4" x14ac:dyDescent="0.25">
      <c r="A61" s="47" t="str">
        <f t="shared" si="0"/>
        <v>ENTITY_EQTY_PRVS</v>
      </c>
      <c r="B61" t="s">
        <v>10</v>
      </c>
      <c r="C61" t="s">
        <v>194</v>
      </c>
      <c r="D61" t="str">
        <f>VLOOKUP(A61,'LISTA - Atual'!$B$1:$B$444,1,0)</f>
        <v>ENTITY_EQTY_PRVS</v>
      </c>
    </row>
    <row r="62" spans="1:4" x14ac:dyDescent="0.25">
      <c r="A62" s="47" t="str">
        <f t="shared" si="0"/>
        <v>ENTITY_GRP_TTL_DBT</v>
      </c>
      <c r="B62" t="s">
        <v>10</v>
      </c>
      <c r="C62" t="s">
        <v>197</v>
      </c>
      <c r="D62" t="str">
        <f>VLOOKUP(A62,'LISTA - Atual'!$B$1:$B$444,1,0)</f>
        <v>ENTITY_GRP_TTL_DBT</v>
      </c>
    </row>
    <row r="63" spans="1:4" x14ac:dyDescent="0.25">
      <c r="A63" s="47" t="str">
        <f t="shared" si="0"/>
        <v>ENTITY_GDWILL</v>
      </c>
      <c r="B63" t="s">
        <v>10</v>
      </c>
      <c r="C63" t="s">
        <v>200</v>
      </c>
      <c r="D63" t="str">
        <f>VLOOKUP(A63,'LISTA - Atual'!$B$1:$B$444,1,0)</f>
        <v>ENTITY_GDWILL</v>
      </c>
    </row>
    <row r="64" spans="1:4" x14ac:dyDescent="0.25">
      <c r="A64" s="47" t="str">
        <f t="shared" si="0"/>
        <v>ENTITY_GDWILL_PRVS</v>
      </c>
      <c r="B64" t="s">
        <v>10</v>
      </c>
      <c r="C64" t="s">
        <v>203</v>
      </c>
      <c r="D64" t="str">
        <f>VLOOKUP(A64,'LISTA - Atual'!$B$1:$B$444,1,0)</f>
        <v>ENTITY_GDWILL_PRVS</v>
      </c>
    </row>
    <row r="65" spans="1:4" x14ac:dyDescent="0.25">
      <c r="A65" s="47" t="str">
        <f t="shared" si="0"/>
        <v>ENTITY_LTI</v>
      </c>
      <c r="B65" t="s">
        <v>10</v>
      </c>
      <c r="C65" t="s">
        <v>206</v>
      </c>
      <c r="D65" t="str">
        <f>VLOOKUP(A65,'LISTA - Atual'!$B$1:$B$444,1,0)</f>
        <v>ENTITY_LTI</v>
      </c>
    </row>
    <row r="66" spans="1:4" x14ac:dyDescent="0.25">
      <c r="A66" s="47" t="str">
        <f t="shared" si="0"/>
        <v>ENTITY_LVRG</v>
      </c>
      <c r="B66" t="s">
        <v>10</v>
      </c>
      <c r="C66" t="s">
        <v>209</v>
      </c>
      <c r="D66" t="str">
        <f>VLOOKUP(A66,'LISTA - Atual'!$B$1:$B$444,1,0)</f>
        <v>ENTITY_LVRG</v>
      </c>
    </row>
    <row r="67" spans="1:4" x14ac:dyDescent="0.25">
      <c r="A67" s="47" t="str">
        <f t="shared" si="0"/>
        <v>ENTITY_LVRG_PRVS</v>
      </c>
      <c r="B67" t="s">
        <v>10</v>
      </c>
      <c r="C67" t="s">
        <v>212</v>
      </c>
      <c r="D67" t="str">
        <f>VLOOKUP(A67,'LISTA - Atual'!$B$1:$B$444,1,0)</f>
        <v>ENTITY_LVRG_PRVS</v>
      </c>
    </row>
    <row r="68" spans="1:4" x14ac:dyDescent="0.25">
      <c r="A68" s="47" t="str">
        <f t="shared" si="0"/>
        <v>ENTITY_MNTHL_INCM</v>
      </c>
      <c r="B68" t="s">
        <v>10</v>
      </c>
      <c r="C68" t="s">
        <v>215</v>
      </c>
      <c r="D68" t="str">
        <f>VLOOKUP(A68,'LISTA - Atual'!$B$1:$B$444,1,0)</f>
        <v>ENTITY_MNTHL_INCM</v>
      </c>
    </row>
    <row r="69" spans="1:4" x14ac:dyDescent="0.25">
      <c r="A69" s="47" t="str">
        <f t="shared" ref="A69:A132" si="1">B69&amp;"_"&amp;C69</f>
        <v>ENTITY_MNTHL_INCM_SLR</v>
      </c>
      <c r="B69" t="s">
        <v>10</v>
      </c>
      <c r="C69" t="s">
        <v>218</v>
      </c>
      <c r="D69" t="str">
        <f>VLOOKUP(A69,'LISTA - Atual'!$B$1:$B$444,1,0)</f>
        <v>ENTITY_MNTHL_INCM_SLR</v>
      </c>
    </row>
    <row r="70" spans="1:4" x14ac:dyDescent="0.25">
      <c r="A70" s="47" t="str">
        <f t="shared" si="1"/>
        <v>ENTITY_MNTHL_TRNVR</v>
      </c>
      <c r="B70" t="s">
        <v>10</v>
      </c>
      <c r="C70" t="s">
        <v>221</v>
      </c>
      <c r="D70" t="str">
        <f>VLOOKUP(A70,'LISTA - Atual'!$B$1:$B$444,1,0)</f>
        <v>ENTITY_MNTHL_TRNVR</v>
      </c>
    </row>
    <row r="71" spans="1:4" x14ac:dyDescent="0.25">
      <c r="A71" s="47" t="str">
        <f t="shared" si="1"/>
        <v>ENTITY_NT_INCM</v>
      </c>
      <c r="B71" t="s">
        <v>10</v>
      </c>
      <c r="C71" t="s">
        <v>224</v>
      </c>
      <c r="D71" t="str">
        <f>VLOOKUP(A71,'LISTA - Atual'!$B$1:$B$444,1,0)</f>
        <v>ENTITY_NT_INCM</v>
      </c>
    </row>
    <row r="72" spans="1:4" x14ac:dyDescent="0.25">
      <c r="A72" s="47" t="str">
        <f t="shared" si="1"/>
        <v>ENTITY_NT_INCM_PRVS</v>
      </c>
      <c r="B72" t="s">
        <v>10</v>
      </c>
      <c r="C72" t="s">
        <v>227</v>
      </c>
      <c r="D72" t="str">
        <f>VLOOKUP(A72,'LISTA - Atual'!$B$1:$B$444,1,0)</f>
        <v>ENTITY_NT_INCM_PRVS</v>
      </c>
    </row>
    <row r="73" spans="1:4" x14ac:dyDescent="0.25">
      <c r="A73" s="47" t="str">
        <f t="shared" si="1"/>
        <v>ENTITY_TTL_DBT</v>
      </c>
      <c r="B73" t="s">
        <v>10</v>
      </c>
      <c r="C73" t="s">
        <v>230</v>
      </c>
      <c r="D73" t="str">
        <f>VLOOKUP(A73,'LISTA - Atual'!$B$1:$B$444,1,0)</f>
        <v>ENTITY_TTL_DBT</v>
      </c>
    </row>
    <row r="74" spans="1:4" x14ac:dyDescent="0.25">
      <c r="A74" s="47" t="str">
        <f t="shared" si="1"/>
        <v>ENTITY_TTL_DBT_PRVS</v>
      </c>
      <c r="B74" t="s">
        <v>10</v>
      </c>
      <c r="C74" t="s">
        <v>233</v>
      </c>
      <c r="D74" t="str">
        <f>VLOOKUP(A74,'LISTA - Atual'!$B$1:$B$444,1,0)</f>
        <v>ENTITY_TTL_DBT_PRVS</v>
      </c>
    </row>
    <row r="75" spans="1:4" x14ac:dyDescent="0.25">
      <c r="A75" s="47" t="str">
        <f t="shared" si="1"/>
        <v>ENTITY_TTL_INTRST_PD</v>
      </c>
      <c r="B75" t="s">
        <v>10</v>
      </c>
      <c r="C75" t="s">
        <v>236</v>
      </c>
      <c r="D75" t="str">
        <f>VLOOKUP(A75,'LISTA - Atual'!$B$1:$B$444,1,0)</f>
        <v>ENTITY_TTL_INTRST_PD</v>
      </c>
    </row>
    <row r="76" spans="1:4" x14ac:dyDescent="0.25">
      <c r="A76" s="47" t="str">
        <f t="shared" si="1"/>
        <v>ENTITY_TTL_LVRG_RT</v>
      </c>
      <c r="B76" t="s">
        <v>10</v>
      </c>
      <c r="C76" t="s">
        <v>239</v>
      </c>
      <c r="D76" t="str">
        <f>VLOOKUP(A76,'LISTA - Atual'!$B$1:$B$444,1,0)</f>
        <v>ENTITY_TTL_LVRG_RT</v>
      </c>
    </row>
    <row r="77" spans="1:4" x14ac:dyDescent="0.25">
      <c r="A77" s="47" t="str">
        <f t="shared" si="1"/>
        <v>ENTITY_TTL_LVRG_RT_PRVS</v>
      </c>
      <c r="B77" t="s">
        <v>10</v>
      </c>
      <c r="C77" t="s">
        <v>242</v>
      </c>
      <c r="D77" t="str">
        <f>VLOOKUP(A77,'LISTA - Atual'!$B$1:$B$444,1,0)</f>
        <v>ENTITY_TTL_LVRG_RT_PRVS</v>
      </c>
    </row>
    <row r="78" spans="1:4" x14ac:dyDescent="0.25">
      <c r="A78" s="47" t="str">
        <f t="shared" si="1"/>
        <v>ENTITY_DBT_RPYMNT_CPCTY_SNR_DBT</v>
      </c>
      <c r="B78" t="s">
        <v>10</v>
      </c>
      <c r="C78" t="s">
        <v>245</v>
      </c>
      <c r="D78" t="str">
        <f>VLOOKUP(A78,'LISTA - Atual'!$B$1:$B$444,1,0)</f>
        <v>ENTITY_DBT_RPYMNT_CPCTY_SNR_DBT</v>
      </c>
    </row>
    <row r="79" spans="1:4" x14ac:dyDescent="0.25">
      <c r="A79" s="47" t="str">
        <f t="shared" si="1"/>
        <v>ENTITY_DBT_RPYMNT_CPCTY_TTL</v>
      </c>
      <c r="B79" t="s">
        <v>10</v>
      </c>
      <c r="C79" t="s">
        <v>248</v>
      </c>
      <c r="D79" t="str">
        <f>VLOOKUP(A79,'LISTA - Atual'!$B$1:$B$444,1,0)</f>
        <v>ENTITY_DBT_RPYMNT_CPCTY_TTL</v>
      </c>
    </row>
    <row r="80" spans="1:4" x14ac:dyDescent="0.25">
      <c r="A80" s="47" t="str">
        <f t="shared" si="1"/>
        <v>ENTITY_DBT_SRVC_RT</v>
      </c>
      <c r="B80" t="s">
        <v>10</v>
      </c>
      <c r="C80" t="s">
        <v>251</v>
      </c>
      <c r="D80" t="str">
        <f>VLOOKUP(A80,'LISTA - Atual'!$B$1:$B$444,1,0)</f>
        <v>ENTITY_DBT_SRVC_RT</v>
      </c>
    </row>
    <row r="81" spans="1:4" x14ac:dyDescent="0.25">
      <c r="A81" s="47" t="str">
        <f t="shared" si="1"/>
        <v>ENTITY_DBT_SRVC_RT_12M</v>
      </c>
      <c r="B81" t="s">
        <v>10</v>
      </c>
      <c r="C81" t="s">
        <v>254</v>
      </c>
      <c r="D81" t="str">
        <f>VLOOKUP(A81,'LISTA - Atual'!$B$1:$B$444,1,0)</f>
        <v>ENTITY_DBT_SRVC_RT_12M</v>
      </c>
    </row>
    <row r="82" spans="1:4" x14ac:dyDescent="0.25">
      <c r="A82" s="47" t="str">
        <f t="shared" si="1"/>
        <v>ENTITY_PD_CRR_RD</v>
      </c>
      <c r="B82" t="s">
        <v>10</v>
      </c>
      <c r="C82" t="s">
        <v>257</v>
      </c>
      <c r="D82" t="str">
        <f>VLOOKUP(A82,'LISTA - Atual'!$B$1:$B$444,1,0)</f>
        <v>ENTITY_PD_CRR_RD</v>
      </c>
    </row>
    <row r="83" spans="1:4" x14ac:dyDescent="0.25">
      <c r="A83" s="47" t="str">
        <f t="shared" si="1"/>
        <v>ENTITY_PD_IFRS9_12M_RD</v>
      </c>
      <c r="B83" t="s">
        <v>10</v>
      </c>
      <c r="C83" t="s">
        <v>260</v>
      </c>
      <c r="D83" t="str">
        <f>VLOOKUP(A83,'LISTA - Atual'!$B$1:$B$444,1,0)</f>
        <v>ENTITY_PD_IFRS9_12M_RD</v>
      </c>
    </row>
    <row r="84" spans="1:4" x14ac:dyDescent="0.25">
      <c r="A84" s="47" t="str">
        <f t="shared" si="1"/>
        <v>ENTITY_PD_IFRS9_12M_RD_T1</v>
      </c>
      <c r="B84" t="s">
        <v>10</v>
      </c>
      <c r="C84" t="s">
        <v>263</v>
      </c>
      <c r="D84" t="str">
        <f>VLOOKUP(A84,'LISTA - Atual'!$B$1:$B$444,1,0)</f>
        <v>ENTITY_PD_IFRS9_12M_RD_T1</v>
      </c>
    </row>
    <row r="85" spans="1:4" x14ac:dyDescent="0.25">
      <c r="A85" s="47" t="str">
        <f t="shared" si="1"/>
        <v>ENTITY_FLG_NN_ACCRL</v>
      </c>
      <c r="B85" t="s">
        <v>10</v>
      </c>
      <c r="C85" t="s">
        <v>110</v>
      </c>
      <c r="D85" t="str">
        <f>VLOOKUP(A85,'LISTA - Atual'!$B$1:$B$444,1,0)</f>
        <v>ENTITY_FLG_NN_ACCRL</v>
      </c>
    </row>
    <row r="86" spans="1:4" x14ac:dyDescent="0.25">
      <c r="A86" s="47" t="str">
        <f t="shared" si="1"/>
        <v>ENTITY_TAX_ID</v>
      </c>
      <c r="B86" t="s">
        <v>10</v>
      </c>
      <c r="C86" t="s">
        <v>266</v>
      </c>
      <c r="D86" t="str">
        <f>VLOOKUP(A86,'LISTA - Atual'!$B$1:$B$444,1,0)</f>
        <v>ENTITY_TAX_ID</v>
      </c>
    </row>
    <row r="87" spans="1:4" x14ac:dyDescent="0.25">
      <c r="A87" s="47" t="str">
        <f t="shared" si="1"/>
        <v>ENTITY_COD_SOC</v>
      </c>
      <c r="B87" t="s">
        <v>10</v>
      </c>
      <c r="C87" t="s">
        <v>12</v>
      </c>
      <c r="D87" t="str">
        <f>VLOOKUP(A87,'LISTA - Atual'!$B$1:$B$444,1,0)</f>
        <v>ENTITY_COD_SOC</v>
      </c>
    </row>
    <row r="88" spans="1:4" x14ac:dyDescent="0.25">
      <c r="A88" s="47" t="str">
        <f t="shared" si="1"/>
        <v>ENTITY_ANNL_TRNVR_LE_BDR</v>
      </c>
      <c r="B88" t="s">
        <v>10</v>
      </c>
      <c r="C88" t="s">
        <v>269</v>
      </c>
      <c r="D88" t="str">
        <f>VLOOKUP(A88,'LISTA - Atual'!$B$1:$B$444,1,0)</f>
        <v>ENTITY_ANNL_TRNVR_LE_BDR</v>
      </c>
    </row>
    <row r="89" spans="1:4" x14ac:dyDescent="0.25">
      <c r="A89" s="47" t="str">
        <f t="shared" si="1"/>
        <v>ENTITY_ANNL_TRNVR_PRVS_BDR</v>
      </c>
      <c r="B89" t="s">
        <v>10</v>
      </c>
      <c r="C89" t="s">
        <v>272</v>
      </c>
      <c r="D89" t="str">
        <f>VLOOKUP(A89,'LISTA - Atual'!$B$1:$B$444,1,0)</f>
        <v>ENTITY_ANNL_TRNVR_PRVS_BDR</v>
      </c>
    </row>
    <row r="90" spans="1:4" x14ac:dyDescent="0.25">
      <c r="A90" s="47" t="str">
        <f t="shared" si="1"/>
        <v>ENTITY_OSI_ID</v>
      </c>
      <c r="B90" t="s">
        <v>10</v>
      </c>
      <c r="C90" t="s">
        <v>275</v>
      </c>
      <c r="D90" t="str">
        <f>VLOOKUP(A90,'LISTA - Atual'!$B$1:$B$444,1,0)</f>
        <v>ENTITY_OSI_ID</v>
      </c>
    </row>
    <row r="91" spans="1:4" x14ac:dyDescent="0.25">
      <c r="A91" s="47" t="str">
        <f t="shared" si="1"/>
        <v>ENTITY_PD_CRR_RD_T1</v>
      </c>
      <c r="B91" t="s">
        <v>10</v>
      </c>
      <c r="C91" t="s">
        <v>278</v>
      </c>
      <c r="D91" t="str">
        <f>VLOOKUP(A91,'LISTA - Atual'!$B$1:$B$444,1,0)</f>
        <v>ENTITY_PD_CRR_RD_T1</v>
      </c>
    </row>
    <row r="92" spans="1:4" x14ac:dyDescent="0.25">
      <c r="A92" s="47" t="str">
        <f t="shared" si="1"/>
        <v>ENTITY_EC_GRP_ID</v>
      </c>
      <c r="B92" t="s">
        <v>10</v>
      </c>
      <c r="C92" t="s">
        <v>281</v>
      </c>
      <c r="D92" t="str">
        <f>VLOOKUP(A92,'LISTA - Atual'!$B$1:$B$444,1,0)</f>
        <v>ENTITY_EC_GRP_ID</v>
      </c>
    </row>
    <row r="93" spans="1:4" x14ac:dyDescent="0.25">
      <c r="A93" s="47" t="str">
        <f t="shared" si="1"/>
        <v>ENTITY_EC_GRP_NM</v>
      </c>
      <c r="B93" t="s">
        <v>10</v>
      </c>
      <c r="C93" t="s">
        <v>284</v>
      </c>
      <c r="D93" t="str">
        <f>VLOOKUP(A93,'LISTA - Atual'!$B$1:$B$444,1,0)</f>
        <v>ENTITY_EC_GRP_NM</v>
      </c>
    </row>
    <row r="94" spans="1:4" x14ac:dyDescent="0.25">
      <c r="A94" s="47" t="str">
        <f t="shared" si="1"/>
        <v>ENTITY_PRSN_TYP</v>
      </c>
      <c r="B94" t="s">
        <v>10</v>
      </c>
      <c r="C94" t="s">
        <v>385</v>
      </c>
      <c r="D94" t="str">
        <f>VLOOKUP(A94,'LISTA - Atual'!$B$1:$B$444,1,0)</f>
        <v>ENTITY_PRSN_TYP</v>
      </c>
    </row>
    <row r="95" spans="1:4" x14ac:dyDescent="0.25">
      <c r="A95" s="47" t="str">
        <f t="shared" si="1"/>
        <v>ENTITY_FR_CSH_FLW</v>
      </c>
      <c r="B95" t="s">
        <v>10</v>
      </c>
      <c r="C95" t="s">
        <v>388</v>
      </c>
      <c r="D95" t="str">
        <f>VLOOKUP(A95,'LISTA - Atual'!$B$1:$B$444,1,0)</f>
        <v>ENTITY_FR_CSH_FLW</v>
      </c>
    </row>
    <row r="96" spans="1:4" x14ac:dyDescent="0.25">
      <c r="A96" s="47" t="str">
        <f t="shared" si="1"/>
        <v>ENTITY_FR_CSH_FLW_T1</v>
      </c>
      <c r="B96" t="s">
        <v>10</v>
      </c>
      <c r="C96" t="s">
        <v>391</v>
      </c>
      <c r="D96" t="str">
        <f>VLOOKUP(A96,'LISTA - Atual'!$B$1:$B$444,1,0)</f>
        <v>ENTITY_FR_CSH_FLW_T1</v>
      </c>
    </row>
    <row r="97" spans="1:4" x14ac:dyDescent="0.25">
      <c r="A97" s="47" t="str">
        <f t="shared" si="1"/>
        <v>ENTITY_FR_CSH_FLW_T2</v>
      </c>
      <c r="B97" t="s">
        <v>10</v>
      </c>
      <c r="C97" t="s">
        <v>394</v>
      </c>
      <c r="D97" t="str">
        <f>VLOOKUP(A97,'LISTA - Atual'!$B$1:$B$444,1,0)</f>
        <v>ENTITY_FR_CSH_FLW_T2</v>
      </c>
    </row>
    <row r="98" spans="1:4" x14ac:dyDescent="0.25">
      <c r="A98" s="47" t="str">
        <f t="shared" si="1"/>
        <v>ENTITY_FR_CSH_FLW_T3</v>
      </c>
      <c r="B98" t="s">
        <v>10</v>
      </c>
      <c r="C98" t="s">
        <v>397</v>
      </c>
      <c r="D98" t="str">
        <f>VLOOKUP(A98,'LISTA - Atual'!$B$1:$B$444,1,0)</f>
        <v>ENTITY_FR_CSH_FLW_T3</v>
      </c>
    </row>
    <row r="99" spans="1:4" x14ac:dyDescent="0.25">
      <c r="A99" s="47" t="str">
        <f t="shared" si="1"/>
        <v>ENTITY_NACE_ESG</v>
      </c>
      <c r="B99" t="s">
        <v>10</v>
      </c>
      <c r="C99" t="s">
        <v>293</v>
      </c>
      <c r="D99" t="str">
        <f>VLOOKUP(A99,'LISTA - Atual'!$B$1:$B$444,1,0)</f>
        <v>ENTITY_NACE_ESG</v>
      </c>
    </row>
    <row r="100" spans="1:4" x14ac:dyDescent="0.25">
      <c r="A100" s="47" t="str">
        <f t="shared" si="1"/>
        <v>ENTITY_TXNMY_ELGBL_CAPEX_CCM</v>
      </c>
      <c r="B100" t="s">
        <v>10</v>
      </c>
      <c r="C100" t="s">
        <v>299</v>
      </c>
      <c r="D100" t="str">
        <f>VLOOKUP(A100,'LISTA - Atual'!$B$1:$B$444,1,0)</f>
        <v>ENTITY_TXNMY_ELGBL_CAPEX_CCM</v>
      </c>
    </row>
    <row r="101" spans="1:4" x14ac:dyDescent="0.25">
      <c r="A101" s="47" t="str">
        <f t="shared" si="1"/>
        <v>ENTITY_TXNMY_ELGBL_TRNVR_CCM</v>
      </c>
      <c r="B101" t="s">
        <v>10</v>
      </c>
      <c r="C101" t="s">
        <v>302</v>
      </c>
      <c r="D101" t="str">
        <f>VLOOKUP(A101,'LISTA - Atual'!$B$1:$B$444,1,0)</f>
        <v>ENTITY_TXNMY_ELGBL_TRNVR_CCM</v>
      </c>
    </row>
    <row r="102" spans="1:4" x14ac:dyDescent="0.25">
      <c r="A102" s="47" t="str">
        <f t="shared" si="1"/>
        <v>ENTITY_TXNMY_ELGBL_CAPEX_CCA</v>
      </c>
      <c r="B102" t="s">
        <v>10</v>
      </c>
      <c r="C102" t="s">
        <v>305</v>
      </c>
      <c r="D102" t="str">
        <f>VLOOKUP(A102,'LISTA - Atual'!$B$1:$B$444,1,0)</f>
        <v>ENTITY_TXNMY_ELGBL_CAPEX_CCA</v>
      </c>
    </row>
    <row r="103" spans="1:4" x14ac:dyDescent="0.25">
      <c r="A103" s="47" t="str">
        <f t="shared" si="1"/>
        <v>ENTITY_TXNMY_ELGBL_TRNVR_CCA</v>
      </c>
      <c r="B103" t="s">
        <v>10</v>
      </c>
      <c r="C103" t="s">
        <v>308</v>
      </c>
      <c r="D103" t="str">
        <f>VLOOKUP(A103,'LISTA - Atual'!$B$1:$B$444,1,0)</f>
        <v>ENTITY_TXNMY_ELGBL_TRNVR_CCA</v>
      </c>
    </row>
    <row r="104" spans="1:4" x14ac:dyDescent="0.25">
      <c r="A104" s="47" t="str">
        <f t="shared" si="1"/>
        <v>ENTITY_ENBLNG_CAPEX_CCM</v>
      </c>
      <c r="B104" t="s">
        <v>10</v>
      </c>
      <c r="C104" t="s">
        <v>311</v>
      </c>
      <c r="D104" t="str">
        <f>VLOOKUP(A104,'LISTA - Atual'!$B$1:$B$444,1,0)</f>
        <v>ENTITY_ENBLNG_CAPEX_CCM</v>
      </c>
    </row>
    <row r="105" spans="1:4" x14ac:dyDescent="0.25">
      <c r="A105" s="47" t="str">
        <f t="shared" si="1"/>
        <v>ENTITY_ENBLNG_CAPEX_CCA</v>
      </c>
      <c r="B105" t="s">
        <v>10</v>
      </c>
      <c r="C105" t="s">
        <v>314</v>
      </c>
      <c r="D105" t="str">
        <f>VLOOKUP(A105,'LISTA - Atual'!$B$1:$B$444,1,0)</f>
        <v>ENTITY_ENBLNG_CAPEX_CCA</v>
      </c>
    </row>
    <row r="106" spans="1:4" x14ac:dyDescent="0.25">
      <c r="A106" s="47" t="str">
        <f t="shared" si="1"/>
        <v>ENTITY_TRNSTNL_CAPEX</v>
      </c>
      <c r="B106" t="s">
        <v>10</v>
      </c>
      <c r="C106" t="s">
        <v>317</v>
      </c>
      <c r="D106" t="str">
        <f>VLOOKUP(A106,'LISTA - Atual'!$B$1:$B$444,1,0)</f>
        <v>ENTITY_TRNSTNL_CAPEX</v>
      </c>
    </row>
    <row r="107" spans="1:4" x14ac:dyDescent="0.25">
      <c r="A107" s="47" t="str">
        <f t="shared" si="1"/>
        <v>ENTITY_PURE_CAPEX_CCM</v>
      </c>
      <c r="B107" t="s">
        <v>10</v>
      </c>
      <c r="C107" t="s">
        <v>320</v>
      </c>
      <c r="D107" t="str">
        <f>VLOOKUP(A107,'LISTA - Atual'!$B$1:$B$444,1,0)</f>
        <v>ENTITY_PURE_CAPEX_CCM</v>
      </c>
    </row>
    <row r="108" spans="1:4" x14ac:dyDescent="0.25">
      <c r="A108" s="47" t="str">
        <f t="shared" si="1"/>
        <v>ENTITY_PURE_CAPEX_CCA</v>
      </c>
      <c r="B108" t="s">
        <v>10</v>
      </c>
      <c r="C108" t="s">
        <v>323</v>
      </c>
      <c r="D108" t="str">
        <f>VLOOKUP(A108,'LISTA - Atual'!$B$1:$B$444,1,0)</f>
        <v>ENTITY_PURE_CAPEX_CCA</v>
      </c>
    </row>
    <row r="109" spans="1:4" x14ac:dyDescent="0.25">
      <c r="A109" s="47" t="str">
        <f t="shared" si="1"/>
        <v>ENTITY_ENBLNG_TRNVR_CCM</v>
      </c>
      <c r="B109" t="s">
        <v>10</v>
      </c>
      <c r="C109" t="s">
        <v>326</v>
      </c>
      <c r="D109" t="str">
        <f>VLOOKUP(A109,'LISTA - Atual'!$B$1:$B$444,1,0)</f>
        <v>ENTITY_ENBLNG_TRNVR_CCM</v>
      </c>
    </row>
    <row r="110" spans="1:4" x14ac:dyDescent="0.25">
      <c r="A110" s="47" t="str">
        <f t="shared" si="1"/>
        <v>ENTITY_ENBLNG_TRNVR_CCA</v>
      </c>
      <c r="B110" t="s">
        <v>10</v>
      </c>
      <c r="C110" t="s">
        <v>329</v>
      </c>
      <c r="D110" t="str">
        <f>VLOOKUP(A110,'LISTA - Atual'!$B$1:$B$444,1,0)</f>
        <v>ENTITY_ENBLNG_TRNVR_CCA</v>
      </c>
    </row>
    <row r="111" spans="1:4" x14ac:dyDescent="0.25">
      <c r="A111" s="47" t="str">
        <f t="shared" si="1"/>
        <v>ENTITY_TRNSTNL_TRNVR</v>
      </c>
      <c r="B111" t="s">
        <v>10</v>
      </c>
      <c r="C111" t="s">
        <v>332</v>
      </c>
      <c r="D111" t="str">
        <f>VLOOKUP(A111,'LISTA - Atual'!$B$1:$B$444,1,0)</f>
        <v>ENTITY_TRNSTNL_TRNVR</v>
      </c>
    </row>
    <row r="112" spans="1:4" x14ac:dyDescent="0.25">
      <c r="A112" s="47" t="str">
        <f t="shared" si="1"/>
        <v>ENTITY_PURE_TRNVR_CCM</v>
      </c>
      <c r="B112" t="s">
        <v>10</v>
      </c>
      <c r="C112" t="s">
        <v>335</v>
      </c>
      <c r="D112" t="str">
        <f>VLOOKUP(A112,'LISTA - Atual'!$B$1:$B$444,1,0)</f>
        <v>ENTITY_PURE_TRNVR_CCM</v>
      </c>
    </row>
    <row r="113" spans="1:4" x14ac:dyDescent="0.25">
      <c r="A113" s="47" t="str">
        <f t="shared" si="1"/>
        <v>ENTITY_PURE_TRNVR_CCA</v>
      </c>
      <c r="B113" t="s">
        <v>10</v>
      </c>
      <c r="C113" t="s">
        <v>338</v>
      </c>
      <c r="D113" t="str">
        <f>VLOOKUP(A113,'LISTA - Atual'!$B$1:$B$444,1,0)</f>
        <v>ENTITY_PURE_TRNVR_CCA</v>
      </c>
    </row>
    <row r="114" spans="1:4" x14ac:dyDescent="0.25">
      <c r="A114" s="47" t="str">
        <f t="shared" si="1"/>
        <v>ENTITY_FLG_NFRD_APPLCBLTY</v>
      </c>
      <c r="B114" t="s">
        <v>10</v>
      </c>
      <c r="C114" t="s">
        <v>341</v>
      </c>
      <c r="D114" t="str">
        <f>VLOOKUP(A114,'LISTA - Atual'!$B$1:$B$444,1,0)</f>
        <v>ENTITY_FLG_NFRD_APPLCBLTY</v>
      </c>
    </row>
    <row r="115" spans="1:4" x14ac:dyDescent="0.25">
      <c r="A115" s="47" t="str">
        <f t="shared" si="1"/>
        <v>ENTITY_CNTRPRTY_EMSSNS_SCP1</v>
      </c>
      <c r="B115" t="s">
        <v>10</v>
      </c>
      <c r="C115" t="s">
        <v>355</v>
      </c>
      <c r="D115" t="str">
        <f>VLOOKUP(A115,'LISTA - Atual'!$B$1:$B$444,1,0)</f>
        <v>ENTITY_CNTRPRTY_EMSSNS_SCP1</v>
      </c>
    </row>
    <row r="116" spans="1:4" x14ac:dyDescent="0.25">
      <c r="A116" s="47" t="str">
        <f t="shared" si="1"/>
        <v>ENTITY_CNTRPRTY_EMSSNS_SCP2</v>
      </c>
      <c r="B116" t="s">
        <v>10</v>
      </c>
      <c r="C116" t="s">
        <v>358</v>
      </c>
      <c r="D116" t="str">
        <f>VLOOKUP(A116,'LISTA - Atual'!$B$1:$B$444,1,0)</f>
        <v>ENTITY_CNTRPRTY_EMSSNS_SCP2</v>
      </c>
    </row>
    <row r="117" spans="1:4" x14ac:dyDescent="0.25">
      <c r="A117" s="47" t="str">
        <f t="shared" si="1"/>
        <v>ENTITY_CNTRPRTY_EMSSNS_SCP3</v>
      </c>
      <c r="B117" t="s">
        <v>10</v>
      </c>
      <c r="C117" t="s">
        <v>361</v>
      </c>
      <c r="D117" t="str">
        <f>VLOOKUP(A117,'LISTA - Atual'!$B$1:$B$444,1,0)</f>
        <v>ENTITY_CNTRPRTY_EMSSNS_SCP3</v>
      </c>
    </row>
    <row r="118" spans="1:4" x14ac:dyDescent="0.25">
      <c r="A118" s="47" t="str">
        <f t="shared" si="1"/>
        <v>ENTITY_FLG_EXCLDD_EU_PRS_ALGND_BNCHMRK</v>
      </c>
      <c r="B118" t="s">
        <v>10</v>
      </c>
      <c r="C118" t="s">
        <v>364</v>
      </c>
      <c r="D118" t="str">
        <f>VLOOKUP(A118,'LISTA - Atual'!$B$1:$B$444,1,0)</f>
        <v>ENTITY_FLG_EXCLDD_EU_PRS_ALGND_BNCHMRK</v>
      </c>
    </row>
    <row r="119" spans="1:4" x14ac:dyDescent="0.25">
      <c r="A119" s="47" t="str">
        <f t="shared" si="1"/>
        <v>ENTITY_FLG_ACT_PHYSCL_RSK</v>
      </c>
      <c r="B119" t="s">
        <v>10</v>
      </c>
      <c r="C119" t="s">
        <v>376</v>
      </c>
      <c r="D119" t="str">
        <f>VLOOKUP(A119,'LISTA - Atual'!$B$1:$B$444,1,0)</f>
        <v>ENTITY_FLG_ACT_PHYSCL_RSK</v>
      </c>
    </row>
    <row r="120" spans="1:4" x14ac:dyDescent="0.25">
      <c r="A120" s="47" t="str">
        <f t="shared" si="1"/>
        <v>ENTITY_FLG_CHRNC_PHYSCL_RSK</v>
      </c>
      <c r="B120" t="s">
        <v>10</v>
      </c>
      <c r="C120" t="s">
        <v>379</v>
      </c>
      <c r="D120" t="str">
        <f>VLOOKUP(A120,'LISTA - Atual'!$B$1:$B$444,1,0)</f>
        <v>ENTITY_FLG_CHRNC_PHYSCL_RSK</v>
      </c>
    </row>
    <row r="121" spans="1:4" x14ac:dyDescent="0.25">
      <c r="A121" s="47" t="str">
        <f t="shared" si="1"/>
        <v>ENTITY_PST_CD</v>
      </c>
      <c r="B121" t="s">
        <v>10</v>
      </c>
      <c r="C121" t="s">
        <v>287</v>
      </c>
      <c r="D121" t="str">
        <f>VLOOKUP(A121,'LISTA - Atual'!$B$1:$B$444,1,0)</f>
        <v>ENTITY_PST_CD</v>
      </c>
    </row>
    <row r="122" spans="1:4" x14ac:dyDescent="0.25">
      <c r="A122" s="47" t="str">
        <f t="shared" si="1"/>
        <v>ENTITY_ESG_SBSCTR</v>
      </c>
      <c r="B122" t="s">
        <v>10</v>
      </c>
      <c r="C122" t="s">
        <v>290</v>
      </c>
      <c r="D122" t="str">
        <f>VLOOKUP(A122,'LISTA - Atual'!$B$1:$B$444,1,0)</f>
        <v>ENTITY_ESG_SBSCTR</v>
      </c>
    </row>
    <row r="123" spans="1:4" x14ac:dyDescent="0.25">
      <c r="A123" s="47" t="str">
        <f t="shared" si="1"/>
        <v>ENTITY_TTL_LBLTY</v>
      </c>
      <c r="B123" t="s">
        <v>10</v>
      </c>
      <c r="C123" t="s">
        <v>296</v>
      </c>
      <c r="D123" t="str">
        <f>VLOOKUP(A123,'LISTA - Atual'!$B$1:$B$444,1,0)</f>
        <v>ENTITY_TTL_LBLTY</v>
      </c>
    </row>
    <row r="124" spans="1:4" x14ac:dyDescent="0.25">
      <c r="A124" s="47" t="str">
        <f t="shared" si="1"/>
        <v>ENTITY_ISIN</v>
      </c>
      <c r="B124" t="s">
        <v>10</v>
      </c>
      <c r="C124" t="s">
        <v>347</v>
      </c>
      <c r="D124" t="str">
        <f>VLOOKUP(A124,'LISTA - Atual'!$B$1:$B$444,1,0)</f>
        <v>ENTITY_ISIN</v>
      </c>
    </row>
    <row r="125" spans="1:4" x14ac:dyDescent="0.25">
      <c r="A125" s="47" t="str">
        <f t="shared" si="1"/>
        <v>ENTITY_GRP_ANNL_TRNVR_LE</v>
      </c>
      <c r="B125" t="s">
        <v>10</v>
      </c>
      <c r="C125" t="s">
        <v>349</v>
      </c>
      <c r="D125" t="str">
        <f>VLOOKUP(A125,'LISTA - Atual'!$B$1:$B$444,1,0)</f>
        <v>ENTITY_GRP_ANNL_TRNVR_LE</v>
      </c>
    </row>
    <row r="126" spans="1:4" x14ac:dyDescent="0.25">
      <c r="A126" s="47" t="str">
        <f t="shared" si="1"/>
        <v>ENTITY_GRP_TTL_LBLTY</v>
      </c>
      <c r="B126" t="s">
        <v>10</v>
      </c>
      <c r="C126" t="s">
        <v>352</v>
      </c>
      <c r="D126" t="str">
        <f>VLOOKUP(A126,'LISTA - Atual'!$B$1:$B$444,1,0)</f>
        <v>ENTITY_GRP_TTL_LBLTY</v>
      </c>
    </row>
    <row r="127" spans="1:4" x14ac:dyDescent="0.25">
      <c r="A127" s="47" t="str">
        <f t="shared" si="1"/>
        <v>ENTITY_FLG_GRP_NFRD_APPLCBLTY</v>
      </c>
      <c r="B127" t="s">
        <v>10</v>
      </c>
      <c r="C127" t="s">
        <v>344</v>
      </c>
      <c r="D127" t="str">
        <f>VLOOKUP(A127,'LISTA - Atual'!$B$1:$B$444,1,0)</f>
        <v>ENTITY_FLG_GRP_NFRD_APPLCBLTY</v>
      </c>
    </row>
    <row r="128" spans="1:4" x14ac:dyDescent="0.25">
      <c r="A128" s="47" t="str">
        <f t="shared" si="1"/>
        <v>ENTITY_GRP_EMSSNS_SCP1</v>
      </c>
      <c r="B128" t="s">
        <v>10</v>
      </c>
      <c r="C128" t="s">
        <v>367</v>
      </c>
      <c r="D128" t="str">
        <f>VLOOKUP(A128,'LISTA - Atual'!$B$1:$B$444,1,0)</f>
        <v>ENTITY_GRP_EMSSNS_SCP1</v>
      </c>
    </row>
    <row r="129" spans="1:4" x14ac:dyDescent="0.25">
      <c r="A129" s="47" t="str">
        <f t="shared" si="1"/>
        <v>ENTITY_GRP_EMSSNS_SCP2</v>
      </c>
      <c r="B129" t="s">
        <v>10</v>
      </c>
      <c r="C129" t="s">
        <v>370</v>
      </c>
      <c r="D129" t="str">
        <f>VLOOKUP(A129,'LISTA - Atual'!$B$1:$B$444,1,0)</f>
        <v>ENTITY_GRP_EMSSNS_SCP2</v>
      </c>
    </row>
    <row r="130" spans="1:4" x14ac:dyDescent="0.25">
      <c r="A130" s="47" t="str">
        <f t="shared" si="1"/>
        <v>ENTITY_GRP_EMSSNS_SCP3</v>
      </c>
      <c r="B130" t="s">
        <v>10</v>
      </c>
      <c r="C130" t="s">
        <v>373</v>
      </c>
      <c r="D130" t="str">
        <f>VLOOKUP(A130,'LISTA - Atual'!$B$1:$B$444,1,0)</f>
        <v>ENTITY_GRP_EMSSNS_SCP3</v>
      </c>
    </row>
    <row r="131" spans="1:4" x14ac:dyDescent="0.25">
      <c r="A131" s="47" t="str">
        <f t="shared" si="1"/>
        <v>INSTRUMENT_INSTRMNT_ID</v>
      </c>
      <c r="B131" t="s">
        <v>414</v>
      </c>
      <c r="C131" t="s">
        <v>405</v>
      </c>
      <c r="D131" t="str">
        <f>VLOOKUP(A131,'LISTA - Atual'!$B$1:$B$444,1,0)</f>
        <v>INSTRUMENT_INSTRMNT_ID</v>
      </c>
    </row>
    <row r="132" spans="1:4" x14ac:dyDescent="0.25">
      <c r="A132" s="47" t="str">
        <f t="shared" si="1"/>
        <v>INSTRUMENT_CNTRCT_ID</v>
      </c>
      <c r="B132" t="s">
        <v>414</v>
      </c>
      <c r="C132" t="s">
        <v>433</v>
      </c>
      <c r="D132" t="str">
        <f>VLOOKUP(A132,'LISTA - Atual'!$B$1:$B$444,1,0)</f>
        <v>INSTRUMENT_CNTRCT_ID</v>
      </c>
    </row>
    <row r="133" spans="1:4" x14ac:dyDescent="0.25">
      <c r="A133" s="47" t="str">
        <f t="shared" ref="A133:A196" si="2">B133&amp;"_"&amp;C133</f>
        <v>INSTRUMENT_CRRNCY_DNMNTN</v>
      </c>
      <c r="B133" t="s">
        <v>414</v>
      </c>
      <c r="C133" t="s">
        <v>436</v>
      </c>
      <c r="D133" t="str">
        <f>VLOOKUP(A133,'LISTA - Atual'!$B$1:$B$444,1,0)</f>
        <v>INSTRUMENT_CRRNCY_DNMNTN</v>
      </c>
    </row>
    <row r="134" spans="1:4" x14ac:dyDescent="0.25">
      <c r="A134" s="47" t="str">
        <f t="shared" si="2"/>
        <v>INSTRUMENT_DT_INCPTN</v>
      </c>
      <c r="B134" t="s">
        <v>414</v>
      </c>
      <c r="C134" t="s">
        <v>439</v>
      </c>
      <c r="D134" t="str">
        <f>VLOOKUP(A134,'LISTA - Atual'!$B$1:$B$444,1,0)</f>
        <v>INSTRUMENT_DT_INCPTN</v>
      </c>
    </row>
    <row r="135" spans="1:4" x14ac:dyDescent="0.25">
      <c r="A135" s="47" t="str">
        <f t="shared" si="2"/>
        <v>INSTRUMENT_OBSRVD_AGNT_ID</v>
      </c>
      <c r="B135" t="s">
        <v>414</v>
      </c>
      <c r="C135" t="s">
        <v>442</v>
      </c>
      <c r="D135" t="str">
        <f>VLOOKUP(A135,'LISTA - Atual'!$B$1:$B$444,1,0)</f>
        <v>INSTRUMENT_OBSRVD_AGNT_ID</v>
      </c>
    </row>
    <row r="136" spans="1:4" x14ac:dyDescent="0.25">
      <c r="A136" s="47" t="str">
        <f t="shared" si="2"/>
        <v>INSTRUMENT_OBSRVD_AGNT_NM</v>
      </c>
      <c r="B136" t="s">
        <v>414</v>
      </c>
      <c r="C136" t="s">
        <v>445</v>
      </c>
      <c r="D136" t="str">
        <f>VLOOKUP(A136,'LISTA - Atual'!$B$1:$B$444,1,0)</f>
        <v>INSTRUMENT_OBSRVD_AGNT_NM</v>
      </c>
    </row>
    <row r="137" spans="1:4" x14ac:dyDescent="0.25">
      <c r="A137" s="47" t="str">
        <f t="shared" si="2"/>
        <v>INSTRUMENT_PRDCT</v>
      </c>
      <c r="B137" t="s">
        <v>414</v>
      </c>
      <c r="C137" t="s">
        <v>448</v>
      </c>
      <c r="D137" t="str">
        <f>VLOOKUP(A137,'LISTA - Atual'!$B$1:$B$444,1,0)</f>
        <v>INSTRUMENT_PRDCT</v>
      </c>
    </row>
    <row r="138" spans="1:4" x14ac:dyDescent="0.25">
      <c r="A138" s="47" t="str">
        <f t="shared" si="2"/>
        <v>INSTRUMENT_BRCHD_CVNNTS</v>
      </c>
      <c r="B138" t="s">
        <v>414</v>
      </c>
      <c r="C138" t="s">
        <v>451</v>
      </c>
      <c r="D138" t="str">
        <f>VLOOKUP(A138,'LISTA - Atual'!$B$1:$B$444,1,0)</f>
        <v>INSTRUMENT_BRCHD_CVNNTS</v>
      </c>
    </row>
    <row r="139" spans="1:4" x14ac:dyDescent="0.25">
      <c r="A139" s="47" t="str">
        <f t="shared" si="2"/>
        <v>INSTRUMENT_CHNNL_ORGNTN</v>
      </c>
      <c r="B139" t="s">
        <v>414</v>
      </c>
      <c r="C139" t="s">
        <v>454</v>
      </c>
      <c r="D139" t="str">
        <f>VLOOKUP(A139,'LISTA - Atual'!$B$1:$B$444,1,0)</f>
        <v>INSTRUMENT_CHNNL_ORGNTN</v>
      </c>
    </row>
    <row r="140" spans="1:4" x14ac:dyDescent="0.25">
      <c r="A140" s="47" t="str">
        <f t="shared" si="2"/>
        <v>INSTRUMENT_CSH_SWP_TRP</v>
      </c>
      <c r="B140" t="s">
        <v>414</v>
      </c>
      <c r="C140" t="s">
        <v>457</v>
      </c>
      <c r="D140" t="str">
        <f>VLOOKUP(A140,'LISTA - Atual'!$B$1:$B$444,1,0)</f>
        <v>INSTRUMENT_CSH_SWP_TRP</v>
      </c>
    </row>
    <row r="141" spans="1:4" x14ac:dyDescent="0.25">
      <c r="A141" s="47" t="str">
        <f t="shared" si="2"/>
        <v>INSTRUMENT_CVNNT_STTS</v>
      </c>
      <c r="B141" t="s">
        <v>414</v>
      </c>
      <c r="C141" t="s">
        <v>460</v>
      </c>
      <c r="D141" t="str">
        <f>VLOOKUP(A141,'LISTA - Atual'!$B$1:$B$444,1,0)</f>
        <v>INSTRUMENT_CVNNT_STTS</v>
      </c>
    </row>
    <row r="142" spans="1:4" x14ac:dyDescent="0.25">
      <c r="A142" s="47" t="str">
        <f t="shared" si="2"/>
        <v>INSTRUMENT_CVNNT_TYP</v>
      </c>
      <c r="B142" t="s">
        <v>414</v>
      </c>
      <c r="C142" t="s">
        <v>463</v>
      </c>
      <c r="D142" t="str">
        <f>VLOOKUP(A142,'LISTA - Atual'!$B$1:$B$444,1,0)</f>
        <v>INSTRUMENT_CVNNT_TYP</v>
      </c>
    </row>
    <row r="143" spans="1:4" x14ac:dyDescent="0.25">
      <c r="A143" s="47" t="str">
        <f t="shared" si="2"/>
        <v>INSTRUMENT_DFLT_STTS_INSTRMNT</v>
      </c>
      <c r="B143" t="s">
        <v>414</v>
      </c>
      <c r="C143" t="s">
        <v>466</v>
      </c>
      <c r="D143" t="str">
        <f>VLOOKUP(A143,'LISTA - Atual'!$B$1:$B$444,1,0)</f>
        <v>INSTRUMENT_DFLT_STTS_INSTRMNT</v>
      </c>
    </row>
    <row r="144" spans="1:4" x14ac:dyDescent="0.25">
      <c r="A144" s="47" t="str">
        <f t="shared" si="2"/>
        <v>INSTRUMENT_DT_DFLT_STTS_INSTRMNT</v>
      </c>
      <c r="B144" t="s">
        <v>414</v>
      </c>
      <c r="C144" t="s">
        <v>469</v>
      </c>
      <c r="D144" t="str">
        <f>VLOOKUP(A144,'LISTA - Atual'!$B$1:$B$444,1,0)</f>
        <v>INSTRUMENT_DT_DFLT_STTS_INSTRMNT</v>
      </c>
    </row>
    <row r="145" spans="1:4" x14ac:dyDescent="0.25">
      <c r="A145" s="47" t="str">
        <f t="shared" si="2"/>
        <v>INSTRUMENT_DT_END_GP_PPAL</v>
      </c>
      <c r="B145" t="s">
        <v>414</v>
      </c>
      <c r="C145" t="s">
        <v>471</v>
      </c>
      <c r="D145" t="str">
        <f>VLOOKUP(A145,'LISTA - Atual'!$B$1:$B$444,1,0)</f>
        <v>INSTRUMENT_DT_END_GP_PPAL</v>
      </c>
    </row>
    <row r="146" spans="1:4" x14ac:dyDescent="0.25">
      <c r="A146" s="47" t="str">
        <f t="shared" si="2"/>
        <v>INSTRUMENT_DT_END_INTRST_ONLY</v>
      </c>
      <c r="B146" t="s">
        <v>414</v>
      </c>
      <c r="C146" t="s">
        <v>474</v>
      </c>
      <c r="D146" t="str">
        <f>VLOOKUP(A146,'LISTA - Atual'!$B$1:$B$444,1,0)</f>
        <v>INSTRUMENT_DT_END_INTRST_ONLY</v>
      </c>
    </row>
    <row r="147" spans="1:4" x14ac:dyDescent="0.25">
      <c r="A147" s="47" t="str">
        <f t="shared" si="2"/>
        <v>INSTRUMENT_DT_FRBRNC_STTS</v>
      </c>
      <c r="B147" t="s">
        <v>414</v>
      </c>
      <c r="C147" t="s">
        <v>477</v>
      </c>
      <c r="D147" t="str">
        <f>VLOOKUP(A147,'LISTA - Atual'!$B$1:$B$444,1,0)</f>
        <v>INSTRUMENT_DT_FRBRNC_STTS</v>
      </c>
    </row>
    <row r="148" spans="1:4" x14ac:dyDescent="0.25">
      <c r="A148" s="47" t="str">
        <f t="shared" si="2"/>
        <v>INSTRUMENT_DT_FRBRNC_STTS_PRVS</v>
      </c>
      <c r="B148" t="s">
        <v>414</v>
      </c>
      <c r="C148" t="s">
        <v>480</v>
      </c>
      <c r="D148" t="str">
        <f>VLOOKUP(A148,'LISTA - Atual'!$B$1:$B$444,1,0)</f>
        <v>INSTRUMENT_DT_FRBRNC_STTS_PRVS</v>
      </c>
    </row>
    <row r="149" spans="1:4" x14ac:dyDescent="0.25">
      <c r="A149" s="47" t="str">
        <f t="shared" si="2"/>
        <v>INSTRUMENT_DT_INTRNL_RTNG</v>
      </c>
      <c r="B149" t="s">
        <v>414</v>
      </c>
      <c r="C149" t="s">
        <v>80</v>
      </c>
      <c r="D149" t="str">
        <f>VLOOKUP(A149,'LISTA - Atual'!$B$1:$B$444,1,0)</f>
        <v>INSTRUMENT_DT_INTRNL_RTNG</v>
      </c>
    </row>
    <row r="150" spans="1:4" x14ac:dyDescent="0.25">
      <c r="A150" s="47" t="str">
        <f t="shared" si="2"/>
        <v>INSTRUMENT_DT_PRFRMNG_STTS</v>
      </c>
      <c r="B150" t="s">
        <v>414</v>
      </c>
      <c r="C150" t="s">
        <v>484</v>
      </c>
      <c r="D150" t="str">
        <f>VLOOKUP(A150,'LISTA - Atual'!$B$1:$B$444,1,0)</f>
        <v>INSTRUMENT_DT_PRFRMNG_STTS</v>
      </c>
    </row>
    <row r="151" spans="1:4" x14ac:dyDescent="0.25">
      <c r="A151" s="47" t="str">
        <f t="shared" si="2"/>
        <v>INSTRUMENT_DT_PRFRMNG_STTS_PRVS</v>
      </c>
      <c r="B151" t="s">
        <v>414</v>
      </c>
      <c r="C151" t="s">
        <v>486</v>
      </c>
      <c r="D151" t="str">
        <f>VLOOKUP(A151,'LISTA - Atual'!$B$1:$B$444,1,0)</f>
        <v>INSTRUMENT_DT_PRFRMNG_STTS_PRVS</v>
      </c>
    </row>
    <row r="152" spans="1:4" x14ac:dyDescent="0.25">
      <c r="A152" s="47" t="str">
        <f t="shared" si="2"/>
        <v>INSTRUMENT_DT_STRT_INTRST_ONLY</v>
      </c>
      <c r="B152" t="s">
        <v>414</v>
      </c>
      <c r="C152" t="s">
        <v>489</v>
      </c>
      <c r="D152" t="str">
        <f>VLOOKUP(A152,'LISTA - Atual'!$B$1:$B$444,1,0)</f>
        <v>INSTRUMENT_DT_STRT_INTRST_ONLY</v>
      </c>
    </row>
    <row r="153" spans="1:4" x14ac:dyDescent="0.25">
      <c r="A153" s="47" t="str">
        <f t="shared" si="2"/>
        <v>INSTRUMENT_EXPSR_IN_SCP</v>
      </c>
      <c r="B153" t="s">
        <v>414</v>
      </c>
      <c r="C153" t="s">
        <v>492</v>
      </c>
      <c r="D153" t="str">
        <f>VLOOKUP(A153,'LISTA - Atual'!$B$1:$B$444,1,0)</f>
        <v>INSTRUMENT_EXPSR_IN_SCP</v>
      </c>
    </row>
    <row r="154" spans="1:4" x14ac:dyDescent="0.25">
      <c r="A154" s="47" t="str">
        <f t="shared" si="2"/>
        <v>INSTRUMENT_FLD_SYNDCTN</v>
      </c>
      <c r="B154" t="s">
        <v>414</v>
      </c>
      <c r="C154" t="s">
        <v>495</v>
      </c>
      <c r="D154" t="str">
        <f>VLOOKUP(A154,'LISTA - Atual'!$B$1:$B$444,1,0)</f>
        <v>INSTRUMENT_FLD_SYNDCTN</v>
      </c>
    </row>
    <row r="155" spans="1:4" x14ac:dyDescent="0.25">
      <c r="A155" s="47" t="str">
        <f t="shared" si="2"/>
        <v>INSTRUMENT_FLG_LBO</v>
      </c>
      <c r="B155" t="s">
        <v>414</v>
      </c>
      <c r="C155" t="s">
        <v>498</v>
      </c>
      <c r="D155" t="str">
        <f>VLOOKUP(A155,'LISTA - Atual'!$B$1:$B$444,1,0)</f>
        <v>INSTRUMENT_FLG_LBO</v>
      </c>
    </row>
    <row r="156" spans="1:4" x14ac:dyDescent="0.25">
      <c r="A156" s="47" t="str">
        <f t="shared" si="2"/>
        <v>INSTRUMENT_FRBRNC_STTS_INSTRMNT</v>
      </c>
      <c r="B156" t="s">
        <v>414</v>
      </c>
      <c r="C156" t="s">
        <v>501</v>
      </c>
      <c r="D156" t="str">
        <f>VLOOKUP(A156,'LISTA - Atual'!$B$1:$B$444,1,0)</f>
        <v>INSTRUMENT_FRBRNC_STTS_INSTRMNT</v>
      </c>
    </row>
    <row r="157" spans="1:4" x14ac:dyDescent="0.25">
      <c r="A157" s="47" t="str">
        <f t="shared" si="2"/>
        <v>INSTRUMENT_IMPRMNT_STTS</v>
      </c>
      <c r="B157" t="s">
        <v>414</v>
      </c>
      <c r="C157" t="s">
        <v>504</v>
      </c>
      <c r="D157" t="str">
        <f>VLOOKUP(A157,'LISTA - Atual'!$B$1:$B$444,1,0)</f>
        <v>INSTRUMENT_IMPRMNT_STTS</v>
      </c>
    </row>
    <row r="158" spans="1:4" x14ac:dyDescent="0.25">
      <c r="A158" s="47" t="str">
        <f t="shared" si="2"/>
        <v>INSTRUMENT_IMPRMNT_STTS_PRVS</v>
      </c>
      <c r="B158" t="s">
        <v>414</v>
      </c>
      <c r="C158" t="s">
        <v>507</v>
      </c>
      <c r="D158" t="str">
        <f>VLOOKUP(A158,'LISTA - Atual'!$B$1:$B$444,1,0)</f>
        <v>INSTRUMENT_IMPRMNT_STTS_PRVS</v>
      </c>
    </row>
    <row r="159" spans="1:4" x14ac:dyDescent="0.25">
      <c r="A159" s="47" t="str">
        <f t="shared" si="2"/>
        <v>INSTRUMENT_INTRNL_RTNG</v>
      </c>
      <c r="B159" t="s">
        <v>414</v>
      </c>
      <c r="C159" t="s">
        <v>128</v>
      </c>
      <c r="D159" t="str">
        <f>VLOOKUP(A159,'LISTA - Atual'!$B$1:$B$444,1,0)</f>
        <v>INSTRUMENT_INTRNL_RTNG</v>
      </c>
    </row>
    <row r="160" spans="1:4" x14ac:dyDescent="0.25">
      <c r="A160" s="47" t="str">
        <f t="shared" si="2"/>
        <v>INSTRUMENT_INTRNL_RTNG_INCPTN</v>
      </c>
      <c r="B160" t="s">
        <v>414</v>
      </c>
      <c r="C160" t="s">
        <v>511</v>
      </c>
      <c r="D160" t="str">
        <f>VLOOKUP(A160,'LISTA - Atual'!$B$1:$B$444,1,0)</f>
        <v>INSTRUMENT_INTRNL_RTNG_INCPTN</v>
      </c>
    </row>
    <row r="161" spans="1:4" x14ac:dyDescent="0.25">
      <c r="A161" s="47" t="str">
        <f t="shared" si="2"/>
        <v>INSTRUMENT_INTRNL_SGMNT</v>
      </c>
      <c r="B161" t="s">
        <v>414</v>
      </c>
      <c r="C161" t="s">
        <v>50</v>
      </c>
      <c r="D161" t="str">
        <f>VLOOKUP(A161,'LISTA - Atual'!$B$1:$B$444,1,0)</f>
        <v>INSTRUMENT_INTRNL_SGMNT</v>
      </c>
    </row>
    <row r="162" spans="1:4" x14ac:dyDescent="0.25">
      <c r="A162" s="47" t="str">
        <f t="shared" si="2"/>
        <v>INSTRUMENT_INTRNL_UNT</v>
      </c>
      <c r="B162" t="s">
        <v>414</v>
      </c>
      <c r="C162" t="s">
        <v>53</v>
      </c>
      <c r="D162" t="str">
        <f>VLOOKUP(A162,'LISTA - Atual'!$B$1:$B$444,1,0)</f>
        <v>INSTRUMENT_INTRNL_UNT</v>
      </c>
    </row>
    <row r="163" spans="1:4" x14ac:dyDescent="0.25">
      <c r="A163" s="47" t="str">
        <f t="shared" si="2"/>
        <v>INSTRUMENT_LCRE</v>
      </c>
      <c r="B163" t="s">
        <v>414</v>
      </c>
      <c r="C163" t="s">
        <v>516</v>
      </c>
      <c r="D163" t="str">
        <f>VLOOKUP(A163,'LISTA - Atual'!$B$1:$B$444,1,0)</f>
        <v>INSTRUMENT_LCRE</v>
      </c>
    </row>
    <row r="164" spans="1:4" x14ac:dyDescent="0.25">
      <c r="A164" s="47" t="str">
        <f t="shared" si="2"/>
        <v>INSTRUMENT_LGL_PRCDNG_STTS</v>
      </c>
      <c r="B164" t="s">
        <v>414</v>
      </c>
      <c r="C164" t="s">
        <v>519</v>
      </c>
      <c r="D164" t="str">
        <f>VLOOKUP(A164,'LISTA - Atual'!$B$1:$B$444,1,0)</f>
        <v>INSTRUMENT_LGL_PRCDNG_STTS</v>
      </c>
    </row>
    <row r="165" spans="1:4" x14ac:dyDescent="0.25">
      <c r="A165" s="47" t="str">
        <f t="shared" si="2"/>
        <v>INSTRUMENT_LND_DRGTN</v>
      </c>
      <c r="B165" t="s">
        <v>414</v>
      </c>
      <c r="C165" t="s">
        <v>522</v>
      </c>
      <c r="D165" t="str">
        <f>VLOOKUP(A165,'LISTA - Atual'!$B$1:$B$444,1,0)</f>
        <v>INSTRUMENT_LND_DRGTN</v>
      </c>
    </row>
    <row r="166" spans="1:4" x14ac:dyDescent="0.25">
      <c r="A166" s="47" t="str">
        <f t="shared" si="2"/>
        <v>INSTRUMENT_POCI</v>
      </c>
      <c r="B166" t="s">
        <v>414</v>
      </c>
      <c r="C166" t="s">
        <v>525</v>
      </c>
      <c r="D166" t="str">
        <f>VLOOKUP(A166,'LISTA - Atual'!$B$1:$B$444,1,0)</f>
        <v>INSTRUMENT_POCI</v>
      </c>
    </row>
    <row r="167" spans="1:4" x14ac:dyDescent="0.25">
      <c r="A167" s="47" t="str">
        <f t="shared" si="2"/>
        <v>INSTRUMENT_PRFRMNG_STTS</v>
      </c>
      <c r="B167" t="s">
        <v>414</v>
      </c>
      <c r="C167" t="s">
        <v>528</v>
      </c>
      <c r="D167" t="str">
        <f>VLOOKUP(A167,'LISTA - Atual'!$B$1:$B$444,1,0)</f>
        <v>INSTRUMENT_PRFRMNG_STTS</v>
      </c>
    </row>
    <row r="168" spans="1:4" x14ac:dyDescent="0.25">
      <c r="A168" s="47" t="str">
        <f t="shared" si="2"/>
        <v>INSTRUMENT_PRFRMNG_STTS_PRVS</v>
      </c>
      <c r="B168" t="s">
        <v>414</v>
      </c>
      <c r="C168" t="s">
        <v>530</v>
      </c>
      <c r="D168" t="str">
        <f>VLOOKUP(A168,'LISTA - Atual'!$B$1:$B$444,1,0)</f>
        <v>INSTRUMENT_PRFRMNG_STTS_PRVS</v>
      </c>
    </row>
    <row r="169" spans="1:4" x14ac:dyDescent="0.25">
      <c r="A169" s="47" t="str">
        <f t="shared" si="2"/>
        <v>INSTRUMENT_PRJCT_FNNC_LN</v>
      </c>
      <c r="B169" t="s">
        <v>414</v>
      </c>
      <c r="C169" t="s">
        <v>533</v>
      </c>
      <c r="D169" t="str">
        <f>VLOOKUP(A169,'LISTA - Atual'!$B$1:$B$444,1,0)</f>
        <v>INSTRUMENT_PRJCT_FNNC_LN</v>
      </c>
    </row>
    <row r="170" spans="1:4" x14ac:dyDescent="0.25">
      <c r="A170" s="47" t="str">
        <f t="shared" si="2"/>
        <v>INSTRUMENT_PRPS</v>
      </c>
      <c r="B170" t="s">
        <v>414</v>
      </c>
      <c r="C170" t="s">
        <v>536</v>
      </c>
      <c r="D170" t="str">
        <f>VLOOKUP(A170,'LISTA - Atual'!$B$1:$B$444,1,0)</f>
        <v>INSTRUMENT_PRPS</v>
      </c>
    </row>
    <row r="171" spans="1:4" x14ac:dyDescent="0.25">
      <c r="A171" s="47" t="str">
        <f t="shared" si="2"/>
        <v>INSTRUMENT_PYMNT_INTRST_ONLY</v>
      </c>
      <c r="B171" t="s">
        <v>414</v>
      </c>
      <c r="C171" t="s">
        <v>539</v>
      </c>
      <c r="D171" t="str">
        <f>VLOOKUP(A171,'LISTA - Atual'!$B$1:$B$444,1,0)</f>
        <v>INSTRUMENT_PYMNT_INTRST_ONLY</v>
      </c>
    </row>
    <row r="172" spans="1:4" x14ac:dyDescent="0.25">
      <c r="A172" s="47" t="str">
        <f t="shared" si="2"/>
        <v>INSTRUMENT_RCRS</v>
      </c>
      <c r="B172" t="s">
        <v>414</v>
      </c>
      <c r="C172" t="s">
        <v>542</v>
      </c>
      <c r="D172" t="str">
        <f>VLOOKUP(A172,'LISTA - Atual'!$B$1:$B$444,1,0)</f>
        <v>INSTRUMENT_RCRS</v>
      </c>
    </row>
    <row r="173" spans="1:4" x14ac:dyDescent="0.25">
      <c r="A173" s="47" t="str">
        <f t="shared" si="2"/>
        <v>INSTRUMENT_RFNNC_PRPS</v>
      </c>
      <c r="B173" t="s">
        <v>414</v>
      </c>
      <c r="C173" t="s">
        <v>545</v>
      </c>
      <c r="D173" t="str">
        <f>VLOOKUP(A173,'LISTA - Atual'!$B$1:$B$444,1,0)</f>
        <v>INSTRUMENT_RFNNC_PRPS</v>
      </c>
    </row>
    <row r="174" spans="1:4" x14ac:dyDescent="0.25">
      <c r="A174" s="47" t="str">
        <f t="shared" si="2"/>
        <v>INSTRUMENT_SPCLTV_LNDNG</v>
      </c>
      <c r="B174" t="s">
        <v>414</v>
      </c>
      <c r="C174" t="s">
        <v>548</v>
      </c>
      <c r="D174" t="str">
        <f>VLOOKUP(A174,'LISTA - Atual'!$B$1:$B$444,1,0)</f>
        <v>INSTRUMENT_SPCLTV_LNDNG</v>
      </c>
    </row>
    <row r="175" spans="1:4" x14ac:dyDescent="0.25">
      <c r="A175" s="47" t="str">
        <f t="shared" si="2"/>
        <v>INSTRUMENT_STTS_UNDRWRTTN_TRNSCTN</v>
      </c>
      <c r="B175" t="s">
        <v>414</v>
      </c>
      <c r="C175" t="s">
        <v>551</v>
      </c>
      <c r="D175" t="str">
        <f>VLOOKUP(A175,'LISTA - Atual'!$B$1:$B$444,1,0)</f>
        <v>INSTRUMENT_STTS_UNDRWRTTN_TRNSCTN</v>
      </c>
    </row>
    <row r="176" spans="1:4" x14ac:dyDescent="0.25">
      <c r="A176" s="47" t="str">
        <f t="shared" si="2"/>
        <v>INSTRUMENT_TRNCH</v>
      </c>
      <c r="B176" t="s">
        <v>414</v>
      </c>
      <c r="C176" t="s">
        <v>554</v>
      </c>
      <c r="D176" t="str">
        <f>VLOOKUP(A176,'LISTA - Atual'!$B$1:$B$444,1,0)</f>
        <v>INSTRUMENT_TRNCH</v>
      </c>
    </row>
    <row r="177" spans="1:4" x14ac:dyDescent="0.25">
      <c r="A177" s="47" t="str">
        <f t="shared" si="2"/>
        <v>INSTRUMENT_TYP_AMRTSTN</v>
      </c>
      <c r="B177" t="s">
        <v>414</v>
      </c>
      <c r="C177" t="s">
        <v>557</v>
      </c>
      <c r="D177" t="str">
        <f>VLOOKUP(A177,'LISTA - Atual'!$B$1:$B$444,1,0)</f>
        <v>INSTRUMENT_TYP_AMRTSTN</v>
      </c>
    </row>
    <row r="178" spans="1:4" x14ac:dyDescent="0.25">
      <c r="A178" s="47" t="str">
        <f t="shared" si="2"/>
        <v>INSTRUMENT_TYP_INSTRMNT</v>
      </c>
      <c r="B178" t="s">
        <v>414</v>
      </c>
      <c r="C178" t="s">
        <v>560</v>
      </c>
      <c r="D178" t="str">
        <f>VLOOKUP(A178,'LISTA - Atual'!$B$1:$B$444,1,0)</f>
        <v>INSTRUMENT_TYP_INSTRMNT</v>
      </c>
    </row>
    <row r="179" spans="1:4" x14ac:dyDescent="0.25">
      <c r="A179" s="47" t="str">
        <f t="shared" si="2"/>
        <v>INSTRUMENT_TYP_INTRST_RT</v>
      </c>
      <c r="B179" t="s">
        <v>414</v>
      </c>
      <c r="C179" t="s">
        <v>563</v>
      </c>
      <c r="D179" t="str">
        <f>VLOOKUP(A179,'LISTA - Atual'!$B$1:$B$444,1,0)</f>
        <v>INSTRUMENT_TYP_INTRST_RT</v>
      </c>
    </row>
    <row r="180" spans="1:4" x14ac:dyDescent="0.25">
      <c r="A180" s="47" t="str">
        <f t="shared" si="2"/>
        <v>INSTRUMENT_TYP_MRTGG</v>
      </c>
      <c r="B180" t="s">
        <v>414</v>
      </c>
      <c r="C180" t="s">
        <v>566</v>
      </c>
      <c r="D180" t="str">
        <f>VLOOKUP(A180,'LISTA - Atual'!$B$1:$B$444,1,0)</f>
        <v>INSTRUMENT_TYP_MRTGG</v>
      </c>
    </row>
    <row r="181" spans="1:4" x14ac:dyDescent="0.25">
      <c r="A181" s="47" t="str">
        <f t="shared" si="2"/>
        <v>INSTRUMENT_TYP_CRE_OPRTN</v>
      </c>
      <c r="B181" t="s">
        <v>414</v>
      </c>
      <c r="C181" t="s">
        <v>569</v>
      </c>
      <c r="D181" t="str">
        <f>VLOOKUP(A181,'LISTA - Atual'!$B$1:$B$444,1,0)</f>
        <v>INSTRUMENT_TYP_CRE_OPRTN</v>
      </c>
    </row>
    <row r="182" spans="1:4" x14ac:dyDescent="0.25">
      <c r="A182" s="47" t="str">
        <f t="shared" si="2"/>
        <v>INSTRUMENT_DT_STRT_GP_PPAL</v>
      </c>
      <c r="B182" t="s">
        <v>414</v>
      </c>
      <c r="C182" t="s">
        <v>572</v>
      </c>
      <c r="D182" t="str">
        <f>VLOOKUP(A182,'LISTA - Atual'!$B$1:$B$444,1,0)</f>
        <v>INSTRUMENT_DT_STRT_GP_PPAL</v>
      </c>
    </row>
    <row r="183" spans="1:4" x14ac:dyDescent="0.25">
      <c r="A183" s="47" t="str">
        <f t="shared" si="2"/>
        <v>INSTRUMENT_GRSS_CRRYNG_AMNT_INSTRMNT</v>
      </c>
      <c r="B183" t="s">
        <v>414</v>
      </c>
      <c r="C183" t="s">
        <v>575</v>
      </c>
      <c r="D183" t="str">
        <f>VLOOKUP(A183,'LISTA - Atual'!$B$1:$B$444,1,0)</f>
        <v>INSTRUMENT_GRSS_CRRYNG_AMNT_INSTRMNT</v>
      </c>
    </row>
    <row r="184" spans="1:4" x14ac:dyDescent="0.25">
      <c r="A184" s="47" t="str">
        <f t="shared" si="2"/>
        <v>INSTRUMENT_ACCMLTD_CHNGS_FV_CR_INSTRMNT</v>
      </c>
      <c r="B184" t="s">
        <v>414</v>
      </c>
      <c r="C184" t="s">
        <v>578</v>
      </c>
      <c r="D184" t="str">
        <f>VLOOKUP(A184,'LISTA - Atual'!$B$1:$B$444,1,0)</f>
        <v>INSTRUMENT_ACCMLTD_CHNGS_FV_CR_INSTRMNT</v>
      </c>
    </row>
    <row r="185" spans="1:4" x14ac:dyDescent="0.25">
      <c r="A185" s="47" t="str">
        <f t="shared" si="2"/>
        <v>INSTRUMENT_ACCNTNG_CLSSFCTN</v>
      </c>
      <c r="B185" t="s">
        <v>414</v>
      </c>
      <c r="C185" t="s">
        <v>581</v>
      </c>
      <c r="D185" t="str">
        <f>VLOOKUP(A185,'LISTA - Atual'!$B$1:$B$444,1,0)</f>
        <v>INSTRUMENT_ACCNTNG_CLSSFCTN</v>
      </c>
    </row>
    <row r="186" spans="1:4" x14ac:dyDescent="0.25">
      <c r="A186" s="47" t="str">
        <f t="shared" si="2"/>
        <v>INSTRUMENT_ACCRD_INTRST_INSTRMNT</v>
      </c>
      <c r="B186" t="s">
        <v>414</v>
      </c>
      <c r="C186" t="s">
        <v>584</v>
      </c>
      <c r="D186" t="str">
        <f>VLOOKUP(A186,'LISTA - Atual'!$B$1:$B$444,1,0)</f>
        <v>INSTRUMENT_ACCRD_INTRST_INSTRMNT</v>
      </c>
    </row>
    <row r="187" spans="1:4" x14ac:dyDescent="0.25">
      <c r="A187" s="47" t="str">
        <f t="shared" si="2"/>
        <v>INSTRUMENT_AMNT_D_AT_MTRTY</v>
      </c>
      <c r="B187" t="s">
        <v>414</v>
      </c>
      <c r="C187" t="s">
        <v>587</v>
      </c>
      <c r="D187" t="str">
        <f>VLOOKUP(A187,'LISTA - Atual'!$B$1:$B$444,1,0)</f>
        <v>INSTRUMENT_AMNT_D_AT_MTRTY</v>
      </c>
    </row>
    <row r="188" spans="1:4" x14ac:dyDescent="0.25">
      <c r="A188" s="47" t="str">
        <f t="shared" si="2"/>
        <v>INSTRUMENT_CCF</v>
      </c>
      <c r="B188" t="s">
        <v>414</v>
      </c>
      <c r="C188" t="s">
        <v>590</v>
      </c>
      <c r="D188" t="str">
        <f>VLOOKUP(A188,'LISTA - Atual'!$B$1:$B$444,1,0)</f>
        <v>INSTRUMENT_CCF</v>
      </c>
    </row>
    <row r="189" spans="1:4" x14ac:dyDescent="0.25">
      <c r="A189" s="47" t="str">
        <f t="shared" si="2"/>
        <v>INSTRUMENT_CMMTMNT_INCPTN_INSTRMNT</v>
      </c>
      <c r="B189" t="s">
        <v>414</v>
      </c>
      <c r="C189" t="s">
        <v>593</v>
      </c>
      <c r="D189" t="str">
        <f>VLOOKUP(A189,'LISTA - Atual'!$B$1:$B$444,1,0)</f>
        <v>INSTRUMENT_CMMTMNT_INCPTN_INSTRMNT</v>
      </c>
    </row>
    <row r="190" spans="1:4" x14ac:dyDescent="0.25">
      <c r="A190" s="47" t="str">
        <f t="shared" si="2"/>
        <v>INSTRUMENT_CMMTMNT_INSTRMNT</v>
      </c>
      <c r="B190" t="s">
        <v>414</v>
      </c>
      <c r="C190" t="s">
        <v>596</v>
      </c>
      <c r="D190" t="str">
        <f>VLOOKUP(A190,'LISTA - Atual'!$B$1:$B$444,1,0)</f>
        <v>INSTRUMENT_CMMTMNT_INSTRMNT</v>
      </c>
    </row>
    <row r="191" spans="1:4" x14ac:dyDescent="0.25">
      <c r="A191" s="47" t="str">
        <f t="shared" si="2"/>
        <v>INSTRUMENT_CRRYNG_AMNT_INSTRMNT</v>
      </c>
      <c r="B191" t="s">
        <v>414</v>
      </c>
      <c r="C191" t="s">
        <v>599</v>
      </c>
      <c r="D191" t="str">
        <f>VLOOKUP(A191,'LISTA - Atual'!$B$1:$B$444,1,0)</f>
        <v>INSTRUMENT_CRRYNG_AMNT_INSTRMNT</v>
      </c>
    </row>
    <row r="192" spans="1:4" x14ac:dyDescent="0.25">
      <c r="A192" s="47" t="str">
        <f t="shared" si="2"/>
        <v>INSTRUMENT_DBT_YLD</v>
      </c>
      <c r="B192" t="s">
        <v>414</v>
      </c>
      <c r="C192" t="s">
        <v>602</v>
      </c>
      <c r="D192" t="str">
        <f>VLOOKUP(A192,'LISTA - Atual'!$B$1:$B$444,1,0)</f>
        <v>INSTRUMENT_DBT_YLD</v>
      </c>
    </row>
    <row r="193" spans="1:4" x14ac:dyDescent="0.25">
      <c r="A193" s="47" t="str">
        <f t="shared" si="2"/>
        <v>INSTRUMENT_DT_LGL_FNL_MTRTY</v>
      </c>
      <c r="B193" t="s">
        <v>414</v>
      </c>
      <c r="C193" t="s">
        <v>605</v>
      </c>
      <c r="D193" t="str">
        <f>VLOOKUP(A193,'LISTA - Atual'!$B$1:$B$444,1,0)</f>
        <v>INSTRUMENT_DT_LGL_FNL_MTRTY</v>
      </c>
    </row>
    <row r="194" spans="1:4" x14ac:dyDescent="0.25">
      <c r="A194" s="47" t="str">
        <f t="shared" si="2"/>
        <v>INSTRUMENT_DT_NXT_INTRST_RT_RST</v>
      </c>
      <c r="B194" t="s">
        <v>414</v>
      </c>
      <c r="C194" t="s">
        <v>608</v>
      </c>
      <c r="D194" t="str">
        <f>VLOOKUP(A194,'LISTA - Atual'!$B$1:$B$444,1,0)</f>
        <v>INSTRUMENT_DT_NXT_INTRST_RT_RST</v>
      </c>
    </row>
    <row r="195" spans="1:4" x14ac:dyDescent="0.25">
      <c r="A195" s="47" t="str">
        <f t="shared" si="2"/>
        <v>INSTRUMENT_DT_ORGNL_MTRTY</v>
      </c>
      <c r="B195" t="s">
        <v>414</v>
      </c>
      <c r="C195" t="s">
        <v>611</v>
      </c>
      <c r="D195" t="str">
        <f>VLOOKUP(A195,'LISTA - Atual'!$B$1:$B$444,1,0)</f>
        <v>INSTRUMENT_DT_ORGNL_MTRTY</v>
      </c>
    </row>
    <row r="196" spans="1:4" x14ac:dyDescent="0.25">
      <c r="A196" s="47" t="str">
        <f t="shared" si="2"/>
        <v>INSTRUMENT_IFRS9_BHVRL_MTRTY</v>
      </c>
      <c r="B196" t="s">
        <v>414</v>
      </c>
      <c r="C196" t="s">
        <v>614</v>
      </c>
      <c r="D196" t="str">
        <f>VLOOKUP(A196,'LISTA - Atual'!$B$1:$B$444,1,0)</f>
        <v>INSTRUMENT_IFRS9_BHVRL_MTRTY</v>
      </c>
    </row>
    <row r="197" spans="1:4" x14ac:dyDescent="0.25">
      <c r="A197" s="47" t="str">
        <f t="shared" ref="A197:A260" si="3">B197&amp;"_"&amp;C197</f>
        <v>INSTRUMENT_EAD</v>
      </c>
      <c r="B197" t="s">
        <v>414</v>
      </c>
      <c r="C197" t="s">
        <v>617</v>
      </c>
      <c r="D197" t="str">
        <f>VLOOKUP(A197,'LISTA - Atual'!$B$1:$B$444,1,0)</f>
        <v>INSTRUMENT_EAD</v>
      </c>
    </row>
    <row r="198" spans="1:4" x14ac:dyDescent="0.25">
      <c r="A198" s="47" t="str">
        <f t="shared" si="3"/>
        <v>INSTRUMENT_IFRS9_CCF</v>
      </c>
      <c r="B198" t="s">
        <v>414</v>
      </c>
      <c r="C198" t="s">
        <v>620</v>
      </c>
      <c r="D198" t="str">
        <f>VLOOKUP(A198,'LISTA - Atual'!$B$1:$B$444,1,0)</f>
        <v>INSTRUMENT_IFRS9_CCF</v>
      </c>
    </row>
    <row r="199" spans="1:4" x14ac:dyDescent="0.25">
      <c r="A199" s="47" t="str">
        <f t="shared" si="3"/>
        <v>INSTRUMENT_IFRS9_EAD</v>
      </c>
      <c r="B199" t="s">
        <v>414</v>
      </c>
      <c r="C199" t="s">
        <v>623</v>
      </c>
      <c r="D199" t="str">
        <f>VLOOKUP(A199,'LISTA - Atual'!$B$1:$B$444,1,0)</f>
        <v>INSTRUMENT_IFRS9_EAD</v>
      </c>
    </row>
    <row r="200" spans="1:4" x14ac:dyDescent="0.25">
      <c r="A200" s="47" t="str">
        <f t="shared" si="3"/>
        <v>INSTRUMENT_INSTLMNT_PAY</v>
      </c>
      <c r="B200" t="s">
        <v>414</v>
      </c>
      <c r="C200" t="s">
        <v>626</v>
      </c>
      <c r="D200" t="str">
        <f>VLOOKUP(A200,'LISTA - Atual'!$B$1:$B$444,1,0)</f>
        <v>INSTRUMENT_INSTLMNT_PAY</v>
      </c>
    </row>
    <row r="201" spans="1:4" x14ac:dyDescent="0.25">
      <c r="A201" s="47" t="str">
        <f t="shared" si="3"/>
        <v>INSTRUMENT_OFF_BLNC_SHT_AMNT_INSTRMNT</v>
      </c>
      <c r="B201" t="s">
        <v>414</v>
      </c>
      <c r="C201" t="s">
        <v>629</v>
      </c>
      <c r="D201" t="str">
        <f>VLOOKUP(A201,'LISTA - Atual'!$B$1:$B$444,1,0)</f>
        <v>INSTRUMENT_OFF_BLNC_SHT_AMNT_INSTRMNT</v>
      </c>
    </row>
    <row r="202" spans="1:4" x14ac:dyDescent="0.25">
      <c r="A202" s="47" t="str">
        <f t="shared" si="3"/>
        <v>INSTRUMENT_OFF_BLNC_SHT_AMNT_INSTRMNT_PRVS</v>
      </c>
      <c r="B202" t="s">
        <v>414</v>
      </c>
      <c r="C202" t="s">
        <v>632</v>
      </c>
      <c r="D202" t="str">
        <f>VLOOKUP(A202,'LISTA - Atual'!$B$1:$B$444,1,0)</f>
        <v>INSTRUMENT_OFF_BLNC_SHT_AMNT_INSTRMNT_PRVS</v>
      </c>
    </row>
    <row r="203" spans="1:4" x14ac:dyDescent="0.25">
      <c r="A203" s="47" t="str">
        <f t="shared" si="3"/>
        <v>INSTRUMENT_OTSTNDNG_NMNL_AMNT_INSTRMNT</v>
      </c>
      <c r="B203" t="s">
        <v>414</v>
      </c>
      <c r="C203" t="s">
        <v>635</v>
      </c>
      <c r="D203" t="str">
        <f>VLOOKUP(A203,'LISTA - Atual'!$B$1:$B$444,1,0)</f>
        <v>INSTRUMENT_OTSTNDNG_NMNL_AMNT_INSTRMNT</v>
      </c>
    </row>
    <row r="204" spans="1:4" x14ac:dyDescent="0.25">
      <c r="A204" s="47" t="str">
        <f t="shared" si="3"/>
        <v>INSTRUMENT_OTSTNDNG_NMNL_AMNT_INSTRMNT_PRVS</v>
      </c>
      <c r="B204" t="s">
        <v>414</v>
      </c>
      <c r="C204" t="s">
        <v>638</v>
      </c>
      <c r="D204" t="str">
        <f>VLOOKUP(A204,'LISTA - Atual'!$B$1:$B$444,1,0)</f>
        <v>INSTRUMENT_OTSTNDNG_NMNL_AMNT_INSTRMNT_PRVS</v>
      </c>
    </row>
    <row r="205" spans="1:4" x14ac:dyDescent="0.25">
      <c r="A205" s="47" t="str">
        <f t="shared" si="3"/>
        <v>INSTRUMENT_PRVSNS_OFF_BLNC_SHT</v>
      </c>
      <c r="B205" t="s">
        <v>414</v>
      </c>
      <c r="C205" t="s">
        <v>641</v>
      </c>
      <c r="D205" t="str">
        <f>VLOOKUP(A205,'LISTA - Atual'!$B$1:$B$444,1,0)</f>
        <v>INSTRUMENT_PRVSNS_OFF_BLNC_SHT</v>
      </c>
    </row>
    <row r="206" spans="1:4" x14ac:dyDescent="0.25">
      <c r="A206" s="47" t="str">
        <f t="shared" si="3"/>
        <v>INSTRUMENT_PYMNT_FRQNCY</v>
      </c>
      <c r="B206" t="s">
        <v>414</v>
      </c>
      <c r="C206" t="s">
        <v>644</v>
      </c>
      <c r="D206" t="str">
        <f>VLOOKUP(A206,'LISTA - Atual'!$B$1:$B$444,1,0)</f>
        <v>INSTRUMENT_PYMNT_FRQNCY</v>
      </c>
    </row>
    <row r="207" spans="1:4" x14ac:dyDescent="0.25">
      <c r="A207" s="47" t="str">
        <f t="shared" si="3"/>
        <v>INSTRUMENT_RTNTN_SHR</v>
      </c>
      <c r="B207" t="s">
        <v>414</v>
      </c>
      <c r="C207" t="s">
        <v>647</v>
      </c>
      <c r="D207" t="str">
        <f>VLOOKUP(A207,'LISTA - Atual'!$B$1:$B$444,1,0)</f>
        <v>INSTRUMENT_RTNTN_SHR</v>
      </c>
    </row>
    <row r="208" spans="1:4" x14ac:dyDescent="0.25">
      <c r="A208" s="47" t="str">
        <f t="shared" si="3"/>
        <v>INSTRUMENT_RWA</v>
      </c>
      <c r="B208" t="s">
        <v>414</v>
      </c>
      <c r="C208" t="s">
        <v>650</v>
      </c>
      <c r="D208" t="str">
        <f>VLOOKUP(A208,'LISTA - Atual'!$B$1:$B$444,1,0)</f>
        <v>INSTRUMENT_RWA</v>
      </c>
    </row>
    <row r="209" spans="1:4" x14ac:dyDescent="0.25">
      <c r="A209" s="47" t="str">
        <f t="shared" si="3"/>
        <v>INSTRUMENT_RWA_MTHD</v>
      </c>
      <c r="B209" t="s">
        <v>414</v>
      </c>
      <c r="C209" t="s">
        <v>652</v>
      </c>
      <c r="D209" t="str">
        <f>VLOOKUP(A209,'LISTA - Atual'!$B$1:$B$444,1,0)</f>
        <v>INSTRUMENT_RWA_MTHD</v>
      </c>
    </row>
    <row r="210" spans="1:4" x14ac:dyDescent="0.25">
      <c r="A210" s="47" t="str">
        <f t="shared" si="3"/>
        <v>INSTRUMENT_SPNSR_NM</v>
      </c>
      <c r="B210" t="s">
        <v>414</v>
      </c>
      <c r="C210" t="s">
        <v>655</v>
      </c>
      <c r="D210" t="str">
        <f>VLOOKUP(A210,'LISTA - Atual'!$B$1:$B$444,1,0)</f>
        <v>INSTRUMENT_SPNSR_NM</v>
      </c>
    </row>
    <row r="211" spans="1:4" x14ac:dyDescent="0.25">
      <c r="A211" s="47" t="str">
        <f t="shared" si="3"/>
        <v>INSTRUMENT_ACCMLTD_IMPRMNT_INSTRMNT</v>
      </c>
      <c r="B211" t="s">
        <v>414</v>
      </c>
      <c r="C211" t="s">
        <v>658</v>
      </c>
      <c r="D211" t="str">
        <f>VLOOKUP(A211,'LISTA - Atual'!$B$1:$B$444,1,0)</f>
        <v>INSTRUMENT_ACCMLTD_IMPRMNT_INSTRMNT</v>
      </c>
    </row>
    <row r="212" spans="1:4" x14ac:dyDescent="0.25">
      <c r="A212" s="47" t="str">
        <f t="shared" si="3"/>
        <v>INSTRUMENT_ACCMLTD_IMPRMNT_INSTRMNT_PRVS</v>
      </c>
      <c r="B212" t="s">
        <v>414</v>
      </c>
      <c r="C212" t="s">
        <v>661</v>
      </c>
      <c r="D212" t="str">
        <f>VLOOKUP(A212,'LISTA - Atual'!$B$1:$B$444,1,0)</f>
        <v>INSTRUMENT_ACCMLTD_IMPRMNT_INSTRMNT_PRVS</v>
      </c>
    </row>
    <row r="213" spans="1:4" x14ac:dyDescent="0.25">
      <c r="A213" s="47" t="str">
        <f t="shared" si="3"/>
        <v>INSTRUMENT_ACCMLTD_WRTFFS_INSTRMNT</v>
      </c>
      <c r="B213" t="s">
        <v>414</v>
      </c>
      <c r="C213" t="s">
        <v>664</v>
      </c>
      <c r="D213" t="str">
        <f>VLOOKUP(A213,'LISTA - Atual'!$B$1:$B$444,1,0)</f>
        <v>INSTRUMENT_ACCMLTD_WRTFFS_INSTRMNT</v>
      </c>
    </row>
    <row r="214" spans="1:4" x14ac:dyDescent="0.25">
      <c r="A214" s="47" t="str">
        <f t="shared" si="3"/>
        <v>INSTRUMENT_ARRRS_INSTRMNT</v>
      </c>
      <c r="B214" t="s">
        <v>414</v>
      </c>
      <c r="C214" t="s">
        <v>667</v>
      </c>
      <c r="D214" t="str">
        <f>VLOOKUP(A214,'LISTA - Atual'!$B$1:$B$444,1,0)</f>
        <v>INSTRUMENT_ARRRS_INSTRMNT</v>
      </c>
    </row>
    <row r="215" spans="1:4" x14ac:dyDescent="0.25">
      <c r="A215" s="47" t="str">
        <f t="shared" si="3"/>
        <v>INSTRUMENT_ARRRS_INSTRMNT_12M</v>
      </c>
      <c r="B215" t="s">
        <v>414</v>
      </c>
      <c r="C215" t="s">
        <v>670</v>
      </c>
      <c r="D215" t="str">
        <f>VLOOKUP(A215,'LISTA - Atual'!$B$1:$B$444,1,0)</f>
        <v>INSTRUMENT_ARRRS_INSTRMNT_12M</v>
      </c>
    </row>
    <row r="216" spans="1:4" x14ac:dyDescent="0.25">
      <c r="A216" s="47" t="str">
        <f t="shared" si="3"/>
        <v>INSTRUMENT_CMLTV_RCVRS_SNC_DFLT_INSTRMNT</v>
      </c>
      <c r="B216" t="s">
        <v>414</v>
      </c>
      <c r="C216" t="s">
        <v>673</v>
      </c>
      <c r="D216" t="str">
        <f>VLOOKUP(A216,'LISTA - Atual'!$B$1:$B$444,1,0)</f>
        <v>INSTRUMENT_CMLTV_RCVRS_SNC_DFLT_INSTRMNT</v>
      </c>
    </row>
    <row r="217" spans="1:4" x14ac:dyDescent="0.25">
      <c r="A217" s="47" t="str">
        <f t="shared" si="3"/>
        <v>INSTRUMENT_DPD</v>
      </c>
      <c r="B217" t="s">
        <v>414</v>
      </c>
      <c r="C217" t="s">
        <v>676</v>
      </c>
      <c r="D217" t="str">
        <f>VLOOKUP(A217,'LISTA - Atual'!$B$1:$B$444,1,0)</f>
        <v>INSTRUMENT_DPD</v>
      </c>
    </row>
    <row r="218" spans="1:4" x14ac:dyDescent="0.25">
      <c r="A218" s="47" t="str">
        <f t="shared" si="3"/>
        <v>INSTRUMENT_DPD_12M</v>
      </c>
      <c r="B218" t="s">
        <v>414</v>
      </c>
      <c r="C218" t="s">
        <v>679</v>
      </c>
      <c r="D218" t="str">
        <f>VLOOKUP(A218,'LISTA - Atual'!$B$1:$B$444,1,0)</f>
        <v>INSTRUMENT_DPD_12M</v>
      </c>
    </row>
    <row r="219" spans="1:4" x14ac:dyDescent="0.25">
      <c r="A219" s="47" t="str">
        <f t="shared" si="3"/>
        <v>INSTRUMENT_DPD_12M_FRBRNC_STTS</v>
      </c>
      <c r="B219" t="s">
        <v>414</v>
      </c>
      <c r="C219" t="s">
        <v>682</v>
      </c>
      <c r="D219" t="str">
        <f>VLOOKUP(A219,'LISTA - Atual'!$B$1:$B$444,1,0)</f>
        <v>INSTRUMENT_DPD_12M_FRBRNC_STTS</v>
      </c>
    </row>
    <row r="220" spans="1:4" x14ac:dyDescent="0.25">
      <c r="A220" s="47" t="str">
        <f t="shared" si="3"/>
        <v>INSTRUMENT_DPD_12M_PRFRMNG_STTS</v>
      </c>
      <c r="B220" t="s">
        <v>414</v>
      </c>
      <c r="C220" t="s">
        <v>685</v>
      </c>
      <c r="D220" t="str">
        <f>VLOOKUP(A220,'LISTA - Atual'!$B$1:$B$444,1,0)</f>
        <v>INSTRUMENT_DPD_12M_PRFRMNG_STTS</v>
      </c>
    </row>
    <row r="221" spans="1:4" x14ac:dyDescent="0.25">
      <c r="A221" s="47" t="str">
        <f t="shared" si="3"/>
        <v>INSTRUMENT_DPD_24M_FRBRNC_STTS</v>
      </c>
      <c r="B221" t="s">
        <v>414</v>
      </c>
      <c r="C221" t="s">
        <v>688</v>
      </c>
      <c r="D221" t="str">
        <f>VLOOKUP(A221,'LISTA - Atual'!$B$1:$B$444,1,0)</f>
        <v>INSTRUMENT_DPD_24M_FRBRNC_STTS</v>
      </c>
    </row>
    <row r="222" spans="1:4" x14ac:dyDescent="0.25">
      <c r="A222" s="47" t="str">
        <f t="shared" si="3"/>
        <v>INSTRUMENT_DPD_24M_PRFRMNG_STTS</v>
      </c>
      <c r="B222" t="s">
        <v>414</v>
      </c>
      <c r="C222" t="s">
        <v>691</v>
      </c>
      <c r="D222" t="str">
        <f>VLOOKUP(A222,'LISTA - Atual'!$B$1:$B$444,1,0)</f>
        <v>INSTRUMENT_DPD_24M_PRFRMNG_STTS</v>
      </c>
    </row>
    <row r="223" spans="1:4" x14ac:dyDescent="0.25">
      <c r="A223" s="47" t="str">
        <f t="shared" si="3"/>
        <v>INSTRUMENT_DPD_FRBRNC_STTS</v>
      </c>
      <c r="B223" t="s">
        <v>414</v>
      </c>
      <c r="C223" t="s">
        <v>694</v>
      </c>
      <c r="D223" t="str">
        <f>VLOOKUP(A223,'LISTA - Atual'!$B$1:$B$444,1,0)</f>
        <v>INSTRUMENT_DPD_FRBRNC_STTS</v>
      </c>
    </row>
    <row r="224" spans="1:4" x14ac:dyDescent="0.25">
      <c r="A224" s="47" t="str">
        <f t="shared" si="3"/>
        <v>INSTRUMENT_DPD_PRFRMNG_STTS</v>
      </c>
      <c r="B224" t="s">
        <v>414</v>
      </c>
      <c r="C224" t="s">
        <v>697</v>
      </c>
      <c r="D224" t="str">
        <f>VLOOKUP(A224,'LISTA - Atual'!$B$1:$B$444,1,0)</f>
        <v>INSTRUMENT_DPD_PRFRMNG_STTS</v>
      </c>
    </row>
    <row r="225" spans="1:4" x14ac:dyDescent="0.25">
      <c r="A225" s="47" t="str">
        <f t="shared" si="3"/>
        <v>INSTRUMENT_DT_IMPRMNT_STTS</v>
      </c>
      <c r="B225" t="s">
        <v>414</v>
      </c>
      <c r="C225" t="s">
        <v>700</v>
      </c>
      <c r="D225" t="str">
        <f>VLOOKUP(A225,'LISTA - Atual'!$B$1:$B$444,1,0)</f>
        <v>INSTRUMENT_DT_IMPRMNT_STTS</v>
      </c>
    </row>
    <row r="226" spans="1:4" x14ac:dyDescent="0.25">
      <c r="A226" s="47" t="str">
        <f t="shared" si="3"/>
        <v>INSTRUMENT_DT_IMPRMNT_STTS_PRVS</v>
      </c>
      <c r="B226" t="s">
        <v>414</v>
      </c>
      <c r="C226" t="s">
        <v>703</v>
      </c>
      <c r="D226" t="str">
        <f>VLOOKUP(A226,'LISTA - Atual'!$B$1:$B$444,1,0)</f>
        <v>INSTRUMENT_DT_IMPRMNT_STTS_PRVS</v>
      </c>
    </row>
    <row r="227" spans="1:4" x14ac:dyDescent="0.25">
      <c r="A227" s="47" t="str">
        <f t="shared" si="3"/>
        <v>INSTRUMENT_DT_PST_D</v>
      </c>
      <c r="B227" t="s">
        <v>414</v>
      </c>
      <c r="C227" t="s">
        <v>706</v>
      </c>
      <c r="D227" t="str">
        <f>VLOOKUP(A227,'LISTA - Atual'!$B$1:$B$444,1,0)</f>
        <v>INSTRUMENT_DT_PST_D</v>
      </c>
    </row>
    <row r="228" spans="1:4" x14ac:dyDescent="0.25">
      <c r="A228" s="47" t="str">
        <f t="shared" si="3"/>
        <v>INSTRUMENT_IMPRMNT_ASSSSMNT_MTHD</v>
      </c>
      <c r="B228" t="s">
        <v>414</v>
      </c>
      <c r="C228" t="s">
        <v>709</v>
      </c>
      <c r="D228" t="str">
        <f>VLOOKUP(A228,'LISTA - Atual'!$B$1:$B$444,1,0)</f>
        <v>INSTRUMENT_IMPRMNT_ASSSSMNT_MTHD</v>
      </c>
    </row>
    <row r="229" spans="1:4" x14ac:dyDescent="0.25">
      <c r="A229" s="47" t="str">
        <f t="shared" si="3"/>
        <v>INSTRUMENT_IMPRMNT_CLCLTN_MTHD</v>
      </c>
      <c r="B229" t="s">
        <v>414</v>
      </c>
      <c r="C229" t="s">
        <v>712</v>
      </c>
      <c r="D229" t="str">
        <f>VLOOKUP(A229,'LISTA - Atual'!$B$1:$B$444,1,0)</f>
        <v>INSTRUMENT_IMPRMNT_CLCLTN_MTHD</v>
      </c>
    </row>
    <row r="230" spans="1:4" x14ac:dyDescent="0.25">
      <c r="A230" s="47" t="str">
        <f t="shared" si="3"/>
        <v>INSTRUMENT_NMBR_FRBRNC_MSRS</v>
      </c>
      <c r="B230" t="s">
        <v>414</v>
      </c>
      <c r="C230" t="s">
        <v>715</v>
      </c>
      <c r="D230" t="str">
        <f>VLOOKUP(A230,'LISTA - Atual'!$B$1:$B$444,1,0)</f>
        <v>INSTRUMENT_NMBR_FRBRNC_MSRS</v>
      </c>
    </row>
    <row r="231" spans="1:4" x14ac:dyDescent="0.25">
      <c r="A231" s="47" t="str">
        <f t="shared" si="3"/>
        <v>INSTRUMENT_IFRS9_LGD</v>
      </c>
      <c r="B231" t="s">
        <v>414</v>
      </c>
      <c r="C231" t="s">
        <v>718</v>
      </c>
      <c r="D231" t="str">
        <f>VLOOKUP(A231,'LISTA - Atual'!$B$1:$B$444,1,0)</f>
        <v>INSTRUMENT_IFRS9_LGD</v>
      </c>
    </row>
    <row r="232" spans="1:4" x14ac:dyDescent="0.25">
      <c r="A232" s="47" t="str">
        <f t="shared" si="3"/>
        <v>INSTRUMENT_LGD</v>
      </c>
      <c r="B232" t="s">
        <v>414</v>
      </c>
      <c r="C232" t="s">
        <v>721</v>
      </c>
      <c r="D232" t="str">
        <f>VLOOKUP(A232,'LISTA - Atual'!$B$1:$B$444,1,0)</f>
        <v>INSTRUMENT_LGD</v>
      </c>
    </row>
    <row r="233" spans="1:4" x14ac:dyDescent="0.25">
      <c r="A233" s="47" t="str">
        <f t="shared" si="3"/>
        <v>INSTRUMENT_LTV</v>
      </c>
      <c r="B233" t="s">
        <v>414</v>
      </c>
      <c r="C233" t="s">
        <v>724</v>
      </c>
      <c r="D233" t="str">
        <f>VLOOKUP(A233,'LISTA - Atual'!$B$1:$B$444,1,0)</f>
        <v>INSTRUMENT_LTV</v>
      </c>
    </row>
    <row r="234" spans="1:4" x14ac:dyDescent="0.25">
      <c r="A234" s="47" t="str">
        <f t="shared" si="3"/>
        <v>INSTRUMENT_LTV_INCPTN</v>
      </c>
      <c r="B234" t="s">
        <v>414</v>
      </c>
      <c r="C234" t="s">
        <v>727</v>
      </c>
      <c r="D234" t="str">
        <f>VLOOKUP(A234,'LISTA - Atual'!$B$1:$B$444,1,0)</f>
        <v>INSTRUMENT_LTV_INCPTN</v>
      </c>
    </row>
    <row r="235" spans="1:4" x14ac:dyDescent="0.25">
      <c r="A235" s="47" t="str">
        <f t="shared" si="3"/>
        <v>INSTRUMENT_LTV_NPE</v>
      </c>
      <c r="B235" t="s">
        <v>414</v>
      </c>
      <c r="C235" t="s">
        <v>730</v>
      </c>
      <c r="D235" t="str">
        <f>VLOOKUP(A235,'LISTA - Atual'!$B$1:$B$444,1,0)</f>
        <v>INSTRUMENT_LTV_NPE</v>
      </c>
    </row>
    <row r="236" spans="1:4" x14ac:dyDescent="0.25">
      <c r="A236" s="47" t="str">
        <f t="shared" si="3"/>
        <v>INSTRUMENT_PD_CRR_INCPTN</v>
      </c>
      <c r="B236" t="s">
        <v>414</v>
      </c>
      <c r="C236" t="s">
        <v>733</v>
      </c>
      <c r="D236" t="str">
        <f>VLOOKUP(A236,'LISTA - Atual'!$B$1:$B$444,1,0)</f>
        <v>INSTRUMENT_PD_CRR_INCPTN</v>
      </c>
    </row>
    <row r="237" spans="1:4" x14ac:dyDescent="0.25">
      <c r="A237" s="47" t="str">
        <f t="shared" si="3"/>
        <v>INSTRUMENT_PD_CRR_RD</v>
      </c>
      <c r="B237" t="s">
        <v>414</v>
      </c>
      <c r="C237" t="s">
        <v>257</v>
      </c>
      <c r="D237" t="str">
        <f>VLOOKUP(A237,'LISTA - Atual'!$B$1:$B$444,1,0)</f>
        <v>INSTRUMENT_PD_CRR_RD</v>
      </c>
    </row>
    <row r="238" spans="1:4" x14ac:dyDescent="0.25">
      <c r="A238" s="47" t="str">
        <f t="shared" si="3"/>
        <v>INSTRUMENT_PD_CRR_RD_T1</v>
      </c>
      <c r="B238" t="s">
        <v>414</v>
      </c>
      <c r="C238" t="s">
        <v>278</v>
      </c>
      <c r="D238" t="str">
        <f>VLOOKUP(A238,'LISTA - Atual'!$B$1:$B$444,1,0)</f>
        <v>INSTRUMENT_PD_CRR_RD_T1</v>
      </c>
    </row>
    <row r="239" spans="1:4" x14ac:dyDescent="0.25">
      <c r="A239" s="47" t="str">
        <f t="shared" si="3"/>
        <v>INSTRUMENT_PD_IFRS9_12M_INCPTN</v>
      </c>
      <c r="B239" t="s">
        <v>414</v>
      </c>
      <c r="C239" t="s">
        <v>738</v>
      </c>
      <c r="D239" t="str">
        <f>VLOOKUP(A239,'LISTA - Atual'!$B$1:$B$444,1,0)</f>
        <v>INSTRUMENT_PD_IFRS9_12M_INCPTN</v>
      </c>
    </row>
    <row r="240" spans="1:4" x14ac:dyDescent="0.25">
      <c r="A240" s="47" t="str">
        <f t="shared" si="3"/>
        <v>INSTRUMENT_PD_IFRS9_12M_RD</v>
      </c>
      <c r="B240" t="s">
        <v>414</v>
      </c>
      <c r="C240" t="s">
        <v>260</v>
      </c>
      <c r="D240" t="str">
        <f>VLOOKUP(A240,'LISTA - Atual'!$B$1:$B$444,1,0)</f>
        <v>INSTRUMENT_PD_IFRS9_12M_RD</v>
      </c>
    </row>
    <row r="241" spans="1:4" x14ac:dyDescent="0.25">
      <c r="A241" s="47" t="str">
        <f t="shared" si="3"/>
        <v>INSTRUMENT_PD_IFRS9_12M_RD_T1</v>
      </c>
      <c r="B241" t="s">
        <v>414</v>
      </c>
      <c r="C241" t="s">
        <v>263</v>
      </c>
      <c r="D241" t="str">
        <f>VLOOKUP(A241,'LISTA - Atual'!$B$1:$B$444,1,0)</f>
        <v>INSTRUMENT_PD_IFRS9_12M_RD_T1</v>
      </c>
    </row>
    <row r="242" spans="1:4" x14ac:dyDescent="0.25">
      <c r="A242" s="47" t="str">
        <f t="shared" si="3"/>
        <v>INSTRUMENT_PD_IFRS9_LFTM_INCPTN</v>
      </c>
      <c r="B242" t="s">
        <v>414</v>
      </c>
      <c r="C242" t="s">
        <v>743</v>
      </c>
      <c r="D242" t="str">
        <f>VLOOKUP(A242,'LISTA - Atual'!$B$1:$B$444,1,0)</f>
        <v>INSTRUMENT_PD_IFRS9_LFTM_INCPTN</v>
      </c>
    </row>
    <row r="243" spans="1:4" x14ac:dyDescent="0.25">
      <c r="A243" s="47" t="str">
        <f t="shared" si="3"/>
        <v>INSTRUMENT_PD_IFRS9_RMNNG_LFTM_INCPTN</v>
      </c>
      <c r="B243" t="s">
        <v>414</v>
      </c>
      <c r="C243" t="s">
        <v>746</v>
      </c>
      <c r="D243" t="str">
        <f>VLOOKUP(A243,'LISTA - Atual'!$B$1:$B$444,1,0)</f>
        <v>INSTRUMENT_PD_IFRS9_RMNNG_LFTM_INCPTN</v>
      </c>
    </row>
    <row r="244" spans="1:4" x14ac:dyDescent="0.25">
      <c r="A244" s="47" t="str">
        <f t="shared" si="3"/>
        <v>INSTRUMENT_PD_IFRS9_RMNNG_LFTM_RD</v>
      </c>
      <c r="B244" t="s">
        <v>414</v>
      </c>
      <c r="C244" t="s">
        <v>749</v>
      </c>
      <c r="D244" t="str">
        <f>VLOOKUP(A244,'LISTA - Atual'!$B$1:$B$444,1,0)</f>
        <v>INSTRUMENT_PD_IFRS9_RMNNG_LFTM_RD</v>
      </c>
    </row>
    <row r="245" spans="1:4" x14ac:dyDescent="0.25">
      <c r="A245" s="47" t="str">
        <f t="shared" si="3"/>
        <v>INSTRUMENT_RTNG_MTHD</v>
      </c>
      <c r="B245" t="s">
        <v>414</v>
      </c>
      <c r="C245" t="s">
        <v>143</v>
      </c>
      <c r="D245" t="str">
        <f>VLOOKUP(A245,'LISTA - Atual'!$B$1:$B$444,1,0)</f>
        <v>INSTRUMENT_RTNG_MTHD</v>
      </c>
    </row>
    <row r="246" spans="1:4" x14ac:dyDescent="0.25">
      <c r="A246" s="47" t="str">
        <f t="shared" si="3"/>
        <v>INSTRUMENT_RTNG_SCL</v>
      </c>
      <c r="B246" t="s">
        <v>414</v>
      </c>
      <c r="C246" t="s">
        <v>146</v>
      </c>
      <c r="D246" t="str">
        <f>VLOOKUP(A246,'LISTA - Atual'!$B$1:$B$444,1,0)</f>
        <v>INSTRUMENT_RTNG_SCL</v>
      </c>
    </row>
    <row r="247" spans="1:4" x14ac:dyDescent="0.25">
      <c r="A247" s="47" t="str">
        <f t="shared" si="3"/>
        <v>INSTRUMENT_SICR_ASSSSMNT_MTHD</v>
      </c>
      <c r="B247" t="s">
        <v>414</v>
      </c>
      <c r="C247" t="s">
        <v>754</v>
      </c>
      <c r="D247" t="str">
        <f>VLOOKUP(A247,'LISTA - Atual'!$B$1:$B$444,1,0)</f>
        <v>INSTRUMENT_SICR_ASSSSMNT_MTHD</v>
      </c>
    </row>
    <row r="248" spans="1:4" x14ac:dyDescent="0.25">
      <c r="A248" s="47" t="str">
        <f t="shared" si="3"/>
        <v>INSTRUMENT_ANNLSD_AGRD_RT</v>
      </c>
      <c r="B248" t="s">
        <v>414</v>
      </c>
      <c r="C248" t="s">
        <v>757</v>
      </c>
      <c r="D248" t="str">
        <f>VLOOKUP(A248,'LISTA - Atual'!$B$1:$B$444,1,0)</f>
        <v>INSTRUMENT_ANNLSD_AGRD_RT</v>
      </c>
    </row>
    <row r="249" spans="1:4" x14ac:dyDescent="0.25">
      <c r="A249" s="47" t="str">
        <f t="shared" si="3"/>
        <v>INSTRUMENT_EIR</v>
      </c>
      <c r="B249" t="s">
        <v>414</v>
      </c>
      <c r="C249" t="s">
        <v>760</v>
      </c>
      <c r="D249" t="str">
        <f>VLOOKUP(A249,'LISTA - Atual'!$B$1:$B$444,1,0)</f>
        <v>INSTRUMENT_EIR</v>
      </c>
    </row>
    <row r="250" spans="1:4" x14ac:dyDescent="0.25">
      <c r="A250" s="47" t="str">
        <f t="shared" si="3"/>
        <v>INSTRUMENT_EIR_INCPTN</v>
      </c>
      <c r="B250" t="s">
        <v>414</v>
      </c>
      <c r="C250" t="s">
        <v>763</v>
      </c>
      <c r="D250" t="str">
        <f>VLOOKUP(A250,'LISTA - Atual'!$B$1:$B$444,1,0)</f>
        <v>INSTRUMENT_EIR_INCPTN</v>
      </c>
    </row>
    <row r="251" spans="1:4" x14ac:dyDescent="0.25">
      <c r="A251" s="47" t="str">
        <f t="shared" si="3"/>
        <v>INSTRUMENT_INTRST_RT_RST_FRQNCY</v>
      </c>
      <c r="B251" t="s">
        <v>414</v>
      </c>
      <c r="C251" t="s">
        <v>766</v>
      </c>
      <c r="D251" t="str">
        <f>VLOOKUP(A251,'LISTA - Atual'!$B$1:$B$444,1,0)</f>
        <v>INSTRUMENT_INTRST_RT_RST_FRQNCY</v>
      </c>
    </row>
    <row r="252" spans="1:4" x14ac:dyDescent="0.25">
      <c r="A252" s="47" t="str">
        <f t="shared" si="3"/>
        <v>INSTRUMENT_RCVD_AMRTSTN_12M</v>
      </c>
      <c r="B252" t="s">
        <v>414</v>
      </c>
      <c r="C252" t="s">
        <v>769</v>
      </c>
      <c r="D252" t="str">
        <f>VLOOKUP(A252,'LISTA - Atual'!$B$1:$B$444,1,0)</f>
        <v>INSTRUMENT_RCVD_AMRTSTN_12M</v>
      </c>
    </row>
    <row r="253" spans="1:4" x14ac:dyDescent="0.25">
      <c r="A253" s="47" t="str">
        <f t="shared" si="3"/>
        <v>INSTRUMENT_RCVD_AMRTSTN_24M</v>
      </c>
      <c r="B253" t="s">
        <v>414</v>
      </c>
      <c r="C253" t="s">
        <v>772</v>
      </c>
      <c r="D253" t="str">
        <f>VLOOKUP(A253,'LISTA - Atual'!$B$1:$B$444,1,0)</f>
        <v>INSTRUMENT_RCVD_AMRTSTN_24M</v>
      </c>
    </row>
    <row r="254" spans="1:4" x14ac:dyDescent="0.25">
      <c r="A254" s="47" t="str">
        <f t="shared" si="3"/>
        <v>INSTRUMENT_RCVD_INTRST_12M</v>
      </c>
      <c r="B254" t="s">
        <v>414</v>
      </c>
      <c r="C254" t="s">
        <v>775</v>
      </c>
      <c r="D254" t="str">
        <f>VLOOKUP(A254,'LISTA - Atual'!$B$1:$B$444,1,0)</f>
        <v>INSTRUMENT_RCVD_INTRST_12M</v>
      </c>
    </row>
    <row r="255" spans="1:4" x14ac:dyDescent="0.25">
      <c r="A255" s="47" t="str">
        <f t="shared" si="3"/>
        <v>INSTRUMENT_RCVD_INTRST_24M</v>
      </c>
      <c r="B255" t="s">
        <v>414</v>
      </c>
      <c r="C255" t="s">
        <v>778</v>
      </c>
      <c r="D255" t="str">
        <f>VLOOKUP(A255,'LISTA - Atual'!$B$1:$B$444,1,0)</f>
        <v>INSTRUMENT_RCVD_INTRST_24M</v>
      </c>
    </row>
    <row r="256" spans="1:4" x14ac:dyDescent="0.25">
      <c r="A256" s="47" t="str">
        <f t="shared" si="3"/>
        <v>INSTRUMENT_SYNDCT_RL</v>
      </c>
      <c r="B256" t="s">
        <v>414</v>
      </c>
      <c r="C256" t="s">
        <v>781</v>
      </c>
      <c r="D256" t="str">
        <f>VLOOKUP(A256,'LISTA - Atual'!$B$1:$B$444,1,0)</f>
        <v>INSTRUMENT_SYNDCT_RL</v>
      </c>
    </row>
    <row r="257" spans="1:4" x14ac:dyDescent="0.25">
      <c r="A257" s="47" t="str">
        <f t="shared" si="3"/>
        <v>INSTRUMENT_SYNDCTD_AGNT</v>
      </c>
      <c r="B257" t="s">
        <v>414</v>
      </c>
      <c r="C257" t="s">
        <v>784</v>
      </c>
      <c r="D257" t="str">
        <f>VLOOKUP(A257,'LISTA - Atual'!$B$1:$B$444,1,0)</f>
        <v>INSTRUMENT_SYNDCTD_AGNT</v>
      </c>
    </row>
    <row r="258" spans="1:4" x14ac:dyDescent="0.25">
      <c r="A258" s="47" t="str">
        <f t="shared" si="3"/>
        <v>INSTRUMENT_SYNDCTD_CNTRCT_ID</v>
      </c>
      <c r="B258" t="s">
        <v>414</v>
      </c>
      <c r="C258" t="s">
        <v>787</v>
      </c>
      <c r="D258" t="str">
        <f>VLOOKUP(A258,'LISTA - Atual'!$B$1:$B$444,1,0)</f>
        <v>INSTRUMENT_SYNDCTD_CNTRCT_ID</v>
      </c>
    </row>
    <row r="259" spans="1:4" x14ac:dyDescent="0.25">
      <c r="A259" s="47" t="str">
        <f t="shared" si="3"/>
        <v>INSTRUMENT_SYNDCTD_LNDRS</v>
      </c>
      <c r="B259" t="s">
        <v>414</v>
      </c>
      <c r="C259" t="s">
        <v>790</v>
      </c>
      <c r="D259" t="str">
        <f>VLOOKUP(A259,'LISTA - Atual'!$B$1:$B$444,1,0)</f>
        <v>INSTRUMENT_SYNDCTD_LNDRS</v>
      </c>
    </row>
    <row r="260" spans="1:4" x14ac:dyDescent="0.25">
      <c r="A260" s="47" t="str">
        <f t="shared" si="3"/>
        <v>INSTRUMENT_SYNDCTD_SHR</v>
      </c>
      <c r="B260" t="s">
        <v>414</v>
      </c>
      <c r="C260" t="s">
        <v>793</v>
      </c>
      <c r="D260" t="str">
        <f>VLOOKUP(A260,'LISTA - Atual'!$B$1:$B$444,1,0)</f>
        <v>INSTRUMENT_SYNDCTD_SHR</v>
      </c>
    </row>
    <row r="261" spans="1:4" x14ac:dyDescent="0.25">
      <c r="A261" s="47" t="str">
        <f t="shared" ref="A261:A324" si="4">B261&amp;"_"&amp;C261</f>
        <v>INSTRUMENT_SYNDCTN_TYP</v>
      </c>
      <c r="B261" t="s">
        <v>414</v>
      </c>
      <c r="C261" t="s">
        <v>796</v>
      </c>
      <c r="D261" t="str">
        <f>VLOOKUP(A261,'LISTA - Atual'!$B$1:$B$444,1,0)</f>
        <v>INSTRUMENT_SYNDCTN_TYP</v>
      </c>
    </row>
    <row r="262" spans="1:4" x14ac:dyDescent="0.25">
      <c r="A262" s="47" t="str">
        <f t="shared" si="4"/>
        <v>INSTRUMENT_EBA_CMPLNT_MRTR_ST_C19</v>
      </c>
      <c r="B262" t="s">
        <v>414</v>
      </c>
      <c r="C262" t="s">
        <v>799</v>
      </c>
      <c r="D262" t="str">
        <f>VLOOKUP(A262,'LISTA - Atual'!$B$1:$B$444,1,0)</f>
        <v>INSTRUMENT_EBA_CMPLNT_MRTR_ST_C19</v>
      </c>
    </row>
    <row r="263" spans="1:4" x14ac:dyDescent="0.25">
      <c r="A263" s="47" t="str">
        <f t="shared" si="4"/>
        <v>INSTRUMENT_DT_CMPLNT_MRTR_STTS_C19</v>
      </c>
      <c r="B263" t="s">
        <v>414</v>
      </c>
      <c r="C263" t="s">
        <v>802</v>
      </c>
      <c r="D263" t="str">
        <f>VLOOKUP(A263,'LISTA - Atual'!$B$1:$B$444,1,0)</f>
        <v>INSTRUMENT_DT_CMPLNT_MRTR_STTS_C19</v>
      </c>
    </row>
    <row r="264" spans="1:4" x14ac:dyDescent="0.25">
      <c r="A264" s="47" t="str">
        <f t="shared" si="4"/>
        <v>INSTRUMENT_DT_CMPLNT_MRTR_STTS_PRVS_C19</v>
      </c>
      <c r="B264" t="s">
        <v>414</v>
      </c>
      <c r="C264" t="s">
        <v>805</v>
      </c>
      <c r="D264" t="str">
        <f>VLOOKUP(A264,'LISTA - Atual'!$B$1:$B$444,1,0)</f>
        <v>INSTRUMENT_DT_CMPLNT_MRTR_STTS_PRVS_C19</v>
      </c>
    </row>
    <row r="265" spans="1:4" x14ac:dyDescent="0.25">
      <c r="A265" s="47" t="str">
        <f t="shared" si="4"/>
        <v>INSTRUMENT_MTRTY_LTST_MRTR_C19</v>
      </c>
      <c r="B265" t="s">
        <v>414</v>
      </c>
      <c r="C265" t="s">
        <v>808</v>
      </c>
      <c r="D265" t="str">
        <f>VLOOKUP(A265,'LISTA - Atual'!$B$1:$B$444,1,0)</f>
        <v>INSTRUMENT_MTRTY_LTST_MRTR_C19</v>
      </c>
    </row>
    <row r="266" spans="1:4" x14ac:dyDescent="0.25">
      <c r="A266" s="47" t="str">
        <f t="shared" si="4"/>
        <v>INSTRUMENT_TYP_CMPLNT_MRTR_C19</v>
      </c>
      <c r="B266" t="s">
        <v>414</v>
      </c>
      <c r="C266" t="s">
        <v>811</v>
      </c>
      <c r="D266" t="str">
        <f>VLOOKUP(A266,'LISTA - Atual'!$B$1:$B$444,1,0)</f>
        <v>INSTRUMENT_TYP_CMPLNT_MRTR_C19</v>
      </c>
    </row>
    <row r="267" spans="1:4" x14ac:dyDescent="0.25">
      <c r="A267" s="47" t="str">
        <f t="shared" si="4"/>
        <v>INSTRUMENT_GRC_PRD_CPTL_INTRST_C19</v>
      </c>
      <c r="B267" t="s">
        <v>414</v>
      </c>
      <c r="C267" t="s">
        <v>814</v>
      </c>
      <c r="D267" t="str">
        <f>VLOOKUP(A267,'LISTA - Atual'!$B$1:$B$444,1,0)</f>
        <v>INSTRUMENT_GRC_PRD_CPTL_INTRST_C19</v>
      </c>
    </row>
    <row r="268" spans="1:4" x14ac:dyDescent="0.25">
      <c r="A268" s="47" t="str">
        <f t="shared" si="4"/>
        <v>INSTRUMENT_CMPLNT_MRTR_C19_NM</v>
      </c>
      <c r="B268" t="s">
        <v>414</v>
      </c>
      <c r="C268" t="s">
        <v>817</v>
      </c>
      <c r="D268" t="str">
        <f>VLOOKUP(A268,'LISTA - Atual'!$B$1:$B$444,1,0)</f>
        <v>INSTRUMENT_CMPLNT_MRTR_C19_NM</v>
      </c>
    </row>
    <row r="269" spans="1:4" x14ac:dyDescent="0.25">
      <c r="A269" s="47" t="str">
        <f t="shared" si="4"/>
        <v>INSTRUMENT_FRBRNC_STTS_C19</v>
      </c>
      <c r="B269" t="s">
        <v>414</v>
      </c>
      <c r="C269" t="s">
        <v>820</v>
      </c>
      <c r="D269" t="str">
        <f>VLOOKUP(A269,'LISTA - Atual'!$B$1:$B$444,1,0)</f>
        <v>INSTRUMENT_FRBRNC_STTS_C19</v>
      </c>
    </row>
    <row r="270" spans="1:4" x14ac:dyDescent="0.25">
      <c r="A270" s="47" t="str">
        <f t="shared" si="4"/>
        <v>INSTRUMENT_DT_FRBRNC_STTS_C19</v>
      </c>
      <c r="B270" t="s">
        <v>414</v>
      </c>
      <c r="C270" t="s">
        <v>823</v>
      </c>
      <c r="D270" t="str">
        <f>VLOOKUP(A270,'LISTA - Atual'!$B$1:$B$444,1,0)</f>
        <v>INSTRUMENT_DT_FRBRNC_STTS_C19</v>
      </c>
    </row>
    <row r="271" spans="1:4" x14ac:dyDescent="0.25">
      <c r="A271" s="47" t="str">
        <f t="shared" si="4"/>
        <v>INSTRUMENT_DT_FRBRNC_STTS_PRVS_C19</v>
      </c>
      <c r="B271" t="s">
        <v>414</v>
      </c>
      <c r="C271" t="s">
        <v>826</v>
      </c>
      <c r="D271" t="str">
        <f>VLOOKUP(A271,'LISTA - Atual'!$B$1:$B$444,1,0)</f>
        <v>INSTRUMENT_DT_FRBRNC_STTS_PRVS_C19</v>
      </c>
    </row>
    <row r="272" spans="1:4" x14ac:dyDescent="0.25">
      <c r="A272" s="47" t="str">
        <f t="shared" si="4"/>
        <v>INSTRUMENT_MTRTY_LTST_FRBRNC_MSR_C19</v>
      </c>
      <c r="B272" t="s">
        <v>414</v>
      </c>
      <c r="C272" t="s">
        <v>829</v>
      </c>
      <c r="D272" t="str">
        <f>VLOOKUP(A272,'LISTA - Atual'!$B$1:$B$444,1,0)</f>
        <v>INSTRUMENT_MTRTY_LTST_FRBRNC_MSR_C19</v>
      </c>
    </row>
    <row r="273" spans="1:4" x14ac:dyDescent="0.25">
      <c r="A273" s="47" t="str">
        <f t="shared" si="4"/>
        <v>INSTRUMENT_DT_END_GP_PPAL_C19</v>
      </c>
      <c r="B273" t="s">
        <v>414</v>
      </c>
      <c r="C273" t="s">
        <v>832</v>
      </c>
      <c r="D273" t="str">
        <f>VLOOKUP(A273,'LISTA - Atual'!$B$1:$B$444,1,0)</f>
        <v>INSTRUMENT_DT_END_GP_PPAL_C19</v>
      </c>
    </row>
    <row r="274" spans="1:4" x14ac:dyDescent="0.25">
      <c r="A274" s="47" t="str">
        <f t="shared" si="4"/>
        <v>INSTRUMENT_DT_END_INTRST_ONLY_C19</v>
      </c>
      <c r="B274" t="s">
        <v>414</v>
      </c>
      <c r="C274" t="s">
        <v>835</v>
      </c>
      <c r="D274" t="str">
        <f>VLOOKUP(A274,'LISTA - Atual'!$B$1:$B$444,1,0)</f>
        <v>INSTRUMENT_DT_END_INTRST_ONLY_C19</v>
      </c>
    </row>
    <row r="275" spans="1:4" x14ac:dyDescent="0.25">
      <c r="A275" s="47" t="str">
        <f t="shared" si="4"/>
        <v>INSTRUMENT_SBJCT_PBLC_GRNT_SCHM_C19</v>
      </c>
      <c r="B275" t="s">
        <v>414</v>
      </c>
      <c r="C275" t="s">
        <v>838</v>
      </c>
      <c r="D275" t="str">
        <f>VLOOKUP(A275,'LISTA - Atual'!$B$1:$B$444,1,0)</f>
        <v>INSTRUMENT_SBJCT_PBLC_GRNT_SCHM_C19</v>
      </c>
    </row>
    <row r="276" spans="1:4" x14ac:dyDescent="0.25">
      <c r="A276" s="47" t="str">
        <f t="shared" si="4"/>
        <v>INSTRUMENT_PBLC_GRNT_SCHM_C19_NM</v>
      </c>
      <c r="B276" t="s">
        <v>414</v>
      </c>
      <c r="C276" t="s">
        <v>841</v>
      </c>
      <c r="D276" t="str">
        <f>VLOOKUP(A276,'LISTA - Atual'!$B$1:$B$444,1,0)</f>
        <v>INSTRUMENT_PBLC_GRNT_SCHM_C19_NM</v>
      </c>
    </row>
    <row r="277" spans="1:4" x14ac:dyDescent="0.25">
      <c r="A277" s="47" t="str">
        <f t="shared" si="4"/>
        <v>INSTRUMENT_PMNT_PBLC_GRNT_SCHM_C19</v>
      </c>
      <c r="B277" t="s">
        <v>414</v>
      </c>
      <c r="C277" t="s">
        <v>844</v>
      </c>
      <c r="D277" t="str">
        <f>VLOOKUP(A277,'LISTA - Atual'!$B$1:$B$444,1,0)</f>
        <v>INSTRUMENT_PMNT_PBLC_GRNT_SCHM_C19</v>
      </c>
    </row>
    <row r="278" spans="1:4" x14ac:dyDescent="0.25">
      <c r="A278" s="47" t="str">
        <f t="shared" si="4"/>
        <v>INSTRUMENT_ASST_SCRT_CLSS</v>
      </c>
      <c r="B278" t="s">
        <v>414</v>
      </c>
      <c r="C278" t="s">
        <v>847</v>
      </c>
      <c r="D278" t="str">
        <f>VLOOKUP(A278,'LISTA - Atual'!$B$1:$B$444,1,0)</f>
        <v>INSTRUMENT_ASST_SCRT_CLSS</v>
      </c>
    </row>
    <row r="279" spans="1:4" x14ac:dyDescent="0.25">
      <c r="A279" s="47" t="str">
        <f t="shared" si="4"/>
        <v>INSTRUMENT_CPN_CRRNCY</v>
      </c>
      <c r="B279" t="s">
        <v>414</v>
      </c>
      <c r="C279" t="s">
        <v>850</v>
      </c>
      <c r="D279" t="str">
        <f>VLOOKUP(A279,'LISTA - Atual'!$B$1:$B$444,1,0)</f>
        <v>INSTRUMENT_CPN_CRRNCY</v>
      </c>
    </row>
    <row r="280" spans="1:4" x14ac:dyDescent="0.25">
      <c r="A280" s="47" t="str">
        <f t="shared" si="4"/>
        <v>INSTRUMENT_CPN_RT</v>
      </c>
      <c r="B280" t="s">
        <v>414</v>
      </c>
      <c r="C280" t="s">
        <v>853</v>
      </c>
      <c r="D280" t="str">
        <f>VLOOKUP(A280,'LISTA - Atual'!$B$1:$B$444,1,0)</f>
        <v>INSTRUMENT_CPN_RT</v>
      </c>
    </row>
    <row r="281" spans="1:4" x14ac:dyDescent="0.25">
      <c r="A281" s="47" t="str">
        <f t="shared" si="4"/>
        <v>INSTRUMENT_DT_VLTN</v>
      </c>
      <c r="B281" t="s">
        <v>414</v>
      </c>
      <c r="C281" t="s">
        <v>857</v>
      </c>
      <c r="D281" t="str">
        <f>VLOOKUP(A281,'LISTA - Atual'!$B$1:$B$444,1,0)</f>
        <v>INSTRUMENT_DT_VLTN</v>
      </c>
    </row>
    <row r="282" spans="1:4" x14ac:dyDescent="0.25">
      <c r="A282" s="47" t="str">
        <f t="shared" si="4"/>
        <v>INSTRUMENT_ELGBLTY_ECB</v>
      </c>
      <c r="B282" t="s">
        <v>414</v>
      </c>
      <c r="C282" t="s">
        <v>860</v>
      </c>
      <c r="D282" t="str">
        <f>VLOOKUP(A282,'LISTA - Atual'!$B$1:$B$444,1,0)</f>
        <v>INSTRUMENT_ELGBLTY_ECB</v>
      </c>
    </row>
    <row r="283" spans="1:4" x14ac:dyDescent="0.25">
      <c r="A283" s="47" t="str">
        <f t="shared" si="4"/>
        <v>INSTRUMENT_GRNTR_ID</v>
      </c>
      <c r="B283" t="s">
        <v>414</v>
      </c>
      <c r="C283" t="s">
        <v>863</v>
      </c>
      <c r="D283" t="str">
        <f>VLOOKUP(A283,'LISTA - Atual'!$B$1:$B$444,1,0)</f>
        <v>INSTRUMENT_GRNTR_ID</v>
      </c>
    </row>
    <row r="284" spans="1:4" x14ac:dyDescent="0.25">
      <c r="A284" s="47" t="str">
        <f t="shared" si="4"/>
        <v>INSTRUMENT_GRNTR_ID_TYP</v>
      </c>
      <c r="B284" t="s">
        <v>414</v>
      </c>
      <c r="C284" t="s">
        <v>866</v>
      </c>
      <c r="D284" t="str">
        <f>VLOOKUP(A284,'LISTA - Atual'!$B$1:$B$444,1,0)</f>
        <v>INSTRUMENT_GRNTR_ID_TYP</v>
      </c>
    </row>
    <row r="285" spans="1:4" x14ac:dyDescent="0.25">
      <c r="A285" s="47" t="str">
        <f t="shared" si="4"/>
        <v>INSTRUMENT_HEDGE_ID</v>
      </c>
      <c r="B285" t="s">
        <v>414</v>
      </c>
      <c r="C285" t="s">
        <v>869</v>
      </c>
      <c r="D285" t="str">
        <f>VLOOKUP(A285,'LISTA - Atual'!$B$1:$B$444,1,0)</f>
        <v>INSTRUMENT_HEDGE_ID</v>
      </c>
    </row>
    <row r="286" spans="1:4" x14ac:dyDescent="0.25">
      <c r="A286" s="47" t="str">
        <f t="shared" si="4"/>
        <v>INSTRUMENT_INSTR_SNRTY_CLSS</v>
      </c>
      <c r="B286" t="s">
        <v>414</v>
      </c>
      <c r="C286" t="s">
        <v>872</v>
      </c>
      <c r="D286" t="str">
        <f>VLOOKUP(A286,'LISTA - Atual'!$B$1:$B$444,1,0)</f>
        <v>INSTRUMENT_INSTR_SNRTY_CLSS</v>
      </c>
    </row>
    <row r="287" spans="1:4" x14ac:dyDescent="0.25">
      <c r="A287" s="47" t="str">
        <f t="shared" si="4"/>
        <v>INSTRUMENT_INSTRMNT_CLSS</v>
      </c>
      <c r="B287" t="s">
        <v>414</v>
      </c>
      <c r="C287" t="s">
        <v>875</v>
      </c>
      <c r="D287" t="str">
        <f>VLOOKUP(A287,'LISTA - Atual'!$B$1:$B$444,1,0)</f>
        <v>INSTRUMENT_INSTRMNT_CLSS</v>
      </c>
    </row>
    <row r="288" spans="1:4" x14ac:dyDescent="0.25">
      <c r="A288" s="47" t="str">
        <f t="shared" si="4"/>
        <v>INSTRUMENT_ISIN</v>
      </c>
      <c r="B288" t="s">
        <v>414</v>
      </c>
      <c r="C288" t="s">
        <v>347</v>
      </c>
      <c r="D288" t="str">
        <f>VLOOKUP(A288,'LISTA - Atual'!$B$1:$B$444,1,0)</f>
        <v>INSTRUMENT_ISIN</v>
      </c>
    </row>
    <row r="289" spans="1:4" x14ac:dyDescent="0.25">
      <c r="A289" s="47" t="str">
        <f t="shared" si="4"/>
        <v>INSTRUMENT_ISSR_CNTRY</v>
      </c>
      <c r="B289" t="s">
        <v>414</v>
      </c>
      <c r="C289" t="s">
        <v>879</v>
      </c>
      <c r="D289" t="str">
        <f>VLOOKUP(A289,'LISTA - Atual'!$B$1:$B$444,1,0)</f>
        <v>INSTRUMENT_ISSR_CNTRY</v>
      </c>
    </row>
    <row r="290" spans="1:4" x14ac:dyDescent="0.25">
      <c r="A290" s="47" t="str">
        <f t="shared" si="4"/>
        <v>INSTRUMENT_ISSR_ESA_2010</v>
      </c>
      <c r="B290" t="s">
        <v>414</v>
      </c>
      <c r="C290" t="s">
        <v>882</v>
      </c>
      <c r="D290" t="str">
        <f>VLOOKUP(A290,'LISTA - Atual'!$B$1:$B$444,1,0)</f>
        <v>INSTRUMENT_ISSR_ESA_2010</v>
      </c>
    </row>
    <row r="291" spans="1:4" x14ac:dyDescent="0.25">
      <c r="A291" s="47" t="str">
        <f t="shared" si="4"/>
        <v>INSTRUMENT_ISSR_ID</v>
      </c>
      <c r="B291" t="s">
        <v>414</v>
      </c>
      <c r="C291" t="s">
        <v>885</v>
      </c>
      <c r="D291" t="str">
        <f>VLOOKUP(A291,'LISTA - Atual'!$B$1:$B$444,1,0)</f>
        <v>INSTRUMENT_ISSR_ID</v>
      </c>
    </row>
    <row r="292" spans="1:4" x14ac:dyDescent="0.25">
      <c r="A292" s="47" t="str">
        <f t="shared" si="4"/>
        <v>INSTRUMENT_ISSR_ID_TYP</v>
      </c>
      <c r="B292" t="s">
        <v>414</v>
      </c>
      <c r="C292" t="s">
        <v>888</v>
      </c>
      <c r="D292" t="str">
        <f>VLOOKUP(A292,'LISTA - Atual'!$B$1:$B$444,1,0)</f>
        <v>INSTRUMENT_ISSR_ID_TYP</v>
      </c>
    </row>
    <row r="293" spans="1:4" x14ac:dyDescent="0.25">
      <c r="A293" s="47" t="str">
        <f t="shared" si="4"/>
        <v>INSTRUMENT_ISSR_NACE_SCTR</v>
      </c>
      <c r="B293" t="s">
        <v>414</v>
      </c>
      <c r="C293" t="s">
        <v>891</v>
      </c>
      <c r="D293" t="str">
        <f>VLOOKUP(A293,'LISTA - Atual'!$B$1:$B$444,1,0)</f>
        <v>INSTRUMENT_ISSR_NACE_SCTR</v>
      </c>
    </row>
    <row r="294" spans="1:4" x14ac:dyDescent="0.25">
      <c r="A294" s="47" t="str">
        <f t="shared" si="4"/>
        <v>INSTRUMENT_ISSR_RTNG</v>
      </c>
      <c r="B294" t="s">
        <v>414</v>
      </c>
      <c r="C294" t="s">
        <v>894</v>
      </c>
      <c r="D294" t="str">
        <f>VLOOKUP(A294,'LISTA - Atual'!$B$1:$B$444,1,0)</f>
        <v>INSTRUMENT_ISSR_RTNG</v>
      </c>
    </row>
    <row r="295" spans="1:4" x14ac:dyDescent="0.25">
      <c r="A295" s="47" t="str">
        <f t="shared" si="4"/>
        <v>INSTRUMENT_ISSR_RTNG_SRC</v>
      </c>
      <c r="B295" t="s">
        <v>414</v>
      </c>
      <c r="C295" t="s">
        <v>897</v>
      </c>
      <c r="D295" t="str">
        <f>VLOOKUP(A295,'LISTA - Atual'!$B$1:$B$444,1,0)</f>
        <v>INSTRUMENT_ISSR_RTNG_SRC</v>
      </c>
    </row>
    <row r="296" spans="1:4" x14ac:dyDescent="0.25">
      <c r="A296" s="47" t="str">
        <f t="shared" si="4"/>
        <v>INSTRUMENT_ISSR_TYP</v>
      </c>
      <c r="B296" t="s">
        <v>414</v>
      </c>
      <c r="C296" t="s">
        <v>900</v>
      </c>
      <c r="D296" t="str">
        <f>VLOOKUP(A296,'LISTA - Atual'!$B$1:$B$444,1,0)</f>
        <v>INSTRUMENT_ISSR_TYP</v>
      </c>
    </row>
    <row r="297" spans="1:4" x14ac:dyDescent="0.25">
      <c r="A297" s="47" t="str">
        <f t="shared" si="4"/>
        <v>INSTRUMENT_LCR_BFFR_CTGRY</v>
      </c>
      <c r="B297" t="s">
        <v>414</v>
      </c>
      <c r="C297" t="s">
        <v>903</v>
      </c>
      <c r="D297" t="str">
        <f>VLOOKUP(A297,'LISTA - Atual'!$B$1:$B$444,1,0)</f>
        <v>INSTRUMENT_LCR_BFFR_CTGRY</v>
      </c>
    </row>
    <row r="298" spans="1:4" x14ac:dyDescent="0.25">
      <c r="A298" s="47" t="str">
        <f t="shared" si="4"/>
        <v>INSTRUMENT_PRCH_UNDR_RSL_AGR</v>
      </c>
      <c r="B298" t="s">
        <v>414</v>
      </c>
      <c r="C298" t="s">
        <v>906</v>
      </c>
      <c r="D298" t="str">
        <f>VLOOKUP(A298,'LISTA - Atual'!$B$1:$B$444,1,0)</f>
        <v>INSTRUMENT_PRCH_UNDR_RSL_AGR</v>
      </c>
    </row>
    <row r="299" spans="1:4" x14ac:dyDescent="0.25">
      <c r="A299" s="47" t="str">
        <f t="shared" si="4"/>
        <v>INSTRUMENT_PRDNTL_PRTFL</v>
      </c>
      <c r="B299" t="s">
        <v>414</v>
      </c>
      <c r="C299" t="s">
        <v>909</v>
      </c>
      <c r="D299" t="str">
        <f>VLOOKUP(A299,'LISTA - Atual'!$B$1:$B$444,1,0)</f>
        <v>INSTRUMENT_PRDNTL_PRTFL</v>
      </c>
    </row>
    <row r="300" spans="1:4" x14ac:dyDescent="0.25">
      <c r="A300" s="47" t="str">
        <f t="shared" si="4"/>
        <v>INSTRUMENT_PRMRY_ASST_CLSSF</v>
      </c>
      <c r="B300" t="s">
        <v>414</v>
      </c>
      <c r="C300" t="s">
        <v>912</v>
      </c>
      <c r="D300" t="str">
        <f>VLOOKUP(A300,'LISTA - Atual'!$B$1:$B$444,1,0)</f>
        <v>INSTRUMENT_PRMRY_ASST_CLSSF</v>
      </c>
    </row>
    <row r="301" spans="1:4" x14ac:dyDescent="0.25">
      <c r="A301" s="47" t="str">
        <f t="shared" si="4"/>
        <v>INSTRUMENT_PRT_LCR_BFFR</v>
      </c>
      <c r="B301" t="s">
        <v>414</v>
      </c>
      <c r="C301" t="s">
        <v>915</v>
      </c>
      <c r="D301" t="str">
        <f>VLOOKUP(A301,'LISTA - Atual'!$B$1:$B$444,1,0)</f>
        <v>INSTRUMENT_PRT_LCR_BFFR</v>
      </c>
    </row>
    <row r="302" spans="1:4" x14ac:dyDescent="0.25">
      <c r="A302" s="47" t="str">
        <f t="shared" si="4"/>
        <v>INSTRUMENT_RFRNC_RT</v>
      </c>
      <c r="B302" t="s">
        <v>414</v>
      </c>
      <c r="C302" t="s">
        <v>918</v>
      </c>
      <c r="D302" t="str">
        <f>VLOOKUP(A302,'LISTA - Atual'!$B$1:$B$444,1,0)</f>
        <v>INSTRUMENT_RFRNC_RT</v>
      </c>
    </row>
    <row r="303" spans="1:4" x14ac:dyDescent="0.25">
      <c r="A303" s="47" t="str">
        <f t="shared" si="4"/>
        <v>INSTRUMENT_SPRD</v>
      </c>
      <c r="B303" t="s">
        <v>414</v>
      </c>
      <c r="C303" t="s">
        <v>922</v>
      </c>
      <c r="D303" t="str">
        <f>VLOOKUP(A303,'LISTA - Atual'!$B$1:$B$444,1,0)</f>
        <v>INSTRUMENT_SPRD</v>
      </c>
    </row>
    <row r="304" spans="1:4" x14ac:dyDescent="0.25">
      <c r="A304" s="47" t="str">
        <f t="shared" si="4"/>
        <v>INSTRUMENT_SRCS_ENCMBRNC</v>
      </c>
      <c r="B304" t="s">
        <v>414</v>
      </c>
      <c r="C304" t="s">
        <v>925</v>
      </c>
      <c r="D304" t="str">
        <f>VLOOKUP(A304,'LISTA - Atual'!$B$1:$B$444,1,0)</f>
        <v>INSTRUMENT_SRCS_ENCMBRNC</v>
      </c>
    </row>
    <row r="305" spans="1:4" x14ac:dyDescent="0.25">
      <c r="A305" s="47" t="str">
        <f t="shared" si="4"/>
        <v>INSTRUMENT_TYPE_OF_PLCMNT</v>
      </c>
      <c r="B305" t="s">
        <v>414</v>
      </c>
      <c r="C305" t="s">
        <v>928</v>
      </c>
      <c r="D305" t="str">
        <f>VLOOKUP(A305,'LISTA - Atual'!$B$1:$B$444,1,0)</f>
        <v>INSTRUMENT_TYPE_OF_PLCMNT</v>
      </c>
    </row>
    <row r="306" spans="1:4" x14ac:dyDescent="0.25">
      <c r="A306" s="47" t="str">
        <f t="shared" si="4"/>
        <v>INSTRUMENT_VLTN_CRRNCY</v>
      </c>
      <c r="B306" t="s">
        <v>414</v>
      </c>
      <c r="C306" t="s">
        <v>931</v>
      </c>
      <c r="D306" t="str">
        <f>VLOOKUP(A306,'LISTA - Atual'!$B$1:$B$444,1,0)</f>
        <v>INSTRUMENT_VLTN_CRRNCY</v>
      </c>
    </row>
    <row r="307" spans="1:4" x14ac:dyDescent="0.25">
      <c r="A307" s="47" t="str">
        <f t="shared" si="4"/>
        <v>INSTRUMENT_VLTN_TYP</v>
      </c>
      <c r="B307" t="s">
        <v>414</v>
      </c>
      <c r="C307" t="s">
        <v>934</v>
      </c>
      <c r="D307" t="str">
        <f>VLOOKUP(A307,'LISTA - Atual'!$B$1:$B$444,1,0)</f>
        <v>INSTRUMENT_VLTN_TYP</v>
      </c>
    </row>
    <row r="308" spans="1:4" x14ac:dyDescent="0.25">
      <c r="A308" s="47" t="str">
        <f t="shared" si="4"/>
        <v>INSTRUMENT_COD_SOC</v>
      </c>
      <c r="B308" t="s">
        <v>414</v>
      </c>
      <c r="C308" t="s">
        <v>12</v>
      </c>
      <c r="D308" t="str">
        <f>VLOOKUP(A308,'LISTA - Atual'!$B$1:$B$444,1,0)</f>
        <v>INSTRUMENT_COD_SOC</v>
      </c>
    </row>
    <row r="309" spans="1:4" x14ac:dyDescent="0.25">
      <c r="A309" s="47" t="str">
        <f t="shared" si="4"/>
        <v>INSTRUMENT_SUBPORTFOLIO_ID</v>
      </c>
      <c r="B309" t="s">
        <v>414</v>
      </c>
      <c r="C309" t="s">
        <v>416</v>
      </c>
      <c r="D309" t="str">
        <f>VLOOKUP(A309,'LISTA - Atual'!$B$1:$B$444,1,0)</f>
        <v>INSTRUMENT_SUBPORTFOLIO_ID</v>
      </c>
    </row>
    <row r="310" spans="1:4" x14ac:dyDescent="0.25">
      <c r="A310" s="47" t="str">
        <f t="shared" si="4"/>
        <v>INSTRUMENT_CRE_FNRP18</v>
      </c>
      <c r="B310" t="s">
        <v>414</v>
      </c>
      <c r="C310" t="s">
        <v>419</v>
      </c>
      <c r="D310" t="str">
        <f>VLOOKUP(A310,'LISTA - Atual'!$B$1:$B$444,1,0)</f>
        <v>INSTRUMENT_CRE_FNRP18</v>
      </c>
    </row>
    <row r="311" spans="1:4" x14ac:dyDescent="0.25">
      <c r="A311" s="47" t="str">
        <f t="shared" si="4"/>
        <v>INSTRUMENT_SME_FNRP18</v>
      </c>
      <c r="B311" t="s">
        <v>414</v>
      </c>
      <c r="C311" t="s">
        <v>422</v>
      </c>
      <c r="D311" t="str">
        <f>VLOOKUP(A311,'LISTA - Atual'!$B$1:$B$444,1,0)</f>
        <v>INSTRUMENT_SME_FNRP18</v>
      </c>
    </row>
    <row r="312" spans="1:4" x14ac:dyDescent="0.25">
      <c r="A312" s="47" t="str">
        <f t="shared" si="4"/>
        <v>INSTRUMENT_RRE_FNRP18</v>
      </c>
      <c r="B312" t="s">
        <v>414</v>
      </c>
      <c r="C312" t="s">
        <v>425</v>
      </c>
      <c r="D312" t="str">
        <f>VLOOKUP(A312,'LISTA - Atual'!$B$1:$B$444,1,0)</f>
        <v>INSTRUMENT_RRE_FNRP18</v>
      </c>
    </row>
    <row r="313" spans="1:4" x14ac:dyDescent="0.25">
      <c r="A313" s="47" t="str">
        <f t="shared" si="4"/>
        <v>INSTRUMENT_CNSMPTN_FNRP18</v>
      </c>
      <c r="B313" t="s">
        <v>414</v>
      </c>
      <c r="C313" t="s">
        <v>428</v>
      </c>
      <c r="D313" t="str">
        <f>VLOOKUP(A313,'LISTA - Atual'!$B$1:$B$444,1,0)</f>
        <v>INSTRUMENT_CNSMPTN_FNRP18</v>
      </c>
    </row>
    <row r="314" spans="1:4" x14ac:dyDescent="0.25">
      <c r="A314" s="47" t="str">
        <f t="shared" si="4"/>
        <v>INSTRUMENT_LVRG_FNNC_FLG</v>
      </c>
      <c r="B314" t="s">
        <v>414</v>
      </c>
      <c r="C314" t="s">
        <v>937</v>
      </c>
      <c r="D314" t="str">
        <f>VLOOKUP(A314,'LISTA - Atual'!$B$1:$B$444,1,0)</f>
        <v>INSTRUMENT_LVRG_FNNC_FLG</v>
      </c>
    </row>
    <row r="315" spans="1:4" x14ac:dyDescent="0.25">
      <c r="A315" s="47" t="str">
        <f t="shared" si="4"/>
        <v>INSTRUMENT_INTRNL_SGMNT_IFRS9</v>
      </c>
      <c r="B315" t="s">
        <v>414</v>
      </c>
      <c r="C315" t="s">
        <v>940</v>
      </c>
      <c r="D315" t="str">
        <f>VLOOKUP(A315,'LISTA - Atual'!$B$1:$B$444,1,0)</f>
        <v>INSTRUMENT_INTRNL_SGMNT_IFRS9</v>
      </c>
    </row>
    <row r="316" spans="1:4" x14ac:dyDescent="0.25">
      <c r="A316" s="47" t="str">
        <f t="shared" si="4"/>
        <v>INSTRUMENT_INTRNL_SGMNT_CAT_MSTA</v>
      </c>
      <c r="B316" t="s">
        <v>414</v>
      </c>
      <c r="C316" t="s">
        <v>943</v>
      </c>
      <c r="D316" t="str">
        <f>VLOOKUP(A316,'LISTA - Atual'!$B$1:$B$444,1,0)</f>
        <v>INSTRUMENT_INTRNL_SGMNT_CAT_MSTA</v>
      </c>
    </row>
    <row r="317" spans="1:4" x14ac:dyDescent="0.25">
      <c r="A317" s="47" t="str">
        <f t="shared" si="4"/>
        <v>INSTRUMENT_INTRNL_SGMNT_CATGSUB</v>
      </c>
      <c r="B317" t="s">
        <v>414</v>
      </c>
      <c r="C317" t="s">
        <v>946</v>
      </c>
      <c r="D317" t="str">
        <f>VLOOKUP(A317,'LISTA - Atual'!$B$1:$B$444,1,0)</f>
        <v>INSTRUMENT_INTRNL_SGMNT_CATGSUB</v>
      </c>
    </row>
    <row r="318" spans="1:4" x14ac:dyDescent="0.25">
      <c r="A318" s="47" t="str">
        <f t="shared" si="4"/>
        <v>INSTRUMENT_CRRLTN_CFFCNT</v>
      </c>
      <c r="B318" t="s">
        <v>414</v>
      </c>
      <c r="C318" t="s">
        <v>949</v>
      </c>
      <c r="D318" t="str">
        <f>VLOOKUP(A318,'LISTA - Atual'!$B$1:$B$444,1,0)</f>
        <v>INSTRUMENT_CRRLTN_CFFCNT</v>
      </c>
    </row>
    <row r="319" spans="1:4" x14ac:dyDescent="0.25">
      <c r="A319" s="47" t="str">
        <f t="shared" si="4"/>
        <v>INSTRUMENT_ISIN_SCRTSTN</v>
      </c>
      <c r="B319" t="s">
        <v>414</v>
      </c>
      <c r="C319" t="s">
        <v>952</v>
      </c>
      <c r="D319" t="str">
        <f>VLOOKUP(A319,'LISTA - Atual'!$B$1:$B$444,1,0)</f>
        <v>INSTRUMENT_ISIN_SCRTSTN</v>
      </c>
    </row>
    <row r="320" spans="1:4" x14ac:dyDescent="0.25">
      <c r="A320" s="47" t="str">
        <f t="shared" si="4"/>
        <v>INSTRUMENT_CNTRCT_ID_BDR</v>
      </c>
      <c r="B320" t="s">
        <v>414</v>
      </c>
      <c r="C320" t="s">
        <v>955</v>
      </c>
      <c r="D320" t="str">
        <f>VLOOKUP(A320,'LISTA - Atual'!$B$1:$B$444,1,0)</f>
        <v>INSTRUMENT_CNTRCT_ID_BDR</v>
      </c>
    </row>
    <row r="321" spans="1:4" x14ac:dyDescent="0.25">
      <c r="A321" s="47" t="str">
        <f t="shared" si="4"/>
        <v>INSTRUMENT_SSTNBL_INDCTR</v>
      </c>
      <c r="B321" t="s">
        <v>414</v>
      </c>
      <c r="C321" t="s">
        <v>964</v>
      </c>
      <c r="D321" t="str">
        <f>VLOOKUP(A321,'LISTA - Atual'!$B$1:$B$444,1,0)</f>
        <v>INSTRUMENT_SSTNBL_INDCTR</v>
      </c>
    </row>
    <row r="322" spans="1:4" x14ac:dyDescent="0.25">
      <c r="A322" s="47" t="str">
        <f t="shared" si="4"/>
        <v>INSTRUMENT_SSTNBL_CTGRY</v>
      </c>
      <c r="B322" t="s">
        <v>414</v>
      </c>
      <c r="C322" t="s">
        <v>967</v>
      </c>
      <c r="D322" t="str">
        <f>VLOOKUP(A322,'LISTA - Atual'!$B$1:$B$444,1,0)</f>
        <v>INSTRUMENT_SSTNBL_CTGRY</v>
      </c>
    </row>
    <row r="323" spans="1:4" x14ac:dyDescent="0.25">
      <c r="A323" s="47" t="str">
        <f t="shared" si="4"/>
        <v>INSTRUMENT_AVRG_BLNC</v>
      </c>
      <c r="B323" t="s">
        <v>414</v>
      </c>
      <c r="C323" t="s">
        <v>970</v>
      </c>
      <c r="D323" t="str">
        <f>VLOOKUP(A323,'LISTA - Atual'!$B$1:$B$444,1,0)</f>
        <v>INSTRUMENT_AVRG_BLNC</v>
      </c>
    </row>
    <row r="324" spans="1:4" x14ac:dyDescent="0.25">
      <c r="A324" s="47" t="str">
        <f t="shared" si="4"/>
        <v>INSTRUMENT_NW_BSNSS</v>
      </c>
      <c r="B324" t="s">
        <v>414</v>
      </c>
      <c r="C324" t="s">
        <v>973</v>
      </c>
      <c r="D324" t="str">
        <f>VLOOKUP(A324,'LISTA - Atual'!$B$1:$B$444,1,0)</f>
        <v>INSTRUMENT_NW_BSNSS</v>
      </c>
    </row>
    <row r="325" spans="1:4" x14ac:dyDescent="0.25">
      <c r="A325" s="47" t="str">
        <f t="shared" ref="A325:A388" si="5">B325&amp;"_"&amp;C325</f>
        <v>INSTRUMENT_GRSS_INTRST_INCM</v>
      </c>
      <c r="B325" t="s">
        <v>414</v>
      </c>
      <c r="C325" t="s">
        <v>976</v>
      </c>
      <c r="D325" t="str">
        <f>VLOOKUP(A325,'LISTA - Atual'!$B$1:$B$444,1,0)</f>
        <v>INSTRUMENT_GRSS_INTRST_INCM</v>
      </c>
    </row>
    <row r="326" spans="1:4" x14ac:dyDescent="0.25">
      <c r="A326" s="47" t="str">
        <f t="shared" si="5"/>
        <v>INSTRUMENT_GRSS_CMMSSN_INCM</v>
      </c>
      <c r="B326" t="s">
        <v>414</v>
      </c>
      <c r="C326" t="s">
        <v>979</v>
      </c>
      <c r="D326" t="str">
        <f>VLOOKUP(A326,'LISTA - Atual'!$B$1:$B$444,1,0)</f>
        <v>INSTRUMENT_GRSS_CMMSSN_INCM</v>
      </c>
    </row>
    <row r="327" spans="1:4" x14ac:dyDescent="0.25">
      <c r="A327" s="47" t="str">
        <f t="shared" si="5"/>
        <v>INSTRUMENT_INTRNL_TRNSFR_RT</v>
      </c>
      <c r="B327" t="s">
        <v>414</v>
      </c>
      <c r="C327" t="s">
        <v>982</v>
      </c>
      <c r="D327" t="str">
        <f>VLOOKUP(A327,'LISTA - Atual'!$B$1:$B$444,1,0)</f>
        <v>INSTRUMENT_INTRNL_TRNSFR_RT</v>
      </c>
    </row>
    <row r="328" spans="1:4" x14ac:dyDescent="0.25">
      <c r="A328" s="47" t="str">
        <f t="shared" si="5"/>
        <v>INSTRUMENT_NT_LN_LSS_PRVSN</v>
      </c>
      <c r="B328" t="s">
        <v>414</v>
      </c>
      <c r="C328" t="s">
        <v>985</v>
      </c>
      <c r="D328" t="str">
        <f>VLOOKUP(A328,'LISTA - Atual'!$B$1:$B$444,1,0)</f>
        <v>INSTRUMENT_NT_LN_LSS_PRVSN</v>
      </c>
    </row>
    <row r="329" spans="1:4" x14ac:dyDescent="0.25">
      <c r="A329" s="47" t="str">
        <f t="shared" si="5"/>
        <v>INSTRUMENT_BSNSS_AREA</v>
      </c>
      <c r="B329" t="s">
        <v>414</v>
      </c>
      <c r="C329" t="s">
        <v>988</v>
      </c>
      <c r="D329" t="str">
        <f>VLOOKUP(A329,'LISTA - Atual'!$B$1:$B$444,1,0)</f>
        <v>INSTRUMENT_BSNSS_AREA</v>
      </c>
    </row>
    <row r="330" spans="1:4" x14ac:dyDescent="0.25">
      <c r="A330" s="47" t="str">
        <f t="shared" si="5"/>
        <v>INSTRUMENT_MNGMNT_PRDCT</v>
      </c>
      <c r="B330" t="s">
        <v>414</v>
      </c>
      <c r="C330" t="s">
        <v>991</v>
      </c>
      <c r="D330" t="str">
        <f>VLOOKUP(A330,'LISTA - Atual'!$B$1:$B$444,1,0)</f>
        <v>INSTRUMENT_MNGMNT_PRDCT</v>
      </c>
    </row>
    <row r="331" spans="1:4" x14ac:dyDescent="0.25">
      <c r="A331" s="47" t="str">
        <f t="shared" si="5"/>
        <v>INSTRUMENT_GRSS_CMMSSN_EXPNS</v>
      </c>
      <c r="B331" t="s">
        <v>414</v>
      </c>
      <c r="C331" t="s">
        <v>994</v>
      </c>
      <c r="D331" t="str">
        <f>VLOOKUP(A331,'LISTA - Atual'!$B$1:$B$444,1,0)</f>
        <v>INSTRUMENT_GRSS_CMMSSN_EXPNS</v>
      </c>
    </row>
    <row r="332" spans="1:4" x14ac:dyDescent="0.25">
      <c r="A332" s="47" t="str">
        <f t="shared" si="5"/>
        <v>INSTRUMENT_GNS_FNNCL_TRNSCTN_EXCHNG_DFFRNCS</v>
      </c>
      <c r="B332" t="s">
        <v>414</v>
      </c>
      <c r="C332" t="s">
        <v>997</v>
      </c>
      <c r="D332" t="str">
        <f>VLOOKUP(A332,'LISTA - Atual'!$B$1:$B$444,1,0)</f>
        <v>INSTRUMENT_GNS_FNNCL_TRNSCTN_EXCHNG_DFFRNCS</v>
      </c>
    </row>
    <row r="333" spans="1:4" x14ac:dyDescent="0.25">
      <c r="A333" s="47" t="str">
        <f t="shared" si="5"/>
        <v>INSTRUMENT_FLG_INTRBSNSS</v>
      </c>
      <c r="B333" t="s">
        <v>414</v>
      </c>
      <c r="C333" t="s">
        <v>1000</v>
      </c>
      <c r="D333" t="str">
        <f>VLOOKUP(A333,'LISTA - Atual'!$B$1:$B$444,1,0)</f>
        <v>INSTRUMENT_FLG_INTRBSNSS</v>
      </c>
    </row>
    <row r="334" spans="1:4" x14ac:dyDescent="0.25">
      <c r="A334" s="47" t="str">
        <f t="shared" si="5"/>
        <v>INSTRUMENT_INTRBSNSS_ADJ_COD</v>
      </c>
      <c r="B334" t="s">
        <v>414</v>
      </c>
      <c r="C334" t="s">
        <v>1003</v>
      </c>
      <c r="D334" t="str">
        <f>VLOOKUP(A334,'LISTA - Atual'!$B$1:$B$444,1,0)</f>
        <v>INSTRUMENT_INTRBSNSS_ADJ_COD</v>
      </c>
    </row>
    <row r="335" spans="1:4" x14ac:dyDescent="0.25">
      <c r="A335" s="47" t="str">
        <f t="shared" si="5"/>
        <v>INSTRUMENT_COD_SOC_DSTNTN</v>
      </c>
      <c r="B335" t="s">
        <v>414</v>
      </c>
      <c r="C335" t="s">
        <v>1006</v>
      </c>
      <c r="D335" t="str">
        <f>VLOOKUP(A335,'LISTA - Atual'!$B$1:$B$444,1,0)</f>
        <v>INSTRUMENT_COD_SOC_DSTNTN</v>
      </c>
    </row>
    <row r="336" spans="1:4" x14ac:dyDescent="0.25">
      <c r="A336" s="47" t="str">
        <f t="shared" si="5"/>
        <v>INSTRUMENT_BSNSS_AREA_DSTNTN</v>
      </c>
      <c r="B336" t="s">
        <v>414</v>
      </c>
      <c r="C336" t="s">
        <v>1009</v>
      </c>
      <c r="D336" t="str">
        <f>VLOOKUP(A336,'LISTA - Atual'!$B$1:$B$444,1,0)</f>
        <v>INSTRUMENT_BSNSS_AREA_DSTNTN</v>
      </c>
    </row>
    <row r="337" spans="1:4" x14ac:dyDescent="0.25">
      <c r="A337" s="47" t="str">
        <f t="shared" si="5"/>
        <v>INSTRUMENT_AVRG_BLNC_OFF_BLNC</v>
      </c>
      <c r="B337" t="s">
        <v>414</v>
      </c>
      <c r="C337" t="s">
        <v>1012</v>
      </c>
      <c r="D337" t="str">
        <f>VLOOKUP(A337,'LISTA - Atual'!$B$1:$B$444,1,0)</f>
        <v>INSTRUMENT_AVRG_BLNC_OFF_BLNC</v>
      </c>
    </row>
    <row r="338" spans="1:4" x14ac:dyDescent="0.25">
      <c r="A338" s="47" t="str">
        <f t="shared" si="5"/>
        <v>INSTRUMENT_INTRNL_TRNSFR_RT_OFF_BLNC</v>
      </c>
      <c r="B338" t="s">
        <v>414</v>
      </c>
      <c r="C338" t="s">
        <v>1015</v>
      </c>
      <c r="D338" t="str">
        <f>VLOOKUP(A338,'LISTA - Atual'!$B$1:$B$444,1,0)</f>
        <v>INSTRUMENT_INTRNL_TRNSFR_RT_OFF_BLNC</v>
      </c>
    </row>
    <row r="339" spans="1:4" x14ac:dyDescent="0.25">
      <c r="A339" s="47" t="str">
        <f t="shared" si="5"/>
        <v>INSTRUMENT_GRSS_CMMSSN_INCM_OFF_BLNC</v>
      </c>
      <c r="B339" t="s">
        <v>414</v>
      </c>
      <c r="C339" t="s">
        <v>1018</v>
      </c>
      <c r="D339" t="str">
        <f>VLOOKUP(A339,'LISTA - Atual'!$B$1:$B$444,1,0)</f>
        <v>INSTRUMENT_GRSS_CMMSSN_INCM_OFF_BLNC</v>
      </c>
    </row>
    <row r="340" spans="1:4" x14ac:dyDescent="0.25">
      <c r="A340" s="47" t="str">
        <f t="shared" si="5"/>
        <v>INSTRUMENT_GRSS_CMMSSN_EXPNS_OFF_BLNC</v>
      </c>
      <c r="B340" t="s">
        <v>414</v>
      </c>
      <c r="C340" t="s">
        <v>1021</v>
      </c>
      <c r="D340" t="str">
        <f>VLOOKUP(A340,'LISTA - Atual'!$B$1:$B$444,1,0)</f>
        <v>INSTRUMENT_GRSS_CMMSSN_EXPNS_OFF_BLNC</v>
      </c>
    </row>
    <row r="341" spans="1:4" x14ac:dyDescent="0.25">
      <c r="A341" s="47" t="str">
        <f t="shared" si="5"/>
        <v>INSTRUMENT_RWA_OFF_BLNC</v>
      </c>
      <c r="B341" t="s">
        <v>414</v>
      </c>
      <c r="C341" t="s">
        <v>1024</v>
      </c>
      <c r="D341" t="str">
        <f>VLOOKUP(A341,'LISTA - Atual'!$B$1:$B$444,1,0)</f>
        <v>INSTRUMENT_RWA_OFF_BLNC</v>
      </c>
    </row>
    <row r="342" spans="1:4" x14ac:dyDescent="0.25">
      <c r="A342" s="47" t="str">
        <f t="shared" si="5"/>
        <v>INSTRUMENT_GRSS_INTRST_EXPNS</v>
      </c>
      <c r="B342" t="s">
        <v>414</v>
      </c>
      <c r="C342" t="s">
        <v>1027</v>
      </c>
      <c r="D342" t="str">
        <f>VLOOKUP(A342,'LISTA - Atual'!$B$1:$B$444,1,0)</f>
        <v>INSTRUMENT_GRSS_INTRST_EXPNS</v>
      </c>
    </row>
    <row r="343" spans="1:4" x14ac:dyDescent="0.25">
      <c r="A343" s="47" t="str">
        <f t="shared" si="5"/>
        <v>INSTRUMENT_NT_LN_LSS_PRVSN_OFF_BLNC</v>
      </c>
      <c r="B343" t="s">
        <v>414</v>
      </c>
      <c r="C343" t="s">
        <v>1030</v>
      </c>
      <c r="D343" t="str">
        <f>VLOOKUP(A343,'LISTA - Atual'!$B$1:$B$444,1,0)</f>
        <v>INSTRUMENT_NT_LN_LSS_PRVSN_OFF_BLNC</v>
      </c>
    </row>
    <row r="344" spans="1:4" x14ac:dyDescent="0.25">
      <c r="A344" s="47" t="str">
        <f t="shared" si="5"/>
        <v>INSTRUMENT_GRSS_INTRST_INCM_CCRR</v>
      </c>
      <c r="B344" t="s">
        <v>414</v>
      </c>
      <c r="C344" t="s">
        <v>1033</v>
      </c>
      <c r="D344" t="str">
        <f>VLOOKUP(A344,'LISTA - Atual'!$B$1:$B$444,1,0)</f>
        <v>INSTRUMENT_GRSS_INTRST_INCM_CCRR</v>
      </c>
    </row>
    <row r="345" spans="1:4" x14ac:dyDescent="0.25">
      <c r="A345" s="47" t="str">
        <f t="shared" si="5"/>
        <v>INSTRUMENT_GRSS_INTRST_EXPNS_CCRR</v>
      </c>
      <c r="B345" t="s">
        <v>414</v>
      </c>
      <c r="C345" t="s">
        <v>1036</v>
      </c>
      <c r="D345" t="str">
        <f>VLOOKUP(A345,'LISTA - Atual'!$B$1:$B$444,1,0)</f>
        <v>INSTRUMENT_GRSS_INTRST_EXPNS_CCRR</v>
      </c>
    </row>
    <row r="346" spans="1:4" x14ac:dyDescent="0.25">
      <c r="A346" s="47" t="str">
        <f t="shared" si="5"/>
        <v>INSTRUMENT_GRSS_CMMSSN_INCM_CCRR</v>
      </c>
      <c r="B346" t="s">
        <v>414</v>
      </c>
      <c r="C346" t="s">
        <v>1039</v>
      </c>
      <c r="D346" t="str">
        <f>VLOOKUP(A346,'LISTA - Atual'!$B$1:$B$444,1,0)</f>
        <v>INSTRUMENT_GRSS_CMMSSN_INCM_CCRR</v>
      </c>
    </row>
    <row r="347" spans="1:4" x14ac:dyDescent="0.25">
      <c r="A347" s="47" t="str">
        <f t="shared" si="5"/>
        <v>INSTRUMENT_GRSS_CMMSSN_EXPNS_CCRR</v>
      </c>
      <c r="B347" t="s">
        <v>414</v>
      </c>
      <c r="C347" t="s">
        <v>1042</v>
      </c>
      <c r="D347" t="str">
        <f>VLOOKUP(A347,'LISTA - Atual'!$B$1:$B$444,1,0)</f>
        <v>INSTRUMENT_GRSS_CMMSSN_EXPNS_CCRR</v>
      </c>
    </row>
    <row r="348" spans="1:4" x14ac:dyDescent="0.25">
      <c r="A348" s="47" t="str">
        <f t="shared" si="5"/>
        <v>INSTRUMENT_GNS_FNNCL_TRNSCTN_EXCHNG_CCRR</v>
      </c>
      <c r="B348" t="s">
        <v>414</v>
      </c>
      <c r="C348" t="s">
        <v>1045</v>
      </c>
      <c r="D348" t="str">
        <f>VLOOKUP(A348,'LISTA - Atual'!$B$1:$B$444,1,0)</f>
        <v>INSTRUMENT_GNS_FNNCL_TRNSCTN_EXCHNG_CCRR</v>
      </c>
    </row>
    <row r="349" spans="1:4" x14ac:dyDescent="0.25">
      <c r="A349" s="47" t="str">
        <f t="shared" si="5"/>
        <v>INSTRUMENT_BSNSS_AREA_CCRR</v>
      </c>
      <c r="B349" t="s">
        <v>414</v>
      </c>
      <c r="C349" t="s">
        <v>1048</v>
      </c>
      <c r="D349" t="str">
        <f>VLOOKUP(A349,'LISTA - Atual'!$B$1:$B$444,1,0)</f>
        <v>INSTRUMENT_BSNSS_AREA_CCRR</v>
      </c>
    </row>
    <row r="350" spans="1:4" x14ac:dyDescent="0.25">
      <c r="A350" s="47" t="str">
        <f t="shared" si="5"/>
        <v>INSTRUMENT_GRSS_CMMSSN_INCM_OFF_BLNC_CCRR</v>
      </c>
      <c r="B350" t="s">
        <v>414</v>
      </c>
      <c r="C350" t="s">
        <v>1051</v>
      </c>
      <c r="D350" t="str">
        <f>VLOOKUP(A350,'LISTA - Atual'!$B$1:$B$444,1,0)</f>
        <v>INSTRUMENT_GRSS_CMMSSN_INCM_OFF_BLNC_CCRR</v>
      </c>
    </row>
    <row r="351" spans="1:4" x14ac:dyDescent="0.25">
      <c r="A351" s="47" t="str">
        <f t="shared" si="5"/>
        <v>INSTRUMENT_GRSS_CMMSSN_EXPNS_OFF_BLNC_CCRR</v>
      </c>
      <c r="B351" t="s">
        <v>414</v>
      </c>
      <c r="C351" t="s">
        <v>1054</v>
      </c>
      <c r="D351" t="str">
        <f>VLOOKUP(A351,'LISTA - Atual'!$B$1:$B$444,1,0)</f>
        <v>INSTRUMENT_GRSS_CMMSSN_EXPNS_OFF_BLNC_CCRR</v>
      </c>
    </row>
    <row r="352" spans="1:4" x14ac:dyDescent="0.25">
      <c r="A352" s="47" t="str">
        <f t="shared" si="5"/>
        <v>INSTRUMENT_LCL_INSTMRNT_ID</v>
      </c>
      <c r="B352" t="s">
        <v>414</v>
      </c>
      <c r="C352" t="s">
        <v>961</v>
      </c>
      <c r="D352" t="str">
        <f>VLOOKUP(A352,'LISTA - Atual'!$B$1:$B$444,1,0)</f>
        <v>INSTRUMENT_LCL_INSTMRNT_ID</v>
      </c>
    </row>
    <row r="353" spans="1:4" x14ac:dyDescent="0.25">
      <c r="A353" s="47" t="str">
        <f t="shared" si="5"/>
        <v>INSTRUMENT_CNCLLD_INSTRMNT_STTS</v>
      </c>
      <c r="B353" t="s">
        <v>414</v>
      </c>
      <c r="C353" t="s">
        <v>1081</v>
      </c>
      <c r="D353" t="str">
        <f>VLOOKUP(A353,'LISTA - Atual'!$B$1:$B$444,1,0)</f>
        <v>INSTRUMENT_CNCLLD_INSTRMNT_STTS</v>
      </c>
    </row>
    <row r="354" spans="1:4" x14ac:dyDescent="0.25">
      <c r="A354" s="47" t="str">
        <f t="shared" si="5"/>
        <v>INSTRUMENT_IDCMB</v>
      </c>
      <c r="B354" t="s">
        <v>414</v>
      </c>
      <c r="C354" t="s">
        <v>1084</v>
      </c>
      <c r="D354" t="str">
        <f>VLOOKUP(A354,'LISTA - Atual'!$B$1:$B$444,1,0)</f>
        <v>INSTRUMENT_IDCMB</v>
      </c>
    </row>
    <row r="355" spans="1:4" x14ac:dyDescent="0.25">
      <c r="A355" s="47" t="str">
        <f t="shared" si="5"/>
        <v>INSTRUMENT_COD_SOC_INTRGRP</v>
      </c>
      <c r="B355" t="s">
        <v>414</v>
      </c>
      <c r="C355" t="s">
        <v>958</v>
      </c>
      <c r="D355" t="str">
        <f>VLOOKUP(A355,'LISTA - Atual'!$B$1:$B$444,1,0)</f>
        <v>INSTRUMENT_COD_SOC_INTRGRP</v>
      </c>
    </row>
    <row r="356" spans="1:4" x14ac:dyDescent="0.25">
      <c r="A356" s="47" t="str">
        <f t="shared" si="5"/>
        <v>INSTRUMENT_EXPCTD_LSS_CRR</v>
      </c>
      <c r="B356" t="s">
        <v>414</v>
      </c>
      <c r="C356" t="s">
        <v>1087</v>
      </c>
      <c r="D356" t="str">
        <f>VLOOKUP(A356,'LISTA - Atual'!$B$1:$B$444,1,0)</f>
        <v>INSTRUMENT_EXPCTD_LSS_CRR</v>
      </c>
    </row>
    <row r="357" spans="1:4" x14ac:dyDescent="0.25">
      <c r="A357" s="47" t="str">
        <f t="shared" si="5"/>
        <v>INSTRUMENT_LSTI</v>
      </c>
      <c r="B357" t="s">
        <v>414</v>
      </c>
      <c r="C357" t="s">
        <v>1090</v>
      </c>
      <c r="D357" t="str">
        <f>VLOOKUP(A357,'LISTA - Atual'!$B$1:$B$444,1,0)</f>
        <v>INSTRUMENT_LSTI</v>
      </c>
    </row>
    <row r="358" spans="1:4" x14ac:dyDescent="0.25">
      <c r="A358" s="47" t="str">
        <f t="shared" si="5"/>
        <v>INSTRUMENT_DSTI</v>
      </c>
      <c r="B358" t="s">
        <v>414</v>
      </c>
      <c r="C358" t="s">
        <v>1093</v>
      </c>
      <c r="D358" t="str">
        <f>VLOOKUP(A358,'LISTA - Atual'!$B$1:$B$444,1,0)</f>
        <v>INSTRUMENT_DSTI</v>
      </c>
    </row>
    <row r="359" spans="1:4" x14ac:dyDescent="0.25">
      <c r="A359" s="47" t="str">
        <f t="shared" si="5"/>
        <v>INSTRUMENT_LTI_INSTRMNT</v>
      </c>
      <c r="B359" t="s">
        <v>414</v>
      </c>
      <c r="C359" t="s">
        <v>1096</v>
      </c>
      <c r="D359" t="str">
        <f>VLOOKUP(A359,'LISTA - Atual'!$B$1:$B$444,1,0)</f>
        <v>INSTRUMENT_LTI_INSTRMNT</v>
      </c>
    </row>
    <row r="360" spans="1:4" x14ac:dyDescent="0.25">
      <c r="A360" s="47" t="str">
        <f t="shared" si="5"/>
        <v>INSTRUMENT_RSK_MTGTD_CCT</v>
      </c>
      <c r="B360" t="s">
        <v>414</v>
      </c>
      <c r="C360" t="s">
        <v>1060</v>
      </c>
      <c r="D360" t="str">
        <f>VLOOKUP(A360,'LISTA - Atual'!$B$1:$B$444,1,0)</f>
        <v>INSTRUMENT_RSK_MTGTD_CCT</v>
      </c>
    </row>
    <row r="361" spans="1:4" x14ac:dyDescent="0.25">
      <c r="A361" s="47" t="str">
        <f t="shared" si="5"/>
        <v>INSTRUMENT_RSK_MTGTD_CCP</v>
      </c>
      <c r="B361" t="s">
        <v>414</v>
      </c>
      <c r="C361" t="s">
        <v>1063</v>
      </c>
      <c r="D361" t="str">
        <f>VLOOKUP(A361,'LISTA - Atual'!$B$1:$B$444,1,0)</f>
        <v>INSTRUMENT_RSK_MTGTD_CCP</v>
      </c>
    </row>
    <row r="362" spans="1:4" x14ac:dyDescent="0.25">
      <c r="A362" s="47" t="str">
        <f t="shared" si="5"/>
        <v>INSTRUMENT_ENVRNMNTL_OBJCTV</v>
      </c>
      <c r="B362" t="s">
        <v>414</v>
      </c>
      <c r="C362" t="s">
        <v>1057</v>
      </c>
      <c r="D362" t="str">
        <f>VLOOKUP(A362,'LISTA - Atual'!$B$1:$B$444,1,0)</f>
        <v>INSTRUMENT_ENVRNMNTL_OBJCTV</v>
      </c>
    </row>
    <row r="363" spans="1:4" x14ac:dyDescent="0.25">
      <c r="A363" s="47" t="str">
        <f t="shared" si="5"/>
        <v>INSTRUMENT_TYP_ACTVTY</v>
      </c>
      <c r="B363" t="s">
        <v>414</v>
      </c>
      <c r="C363" t="s">
        <v>1066</v>
      </c>
      <c r="D363" t="str">
        <f>VLOOKUP(A363,'LISTA - Atual'!$B$1:$B$444,1,0)</f>
        <v>INSTRUMENT_TYP_ACTVTY</v>
      </c>
    </row>
    <row r="364" spans="1:4" x14ac:dyDescent="0.25">
      <c r="A364" s="47" t="str">
        <f t="shared" si="5"/>
        <v>INSTRUMENT_LNS_CLLTRLZD_CLSSFCTN</v>
      </c>
      <c r="B364" t="s">
        <v>414</v>
      </c>
      <c r="C364" t="s">
        <v>1069</v>
      </c>
      <c r="D364" t="str">
        <f>VLOOKUP(A364,'LISTA - Atual'!$B$1:$B$444,1,0)</f>
        <v>INSTRUMENT_LNS_CLLTRLZD_CLSSFCTN</v>
      </c>
    </row>
    <row r="365" spans="1:4" x14ac:dyDescent="0.25">
      <c r="A365" s="47" t="str">
        <f t="shared" si="5"/>
        <v>INSTRUMENT_MTHD_USD_INSTRMNT_SCP_1</v>
      </c>
      <c r="B365" t="s">
        <v>414</v>
      </c>
      <c r="C365" t="s">
        <v>1072</v>
      </c>
      <c r="D365" t="str">
        <f>VLOOKUP(A365,'LISTA - Atual'!$B$1:$B$444,1,0)</f>
        <v>INSTRUMENT_MTHD_USD_INSTRMNT_SCP_1</v>
      </c>
    </row>
    <row r="366" spans="1:4" x14ac:dyDescent="0.25">
      <c r="A366" s="47" t="str">
        <f t="shared" si="5"/>
        <v>INSTRUMENT_MTHD_USD_INSTRMNT_SCP_2</v>
      </c>
      <c r="B366" t="s">
        <v>414</v>
      </c>
      <c r="C366" t="s">
        <v>1075</v>
      </c>
      <c r="D366" t="str">
        <f>VLOOKUP(A366,'LISTA - Atual'!$B$1:$B$444,1,0)</f>
        <v>INSTRUMENT_MTHD_USD_INSTRMNT_SCP_2</v>
      </c>
    </row>
    <row r="367" spans="1:4" x14ac:dyDescent="0.25">
      <c r="A367" s="47" t="str">
        <f t="shared" si="5"/>
        <v>INSTRUMENT_MTHD_USD_INSTRMNT_SCP_3</v>
      </c>
      <c r="B367" t="s">
        <v>414</v>
      </c>
      <c r="C367" t="s">
        <v>1078</v>
      </c>
      <c r="D367" t="str">
        <f>VLOOKUP(A367,'LISTA - Atual'!$B$1:$B$444,1,0)</f>
        <v>INSTRUMENT_MTHD_USD_INSTRMNT_SCP_3</v>
      </c>
    </row>
    <row r="368" spans="1:4" x14ac:dyDescent="0.25">
      <c r="A368" s="47" t="str">
        <f t="shared" si="5"/>
        <v>INSTRUMENT_SSTNBL_CTGRY_TXNMY</v>
      </c>
      <c r="B368" t="s">
        <v>414</v>
      </c>
      <c r="C368" t="s">
        <v>1098</v>
      </c>
      <c r="D368" t="str">
        <f>VLOOKUP(A368,'LISTA - Atual'!$B$1:$B$444,1,0)</f>
        <v>INSTRUMENT_SSTNBL_CTGRY_TXNMY</v>
      </c>
    </row>
    <row r="369" spans="1:4" x14ac:dyDescent="0.25">
      <c r="A369" s="47" t="str">
        <f t="shared" si="5"/>
        <v>PROTECTION_DT_MTRTY_PRTCTN</v>
      </c>
      <c r="B369" t="s">
        <v>1114</v>
      </c>
      <c r="C369" t="s">
        <v>1116</v>
      </c>
      <c r="D369" t="str">
        <f>VLOOKUP(A369,'LISTA - Atual'!$B$1:$B$444,1,0)</f>
        <v>PROTECTION_DT_MTRTY_PRTCTN</v>
      </c>
    </row>
    <row r="370" spans="1:4" x14ac:dyDescent="0.25">
      <c r="A370" s="47" t="str">
        <f t="shared" si="5"/>
        <v>PROTECTION_NTNL_ID</v>
      </c>
      <c r="B370" t="s">
        <v>1114</v>
      </c>
      <c r="C370" t="s">
        <v>1120</v>
      </c>
      <c r="D370" t="str">
        <f>VLOOKUP(A370,'LISTA - Atual'!$B$1:$B$444,1,0)</f>
        <v>PROTECTION_NTNL_ID</v>
      </c>
    </row>
    <row r="371" spans="1:4" x14ac:dyDescent="0.25">
      <c r="A371" s="47" t="str">
        <f t="shared" si="5"/>
        <v>PROTECTION_PRTCTN_ID</v>
      </c>
      <c r="B371" t="s">
        <v>1114</v>
      </c>
      <c r="C371" t="s">
        <v>1105</v>
      </c>
      <c r="D371" t="str">
        <f>VLOOKUP(A371,'LISTA - Atual'!$B$1:$B$444,1,0)</f>
        <v>PROTECTION_PRTCTN_ID</v>
      </c>
    </row>
    <row r="372" spans="1:4" x14ac:dyDescent="0.25">
      <c r="A372" s="47" t="str">
        <f t="shared" si="5"/>
        <v>PROTECTION_PRTCTN_PRVDR_ID</v>
      </c>
      <c r="B372" t="s">
        <v>1114</v>
      </c>
      <c r="C372" t="s">
        <v>1124</v>
      </c>
      <c r="D372" t="str">
        <f>VLOOKUP(A372,'LISTA - Atual'!$B$1:$B$444,1,0)</f>
        <v>PROTECTION_PRTCTN_PRVDR_ID</v>
      </c>
    </row>
    <row r="373" spans="1:4" x14ac:dyDescent="0.25">
      <c r="A373" s="47" t="str">
        <f t="shared" si="5"/>
        <v>PROTECTION_RL_ESTT_ADDRSS</v>
      </c>
      <c r="B373" t="s">
        <v>1114</v>
      </c>
      <c r="C373" t="s">
        <v>1127</v>
      </c>
      <c r="D373" t="str">
        <f>VLOOKUP(A373,'LISTA - Atual'!$B$1:$B$444,1,0)</f>
        <v>PROTECTION_RL_ESTT_ADDRSS</v>
      </c>
    </row>
    <row r="374" spans="1:4" x14ac:dyDescent="0.25">
      <c r="A374" s="47" t="str">
        <f t="shared" si="5"/>
        <v>PROTECTION_RL_ESTT_CLLTRL_LCTN</v>
      </c>
      <c r="B374" t="s">
        <v>1114</v>
      </c>
      <c r="C374" t="s">
        <v>1130</v>
      </c>
      <c r="D374" t="str">
        <f>VLOOKUP(A374,'LISTA - Atual'!$B$1:$B$444,1,0)</f>
        <v>PROTECTION_RL_ESTT_CLLTRL_LCTN</v>
      </c>
    </row>
    <row r="375" spans="1:4" x14ac:dyDescent="0.25">
      <c r="A375" s="47" t="str">
        <f t="shared" si="5"/>
        <v>PROTECTION_RL_ESTT_CLLTRL_LCTN_INT</v>
      </c>
      <c r="B375" t="s">
        <v>1114</v>
      </c>
      <c r="C375" t="s">
        <v>1133</v>
      </c>
      <c r="D375" t="str">
        <f>VLOOKUP(A375,'LISTA - Atual'!$B$1:$B$444,1,0)</f>
        <v>PROTECTION_RL_ESTT_CLLTRL_LCTN_INT</v>
      </c>
    </row>
    <row r="376" spans="1:4" x14ac:dyDescent="0.25">
      <c r="A376" s="47" t="str">
        <f t="shared" si="5"/>
        <v>PROTECTION_RL_ESTT_CTY</v>
      </c>
      <c r="B376" t="s">
        <v>1114</v>
      </c>
      <c r="C376" t="s">
        <v>1136</v>
      </c>
      <c r="D376" t="str">
        <f>VLOOKUP(A376,'LISTA - Atual'!$B$1:$B$444,1,0)</f>
        <v>PROTECTION_RL_ESTT_CTY</v>
      </c>
    </row>
    <row r="377" spans="1:4" x14ac:dyDescent="0.25">
      <c r="A377" s="47" t="str">
        <f t="shared" si="5"/>
        <v>PROTECTION_RL_ESTT_PST_CD</v>
      </c>
      <c r="B377" t="s">
        <v>1114</v>
      </c>
      <c r="C377" t="s">
        <v>1139</v>
      </c>
      <c r="D377" t="str">
        <f>VLOOKUP(A377,'LISTA - Atual'!$B$1:$B$444,1,0)</f>
        <v>PROTECTION_RL_ESTT_PST_CD</v>
      </c>
    </row>
    <row r="378" spans="1:4" x14ac:dyDescent="0.25">
      <c r="A378" s="47" t="str">
        <f t="shared" si="5"/>
        <v>PROTECTION_HRCT_MV</v>
      </c>
      <c r="B378" t="s">
        <v>1114</v>
      </c>
      <c r="C378" t="s">
        <v>1141</v>
      </c>
      <c r="D378" t="str">
        <f>VLOOKUP(A378,'LISTA - Atual'!$B$1:$B$444,1,0)</f>
        <v>PROTECTION_HRCT_MV</v>
      </c>
    </row>
    <row r="379" spans="1:4" x14ac:dyDescent="0.25">
      <c r="A379" s="47" t="str">
        <f t="shared" si="5"/>
        <v>PROTECTION_PRTCTN_CLLD</v>
      </c>
      <c r="B379" t="s">
        <v>1114</v>
      </c>
      <c r="C379" t="s">
        <v>1144</v>
      </c>
      <c r="D379" t="str">
        <f>VLOOKUP(A379,'LISTA - Atual'!$B$1:$B$444,1,0)</f>
        <v>PROTECTION_PRTCTN_CLLD</v>
      </c>
    </row>
    <row r="380" spans="1:4" x14ac:dyDescent="0.25">
      <c r="A380" s="47" t="str">
        <f t="shared" si="5"/>
        <v>PROTECTION_TYP_PRTCTN</v>
      </c>
      <c r="B380" t="s">
        <v>1114</v>
      </c>
      <c r="C380" t="s">
        <v>1147</v>
      </c>
      <c r="D380" t="str">
        <f>VLOOKUP(A380,'LISTA - Atual'!$B$1:$B$444,1,0)</f>
        <v>PROTECTION_TYP_PRTCTN</v>
      </c>
    </row>
    <row r="381" spans="1:4" x14ac:dyDescent="0.25">
      <c r="A381" s="47" t="str">
        <f t="shared" si="5"/>
        <v>PROTECTION_TYP_PRTCTN_INTRNL</v>
      </c>
      <c r="B381" t="s">
        <v>1114</v>
      </c>
      <c r="C381" t="s">
        <v>1150</v>
      </c>
      <c r="D381" t="str">
        <f>VLOOKUP(A381,'LISTA - Atual'!$B$1:$B$444,1,0)</f>
        <v>PROTECTION_TYP_PRTCTN_INTRNL</v>
      </c>
    </row>
    <row r="382" spans="1:4" x14ac:dyDescent="0.25">
      <c r="A382" s="47" t="str">
        <f t="shared" si="5"/>
        <v>PROTECTION_TYP_PRTCTN_VL</v>
      </c>
      <c r="B382" t="s">
        <v>1114</v>
      </c>
      <c r="C382" t="s">
        <v>1153</v>
      </c>
      <c r="D382" t="str">
        <f>VLOOKUP(A382,'LISTA - Atual'!$B$1:$B$444,1,0)</f>
        <v>PROTECTION_TYP_PRTCTN_VL</v>
      </c>
    </row>
    <row r="383" spans="1:4" x14ac:dyDescent="0.25">
      <c r="A383" s="47" t="str">
        <f t="shared" si="5"/>
        <v>PROTECTION_APPRSL_CRRNCY</v>
      </c>
      <c r="B383" t="s">
        <v>1114</v>
      </c>
      <c r="C383" t="s">
        <v>1156</v>
      </c>
      <c r="D383" t="str">
        <f>VLOOKUP(A383,'LISTA - Atual'!$B$1:$B$444,1,0)</f>
        <v>PROTECTION_APPRSL_CRRNCY</v>
      </c>
    </row>
    <row r="384" spans="1:4" x14ac:dyDescent="0.25">
      <c r="A384" s="47" t="str">
        <f t="shared" si="5"/>
        <v>PROTECTION_APPRSR</v>
      </c>
      <c r="B384" t="s">
        <v>1114</v>
      </c>
      <c r="C384" t="s">
        <v>1159</v>
      </c>
      <c r="D384" t="str">
        <f>VLOOKUP(A384,'LISTA - Atual'!$B$1:$B$444,1,0)</f>
        <v>PROTECTION_APPRSR</v>
      </c>
    </row>
    <row r="385" spans="1:4" x14ac:dyDescent="0.25">
      <c r="A385" s="47" t="str">
        <f t="shared" si="5"/>
        <v>PROTECTION_DT_LST_FLL_APPRSL</v>
      </c>
      <c r="B385" t="s">
        <v>1114</v>
      </c>
      <c r="C385" t="s">
        <v>1162</v>
      </c>
      <c r="D385" t="str">
        <f>VLOOKUP(A385,'LISTA - Atual'!$B$1:$B$444,1,0)</f>
        <v>PROTECTION_DT_LST_FLL_APPRSL</v>
      </c>
    </row>
    <row r="386" spans="1:4" x14ac:dyDescent="0.25">
      <c r="A386" s="47" t="str">
        <f t="shared" si="5"/>
        <v>PROTECTION_DT_ORGNL_PRTCTN_VL</v>
      </c>
      <c r="B386" t="s">
        <v>1114</v>
      </c>
      <c r="C386" t="s">
        <v>1165</v>
      </c>
      <c r="D386" t="str">
        <f>VLOOKUP(A386,'LISTA - Atual'!$B$1:$B$444,1,0)</f>
        <v>PROTECTION_DT_ORGNL_PRTCTN_VL</v>
      </c>
    </row>
    <row r="387" spans="1:4" x14ac:dyDescent="0.25">
      <c r="A387" s="47" t="str">
        <f t="shared" si="5"/>
        <v>PROTECTION_DT_PRTCTN_VL</v>
      </c>
      <c r="B387" t="s">
        <v>1114</v>
      </c>
      <c r="C387" t="s">
        <v>1168</v>
      </c>
      <c r="D387" t="str">
        <f>VLOOKUP(A387,'LISTA - Atual'!$B$1:$B$444,1,0)</f>
        <v>PROTECTION_DT_PRTCTN_VL</v>
      </c>
    </row>
    <row r="388" spans="1:4" x14ac:dyDescent="0.25">
      <c r="A388" s="47" t="str">
        <f t="shared" si="5"/>
        <v>PROTECTION_ORGNL_PRTCTN_VL</v>
      </c>
      <c r="B388" t="s">
        <v>1114</v>
      </c>
      <c r="C388" t="s">
        <v>1171</v>
      </c>
      <c r="D388" t="str">
        <f>VLOOKUP(A388,'LISTA - Atual'!$B$1:$B$444,1,0)</f>
        <v>PROTECTION_ORGNL_PRTCTN_VL</v>
      </c>
    </row>
    <row r="389" spans="1:4" x14ac:dyDescent="0.25">
      <c r="A389" s="47" t="str">
        <f t="shared" ref="A389:A429" si="6">B389&amp;"_"&amp;C389</f>
        <v>PROTECTION_PRTCTN_FRCD_SL_VL</v>
      </c>
      <c r="B389" t="s">
        <v>1114</v>
      </c>
      <c r="C389" t="s">
        <v>1174</v>
      </c>
      <c r="D389" t="str">
        <f>VLOOKUP(A389,'LISTA - Atual'!$B$1:$B$444,1,0)</f>
        <v>PROTECTION_PRTCTN_FRCD_SL_VL</v>
      </c>
    </row>
    <row r="390" spans="1:4" x14ac:dyDescent="0.25">
      <c r="A390" s="47" t="str">
        <f t="shared" si="6"/>
        <v>PROTECTION_PRTCTN_VL</v>
      </c>
      <c r="B390" t="s">
        <v>1114</v>
      </c>
      <c r="C390" t="s">
        <v>1177</v>
      </c>
      <c r="D390" t="str">
        <f>VLOOKUP(A390,'LISTA - Atual'!$B$1:$B$444,1,0)</f>
        <v>PROTECTION_PRTCTN_VL</v>
      </c>
    </row>
    <row r="391" spans="1:4" x14ac:dyDescent="0.25">
      <c r="A391" s="47" t="str">
        <f t="shared" si="6"/>
        <v>PROTECTION_PRTCTN_VL_NPE</v>
      </c>
      <c r="B391" t="s">
        <v>1114</v>
      </c>
      <c r="C391" t="s">
        <v>1180</v>
      </c>
      <c r="D391" t="str">
        <f>VLOOKUP(A391,'LISTA - Atual'!$B$1:$B$444,1,0)</f>
        <v>PROTECTION_PRTCTN_VL_NPE</v>
      </c>
    </row>
    <row r="392" spans="1:4" x14ac:dyDescent="0.25">
      <c r="A392" s="47" t="str">
        <f t="shared" si="6"/>
        <v>PROTECTION_PRTCTN_VLTN_APPRCH</v>
      </c>
      <c r="B392" t="s">
        <v>1114</v>
      </c>
      <c r="C392" t="s">
        <v>1183</v>
      </c>
      <c r="D392" t="str">
        <f>VLOOKUP(A392,'LISTA - Atual'!$B$1:$B$444,1,0)</f>
        <v>PROTECTION_PRTCTN_VLTN_APPRCH</v>
      </c>
    </row>
    <row r="393" spans="1:4" x14ac:dyDescent="0.25">
      <c r="A393" s="47" t="str">
        <f t="shared" si="6"/>
        <v>PROTECTION_DT_APPRSL_PRVS</v>
      </c>
      <c r="B393" t="s">
        <v>1114</v>
      </c>
      <c r="C393" t="s">
        <v>1186</v>
      </c>
      <c r="D393" t="str">
        <f>VLOOKUP(A393,'LISTA - Atual'!$B$1:$B$444,1,0)</f>
        <v>PROTECTION_DT_APPRSL_PRVS</v>
      </c>
    </row>
    <row r="394" spans="1:4" x14ac:dyDescent="0.25">
      <c r="A394" s="47" t="str">
        <f t="shared" si="6"/>
        <v>PROTECTION_PRTCTN_VL_PRVS</v>
      </c>
      <c r="B394" t="s">
        <v>1114</v>
      </c>
      <c r="C394" t="s">
        <v>1189</v>
      </c>
      <c r="D394" t="str">
        <f>VLOOKUP(A394,'LISTA - Atual'!$B$1:$B$444,1,0)</f>
        <v>PROTECTION_PRTCTN_VL_PRVS</v>
      </c>
    </row>
    <row r="395" spans="1:4" x14ac:dyDescent="0.25">
      <c r="A395" s="47" t="str">
        <f t="shared" si="6"/>
        <v>PROTECTION_CNSTRCTN_STTS</v>
      </c>
      <c r="B395" t="s">
        <v>1114</v>
      </c>
      <c r="C395" t="s">
        <v>1192</v>
      </c>
      <c r="D395" t="str">
        <f>VLOOKUP(A395,'LISTA - Atual'!$B$1:$B$444,1,0)</f>
        <v>PROTECTION_CNSTRCTN_STTS</v>
      </c>
    </row>
    <row r="396" spans="1:4" x14ac:dyDescent="0.25">
      <c r="A396" s="47" t="str">
        <f t="shared" si="6"/>
        <v>PROTECTION_DT_CNSTRCTN_STTS</v>
      </c>
      <c r="B396" t="s">
        <v>1114</v>
      </c>
      <c r="C396" t="s">
        <v>1195</v>
      </c>
      <c r="D396" t="str">
        <f>VLOOKUP(A396,'LISTA - Atual'!$B$1:$B$444,1,0)</f>
        <v>PROTECTION_DT_CNSTRCTN_STTS</v>
      </c>
    </row>
    <row r="397" spans="1:4" x14ac:dyDescent="0.25">
      <c r="A397" s="47" t="str">
        <f t="shared" si="6"/>
        <v>PROTECTION_DT_FRST_USG</v>
      </c>
      <c r="B397" t="s">
        <v>1114</v>
      </c>
      <c r="C397" t="s">
        <v>1198</v>
      </c>
      <c r="D397" t="str">
        <f>VLOOKUP(A397,'LISTA - Atual'!$B$1:$B$444,1,0)</f>
        <v>PROTECTION_DT_FRST_USG</v>
      </c>
    </row>
    <row r="398" spans="1:4" x14ac:dyDescent="0.25">
      <c r="A398" s="47" t="str">
        <f t="shared" si="6"/>
        <v>PROTECTION_DVLPMNT_STTS</v>
      </c>
      <c r="B398" t="s">
        <v>1114</v>
      </c>
      <c r="C398" t="s">
        <v>1201</v>
      </c>
      <c r="D398" t="str">
        <f>VLOOKUP(A398,'LISTA - Atual'!$B$1:$B$444,1,0)</f>
        <v>PROTECTION_DVLPMNT_STTS</v>
      </c>
    </row>
    <row r="399" spans="1:4" x14ac:dyDescent="0.25">
      <c r="A399" s="47" t="str">
        <f t="shared" si="6"/>
        <v>PROTECTION_MN_PRPS</v>
      </c>
      <c r="B399" t="s">
        <v>1114</v>
      </c>
      <c r="C399" t="s">
        <v>1204</v>
      </c>
      <c r="D399" t="str">
        <f>VLOOKUP(A399,'LISTA - Atual'!$B$1:$B$444,1,0)</f>
        <v>PROTECTION_MN_PRPS</v>
      </c>
    </row>
    <row r="400" spans="1:4" x14ac:dyDescent="0.25">
      <c r="A400" s="47" t="str">
        <f t="shared" si="6"/>
        <v>PROTECTION_PRM_LCTN</v>
      </c>
      <c r="B400" t="s">
        <v>1114</v>
      </c>
      <c r="C400" t="s">
        <v>1207</v>
      </c>
      <c r="D400" t="str">
        <f>VLOOKUP(A400,'LISTA - Atual'!$B$1:$B$444,1,0)</f>
        <v>PROTECTION_PRM_LCTN</v>
      </c>
    </row>
    <row r="401" spans="1:4" x14ac:dyDescent="0.25">
      <c r="A401" s="47" t="str">
        <f t="shared" si="6"/>
        <v>PROTECTION_CRE_INCM_CRRNCY</v>
      </c>
      <c r="B401" t="s">
        <v>1114</v>
      </c>
      <c r="C401" t="s">
        <v>1210</v>
      </c>
      <c r="D401" t="str">
        <f>VLOOKUP(A401,'LISTA - Atual'!$B$1:$B$444,1,0)</f>
        <v>PROTECTION_CRE_INCM_CRRNCY</v>
      </c>
    </row>
    <row r="402" spans="1:4" x14ac:dyDescent="0.25">
      <c r="A402" s="47" t="str">
        <f t="shared" si="6"/>
        <v>PROTECTION_CRE_YRLY_EXPNSS</v>
      </c>
      <c r="B402" t="s">
        <v>1114</v>
      </c>
      <c r="C402" t="s">
        <v>1213</v>
      </c>
      <c r="D402" t="str">
        <f>VLOOKUP(A402,'LISTA - Atual'!$B$1:$B$444,1,0)</f>
        <v>PROTECTION_CRE_YRLY_EXPNSS</v>
      </c>
    </row>
    <row r="403" spans="1:4" x14ac:dyDescent="0.25">
      <c r="A403" s="47" t="str">
        <f t="shared" si="6"/>
        <v>PROTECTION_CRE_YRLY_INCM</v>
      </c>
      <c r="B403" t="s">
        <v>1114</v>
      </c>
      <c r="C403" t="s">
        <v>1216</v>
      </c>
      <c r="D403" t="str">
        <f>VLOOKUP(A403,'LISTA - Atual'!$B$1:$B$444,1,0)</f>
        <v>PROTECTION_CRE_YRLY_INCM</v>
      </c>
    </row>
    <row r="404" spans="1:4" x14ac:dyDescent="0.25">
      <c r="A404" s="47" t="str">
        <f t="shared" si="6"/>
        <v>PROTECTION_PRTCTN_TYP_PBLC_GRNT_SCHM_C19</v>
      </c>
      <c r="B404" t="s">
        <v>1114</v>
      </c>
      <c r="C404" t="s">
        <v>1219</v>
      </c>
      <c r="D404" t="str">
        <f>VLOOKUP(A404,'LISTA - Atual'!$B$1:$B$444,1,0)</f>
        <v>PROTECTION_PRTCTN_TYP_PBLC_GRNT_SCHM_C19</v>
      </c>
    </row>
    <row r="405" spans="1:4" x14ac:dyDescent="0.25">
      <c r="A405" s="47" t="str">
        <f t="shared" si="6"/>
        <v>PROTECTION_TAX_ID</v>
      </c>
      <c r="B405" t="s">
        <v>1114</v>
      </c>
      <c r="C405" t="s">
        <v>266</v>
      </c>
      <c r="D405" t="str">
        <f>VLOOKUP(A405,'LISTA - Atual'!$B$1:$B$444,1,0)</f>
        <v>PROTECTION_TAX_ID</v>
      </c>
    </row>
    <row r="406" spans="1:4" x14ac:dyDescent="0.25">
      <c r="A406" s="47" t="str">
        <f t="shared" si="6"/>
        <v>PROTECTION_COD_SOC</v>
      </c>
      <c r="B406" t="s">
        <v>1114</v>
      </c>
      <c r="C406" t="s">
        <v>12</v>
      </c>
      <c r="D406" t="str">
        <f>VLOOKUP(A406,'LISTA - Atual'!$B$1:$B$444,1,0)</f>
        <v>PROTECTION_COD_SOC</v>
      </c>
    </row>
    <row r="407" spans="1:4" x14ac:dyDescent="0.25">
      <c r="A407" s="47" t="str">
        <f t="shared" si="6"/>
        <v>PROTECTION_YR_CNSTRCTN</v>
      </c>
      <c r="B407" t="s">
        <v>1114</v>
      </c>
      <c r="C407" t="s">
        <v>1290</v>
      </c>
      <c r="D407" t="str">
        <f>VLOOKUP(A407,'LISTA - Atual'!$B$1:$B$444,1,0)</f>
        <v>PROTECTION_YR_CNSTRCTN</v>
      </c>
    </row>
    <row r="408" spans="1:4" x14ac:dyDescent="0.25">
      <c r="A408" s="47" t="str">
        <f t="shared" si="6"/>
        <v>PROTECTION_TYP_EP_SCR</v>
      </c>
      <c r="B408" t="s">
        <v>1114</v>
      </c>
      <c r="C408" t="s">
        <v>1223</v>
      </c>
      <c r="D408" t="str">
        <f>VLOOKUP(A408,'LISTA - Atual'!$B$1:$B$444,1,0)</f>
        <v>PROTECTION_TYP_EP_SCR</v>
      </c>
    </row>
    <row r="409" spans="1:4" x14ac:dyDescent="0.25">
      <c r="A409" s="47" t="str">
        <f t="shared" si="6"/>
        <v>PROTECTION_EP_SCR</v>
      </c>
      <c r="B409" t="s">
        <v>1114</v>
      </c>
      <c r="C409" t="s">
        <v>1226</v>
      </c>
      <c r="D409" t="str">
        <f>VLOOKUP(A409,'LISTA - Atual'!$B$1:$B$444,1,0)</f>
        <v>PROTECTION_EP_SCR</v>
      </c>
    </row>
    <row r="410" spans="1:4" x14ac:dyDescent="0.25">
      <c r="A410" s="47" t="str">
        <f t="shared" si="6"/>
        <v>PROTECTION_TYP_EPC_LBL</v>
      </c>
      <c r="B410" t="s">
        <v>1114</v>
      </c>
      <c r="C410" t="s">
        <v>1229</v>
      </c>
      <c r="D410" t="str">
        <f>VLOOKUP(A410,'LISTA - Atual'!$B$1:$B$444,1,0)</f>
        <v>PROTECTION_TYP_EPC_LBL</v>
      </c>
    </row>
    <row r="411" spans="1:4" x14ac:dyDescent="0.25">
      <c r="A411" s="47" t="str">
        <f t="shared" si="6"/>
        <v>PROTECTION_EPC_LBL</v>
      </c>
      <c r="B411" t="s">
        <v>1114</v>
      </c>
      <c r="C411" t="s">
        <v>1232</v>
      </c>
      <c r="D411" t="str">
        <f>VLOOKUP(A411,'LISTA - Atual'!$B$1:$B$444,1,0)</f>
        <v>PROTECTION_EPC_LBL</v>
      </c>
    </row>
    <row r="412" spans="1:4" x14ac:dyDescent="0.25">
      <c r="A412" s="47" t="str">
        <f t="shared" si="6"/>
        <v>PROTECTION_EMSSNS_SCP1_PRTCTN</v>
      </c>
      <c r="B412" t="s">
        <v>1114</v>
      </c>
      <c r="C412" t="s">
        <v>1253</v>
      </c>
      <c r="D412" t="str">
        <f>VLOOKUP(A412,'LISTA - Atual'!$B$1:$B$444,1,0)</f>
        <v>PROTECTION_EMSSNS_SCP1_PRTCTN</v>
      </c>
    </row>
    <row r="413" spans="1:4" x14ac:dyDescent="0.25">
      <c r="A413" s="47" t="str">
        <f t="shared" si="6"/>
        <v>PROTECTION_EMSSNS_SCP2_PRTCTN</v>
      </c>
      <c r="B413" t="s">
        <v>1114</v>
      </c>
      <c r="C413" t="s">
        <v>1256</v>
      </c>
      <c r="D413" t="str">
        <f>VLOOKUP(A413,'LISTA - Atual'!$B$1:$B$444,1,0)</f>
        <v>PROTECTION_EMSSNS_SCP2_PRTCTN</v>
      </c>
    </row>
    <row r="414" spans="1:4" x14ac:dyDescent="0.25">
      <c r="A414" s="47" t="str">
        <f t="shared" si="6"/>
        <v>PROTECTION_EMSSNS_SCP3_PRTCTN</v>
      </c>
      <c r="B414" t="s">
        <v>1114</v>
      </c>
      <c r="C414" t="s">
        <v>1259</v>
      </c>
      <c r="D414" t="str">
        <f>VLOOKUP(A414,'LISTA - Atual'!$B$1:$B$444,1,0)</f>
        <v>PROTECTION_EMSSNS_SCP3_PRTCTN</v>
      </c>
    </row>
    <row r="415" spans="1:4" x14ac:dyDescent="0.25">
      <c r="A415" s="47" t="str">
        <f t="shared" si="6"/>
        <v>PROTECTION_MTHD_USD_PRTCTN_SCP_1</v>
      </c>
      <c r="B415" t="s">
        <v>1114</v>
      </c>
      <c r="C415" t="s">
        <v>1262</v>
      </c>
      <c r="D415" t="str">
        <f>VLOOKUP(A415,'LISTA - Atual'!$B$1:$B$444,1,0)</f>
        <v>PROTECTION_MTHD_USD_PRTCTN_SCP_1</v>
      </c>
    </row>
    <row r="416" spans="1:4" x14ac:dyDescent="0.25">
      <c r="A416" s="47" t="str">
        <f t="shared" si="6"/>
        <v>PROTECTION_MTHD_USD_PRTCTN_SCP_2</v>
      </c>
      <c r="B416" t="s">
        <v>1114</v>
      </c>
      <c r="C416" t="s">
        <v>1265</v>
      </c>
      <c r="D416" t="str">
        <f>VLOOKUP(A416,'LISTA - Atual'!$B$1:$B$444,1,0)</f>
        <v>PROTECTION_MTHD_USD_PRTCTN_SCP_2</v>
      </c>
    </row>
    <row r="417" spans="1:19" x14ac:dyDescent="0.25">
      <c r="A417" s="47" t="str">
        <f t="shared" si="6"/>
        <v>PROTECTION_MTHD_USD_PRTCTN_SCP_3</v>
      </c>
      <c r="B417" t="s">
        <v>1114</v>
      </c>
      <c r="C417" t="s">
        <v>1268</v>
      </c>
      <c r="D417" t="str">
        <f>VLOOKUP(A417,'LISTA - Atual'!$B$1:$B$444,1,0)</f>
        <v>PROTECTION_MTHD_USD_PRTCTN_SCP_3</v>
      </c>
    </row>
    <row r="418" spans="1:19" x14ac:dyDescent="0.25">
      <c r="A418" s="47" t="str">
        <f t="shared" si="6"/>
        <v>PROTECTION_FLG_ACT_PHYSCL_RSK</v>
      </c>
      <c r="B418" t="s">
        <v>1114</v>
      </c>
      <c r="C418" t="s">
        <v>376</v>
      </c>
      <c r="D418" t="str">
        <f>VLOOKUP(A418,'LISTA - Atual'!$B$1:$B$444,1,0)</f>
        <v>PROTECTION_FLG_ACT_PHYSCL_RSK</v>
      </c>
    </row>
    <row r="419" spans="1:19" x14ac:dyDescent="0.25">
      <c r="A419" s="47" t="str">
        <f t="shared" si="6"/>
        <v>PROTECTION_FLG_CHRNC_PHYSCL_RSK</v>
      </c>
      <c r="B419" t="s">
        <v>1114</v>
      </c>
      <c r="C419" t="s">
        <v>379</v>
      </c>
      <c r="D419" t="str">
        <f>VLOOKUP(A419,'LISTA - Atual'!$B$1:$B$444,1,0)</f>
        <v>PROTECTION_FLG_CHRNC_PHYSCL_RSK</v>
      </c>
    </row>
    <row r="420" spans="1:19" x14ac:dyDescent="0.25">
      <c r="A420" s="47" t="str">
        <f t="shared" si="6"/>
        <v>INSTR_ENTITY_ENTTY_ID</v>
      </c>
      <c r="B420" t="s">
        <v>400</v>
      </c>
      <c r="C420" t="s">
        <v>41</v>
      </c>
      <c r="D420" t="str">
        <f>VLOOKUP(A420,'LISTA - Atual'!$B$1:$B$444,1,0)</f>
        <v>INSTR_ENTITY_ENTTY_ID</v>
      </c>
    </row>
    <row r="421" spans="1:19" x14ac:dyDescent="0.25">
      <c r="A421" s="47" t="str">
        <f t="shared" si="6"/>
        <v>INSTR_ENTITY_INSTRMNT_ID</v>
      </c>
      <c r="B421" t="s">
        <v>400</v>
      </c>
      <c r="C421" t="s">
        <v>405</v>
      </c>
      <c r="D421" t="str">
        <f>VLOOKUP(A421,'LISTA - Atual'!$B$1:$B$444,1,0)</f>
        <v>INSTR_ENTITY_INSTRMNT_ID</v>
      </c>
    </row>
    <row r="422" spans="1:19" x14ac:dyDescent="0.25">
      <c r="A422" s="47" t="str">
        <f t="shared" si="6"/>
        <v>INSTR_ENTITY_JNT_LBLTY_AMNT</v>
      </c>
      <c r="B422" t="s">
        <v>400</v>
      </c>
      <c r="C422" t="s">
        <v>408</v>
      </c>
      <c r="D422" t="str">
        <f>VLOOKUP(A422,'LISTA - Atual'!$B$1:$B$444,1,0)</f>
        <v>INSTR_ENTITY_JNT_LBLTY_AMNT</v>
      </c>
    </row>
    <row r="423" spans="1:19" x14ac:dyDescent="0.25">
      <c r="A423" s="47" t="str">
        <f t="shared" si="6"/>
        <v>INSTR_ENTITY_COD_SOC</v>
      </c>
      <c r="B423" t="s">
        <v>400</v>
      </c>
      <c r="C423" t="s">
        <v>12</v>
      </c>
      <c r="D423" t="str">
        <f>VLOOKUP(A423,'LISTA - Atual'!$B$1:$B$444,1,0)</f>
        <v>INSTR_ENTITY_COD_SOC</v>
      </c>
    </row>
    <row r="424" spans="1:19" x14ac:dyDescent="0.25">
      <c r="A424" s="47" t="str">
        <f t="shared" si="6"/>
        <v>INSTR_ENTITY_MN_ENTTY_ID</v>
      </c>
      <c r="B424" t="s">
        <v>400</v>
      </c>
      <c r="C424" t="s">
        <v>411</v>
      </c>
      <c r="D424" t="str">
        <f>VLOOKUP(A424,'LISTA - Atual'!$B$1:$B$444,1,0)</f>
        <v>INSTR_ENTITY_MN_ENTTY_ID</v>
      </c>
    </row>
    <row r="425" spans="1:19" x14ac:dyDescent="0.25">
      <c r="A425" s="47" t="str">
        <f t="shared" si="6"/>
        <v>INSTR_PROTECTION_INSTRMNT_ID</v>
      </c>
      <c r="B425" t="s">
        <v>1101</v>
      </c>
      <c r="C425" t="s">
        <v>405</v>
      </c>
      <c r="D425" t="str">
        <f>VLOOKUP(A425,'LISTA - Atual'!$B$1:$B$444,1,0)</f>
        <v>INSTR_PROTECTION_INSTRMNT_ID</v>
      </c>
      <c r="S425" s="53"/>
    </row>
    <row r="426" spans="1:19" x14ac:dyDescent="0.25">
      <c r="A426" s="47" t="str">
        <f t="shared" si="6"/>
        <v>INSTR_PROTECTION_PRTCTN_ID</v>
      </c>
      <c r="B426" t="s">
        <v>1101</v>
      </c>
      <c r="C426" t="s">
        <v>1105</v>
      </c>
      <c r="D426" t="str">
        <f>VLOOKUP(A426,'LISTA - Atual'!$B$1:$B$444,1,0)</f>
        <v>INSTR_PROTECTION_PRTCTN_ID</v>
      </c>
    </row>
    <row r="427" spans="1:19" x14ac:dyDescent="0.25">
      <c r="A427" s="47" t="str">
        <f t="shared" si="6"/>
        <v>INSTR_PROTECTION_PRTCTN_ALLCTD_VL</v>
      </c>
      <c r="B427" t="s">
        <v>1101</v>
      </c>
      <c r="C427" t="s">
        <v>1108</v>
      </c>
      <c r="D427" t="str">
        <f>VLOOKUP(A427,'LISTA - Atual'!$B$1:$B$444,1,0)</f>
        <v>INSTR_PROTECTION_PRTCTN_ALLCTD_VL</v>
      </c>
    </row>
    <row r="428" spans="1:19" x14ac:dyDescent="0.25">
      <c r="A428" s="47" t="str">
        <f t="shared" si="6"/>
        <v>INSTR_PROTECTION_THRD_PRTY_PRRTY_CLMS</v>
      </c>
      <c r="B428" t="s">
        <v>1101</v>
      </c>
      <c r="C428" t="s">
        <v>1111</v>
      </c>
      <c r="D428" t="str">
        <f>VLOOKUP(A428,'LISTA - Atual'!$B$1:$B$444,1,0)</f>
        <v>INSTR_PROTECTION_THRD_PRTY_PRRTY_CLMS</v>
      </c>
    </row>
    <row r="429" spans="1:19" x14ac:dyDescent="0.25">
      <c r="A429" s="47" t="str">
        <f t="shared" si="6"/>
        <v>INSTR_PROTECTION_COD_SOC</v>
      </c>
      <c r="B429" t="s">
        <v>1101</v>
      </c>
      <c r="C429" t="s">
        <v>12</v>
      </c>
      <c r="D429" t="str">
        <f>VLOOKUP(A429,'LISTA - Atual'!$B$1:$B$444,1,0)</f>
        <v>INSTR_PROTECTION_COD_SOC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5" ma:contentTypeDescription="Criar um novo documento." ma:contentTypeScope="" ma:versionID="de3ca2d3a6c48fd441220ca6f882468d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30026e5f885db56c00e5b19c3d39155d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0FBABA-4AF5-4680-8A9F-0590D5AF6AF0}">
  <ds:schemaRefs>
    <ds:schemaRef ds:uri="http://purl.org/dc/terms/"/>
    <ds:schemaRef ds:uri="http://schemas.microsoft.com/office/2006/documentManagement/types"/>
    <ds:schemaRef ds:uri="http://schemas.microsoft.com/sharepoint/v3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e000928e-c86c-4647-8889-ce9c694ef34a"/>
    <ds:schemaRef ds:uri="fa1d4b80-9f73-4ff1-b61f-3f4b44782f0c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B1EE231-1AB0-4CF3-8DEC-F48F001C12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F0C09B-DF21-4A30-AEB1-2CCB512C3D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PlanoV1.0</vt:lpstr>
      <vt:lpstr>Sheet1</vt:lpstr>
      <vt:lpstr>RESUMO</vt:lpstr>
      <vt:lpstr>Sheet1 (2)</vt:lpstr>
      <vt:lpstr>LISTA - Setembro2024</vt:lpstr>
      <vt:lpstr>LISTA - Abril2024</vt:lpstr>
      <vt:lpstr>LISTA - Atual</vt:lpstr>
      <vt:lpstr>Auxiliar</vt:lpstr>
      <vt:lpstr>Planemaneto rev.equipa</vt:lpstr>
      <vt:lpstr>Sheet3</vt:lpstr>
      <vt:lpstr>Campos Resumo Prop2.0</vt:lpstr>
      <vt:lpstr>DataLake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Nádia Genebra Ahmad</dc:creator>
  <cp:lastModifiedBy>Diogo Alexandre Escaleira</cp:lastModifiedBy>
  <dcterms:created xsi:type="dcterms:W3CDTF">2024-11-05T07:19:10Z</dcterms:created>
  <dcterms:modified xsi:type="dcterms:W3CDTF">2025-01-20T18:50:02Z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2024-11-05T07:55:50Z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7c442249-8f81-4f65-915d-5eda6b510be6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0x0101007511375E9B6A4047927DE3870E45B8D5</vt:lpwstr>
  </property>
</Properties>
</file>