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642\Santander Office 365\Testes GD &amp; Pilar 3 ESG - General\00. Gestão\04. Plano Testes\"/>
    </mc:Choice>
  </mc:AlternateContent>
  <bookViews>
    <workbookView xWindow="-120" yWindow="-16320" windowWidth="29040" windowHeight="15840" firstSheet="1" activeTab="5"/>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sheetId="1" r:id="rId6"/>
    <sheet name="Sheet1" sheetId="23" r:id="rId7"/>
    <sheet name="2. Controlos Corporativos - GD" sheetId="4" state="hidden" r:id="rId8"/>
    <sheet name="Auxiliar" sheetId="3" state="hidden" r:id="rId9"/>
    <sheet name="Plano Campos" sheetId="21" r:id="rId10"/>
    <sheet name="Plano_V3" sheetId="20" r:id="rId11"/>
    <sheet name="Plano de Testes" sheetId="22" state="hidden" r:id="rId12"/>
  </sheets>
  <definedNames>
    <definedName name="_xlnm._FilterDatabase" localSheetId="7" hidden="1">'2. Controlos Corporativos - GD'!$A$1:$K$222</definedName>
    <definedName name="_xlnm._FilterDatabase" localSheetId="2" hidden="1">'2. Status Detalhe Campos FY24'!$A$6:$J$575</definedName>
    <definedName name="_xlnm._FilterDatabase" localSheetId="5" hidden="1">'Caderno Testes'!$B$798:$M$1016</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Plano_V3!$B$13:$P$593</definedName>
    <definedName name="_xlcn.WorksheetConnection_2.StatusDetalheCamposB6G6051" hidden="1">'2. Status Detalhe Campos FY24'!$B$6:$G$575</definedName>
    <definedName name="_xlcn.WorksheetConnection_Sheet2B2G5451" hidden="1">'2. Status Detalhe Campos FY24'!$B$6:$G$561</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0" r:id="rId13"/>
    <pivotCache cacheId="11" r:id="rId14"/>
    <pivotCache cacheId="12" r:id="rId15"/>
    <pivotCache cacheId="13" r:id="rId16"/>
    <pivotCache cacheId="14" r:id="rId17"/>
    <pivotCache cacheId="15" r:id="rId18"/>
    <pivotCache cacheId="16" r:id="rId19"/>
    <pivotCache cacheId="1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N220" i="21" l="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J47" i="15"/>
  <c r="J46" i="15"/>
  <c r="J45" i="15"/>
  <c r="U248" i="21"/>
  <c r="V248" i="21" s="1"/>
  <c r="A248" i="21"/>
  <c r="A182" i="17"/>
  <c r="J182" i="17" s="1"/>
  <c r="O346" i="1"/>
  <c r="W346" i="1" s="1"/>
  <c r="J346" i="1"/>
  <c r="H346" i="1"/>
  <c r="O345" i="1"/>
  <c r="W345" i="1" s="1"/>
  <c r="J345" i="1"/>
  <c r="H345" i="1"/>
  <c r="O344" i="1"/>
  <c r="W344" i="1" s="1"/>
  <c r="J344" i="1"/>
  <c r="H344" i="1"/>
  <c r="H203" i="20"/>
  <c r="G203" i="20" s="1"/>
  <c r="A203" i="20"/>
  <c r="H39" i="15"/>
  <c r="U74" i="15"/>
  <c r="G182" i="17" l="1"/>
  <c r="L182" i="17"/>
  <c r="K182"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61"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9" i="17" l="1"/>
  <c r="A498" i="17"/>
  <c r="K498" i="17" s="1"/>
  <c r="A497" i="17"/>
  <c r="K497" i="17" s="1"/>
  <c r="A496" i="17"/>
  <c r="J496" i="17" s="1"/>
  <c r="A495" i="17"/>
  <c r="J495" i="17" s="1"/>
  <c r="A494" i="17"/>
  <c r="K494" i="17" s="1"/>
  <c r="A525" i="20"/>
  <c r="H525" i="20" s="1"/>
  <c r="A524" i="20"/>
  <c r="H524" i="20" s="1"/>
  <c r="A523" i="20"/>
  <c r="A522" i="20"/>
  <c r="H522" i="20" s="1"/>
  <c r="A521" i="20"/>
  <c r="A520" i="20"/>
  <c r="H1220" i="1"/>
  <c r="H1219" i="1"/>
  <c r="H1223" i="1"/>
  <c r="H1222" i="1"/>
  <c r="H1226" i="1"/>
  <c r="H1225" i="1"/>
  <c r="H1229" i="1"/>
  <c r="H1228" i="1"/>
  <c r="H1232" i="1"/>
  <c r="H1231" i="1"/>
  <c r="O1231" i="1"/>
  <c r="W1231" i="1" s="1"/>
  <c r="O1232" i="1"/>
  <c r="W1232" i="1" s="1"/>
  <c r="O1228" i="1"/>
  <c r="W1228" i="1" s="1"/>
  <c r="O1229" i="1"/>
  <c r="W1229" i="1" s="1"/>
  <c r="O1225" i="1"/>
  <c r="W1225" i="1" s="1"/>
  <c r="O1226" i="1"/>
  <c r="W1226" i="1" s="1"/>
  <c r="O1222" i="1"/>
  <c r="W1222" i="1" s="1"/>
  <c r="O1223" i="1"/>
  <c r="W1223" i="1" s="1"/>
  <c r="O1219" i="1"/>
  <c r="W1219" i="1" s="1"/>
  <c r="O1220" i="1"/>
  <c r="W1220" i="1" s="1"/>
  <c r="O1218" i="1"/>
  <c r="W1218" i="1" s="1"/>
  <c r="H1218" i="1"/>
  <c r="O1221" i="1"/>
  <c r="W1221" i="1" s="1"/>
  <c r="H1221" i="1"/>
  <c r="O1224" i="1"/>
  <c r="W1224" i="1" s="1"/>
  <c r="H1224" i="1"/>
  <c r="O1227" i="1"/>
  <c r="W1227" i="1" s="1"/>
  <c r="H1227" i="1"/>
  <c r="O1230" i="1"/>
  <c r="W1230" i="1" s="1"/>
  <c r="H1230" i="1"/>
  <c r="H523" i="20"/>
  <c r="J498" i="17" l="1"/>
  <c r="L495" i="17"/>
  <c r="K495" i="17"/>
  <c r="J494" i="17"/>
  <c r="J497" i="17"/>
  <c r="L494" i="17"/>
  <c r="L498" i="17"/>
  <c r="L496" i="17"/>
  <c r="L497" i="17"/>
  <c r="I521" i="20"/>
  <c r="J521" i="20" s="1"/>
  <c r="I525" i="20"/>
  <c r="J525" i="20" s="1"/>
  <c r="K524" i="20"/>
  <c r="L524" i="20" s="1"/>
  <c r="K522" i="20"/>
  <c r="L522" i="20" s="1"/>
  <c r="K521" i="20"/>
  <c r="L521" i="20" s="1"/>
  <c r="I524" i="20"/>
  <c r="J524" i="20" s="1"/>
  <c r="K523" i="20"/>
  <c r="L523" i="20" s="1"/>
  <c r="K496" i="17"/>
  <c r="H521" i="20"/>
  <c r="K525" i="20"/>
  <c r="L525" i="20" s="1"/>
  <c r="I523" i="20"/>
  <c r="J523" i="20" s="1"/>
  <c r="I522" i="20"/>
  <c r="J522" i="20" s="1"/>
  <c r="N525" i="20" l="1"/>
  <c r="N521" i="20"/>
  <c r="N524" i="20"/>
  <c r="N522" i="20"/>
  <c r="N523" i="20"/>
  <c r="A565" i="17"/>
  <c r="K565" i="17" s="1"/>
  <c r="A564" i="17"/>
  <c r="J564" i="17" s="1"/>
  <c r="A563" i="17"/>
  <c r="A562" i="17"/>
  <c r="K562" i="17" s="1"/>
  <c r="A592" i="20"/>
  <c r="A591" i="20"/>
  <c r="A590" i="20"/>
  <c r="A589" i="20"/>
  <c r="K563" i="17" l="1"/>
  <c r="J565" i="17"/>
  <c r="J563" i="17"/>
  <c r="L563" i="17"/>
  <c r="J562" i="17"/>
  <c r="L565" i="17"/>
  <c r="K564" i="17"/>
  <c r="L564" i="17"/>
  <c r="L562" i="17"/>
  <c r="H592" i="20"/>
  <c r="H591" i="20"/>
  <c r="H590" i="20"/>
  <c r="H589" i="20"/>
  <c r="T137" i="15" l="1"/>
  <c r="T102" i="15"/>
  <c r="T78" i="15"/>
  <c r="T77" i="15"/>
  <c r="O371" i="20"/>
  <c r="O280"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06" i="15"/>
  <c r="O349" i="1" l="1"/>
  <c r="W349" i="1" s="1"/>
  <c r="H349" i="1"/>
  <c r="O348" i="1"/>
  <c r="W348" i="1" s="1"/>
  <c r="H348" i="1"/>
  <c r="O347" i="1"/>
  <c r="H347"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W347" i="1" l="1"/>
  <c r="K203" i="20" s="1"/>
  <c r="L203" i="20" s="1"/>
  <c r="I203" i="20"/>
  <c r="J203" i="20" s="1"/>
  <c r="K195" i="20"/>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203" i="20" l="1"/>
  <c r="O203" i="20" s="1"/>
  <c r="N199" i="20"/>
  <c r="O199" i="20" s="1"/>
  <c r="N198" i="20"/>
  <c r="O198" i="20" s="1"/>
  <c r="N196" i="20"/>
  <c r="O196" i="20" s="1"/>
  <c r="N201" i="20"/>
  <c r="O201" i="20" s="1"/>
  <c r="N197" i="20"/>
  <c r="O197" i="20" s="1"/>
  <c r="N195" i="20"/>
  <c r="O195" i="20" s="1"/>
  <c r="N200" i="20"/>
  <c r="O200" i="20" s="1"/>
  <c r="A236" i="20"/>
  <c r="H236" i="20" s="1"/>
  <c r="A235" i="20"/>
  <c r="H235" i="20" s="1"/>
  <c r="O799" i="1"/>
  <c r="O798" i="1"/>
  <c r="O797" i="1"/>
  <c r="W797" i="1" s="1"/>
  <c r="O796" i="1"/>
  <c r="W796" i="1" s="1"/>
  <c r="O795" i="1"/>
  <c r="W795" i="1" s="1"/>
  <c r="O794" i="1"/>
  <c r="W794" i="1" s="1"/>
  <c r="H796" i="1"/>
  <c r="H794" i="1"/>
  <c r="H797" i="1"/>
  <c r="H795" i="1"/>
  <c r="A213" i="17"/>
  <c r="A212" i="17"/>
  <c r="A214" i="17"/>
  <c r="A215" i="17"/>
  <c r="K212" i="17" l="1"/>
  <c r="J213" i="17"/>
  <c r="K235" i="20"/>
  <c r="L235" i="20" s="1"/>
  <c r="I235" i="20"/>
  <c r="J235" i="20" s="1"/>
  <c r="K236" i="20"/>
  <c r="L236" i="20" s="1"/>
  <c r="I236" i="20"/>
  <c r="J236" i="20" s="1"/>
  <c r="L213" i="17"/>
  <c r="K213" i="17"/>
  <c r="J212" i="17"/>
  <c r="L212" i="17"/>
  <c r="H759" i="1"/>
  <c r="N235" i="20" l="1"/>
  <c r="O235" i="20" s="1"/>
  <c r="N236" i="20"/>
  <c r="O236" i="20" s="1"/>
  <c r="H599" i="1" l="1"/>
  <c r="A257" i="17" l="1"/>
  <c r="A280" i="20"/>
  <c r="H280" i="20" s="1"/>
  <c r="O874" i="1"/>
  <c r="W874" i="1" s="1"/>
  <c r="H874" i="1"/>
  <c r="J257" i="17" l="1"/>
  <c r="L257" i="17"/>
  <c r="K257" i="17"/>
  <c r="T101" i="15" l="1"/>
  <c r="O1323" i="1" l="1"/>
  <c r="W1323" i="1" s="1"/>
  <c r="O1322" i="1"/>
  <c r="W1322" i="1" s="1"/>
  <c r="O1321" i="1"/>
  <c r="W1321" i="1" s="1"/>
  <c r="O1320" i="1"/>
  <c r="W1320" i="1" s="1"/>
  <c r="O1319" i="1"/>
  <c r="W1319" i="1" s="1"/>
  <c r="O1318" i="1"/>
  <c r="W1318" i="1" s="1"/>
  <c r="O1317" i="1"/>
  <c r="W1317" i="1" s="1"/>
  <c r="O1316" i="1"/>
  <c r="W1316" i="1" s="1"/>
  <c r="O1315" i="1"/>
  <c r="W1315" i="1" s="1"/>
  <c r="O1314" i="1"/>
  <c r="W1314" i="1" s="1"/>
  <c r="W1313" i="1"/>
  <c r="K588" i="20" s="1"/>
  <c r="L588" i="20" s="1"/>
  <c r="W1312" i="1"/>
  <c r="K587" i="20" s="1"/>
  <c r="L587" i="20" s="1"/>
  <c r="W1311" i="1"/>
  <c r="K586" i="20" s="1"/>
  <c r="L586" i="20" s="1"/>
  <c r="W1310" i="1"/>
  <c r="K585" i="20" s="1"/>
  <c r="L585" i="20" s="1"/>
  <c r="W1309" i="1"/>
  <c r="K584" i="20" s="1"/>
  <c r="L584" i="20" s="1"/>
  <c r="W1308" i="1"/>
  <c r="K583" i="20" s="1"/>
  <c r="L583" i="20" s="1"/>
  <c r="W1307" i="1"/>
  <c r="K582" i="20" s="1"/>
  <c r="L582" i="20" s="1"/>
  <c r="W1306" i="1"/>
  <c r="K581" i="20" s="1"/>
  <c r="L581" i="20" s="1"/>
  <c r="W1305" i="1"/>
  <c r="K580" i="20" s="1"/>
  <c r="L580" i="20" s="1"/>
  <c r="W1304" i="1"/>
  <c r="K579" i="20" s="1"/>
  <c r="L579" i="20" s="1"/>
  <c r="W1303" i="1"/>
  <c r="K578" i="20" s="1"/>
  <c r="L578" i="20" s="1"/>
  <c r="W1122" i="1"/>
  <c r="K577" i="20" s="1"/>
  <c r="L577" i="20" s="1"/>
  <c r="W1124" i="1"/>
  <c r="K576" i="20" s="1"/>
  <c r="L576" i="20" s="1"/>
  <c r="W1113" i="1"/>
  <c r="K575" i="20" s="1"/>
  <c r="L575" i="20" s="1"/>
  <c r="W1120" i="1"/>
  <c r="K574" i="20" s="1"/>
  <c r="L574" i="20" s="1"/>
  <c r="W1121" i="1"/>
  <c r="K573" i="20" s="1"/>
  <c r="L573" i="20" s="1"/>
  <c r="W1123" i="1"/>
  <c r="K572" i="20" s="1"/>
  <c r="L572" i="20" s="1"/>
  <c r="W1302" i="1"/>
  <c r="K571" i="20" s="1"/>
  <c r="L571" i="20" s="1"/>
  <c r="W1295" i="1"/>
  <c r="K570" i="20" s="1"/>
  <c r="L570" i="20" s="1"/>
  <c r="W1294" i="1"/>
  <c r="K569" i="20" s="1"/>
  <c r="L569" i="20" s="1"/>
  <c r="W1293" i="1"/>
  <c r="K568" i="20" s="1"/>
  <c r="L568" i="20" s="1"/>
  <c r="W1292" i="1"/>
  <c r="K567" i="20" s="1"/>
  <c r="L567" i="20" s="1"/>
  <c r="W1291" i="1"/>
  <c r="K566" i="20" s="1"/>
  <c r="L566" i="20" s="1"/>
  <c r="W1290" i="1"/>
  <c r="K565" i="20" s="1"/>
  <c r="L565" i="20" s="1"/>
  <c r="W1289" i="1"/>
  <c r="K564" i="20" s="1"/>
  <c r="L564" i="20" s="1"/>
  <c r="W1288" i="1"/>
  <c r="K563" i="20" s="1"/>
  <c r="L563" i="20" s="1"/>
  <c r="W1287" i="1"/>
  <c r="K562" i="20" s="1"/>
  <c r="L562" i="20" s="1"/>
  <c r="W1286" i="1"/>
  <c r="K561" i="20" s="1"/>
  <c r="L561" i="20" s="1"/>
  <c r="W1285" i="1"/>
  <c r="K560" i="20" s="1"/>
  <c r="L560" i="20" s="1"/>
  <c r="W1284" i="1"/>
  <c r="K559" i="20" s="1"/>
  <c r="L559" i="20" s="1"/>
  <c r="W1283" i="1"/>
  <c r="K558" i="20" s="1"/>
  <c r="L558" i="20" s="1"/>
  <c r="W1282" i="1"/>
  <c r="K557" i="20" s="1"/>
  <c r="L557" i="20" s="1"/>
  <c r="W1281" i="1"/>
  <c r="K556" i="20" s="1"/>
  <c r="L556" i="20" s="1"/>
  <c r="W1280" i="1"/>
  <c r="K555" i="20" s="1"/>
  <c r="L555" i="20" s="1"/>
  <c r="W1279" i="1"/>
  <c r="K554" i="20" s="1"/>
  <c r="L554" i="20" s="1"/>
  <c r="W1278" i="1"/>
  <c r="K553" i="20" s="1"/>
  <c r="L553" i="20" s="1"/>
  <c r="W1277" i="1"/>
  <c r="K552" i="20" s="1"/>
  <c r="L552" i="20" s="1"/>
  <c r="W1276" i="1"/>
  <c r="K551" i="20" s="1"/>
  <c r="L551" i="20" s="1"/>
  <c r="W1275" i="1"/>
  <c r="K550" i="20" s="1"/>
  <c r="L550" i="20" s="1"/>
  <c r="W1274" i="1"/>
  <c r="K549" i="20" s="1"/>
  <c r="L549" i="20" s="1"/>
  <c r="W1273" i="1"/>
  <c r="K548" i="20" s="1"/>
  <c r="L548" i="20" s="1"/>
  <c r="W1272" i="1"/>
  <c r="K547" i="20" s="1"/>
  <c r="L547" i="20" s="1"/>
  <c r="W1271" i="1"/>
  <c r="K546" i="20" s="1"/>
  <c r="L546" i="20" s="1"/>
  <c r="W1270" i="1"/>
  <c r="K545" i="20" s="1"/>
  <c r="L545" i="20" s="1"/>
  <c r="W1269" i="1"/>
  <c r="K544" i="20" s="1"/>
  <c r="L544" i="20" s="1"/>
  <c r="W1268" i="1"/>
  <c r="K543" i="20" s="1"/>
  <c r="L543" i="20" s="1"/>
  <c r="W1267" i="1"/>
  <c r="K542" i="20" s="1"/>
  <c r="L542" i="20" s="1"/>
  <c r="W1266" i="1"/>
  <c r="K541" i="20" s="1"/>
  <c r="L541" i="20" s="1"/>
  <c r="W1265" i="1"/>
  <c r="K540" i="20" s="1"/>
  <c r="L540" i="20" s="1"/>
  <c r="W1264" i="1"/>
  <c r="K539" i="20" s="1"/>
  <c r="L539" i="20" s="1"/>
  <c r="W1263" i="1"/>
  <c r="K538" i="20" s="1"/>
  <c r="L538" i="20" s="1"/>
  <c r="W1262" i="1"/>
  <c r="K537" i="20" s="1"/>
  <c r="L537" i="20" s="1"/>
  <c r="W1261" i="1"/>
  <c r="K536" i="20" s="1"/>
  <c r="L536" i="20" s="1"/>
  <c r="W1260" i="1"/>
  <c r="K535" i="20" s="1"/>
  <c r="L535" i="20" s="1"/>
  <c r="H1314" i="1"/>
  <c r="H1315" i="1"/>
  <c r="H1316" i="1"/>
  <c r="H1317" i="1"/>
  <c r="H1318" i="1"/>
  <c r="H1319" i="1"/>
  <c r="H1320" i="1"/>
  <c r="H1321" i="1"/>
  <c r="H1322" i="1"/>
  <c r="H1323" i="1"/>
  <c r="A575" i="17"/>
  <c r="A574" i="17"/>
  <c r="A573" i="17"/>
  <c r="A572" i="17"/>
  <c r="A571" i="17"/>
  <c r="A570" i="17"/>
  <c r="A569" i="17"/>
  <c r="A568" i="17"/>
  <c r="A567" i="17"/>
  <c r="A566"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L215"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4" i="17"/>
  <c r="L243" i="17"/>
  <c r="L292" i="17"/>
  <c r="L340" i="17"/>
  <c r="L380" i="17"/>
  <c r="L16" i="17"/>
  <c r="L24" i="17"/>
  <c r="L32" i="17"/>
  <c r="L40" i="17"/>
  <c r="L48" i="17"/>
  <c r="L56" i="17"/>
  <c r="L64" i="17"/>
  <c r="L72" i="17"/>
  <c r="L80" i="17"/>
  <c r="L88" i="17"/>
  <c r="L96" i="17"/>
  <c r="L104" i="17"/>
  <c r="L113" i="17"/>
  <c r="L121" i="17"/>
  <c r="L129" i="17"/>
  <c r="L137" i="17"/>
  <c r="L145" i="17"/>
  <c r="L153" i="17"/>
  <c r="L161" i="17"/>
  <c r="L169" i="17"/>
  <c r="L185" i="17"/>
  <c r="L193" i="17"/>
  <c r="L201" i="17"/>
  <c r="L209" i="17"/>
  <c r="L220" i="17"/>
  <c r="L228" i="17"/>
  <c r="L236" i="17"/>
  <c r="L244" i="17"/>
  <c r="L252" i="17"/>
  <c r="L261" i="17"/>
  <c r="L269" i="17"/>
  <c r="L277" i="17"/>
  <c r="L285" i="17"/>
  <c r="L293" i="17"/>
  <c r="L301" i="17"/>
  <c r="L309" i="17"/>
  <c r="L317" i="17"/>
  <c r="L325" i="17"/>
  <c r="L333" i="17"/>
  <c r="L341" i="17"/>
  <c r="L349" i="17"/>
  <c r="L357" i="17"/>
  <c r="L365" i="17"/>
  <c r="L373" i="17"/>
  <c r="L381" i="17"/>
  <c r="L389" i="17"/>
  <c r="L397" i="17"/>
  <c r="L405" i="17"/>
  <c r="L413" i="17"/>
  <c r="L421" i="17"/>
  <c r="L429" i="17"/>
  <c r="L34" i="17"/>
  <c r="L74" i="17"/>
  <c r="L106" i="17"/>
  <c r="L131" i="17"/>
  <c r="L163" i="17"/>
  <c r="L187" i="17"/>
  <c r="L203" i="17"/>
  <c r="L230" i="17"/>
  <c r="L246" i="17"/>
  <c r="L263" i="17"/>
  <c r="L295" i="17"/>
  <c r="L311" i="17"/>
  <c r="L327" i="17"/>
  <c r="L335" i="17"/>
  <c r="L359" i="17"/>
  <c r="L375" i="17"/>
  <c r="L391" i="17"/>
  <c r="L415" i="17"/>
  <c r="L19" i="17"/>
  <c r="L51" i="17"/>
  <c r="L67" i="17"/>
  <c r="L99" i="17"/>
  <c r="L124" i="17"/>
  <c r="L148" i="17"/>
  <c r="L156" i="17"/>
  <c r="L172" i="17"/>
  <c r="L196" i="17"/>
  <c r="L204" i="17"/>
  <c r="L23" i="17"/>
  <c r="L71" i="17"/>
  <c r="L112" i="17"/>
  <c r="L144" i="17"/>
  <c r="L168" i="17"/>
  <c r="L219" i="17"/>
  <c r="L260" i="17"/>
  <c r="L284" i="17"/>
  <c r="L332" i="17"/>
  <c r="L372" i="17"/>
  <c r="L9" i="17"/>
  <c r="L41" i="17"/>
  <c r="L97" i="17"/>
  <c r="L154" i="17"/>
  <c r="L245" i="17"/>
  <c r="L26" i="17"/>
  <c r="L58" i="17"/>
  <c r="L82" i="17"/>
  <c r="L98" i="17"/>
  <c r="L115" i="17"/>
  <c r="L123" i="17"/>
  <c r="L155" i="17"/>
  <c r="L171" i="17"/>
  <c r="L195" i="17"/>
  <c r="L211" i="17"/>
  <c r="L222" i="17"/>
  <c r="L238" i="17"/>
  <c r="L254" i="17"/>
  <c r="L271" i="17"/>
  <c r="L279" i="17"/>
  <c r="L287" i="17"/>
  <c r="L303" i="17"/>
  <c r="L319" i="17"/>
  <c r="L343" i="17"/>
  <c r="L351" i="17"/>
  <c r="L367" i="17"/>
  <c r="L383" i="17"/>
  <c r="L399" i="17"/>
  <c r="L407" i="17"/>
  <c r="L423" i="17"/>
  <c r="L27" i="17"/>
  <c r="L43" i="17"/>
  <c r="L59" i="17"/>
  <c r="L83" i="17"/>
  <c r="L108" i="17"/>
  <c r="L132" i="17"/>
  <c r="L188" i="17"/>
  <c r="L20" i="17"/>
  <c r="L28" i="17"/>
  <c r="L36" i="17"/>
  <c r="L44" i="17"/>
  <c r="L52" i="17"/>
  <c r="L60" i="17"/>
  <c r="L68" i="17"/>
  <c r="L76" i="17"/>
  <c r="L84" i="17"/>
  <c r="L92" i="17"/>
  <c r="L100" i="17"/>
  <c r="L109" i="17"/>
  <c r="L117" i="17"/>
  <c r="L125" i="17"/>
  <c r="L133" i="17"/>
  <c r="L141" i="17"/>
  <c r="L149" i="17"/>
  <c r="L157" i="17"/>
  <c r="L165" i="17"/>
  <c r="L173" i="17"/>
  <c r="L189" i="17"/>
  <c r="L197" i="17"/>
  <c r="L205" i="17"/>
  <c r="L216" i="17"/>
  <c r="L224" i="17"/>
  <c r="L232" i="17"/>
  <c r="L240" i="17"/>
  <c r="L248" i="17"/>
  <c r="L256" i="17"/>
  <c r="L265" i="17"/>
  <c r="L273" i="17"/>
  <c r="L281" i="17"/>
  <c r="L289" i="17"/>
  <c r="L297" i="17"/>
  <c r="L305" i="17"/>
  <c r="L313" i="17"/>
  <c r="L321" i="17"/>
  <c r="L329" i="17"/>
  <c r="L337" i="17"/>
  <c r="L345" i="17"/>
  <c r="L353" i="17"/>
  <c r="L361" i="17"/>
  <c r="L369" i="17"/>
  <c r="L377" i="17"/>
  <c r="L385" i="17"/>
  <c r="L393" i="17"/>
  <c r="L401" i="17"/>
  <c r="L409" i="17"/>
  <c r="L417" i="17"/>
  <c r="L425" i="17"/>
  <c r="L15" i="17"/>
  <c r="L47" i="17"/>
  <c r="L63" i="17"/>
  <c r="L79" i="17"/>
  <c r="L103" i="17"/>
  <c r="L128" i="17"/>
  <c r="L160" i="17"/>
  <c r="L200" i="17"/>
  <c r="L235" i="17"/>
  <c r="L268" i="17"/>
  <c r="L300" i="17"/>
  <c r="L324" i="17"/>
  <c r="L364" i="17"/>
  <c r="L396" i="17"/>
  <c r="L404" i="17"/>
  <c r="L420" i="17"/>
  <c r="L428" i="17"/>
  <c r="L17" i="17"/>
  <c r="L33" i="17"/>
  <c r="L49" i="17"/>
  <c r="L73" i="17"/>
  <c r="L89" i="17"/>
  <c r="L114" i="17"/>
  <c r="L130" i="17"/>
  <c r="L146" i="17"/>
  <c r="L170" i="17"/>
  <c r="L194" i="17"/>
  <c r="L210" i="17"/>
  <c r="L237" i="17"/>
  <c r="L262" i="17"/>
  <c r="L278" i="17"/>
  <c r="L294" i="17"/>
  <c r="L310" i="17"/>
  <c r="L326" i="17"/>
  <c r="L350" i="17"/>
  <c r="L358" i="17"/>
  <c r="L374" i="17"/>
  <c r="L390" i="17"/>
  <c r="L398" i="17"/>
  <c r="L414" i="17"/>
  <c r="L430" i="17"/>
  <c r="L18" i="17"/>
  <c r="L50" i="17"/>
  <c r="L66" i="17"/>
  <c r="L147"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3" i="17"/>
  <c r="L21" i="17"/>
  <c r="L29" i="17"/>
  <c r="L37" i="17"/>
  <c r="L45" i="17"/>
  <c r="L53" i="17"/>
  <c r="L61" i="17"/>
  <c r="L69" i="17"/>
  <c r="L77" i="17"/>
  <c r="L85" i="17"/>
  <c r="L93" i="17"/>
  <c r="L101" i="17"/>
  <c r="L110" i="17"/>
  <c r="L118" i="17"/>
  <c r="L126" i="17"/>
  <c r="L134" i="17"/>
  <c r="L142" i="17"/>
  <c r="L150" i="17"/>
  <c r="L158" i="17"/>
  <c r="L166" i="17"/>
  <c r="L181"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L39" i="17"/>
  <c r="L55" i="17"/>
  <c r="L87" i="17"/>
  <c r="L95" i="17"/>
  <c r="L136" i="17"/>
  <c r="L152" i="17"/>
  <c r="L192" i="17"/>
  <c r="L208" i="17"/>
  <c r="L227" i="17"/>
  <c r="L251" i="17"/>
  <c r="L276" i="17"/>
  <c r="L308" i="17"/>
  <c r="L316" i="17"/>
  <c r="L348" i="17"/>
  <c r="L356" i="17"/>
  <c r="L388" i="17"/>
  <c r="L412" i="17"/>
  <c r="L25" i="17"/>
  <c r="L57" i="17"/>
  <c r="L65" i="17"/>
  <c r="L81" i="17"/>
  <c r="L105" i="17"/>
  <c r="L122" i="17"/>
  <c r="L138" i="17"/>
  <c r="L162" i="17"/>
  <c r="L186" i="17"/>
  <c r="L202" i="17"/>
  <c r="L221" i="17"/>
  <c r="L229" i="17"/>
  <c r="L253" i="17"/>
  <c r="L270" i="17"/>
  <c r="L286" i="17"/>
  <c r="L302" i="17"/>
  <c r="L318" i="17"/>
  <c r="L334" i="17"/>
  <c r="L342" i="17"/>
  <c r="L366" i="17"/>
  <c r="L382" i="17"/>
  <c r="L406" i="17"/>
  <c r="L422"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J432" i="17"/>
  <c r="L432" i="17"/>
  <c r="K432" i="17"/>
  <c r="J444" i="17"/>
  <c r="L444" i="17"/>
  <c r="K444" i="17"/>
  <c r="J452" i="17"/>
  <c r="L452" i="17"/>
  <c r="K452" i="17"/>
  <c r="J456" i="17"/>
  <c r="L456" i="17"/>
  <c r="K456" i="17"/>
  <c r="L464" i="17"/>
  <c r="J464" i="17"/>
  <c r="K464" i="17"/>
  <c r="L472" i="17"/>
  <c r="K472" i="17"/>
  <c r="J472" i="17"/>
  <c r="L480" i="17"/>
  <c r="J480" i="17"/>
  <c r="K480" i="17"/>
  <c r="L488" i="17"/>
  <c r="K488" i="17"/>
  <c r="J488" i="17"/>
  <c r="L501" i="17"/>
  <c r="K501" i="17"/>
  <c r="J501" i="17"/>
  <c r="L509" i="17"/>
  <c r="J509" i="17"/>
  <c r="K509" i="17"/>
  <c r="J517" i="17"/>
  <c r="K517" i="17"/>
  <c r="L517" i="17"/>
  <c r="J525" i="17"/>
  <c r="L525" i="17"/>
  <c r="K525" i="17"/>
  <c r="J533" i="17"/>
  <c r="K533" i="17"/>
  <c r="L533" i="17"/>
  <c r="J541" i="17"/>
  <c r="L541" i="17"/>
  <c r="K541" i="17"/>
  <c r="J545" i="17"/>
  <c r="L545" i="17"/>
  <c r="K545" i="17"/>
  <c r="J553" i="17"/>
  <c r="L553" i="17"/>
  <c r="K553" i="17"/>
  <c r="J561" i="17"/>
  <c r="L561" i="17"/>
  <c r="K561" i="17"/>
  <c r="J566" i="17"/>
  <c r="K566" i="17"/>
  <c r="L566" i="17"/>
  <c r="J570" i="17"/>
  <c r="L570" i="17"/>
  <c r="K570" i="17"/>
  <c r="K433" i="17"/>
  <c r="J433" i="17"/>
  <c r="L433" i="17"/>
  <c r="K437" i="17"/>
  <c r="J437" i="17"/>
  <c r="L437" i="17"/>
  <c r="K445" i="17"/>
  <c r="J445" i="17"/>
  <c r="L445" i="17"/>
  <c r="K449" i="17"/>
  <c r="L449" i="17"/>
  <c r="J449" i="17"/>
  <c r="K453" i="17"/>
  <c r="L453" i="17"/>
  <c r="J453" i="17"/>
  <c r="K461" i="17"/>
  <c r="L461" i="17"/>
  <c r="J461" i="17"/>
  <c r="K469" i="17"/>
  <c r="L469" i="17"/>
  <c r="J469" i="17"/>
  <c r="J477" i="17"/>
  <c r="L477" i="17"/>
  <c r="K477" i="17"/>
  <c r="J485" i="17"/>
  <c r="K485" i="17"/>
  <c r="L485" i="17"/>
  <c r="J493" i="17"/>
  <c r="L493" i="17"/>
  <c r="K493" i="17"/>
  <c r="J506" i="17"/>
  <c r="L506" i="17"/>
  <c r="K506" i="17"/>
  <c r="K514" i="17"/>
  <c r="L514" i="17"/>
  <c r="J514" i="17"/>
  <c r="K522" i="17"/>
  <c r="L522" i="17"/>
  <c r="J522" i="17"/>
  <c r="K530" i="17"/>
  <c r="L530" i="17"/>
  <c r="J530" i="17"/>
  <c r="K538" i="17"/>
  <c r="L538" i="17"/>
  <c r="J538" i="17"/>
  <c r="K550" i="17"/>
  <c r="L550" i="17"/>
  <c r="J550" i="17"/>
  <c r="K558" i="17"/>
  <c r="J558" i="17"/>
  <c r="L558" i="17"/>
  <c r="K571" i="17"/>
  <c r="L571" i="17"/>
  <c r="J571" i="17"/>
  <c r="J436" i="17"/>
  <c r="L436" i="17"/>
  <c r="K436" i="17"/>
  <c r="J440" i="17"/>
  <c r="L440" i="17"/>
  <c r="K440" i="17"/>
  <c r="J448" i="17"/>
  <c r="L448" i="17"/>
  <c r="K448" i="17"/>
  <c r="J460" i="17"/>
  <c r="L460" i="17"/>
  <c r="K460" i="17"/>
  <c r="L468" i="17"/>
  <c r="K468" i="17"/>
  <c r="J468" i="17"/>
  <c r="L476" i="17"/>
  <c r="K476" i="17"/>
  <c r="J476" i="17"/>
  <c r="L484" i="17"/>
  <c r="K484" i="17"/>
  <c r="J484" i="17"/>
  <c r="L492" i="17"/>
  <c r="K492" i="17"/>
  <c r="J492" i="17"/>
  <c r="L505" i="17"/>
  <c r="K505" i="17"/>
  <c r="J505" i="17"/>
  <c r="J513" i="17"/>
  <c r="L513" i="17"/>
  <c r="K513" i="17"/>
  <c r="J521" i="17"/>
  <c r="L521" i="17"/>
  <c r="K521" i="17"/>
  <c r="J529" i="17"/>
  <c r="L529" i="17"/>
  <c r="K529" i="17"/>
  <c r="J537" i="17"/>
  <c r="L537" i="17"/>
  <c r="K537" i="17"/>
  <c r="J549" i="17"/>
  <c r="K549" i="17"/>
  <c r="L549" i="17"/>
  <c r="J557" i="17"/>
  <c r="L557" i="17"/>
  <c r="K557" i="17"/>
  <c r="J574" i="17"/>
  <c r="L574" i="17"/>
  <c r="K574" i="17"/>
  <c r="K441" i="17"/>
  <c r="J441" i="17"/>
  <c r="L441" i="17"/>
  <c r="K457" i="17"/>
  <c r="J457" i="17"/>
  <c r="L457" i="17"/>
  <c r="L465" i="17"/>
  <c r="K465" i="17"/>
  <c r="J465" i="17"/>
  <c r="J473" i="17"/>
  <c r="L473" i="17"/>
  <c r="K473" i="17"/>
  <c r="J481" i="17"/>
  <c r="L481" i="17"/>
  <c r="K481" i="17"/>
  <c r="J489" i="17"/>
  <c r="L489" i="17"/>
  <c r="K489" i="17"/>
  <c r="J502" i="17"/>
  <c r="L502" i="17"/>
  <c r="K502" i="17"/>
  <c r="K510" i="17"/>
  <c r="J510" i="17"/>
  <c r="L510" i="17"/>
  <c r="K518" i="17"/>
  <c r="L518" i="17"/>
  <c r="J518" i="17"/>
  <c r="K526" i="17"/>
  <c r="J526" i="17"/>
  <c r="L526" i="17"/>
  <c r="K534" i="17"/>
  <c r="L534" i="17"/>
  <c r="J534" i="17"/>
  <c r="K542" i="17"/>
  <c r="J542" i="17"/>
  <c r="L542" i="17"/>
  <c r="K546" i="17"/>
  <c r="L546" i="17"/>
  <c r="J546" i="17"/>
  <c r="K554" i="17"/>
  <c r="L554" i="17"/>
  <c r="J554" i="17"/>
  <c r="K567" i="17"/>
  <c r="L567" i="17"/>
  <c r="J567" i="17"/>
  <c r="L575" i="17"/>
  <c r="K575" i="17"/>
  <c r="J575" i="17"/>
  <c r="L434" i="17"/>
  <c r="K434" i="17"/>
  <c r="J434" i="17"/>
  <c r="L438" i="17"/>
  <c r="K438" i="17"/>
  <c r="J438" i="17"/>
  <c r="L442" i="17"/>
  <c r="K442" i="17"/>
  <c r="J442" i="17"/>
  <c r="L446" i="17"/>
  <c r="J446" i="17"/>
  <c r="K446" i="17"/>
  <c r="L450" i="17"/>
  <c r="K450" i="17"/>
  <c r="J450" i="17"/>
  <c r="L454" i="17"/>
  <c r="J454" i="17"/>
  <c r="K454" i="17"/>
  <c r="L458" i="17"/>
  <c r="K458" i="17"/>
  <c r="J458" i="17"/>
  <c r="L462" i="17"/>
  <c r="K462" i="17"/>
  <c r="J462" i="17"/>
  <c r="J466" i="17"/>
  <c r="K466" i="17"/>
  <c r="L466" i="17"/>
  <c r="J470" i="17"/>
  <c r="L470" i="17"/>
  <c r="K470" i="17"/>
  <c r="J474" i="17"/>
  <c r="L474" i="17"/>
  <c r="K474" i="17"/>
  <c r="K478" i="17"/>
  <c r="J478" i="17"/>
  <c r="L478" i="17"/>
  <c r="K482" i="17"/>
  <c r="J482" i="17"/>
  <c r="L482" i="17"/>
  <c r="K486" i="17"/>
  <c r="J486" i="17"/>
  <c r="L486" i="17"/>
  <c r="K490" i="17"/>
  <c r="J490" i="17"/>
  <c r="L490" i="17"/>
  <c r="K499" i="17"/>
  <c r="J499" i="17"/>
  <c r="L499" i="17"/>
  <c r="K503" i="17"/>
  <c r="J503" i="17"/>
  <c r="L503" i="17"/>
  <c r="K507" i="17"/>
  <c r="J507" i="17"/>
  <c r="L507" i="17"/>
  <c r="L511" i="17"/>
  <c r="K511" i="17"/>
  <c r="J511" i="17"/>
  <c r="L515" i="17"/>
  <c r="K515" i="17"/>
  <c r="J515" i="17"/>
  <c r="L519" i="17"/>
  <c r="J519" i="17"/>
  <c r="K519" i="17"/>
  <c r="L523" i="17"/>
  <c r="K523" i="17"/>
  <c r="J523" i="17"/>
  <c r="L527" i="17"/>
  <c r="K527" i="17"/>
  <c r="J527" i="17"/>
  <c r="L531" i="17"/>
  <c r="K531" i="17"/>
  <c r="J531" i="17"/>
  <c r="L535" i="17"/>
  <c r="J535" i="17"/>
  <c r="K535" i="17"/>
  <c r="L539" i="17"/>
  <c r="K539" i="17"/>
  <c r="J539" i="17"/>
  <c r="L543" i="17"/>
  <c r="K543" i="17"/>
  <c r="J543" i="17"/>
  <c r="L547" i="17"/>
  <c r="K547" i="17"/>
  <c r="J547" i="17"/>
  <c r="L551" i="17"/>
  <c r="J551" i="17"/>
  <c r="K551" i="17"/>
  <c r="L555" i="17"/>
  <c r="K555" i="17"/>
  <c r="J555" i="17"/>
  <c r="L559" i="17"/>
  <c r="K559" i="17"/>
  <c r="J559" i="17"/>
  <c r="L568" i="17"/>
  <c r="J568" i="17"/>
  <c r="K568" i="17"/>
  <c r="L572" i="17"/>
  <c r="J572" i="17"/>
  <c r="K572" i="17"/>
  <c r="L431" i="17"/>
  <c r="K431" i="17"/>
  <c r="J431" i="17"/>
  <c r="K435" i="17"/>
  <c r="L435" i="17"/>
  <c r="J435" i="17"/>
  <c r="K439" i="17"/>
  <c r="L439" i="17"/>
  <c r="J439" i="17"/>
  <c r="K443" i="17"/>
  <c r="L443" i="17"/>
  <c r="J443" i="17"/>
  <c r="L447" i="17"/>
  <c r="K447" i="17"/>
  <c r="J447" i="17"/>
  <c r="K451" i="17"/>
  <c r="L451" i="17"/>
  <c r="J451" i="17"/>
  <c r="L455" i="17"/>
  <c r="K455" i="17"/>
  <c r="J455" i="17"/>
  <c r="K459" i="17"/>
  <c r="J459" i="17"/>
  <c r="L459" i="17"/>
  <c r="K463" i="17"/>
  <c r="L463" i="17"/>
  <c r="J463" i="17"/>
  <c r="K467" i="17"/>
  <c r="L467" i="17"/>
  <c r="J467" i="17"/>
  <c r="K471" i="17"/>
  <c r="J471" i="17"/>
  <c r="L471" i="17"/>
  <c r="K475" i="17"/>
  <c r="L475" i="17"/>
  <c r="J475" i="17"/>
  <c r="L479" i="17"/>
  <c r="K479" i="17"/>
  <c r="J479" i="17"/>
  <c r="L483" i="17"/>
  <c r="K483" i="17"/>
  <c r="J483" i="17"/>
  <c r="L487" i="17"/>
  <c r="K487" i="17"/>
  <c r="J487" i="17"/>
  <c r="L491" i="17"/>
  <c r="K491" i="17"/>
  <c r="J491" i="17"/>
  <c r="L500" i="17"/>
  <c r="K500" i="17"/>
  <c r="J500" i="17"/>
  <c r="L504" i="17"/>
  <c r="K504" i="17"/>
  <c r="J504" i="17"/>
  <c r="L508" i="17"/>
  <c r="K508" i="17"/>
  <c r="J508" i="17"/>
  <c r="J512" i="17"/>
  <c r="L512" i="17"/>
  <c r="K512" i="17"/>
  <c r="L516" i="17"/>
  <c r="J516" i="17"/>
  <c r="K516" i="17"/>
  <c r="L520" i="17"/>
  <c r="K520" i="17"/>
  <c r="J520" i="17"/>
  <c r="K524" i="17"/>
  <c r="J524" i="17"/>
  <c r="L524" i="17"/>
  <c r="J528" i="17"/>
  <c r="L528" i="17"/>
  <c r="K528" i="17"/>
  <c r="L532" i="17"/>
  <c r="K532" i="17"/>
  <c r="J532" i="17"/>
  <c r="L536" i="17"/>
  <c r="K536" i="17"/>
  <c r="J536" i="17"/>
  <c r="K540" i="17"/>
  <c r="J540" i="17"/>
  <c r="L540" i="17"/>
  <c r="J544" i="17"/>
  <c r="L544" i="17"/>
  <c r="K544" i="17"/>
  <c r="L548" i="17"/>
  <c r="K548" i="17"/>
  <c r="J548" i="17"/>
  <c r="L552" i="17"/>
  <c r="K552" i="17"/>
  <c r="J552" i="17"/>
  <c r="K556" i="17"/>
  <c r="J556" i="17"/>
  <c r="L556" i="17"/>
  <c r="J560" i="17"/>
  <c r="L560" i="17"/>
  <c r="K560" i="17"/>
  <c r="L569" i="17"/>
  <c r="K569" i="17"/>
  <c r="J569" i="17"/>
  <c r="K573" i="17"/>
  <c r="J573" i="17"/>
  <c r="L573" i="17"/>
  <c r="L214" i="17"/>
  <c r="L12" i="17"/>
  <c r="J12" i="17"/>
  <c r="K23" i="17"/>
  <c r="K87" i="17"/>
  <c r="K152" i="17"/>
  <c r="K218" i="17"/>
  <c r="K275" i="17"/>
  <c r="K339" i="17"/>
  <c r="K419" i="17"/>
  <c r="K112" i="17"/>
  <c r="K168" i="17"/>
  <c r="K242" i="17"/>
  <c r="K299" i="17"/>
  <c r="K331" i="17"/>
  <c r="K371" i="17"/>
  <c r="K411" i="17"/>
  <c r="K25" i="17"/>
  <c r="K103" i="17"/>
  <c r="K160" i="17"/>
  <c r="K208" i="17"/>
  <c r="K291" i="17"/>
  <c r="K347" i="17"/>
  <c r="K427" i="17"/>
  <c r="K47" i="17"/>
  <c r="K95" i="17"/>
  <c r="K144" i="17"/>
  <c r="K192" i="17"/>
  <c r="K234" i="17"/>
  <c r="K259" i="17"/>
  <c r="K307" i="17"/>
  <c r="K355" i="17"/>
  <c r="K387" i="17"/>
  <c r="K49" i="17"/>
  <c r="K65" i="17"/>
  <c r="J407" i="17"/>
  <c r="K136" i="17"/>
  <c r="K283" i="17"/>
  <c r="K403" i="17"/>
  <c r="K128" i="17"/>
  <c r="K184" i="17"/>
  <c r="K226" i="17"/>
  <c r="K267" i="17"/>
  <c r="K315" i="17"/>
  <c r="K363" i="17"/>
  <c r="K395" i="17"/>
  <c r="K425" i="17"/>
  <c r="K71" i="17"/>
  <c r="K120" i="17"/>
  <c r="K200" i="17"/>
  <c r="K250" i="17"/>
  <c r="K323" i="17"/>
  <c r="K379" i="17"/>
  <c r="J14" i="17"/>
  <c r="J38" i="17"/>
  <c r="J46" i="17"/>
  <c r="J70" i="17"/>
  <c r="J78" i="17"/>
  <c r="K86" i="17"/>
  <c r="K94" i="17"/>
  <c r="J102" i="17"/>
  <c r="K111" i="17"/>
  <c r="K119" i="17"/>
  <c r="K127" i="17"/>
  <c r="K135" i="17"/>
  <c r="J143" i="17"/>
  <c r="K151" i="17"/>
  <c r="K159" i="17"/>
  <c r="J167" i="17"/>
  <c r="J183" i="17"/>
  <c r="K191" i="17"/>
  <c r="K199" i="17"/>
  <c r="J207" i="17"/>
  <c r="J217" i="17"/>
  <c r="K225" i="17"/>
  <c r="K233" i="17"/>
  <c r="J241" i="17"/>
  <c r="K249" i="17"/>
  <c r="K258" i="17"/>
  <c r="K266" i="17"/>
  <c r="K274" i="17"/>
  <c r="J282" i="17"/>
  <c r="K290" i="17"/>
  <c r="K298" i="17"/>
  <c r="K306" i="17"/>
  <c r="K314" i="17"/>
  <c r="K322" i="17"/>
  <c r="K330" i="17"/>
  <c r="K338" i="17"/>
  <c r="J346" i="17"/>
  <c r="K354" i="17"/>
  <c r="K362" i="17"/>
  <c r="J370" i="17"/>
  <c r="K378" i="17"/>
  <c r="K386" i="17"/>
  <c r="K394" i="17"/>
  <c r="K402" i="17"/>
  <c r="J410" i="17"/>
  <c r="K418" i="17"/>
  <c r="K426" i="17"/>
  <c r="J75" i="17"/>
  <c r="J108" i="17"/>
  <c r="J140" i="17"/>
  <c r="K44" i="17"/>
  <c r="K68" i="17"/>
  <c r="K85" i="17"/>
  <c r="K93" i="17"/>
  <c r="K101" i="17"/>
  <c r="K110" i="17"/>
  <c r="K118" i="17"/>
  <c r="K126" i="17"/>
  <c r="K134" i="17"/>
  <c r="K142" i="17"/>
  <c r="K150" i="17"/>
  <c r="K158" i="17"/>
  <c r="K166" i="17"/>
  <c r="K181" i="17"/>
  <c r="K190" i="17"/>
  <c r="K198" i="17"/>
  <c r="K206" i="17"/>
  <c r="K216" i="17"/>
  <c r="K224" i="17"/>
  <c r="K232" i="17"/>
  <c r="K240" i="17"/>
  <c r="K248" i="17"/>
  <c r="K256" i="17"/>
  <c r="K265" i="17"/>
  <c r="K273" i="17"/>
  <c r="K281" i="17"/>
  <c r="K289" i="17"/>
  <c r="K297" i="17"/>
  <c r="K305" i="17"/>
  <c r="K313" i="17"/>
  <c r="K321" i="17"/>
  <c r="K329" i="17"/>
  <c r="K337" i="17"/>
  <c r="K345" i="17"/>
  <c r="K353" i="17"/>
  <c r="K361" i="17"/>
  <c r="K369" i="17"/>
  <c r="K377" i="17"/>
  <c r="K385" i="17"/>
  <c r="K393" i="17"/>
  <c r="K401" i="17"/>
  <c r="K409" i="17"/>
  <c r="K417" i="17"/>
  <c r="J43" i="17"/>
  <c r="J172" i="17"/>
  <c r="J214" i="17"/>
  <c r="J246" i="17"/>
  <c r="J279" i="17"/>
  <c r="J311" i="17"/>
  <c r="J343" i="17"/>
  <c r="J375" i="17"/>
  <c r="K28" i="17"/>
  <c r="J11" i="17"/>
  <c r="J427" i="17"/>
  <c r="J339" i="17"/>
  <c r="J233" i="17"/>
  <c r="J119" i="17"/>
  <c r="K102" i="17"/>
  <c r="J426" i="17"/>
  <c r="J322" i="17"/>
  <c r="J216" i="17"/>
  <c r="J95" i="17"/>
  <c r="K14" i="17"/>
  <c r="J409" i="17"/>
  <c r="J299" i="17"/>
  <c r="J208" i="17"/>
  <c r="J94" i="17"/>
  <c r="J403" i="17"/>
  <c r="J298" i="17"/>
  <c r="J191" i="17"/>
  <c r="J65" i="17"/>
  <c r="J386" i="17"/>
  <c r="J281" i="17"/>
  <c r="J160" i="17"/>
  <c r="J49" i="17"/>
  <c r="K370" i="17"/>
  <c r="J363" i="17"/>
  <c r="J275" i="17"/>
  <c r="J159" i="17"/>
  <c r="K282" i="17"/>
  <c r="J362" i="17"/>
  <c r="J258" i="17"/>
  <c r="J142" i="17"/>
  <c r="K207" i="17"/>
  <c r="J345" i="17"/>
  <c r="J234" i="17"/>
  <c r="J136" i="17"/>
  <c r="K183" i="17"/>
  <c r="K375" i="17"/>
  <c r="J37" i="17"/>
  <c r="K37" i="17"/>
  <c r="J118" i="17"/>
  <c r="K279" i="17"/>
  <c r="J22" i="17"/>
  <c r="K22" i="17"/>
  <c r="J425" i="17"/>
  <c r="J402" i="17"/>
  <c r="J379" i="17"/>
  <c r="J361" i="17"/>
  <c r="J338" i="17"/>
  <c r="J315" i="17"/>
  <c r="J297" i="17"/>
  <c r="J274" i="17"/>
  <c r="J250" i="17"/>
  <c r="J232" i="17"/>
  <c r="J184" i="17"/>
  <c r="J158" i="17"/>
  <c r="J135" i="17"/>
  <c r="J112" i="17"/>
  <c r="J93" i="17"/>
  <c r="J47" i="17"/>
  <c r="K346" i="17"/>
  <c r="K172" i="17"/>
  <c r="K78" i="17"/>
  <c r="K116" i="17"/>
  <c r="J116" i="17"/>
  <c r="K124" i="17"/>
  <c r="J124" i="17"/>
  <c r="J132" i="17"/>
  <c r="K132" i="17"/>
  <c r="K188" i="17"/>
  <c r="J188" i="17"/>
  <c r="K254" i="17"/>
  <c r="J254" i="17"/>
  <c r="J271" i="17"/>
  <c r="K271" i="17"/>
  <c r="K391" i="17"/>
  <c r="J391" i="17"/>
  <c r="K60" i="17"/>
  <c r="J60" i="17"/>
  <c r="K92" i="17"/>
  <c r="J92" i="17"/>
  <c r="K125" i="17"/>
  <c r="J125" i="17"/>
  <c r="K165" i="17"/>
  <c r="J165" i="17"/>
  <c r="K197" i="17"/>
  <c r="J197" i="17"/>
  <c r="K231" i="17"/>
  <c r="J231" i="17"/>
  <c r="K264" i="17"/>
  <c r="J264" i="17"/>
  <c r="K304" i="17"/>
  <c r="J304" i="17"/>
  <c r="K336" i="17"/>
  <c r="J336" i="17"/>
  <c r="K360" i="17"/>
  <c r="J360" i="17"/>
  <c r="K392" i="17"/>
  <c r="J392" i="17"/>
  <c r="K416" i="17"/>
  <c r="J416" i="17"/>
  <c r="J29" i="17"/>
  <c r="K29" i="17"/>
  <c r="J53" i="17"/>
  <c r="K53" i="17"/>
  <c r="J77" i="17"/>
  <c r="K77" i="17"/>
  <c r="K55" i="17"/>
  <c r="J55" i="17"/>
  <c r="K63" i="17"/>
  <c r="J63" i="17"/>
  <c r="J419" i="17"/>
  <c r="J401" i="17"/>
  <c r="J378" i="17"/>
  <c r="J355" i="17"/>
  <c r="J337" i="17"/>
  <c r="J314" i="17"/>
  <c r="J291" i="17"/>
  <c r="J273" i="17"/>
  <c r="J249" i="17"/>
  <c r="J226" i="17"/>
  <c r="J206" i="17"/>
  <c r="J152" i="17"/>
  <c r="J134" i="17"/>
  <c r="J111" i="17"/>
  <c r="J87" i="17"/>
  <c r="J44" i="17"/>
  <c r="K343" i="17"/>
  <c r="K167" i="17"/>
  <c r="K75" i="17"/>
  <c r="J99" i="17"/>
  <c r="K99" i="17"/>
  <c r="K52" i="17"/>
  <c r="J52" i="17"/>
  <c r="K84" i="17"/>
  <c r="J84" i="17"/>
  <c r="K109" i="17"/>
  <c r="J109" i="17"/>
  <c r="K141" i="17"/>
  <c r="J141" i="17"/>
  <c r="K173" i="17"/>
  <c r="J173" i="17"/>
  <c r="K223" i="17"/>
  <c r="J223" i="17"/>
  <c r="K272" i="17"/>
  <c r="J272" i="17"/>
  <c r="K296" i="17"/>
  <c r="J296" i="17"/>
  <c r="K328" i="17"/>
  <c r="J328" i="17"/>
  <c r="K368" i="17"/>
  <c r="J368" i="17"/>
  <c r="K400" i="17"/>
  <c r="J400" i="17"/>
  <c r="K424" i="17"/>
  <c r="J424" i="17"/>
  <c r="J13" i="17"/>
  <c r="K13" i="17"/>
  <c r="J61" i="17"/>
  <c r="K61" i="17"/>
  <c r="J385"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8" i="17"/>
  <c r="J395" i="17"/>
  <c r="J377" i="17"/>
  <c r="J354" i="17"/>
  <c r="J331" i="17"/>
  <c r="J313" i="17"/>
  <c r="J290" i="17"/>
  <c r="J267" i="17"/>
  <c r="J248" i="17"/>
  <c r="J225" i="17"/>
  <c r="J200" i="17"/>
  <c r="J181" i="17"/>
  <c r="J151" i="17"/>
  <c r="J128" i="17"/>
  <c r="J110" i="17"/>
  <c r="J86" i="17"/>
  <c r="J28" i="17"/>
  <c r="K410" i="17"/>
  <c r="K246" i="17"/>
  <c r="K143" i="17"/>
  <c r="K70" i="17"/>
  <c r="K287" i="17"/>
  <c r="J287" i="17"/>
  <c r="K295" i="17"/>
  <c r="J295" i="17"/>
  <c r="J303" i="17"/>
  <c r="K303" i="17"/>
  <c r="K319" i="17"/>
  <c r="J319" i="17"/>
  <c r="J335" i="17"/>
  <c r="K335" i="17"/>
  <c r="K359" i="17"/>
  <c r="J359" i="17"/>
  <c r="J367" i="17"/>
  <c r="K367" i="17"/>
  <c r="J399" i="17"/>
  <c r="K399" i="17"/>
  <c r="K12" i="17"/>
  <c r="K20" i="17"/>
  <c r="J20" i="17"/>
  <c r="K36" i="17"/>
  <c r="J36" i="17"/>
  <c r="K76" i="17"/>
  <c r="J76" i="17"/>
  <c r="K117" i="17"/>
  <c r="J117" i="17"/>
  <c r="K149" i="17"/>
  <c r="J149" i="17"/>
  <c r="K205" i="17"/>
  <c r="J205" i="17"/>
  <c r="K247" i="17"/>
  <c r="J247" i="17"/>
  <c r="K280" i="17"/>
  <c r="J280" i="17"/>
  <c r="K320" i="17"/>
  <c r="J320" i="17"/>
  <c r="K352" i="17"/>
  <c r="J352" i="17"/>
  <c r="K384" i="17"/>
  <c r="J384" i="17"/>
  <c r="K108" i="17"/>
  <c r="J256"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7" i="17"/>
  <c r="J394" i="17"/>
  <c r="J371" i="17"/>
  <c r="J353" i="17"/>
  <c r="J330" i="17"/>
  <c r="J307" i="17"/>
  <c r="J289" i="17"/>
  <c r="J266" i="17"/>
  <c r="J242" i="17"/>
  <c r="J224" i="17"/>
  <c r="J199" i="17"/>
  <c r="J168" i="17"/>
  <c r="J150" i="17"/>
  <c r="J127" i="17"/>
  <c r="J103" i="17"/>
  <c r="J85" i="17"/>
  <c r="J25" i="17"/>
  <c r="K407" i="17"/>
  <c r="K241"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6" i="17"/>
  <c r="J196" i="17"/>
  <c r="J204" i="17"/>
  <c r="K204" i="17"/>
  <c r="K222" i="17"/>
  <c r="J222" i="17"/>
  <c r="K230" i="17"/>
  <c r="J230" i="17"/>
  <c r="J238" i="17"/>
  <c r="K238" i="17"/>
  <c r="K263" i="17"/>
  <c r="J263" i="17"/>
  <c r="K327" i="17"/>
  <c r="J327" i="17"/>
  <c r="K351" i="17"/>
  <c r="J351" i="17"/>
  <c r="K383" i="17"/>
  <c r="J383" i="17"/>
  <c r="K100" i="17"/>
  <c r="J100" i="17"/>
  <c r="K133" i="17"/>
  <c r="J133" i="17"/>
  <c r="K157" i="17"/>
  <c r="J157" i="17"/>
  <c r="K189" i="17"/>
  <c r="J189" i="17"/>
  <c r="K215" i="17"/>
  <c r="J215" i="17"/>
  <c r="K239" i="17"/>
  <c r="J239" i="17"/>
  <c r="K255" i="17"/>
  <c r="J255" i="17"/>
  <c r="K288" i="17"/>
  <c r="J288" i="17"/>
  <c r="K312" i="17"/>
  <c r="J312" i="17"/>
  <c r="K344" i="17"/>
  <c r="J344" i="17"/>
  <c r="K376" i="17"/>
  <c r="J376" i="17"/>
  <c r="K408" i="17"/>
  <c r="J408" i="17"/>
  <c r="J21" i="17"/>
  <c r="K21" i="17"/>
  <c r="J45" i="17"/>
  <c r="K45" i="17"/>
  <c r="J69" i="17"/>
  <c r="K69" i="17"/>
  <c r="J321" i="17"/>
  <c r="J190"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7" i="17"/>
  <c r="J187" i="17"/>
  <c r="K195" i="17"/>
  <c r="J195" i="17"/>
  <c r="K203" i="17"/>
  <c r="J203" i="17"/>
  <c r="K211" i="17"/>
  <c r="J211" i="17"/>
  <c r="K221" i="17"/>
  <c r="J221" i="17"/>
  <c r="K229" i="17"/>
  <c r="J229" i="17"/>
  <c r="K237" i="17"/>
  <c r="J237" i="17"/>
  <c r="K245" i="17"/>
  <c r="J245" i="17"/>
  <c r="K253" i="17"/>
  <c r="J253" i="17"/>
  <c r="K262" i="17"/>
  <c r="J262" i="17"/>
  <c r="K270" i="17"/>
  <c r="J270" i="17"/>
  <c r="K278" i="17"/>
  <c r="J278" i="17"/>
  <c r="K286" i="17"/>
  <c r="J286" i="17"/>
  <c r="K294" i="17"/>
  <c r="J294" i="17"/>
  <c r="K302" i="17"/>
  <c r="J302" i="17"/>
  <c r="K310" i="17"/>
  <c r="J310" i="17"/>
  <c r="K318" i="17"/>
  <c r="J318" i="17"/>
  <c r="K326" i="17"/>
  <c r="J326" i="17"/>
  <c r="K334" i="17"/>
  <c r="J334" i="17"/>
  <c r="K342" i="17"/>
  <c r="J342" i="17"/>
  <c r="K350" i="17"/>
  <c r="J350" i="17"/>
  <c r="K358" i="17"/>
  <c r="J358" i="17"/>
  <c r="K366" i="17"/>
  <c r="J366" i="17"/>
  <c r="K374" i="17"/>
  <c r="J374" i="17"/>
  <c r="K382" i="17"/>
  <c r="J382" i="17"/>
  <c r="K390" i="17"/>
  <c r="J390" i="17"/>
  <c r="K398" i="17"/>
  <c r="J398" i="17"/>
  <c r="K406" i="17"/>
  <c r="J406" i="17"/>
  <c r="K414" i="17"/>
  <c r="J414" i="17"/>
  <c r="K422" i="17"/>
  <c r="J422" i="17"/>
  <c r="K430" i="17"/>
  <c r="J430" i="17"/>
  <c r="J411" i="17"/>
  <c r="J393" i="17"/>
  <c r="J347" i="17"/>
  <c r="J329" i="17"/>
  <c r="J306" i="17"/>
  <c r="J283" i="17"/>
  <c r="J265" i="17"/>
  <c r="J218" i="17"/>
  <c r="J198" i="17"/>
  <c r="J144" i="17"/>
  <c r="J126" i="17"/>
  <c r="J71" i="17"/>
  <c r="J23" i="17"/>
  <c r="K311" i="17"/>
  <c r="K217" i="17"/>
  <c r="K43" i="17"/>
  <c r="K415" i="17"/>
  <c r="J415" i="17"/>
  <c r="K423" i="17"/>
  <c r="J423" i="17"/>
  <c r="J387" i="17"/>
  <c r="J369" i="17"/>
  <c r="J323" i="17"/>
  <c r="J305" i="17"/>
  <c r="J259" i="17"/>
  <c r="J240" i="17"/>
  <c r="J192" i="17"/>
  <c r="J166" i="17"/>
  <c r="J120" i="17"/>
  <c r="J101" i="17"/>
  <c r="J68" i="17"/>
  <c r="K214" i="17"/>
  <c r="K38" i="17"/>
  <c r="T142" i="15" l="1"/>
  <c r="T141" i="15"/>
  <c r="T140" i="15"/>
  <c r="T139" i="15"/>
  <c r="T138" i="15"/>
  <c r="T136" i="15"/>
  <c r="T135" i="15"/>
  <c r="E38" i="15" s="1"/>
  <c r="T134" i="15"/>
  <c r="F38" i="15" s="1"/>
  <c r="A593" i="20"/>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H520" i="20"/>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A456" i="20"/>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Q371" i="20"/>
  <c r="I371" i="20"/>
  <c r="A371" i="20"/>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A204"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8" i="17"/>
  <c r="A7" i="17"/>
  <c r="H254" i="21" l="1"/>
  <c r="O254" i="21" s="1"/>
  <c r="D39" i="15"/>
  <c r="G36" i="15"/>
  <c r="G39" i="15" s="1"/>
  <c r="L7" i="17"/>
  <c r="L8" i="17"/>
  <c r="K7" i="17"/>
  <c r="J7" i="17"/>
  <c r="J8" i="17"/>
  <c r="K8" i="17"/>
  <c r="Z13" i="20"/>
  <c r="Z9" i="20" s="1"/>
  <c r="Y12" i="20"/>
  <c r="V13" i="19"/>
  <c r="U12" i="19"/>
  <c r="H1304" i="1"/>
  <c r="H1305" i="1"/>
  <c r="H1306" i="1"/>
  <c r="H1307" i="1"/>
  <c r="H1308" i="1"/>
  <c r="H1309" i="1"/>
  <c r="H1310" i="1"/>
  <c r="H1311" i="1"/>
  <c r="H1312" i="1"/>
  <c r="H1313" i="1"/>
  <c r="H1302" i="1"/>
  <c r="H1123" i="1"/>
  <c r="H1121" i="1"/>
  <c r="H1120" i="1"/>
  <c r="H1113" i="1"/>
  <c r="H1124" i="1"/>
  <c r="H1122" i="1"/>
  <c r="H1303" i="1"/>
  <c r="H1279" i="1"/>
  <c r="H1280" i="1"/>
  <c r="H1281" i="1"/>
  <c r="H1282" i="1"/>
  <c r="H1283" i="1"/>
  <c r="H1284" i="1"/>
  <c r="H1285" i="1"/>
  <c r="H1286" i="1"/>
  <c r="H1287" i="1"/>
  <c r="H1288" i="1"/>
  <c r="H1289" i="1"/>
  <c r="H1290" i="1"/>
  <c r="H1291" i="1"/>
  <c r="H1292" i="1"/>
  <c r="H1293" i="1"/>
  <c r="H1294" i="1"/>
  <c r="H1295" i="1"/>
  <c r="H1260" i="1"/>
  <c r="H1261" i="1"/>
  <c r="H1262" i="1"/>
  <c r="H1263" i="1"/>
  <c r="H1264" i="1"/>
  <c r="H1265" i="1"/>
  <c r="H1266" i="1"/>
  <c r="H1267" i="1"/>
  <c r="H1268" i="1"/>
  <c r="H1269" i="1"/>
  <c r="H1270" i="1"/>
  <c r="H1271" i="1"/>
  <c r="H1272" i="1"/>
  <c r="H1273" i="1"/>
  <c r="H1274" i="1"/>
  <c r="H1275" i="1"/>
  <c r="H1276" i="1"/>
  <c r="H1277" i="1"/>
  <c r="H1278"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7" i="1"/>
  <c r="H1118" i="1"/>
  <c r="H1119" i="1"/>
  <c r="H1155" i="1"/>
  <c r="H1156" i="1"/>
  <c r="H1157" i="1"/>
  <c r="H1114" i="1"/>
  <c r="H1115" i="1"/>
  <c r="H1116" i="1"/>
  <c r="H1152" i="1"/>
  <c r="H1153" i="1"/>
  <c r="H1154" i="1"/>
  <c r="H1299" i="1"/>
  <c r="H1300" i="1"/>
  <c r="H1301" i="1"/>
  <c r="H1296" i="1"/>
  <c r="H1297" i="1"/>
  <c r="H1298" i="1"/>
  <c r="H1158" i="1"/>
  <c r="H1159" i="1"/>
  <c r="H1160" i="1"/>
  <c r="H1131" i="1"/>
  <c r="H1132" i="1"/>
  <c r="H1133" i="1"/>
  <c r="H1128" i="1"/>
  <c r="H1129" i="1"/>
  <c r="H1130" i="1"/>
  <c r="H1125" i="1"/>
  <c r="H1126" i="1"/>
  <c r="H1127" i="1"/>
  <c r="H1149" i="1"/>
  <c r="H1150" i="1"/>
  <c r="H1151" i="1"/>
  <c r="H1146" i="1"/>
  <c r="H1147" i="1"/>
  <c r="H1148" i="1"/>
  <c r="H1137" i="1"/>
  <c r="H1138" i="1"/>
  <c r="H1139" i="1"/>
  <c r="H1140" i="1"/>
  <c r="H1141" i="1"/>
  <c r="H1142" i="1"/>
  <c r="H1143" i="1"/>
  <c r="H1144" i="1"/>
  <c r="H1145" i="1"/>
  <c r="H1134" i="1"/>
  <c r="H1135" i="1"/>
  <c r="H1136"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C24" i="3"/>
  <c r="C19" i="3"/>
  <c r="C16" i="3"/>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36" i="1"/>
  <c r="W1136" i="1" s="1"/>
  <c r="O1135" i="1"/>
  <c r="W1135" i="1" s="1"/>
  <c r="O1134" i="1"/>
  <c r="O1145" i="1"/>
  <c r="W1145" i="1" s="1"/>
  <c r="O1144" i="1"/>
  <c r="W1144" i="1" s="1"/>
  <c r="O1143" i="1"/>
  <c r="O1142" i="1"/>
  <c r="W1142" i="1" s="1"/>
  <c r="O1141" i="1"/>
  <c r="W1141" i="1" s="1"/>
  <c r="O1140" i="1"/>
  <c r="O1139" i="1"/>
  <c r="W1139" i="1" s="1"/>
  <c r="O1138" i="1"/>
  <c r="W1138" i="1" s="1"/>
  <c r="O1137" i="1"/>
  <c r="O1148" i="1"/>
  <c r="W1148" i="1" s="1"/>
  <c r="O1147" i="1"/>
  <c r="W1147" i="1" s="1"/>
  <c r="O1146" i="1"/>
  <c r="W1146" i="1" s="1"/>
  <c r="O1151" i="1"/>
  <c r="W1151" i="1" s="1"/>
  <c r="O1150" i="1"/>
  <c r="W1150" i="1" s="1"/>
  <c r="O1149" i="1"/>
  <c r="W1149" i="1" s="1"/>
  <c r="O1127" i="1"/>
  <c r="W1127" i="1" s="1"/>
  <c r="O1126" i="1"/>
  <c r="W1126" i="1" s="1"/>
  <c r="O1125" i="1"/>
  <c r="W1125" i="1" s="1"/>
  <c r="O1130" i="1"/>
  <c r="W1130" i="1" s="1"/>
  <c r="O1129" i="1"/>
  <c r="W1129" i="1" s="1"/>
  <c r="O1128" i="1"/>
  <c r="W1128" i="1" s="1"/>
  <c r="O1133" i="1"/>
  <c r="W1133" i="1" s="1"/>
  <c r="O1132" i="1"/>
  <c r="W1132" i="1" s="1"/>
  <c r="O1131" i="1"/>
  <c r="W1131" i="1" s="1"/>
  <c r="O1160" i="1"/>
  <c r="W1160" i="1" s="1"/>
  <c r="O1159" i="1"/>
  <c r="W1159" i="1" s="1"/>
  <c r="O1158" i="1"/>
  <c r="W1158" i="1" s="1"/>
  <c r="O1298" i="1"/>
  <c r="W1298" i="1" s="1"/>
  <c r="O1297" i="1"/>
  <c r="W1297" i="1" s="1"/>
  <c r="O1296" i="1"/>
  <c r="W1296" i="1" s="1"/>
  <c r="O1301" i="1"/>
  <c r="W1301" i="1" s="1"/>
  <c r="O1300" i="1"/>
  <c r="W1300" i="1" s="1"/>
  <c r="O1299" i="1"/>
  <c r="W1299" i="1" s="1"/>
  <c r="O1154" i="1"/>
  <c r="W1154" i="1" s="1"/>
  <c r="O1153" i="1"/>
  <c r="W1153" i="1" s="1"/>
  <c r="O1152" i="1"/>
  <c r="W1152" i="1" s="1"/>
  <c r="O1116" i="1"/>
  <c r="W1116" i="1" s="1"/>
  <c r="O1115" i="1"/>
  <c r="W1115" i="1" s="1"/>
  <c r="O1114" i="1"/>
  <c r="W1114" i="1" s="1"/>
  <c r="O1157" i="1"/>
  <c r="W1157" i="1" s="1"/>
  <c r="O1156" i="1"/>
  <c r="W1156" i="1" s="1"/>
  <c r="O1155" i="1"/>
  <c r="W1155" i="1" s="1"/>
  <c r="O1119" i="1"/>
  <c r="W1119" i="1" s="1"/>
  <c r="O1118" i="1"/>
  <c r="W1118" i="1" s="1"/>
  <c r="O1117" i="1"/>
  <c r="W1117"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K368" i="20" s="1"/>
  <c r="L368" i="20" s="1"/>
  <c r="O1010" i="1"/>
  <c r="W1010" i="1" s="1"/>
  <c r="K367" i="20" s="1"/>
  <c r="L367" i="20" s="1"/>
  <c r="O1009" i="1"/>
  <c r="W1009" i="1" s="1"/>
  <c r="K366" i="20" s="1"/>
  <c r="L366" i="20" s="1"/>
  <c r="O1008" i="1"/>
  <c r="W1008" i="1" s="1"/>
  <c r="K365" i="20" s="1"/>
  <c r="L365" i="20" s="1"/>
  <c r="O1007" i="1"/>
  <c r="W1007" i="1" s="1"/>
  <c r="K364" i="20" s="1"/>
  <c r="L364" i="20" s="1"/>
  <c r="O1006" i="1"/>
  <c r="W1006" i="1" s="1"/>
  <c r="K363" i="20" s="1"/>
  <c r="L363" i="20" s="1"/>
  <c r="O1005" i="1"/>
  <c r="W1005" i="1" s="1"/>
  <c r="K362" i="20" s="1"/>
  <c r="L362" i="20" s="1"/>
  <c r="O1004" i="1"/>
  <c r="W1004" i="1" s="1"/>
  <c r="K361" i="20" s="1"/>
  <c r="L361" i="20" s="1"/>
  <c r="O1003" i="1"/>
  <c r="W1003" i="1" s="1"/>
  <c r="K360" i="20" s="1"/>
  <c r="L360" i="20" s="1"/>
  <c r="O1002" i="1"/>
  <c r="W1002" i="1" s="1"/>
  <c r="K359" i="20" s="1"/>
  <c r="L359" i="20" s="1"/>
  <c r="O1001" i="1"/>
  <c r="W1001" i="1" s="1"/>
  <c r="K358" i="20" s="1"/>
  <c r="L358" i="20" s="1"/>
  <c r="O1000" i="1"/>
  <c r="W1000" i="1" s="1"/>
  <c r="K357" i="20" s="1"/>
  <c r="L357" i="20" s="1"/>
  <c r="O999" i="1"/>
  <c r="W999" i="1" s="1"/>
  <c r="K356" i="20" s="1"/>
  <c r="L356" i="20" s="1"/>
  <c r="O998" i="1"/>
  <c r="W998" i="1" s="1"/>
  <c r="K355" i="20" s="1"/>
  <c r="L355" i="20" s="1"/>
  <c r="O997" i="1"/>
  <c r="W997" i="1" s="1"/>
  <c r="K354" i="20" s="1"/>
  <c r="L354" i="20" s="1"/>
  <c r="O996" i="1"/>
  <c r="W996" i="1" s="1"/>
  <c r="K353" i="20" s="1"/>
  <c r="L353" i="20" s="1"/>
  <c r="O995" i="1"/>
  <c r="W995" i="1" s="1"/>
  <c r="O994" i="1"/>
  <c r="W994" i="1" s="1"/>
  <c r="O993" i="1"/>
  <c r="W993" i="1" s="1"/>
  <c r="O992" i="1"/>
  <c r="W992" i="1" s="1"/>
  <c r="O991" i="1"/>
  <c r="W991" i="1" s="1"/>
  <c r="O990" i="1"/>
  <c r="W990" i="1" s="1"/>
  <c r="O989" i="1"/>
  <c r="W989" i="1" s="1"/>
  <c r="K349" i="20" s="1"/>
  <c r="L349" i="20" s="1"/>
  <c r="O988" i="1"/>
  <c r="W988" i="1" s="1"/>
  <c r="K348" i="20" s="1"/>
  <c r="L348" i="20" s="1"/>
  <c r="O987" i="1"/>
  <c r="W987" i="1" s="1"/>
  <c r="O986" i="1"/>
  <c r="W986" i="1" s="1"/>
  <c r="O985" i="1"/>
  <c r="W985" i="1" s="1"/>
  <c r="K346" i="20" s="1"/>
  <c r="L346" i="20" s="1"/>
  <c r="O984" i="1"/>
  <c r="W984" i="1" s="1"/>
  <c r="K345" i="20" s="1"/>
  <c r="L345" i="20" s="1"/>
  <c r="O983" i="1"/>
  <c r="W983" i="1" s="1"/>
  <c r="K344" i="20" s="1"/>
  <c r="L344" i="20" s="1"/>
  <c r="O982" i="1"/>
  <c r="W982" i="1" s="1"/>
  <c r="K343" i="20" s="1"/>
  <c r="L343" i="20" s="1"/>
  <c r="O981" i="1"/>
  <c r="W981" i="1" s="1"/>
  <c r="O980" i="1"/>
  <c r="W980" i="1" s="1"/>
  <c r="O979" i="1"/>
  <c r="W979" i="1" s="1"/>
  <c r="K341" i="20" s="1"/>
  <c r="L341" i="20" s="1"/>
  <c r="O978" i="1"/>
  <c r="W978" i="1" s="1"/>
  <c r="K340" i="20" s="1"/>
  <c r="L340" i="20" s="1"/>
  <c r="O977" i="1"/>
  <c r="W977" i="1" s="1"/>
  <c r="K339" i="20" s="1"/>
  <c r="L339" i="20" s="1"/>
  <c r="O976" i="1"/>
  <c r="W976" i="1" s="1"/>
  <c r="K338" i="20" s="1"/>
  <c r="L338" i="20" s="1"/>
  <c r="O975" i="1"/>
  <c r="W975" i="1" s="1"/>
  <c r="K337" i="20" s="1"/>
  <c r="L337" i="20" s="1"/>
  <c r="O974" i="1"/>
  <c r="W974" i="1" s="1"/>
  <c r="K336" i="20" s="1"/>
  <c r="L336" i="20" s="1"/>
  <c r="O973" i="1"/>
  <c r="W973" i="1" s="1"/>
  <c r="K335" i="20" s="1"/>
  <c r="L335" i="20" s="1"/>
  <c r="O972" i="1"/>
  <c r="W972" i="1" s="1"/>
  <c r="K334" i="20" s="1"/>
  <c r="L334" i="20" s="1"/>
  <c r="O971" i="1"/>
  <c r="W971" i="1" s="1"/>
  <c r="K333" i="20" s="1"/>
  <c r="L333" i="20" s="1"/>
  <c r="O970" i="1"/>
  <c r="W970" i="1" s="1"/>
  <c r="K332" i="20" s="1"/>
  <c r="L332" i="20" s="1"/>
  <c r="O969" i="1"/>
  <c r="W969" i="1" s="1"/>
  <c r="K331" i="20" s="1"/>
  <c r="L331" i="20" s="1"/>
  <c r="O968" i="1"/>
  <c r="W968" i="1" s="1"/>
  <c r="K330" i="20" s="1"/>
  <c r="L330"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24" i="20" s="1"/>
  <c r="L324" i="20" s="1"/>
  <c r="O956" i="1"/>
  <c r="W956" i="1" s="1"/>
  <c r="O955" i="1"/>
  <c r="W955" i="1" s="1"/>
  <c r="O954" i="1"/>
  <c r="W954" i="1" s="1"/>
  <c r="K322" i="20" s="1"/>
  <c r="L322" i="20" s="1"/>
  <c r="O953" i="1"/>
  <c r="W953" i="1" s="1"/>
  <c r="O952" i="1"/>
  <c r="W952" i="1" s="1"/>
  <c r="O951" i="1"/>
  <c r="W951" i="1" s="1"/>
  <c r="O950" i="1"/>
  <c r="W950" i="1" s="1"/>
  <c r="O949" i="1"/>
  <c r="W949" i="1" s="1"/>
  <c r="O948" i="1"/>
  <c r="W948" i="1" s="1"/>
  <c r="O947" i="1"/>
  <c r="W947" i="1" s="1"/>
  <c r="K318" i="20" s="1"/>
  <c r="L318" i="20" s="1"/>
  <c r="O946" i="1"/>
  <c r="W946" i="1" s="1"/>
  <c r="O945" i="1"/>
  <c r="W945" i="1" s="1"/>
  <c r="O944" i="1"/>
  <c r="W944" i="1" s="1"/>
  <c r="K316" i="20" s="1"/>
  <c r="L316" i="20"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K281" i="20" s="1"/>
  <c r="L281" i="20" s="1"/>
  <c r="O873" i="1"/>
  <c r="W873" i="1" s="1"/>
  <c r="K279" i="20" s="1"/>
  <c r="L279" i="20" s="1"/>
  <c r="O872" i="1"/>
  <c r="W872" i="1" s="1"/>
  <c r="K278" i="20" s="1"/>
  <c r="L278" i="20" s="1"/>
  <c r="O871" i="1"/>
  <c r="W871" i="1" s="1"/>
  <c r="O870" i="1"/>
  <c r="W870" i="1" s="1"/>
  <c r="O869" i="1"/>
  <c r="W869" i="1" s="1"/>
  <c r="O868" i="1"/>
  <c r="W868" i="1" s="1"/>
  <c r="O867" i="1"/>
  <c r="W867" i="1" s="1"/>
  <c r="K275" i="20" s="1"/>
  <c r="L275" i="20" s="1"/>
  <c r="O866" i="1"/>
  <c r="W866" i="1" s="1"/>
  <c r="K274" i="20" s="1"/>
  <c r="L274" i="20" s="1"/>
  <c r="O865" i="1"/>
  <c r="W865" i="1" s="1"/>
  <c r="K273" i="20" s="1"/>
  <c r="L273" i="20" s="1"/>
  <c r="O864" i="1"/>
  <c r="W864" i="1" s="1"/>
  <c r="K272" i="20" s="1"/>
  <c r="L272" i="20" s="1"/>
  <c r="O863" i="1"/>
  <c r="W863" i="1" s="1"/>
  <c r="O862" i="1"/>
  <c r="W862" i="1" s="1"/>
  <c r="O861" i="1"/>
  <c r="W861" i="1" s="1"/>
  <c r="O860" i="1"/>
  <c r="W860" i="1" s="1"/>
  <c r="O859" i="1"/>
  <c r="W859" i="1" s="1"/>
  <c r="O858" i="1"/>
  <c r="W858" i="1" s="1"/>
  <c r="O857" i="1"/>
  <c r="W857" i="1" s="1"/>
  <c r="K268" i="20" s="1"/>
  <c r="L268" i="20"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K262" i="20" s="1"/>
  <c r="L262" i="20"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K248" i="20" s="1"/>
  <c r="L248" i="20" s="1"/>
  <c r="O818" i="1"/>
  <c r="W818" i="1" s="1"/>
  <c r="O817" i="1"/>
  <c r="W817" i="1" s="1"/>
  <c r="O816" i="1"/>
  <c r="W816" i="1" s="1"/>
  <c r="O815" i="1"/>
  <c r="W815" i="1" s="1"/>
  <c r="O814" i="1"/>
  <c r="W814" i="1" s="1"/>
  <c r="K245" i="20" s="1"/>
  <c r="L245" i="20"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W799" i="1"/>
  <c r="W798" i="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K441" i="20" s="1"/>
  <c r="L441" i="20"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K425" i="20" s="1"/>
  <c r="L425" i="20"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K392" i="20" s="1"/>
  <c r="L392" i="20"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373" i="20"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K89" i="20" s="1"/>
  <c r="L89" i="20" s="1"/>
  <c r="N89" i="20" s="1"/>
  <c r="O89" i="20"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K80" i="20" s="1"/>
  <c r="L80" i="20" s="1"/>
  <c r="O450" i="1"/>
  <c r="W450" i="1" s="1"/>
  <c r="O449" i="1"/>
  <c r="W449" i="1" s="1"/>
  <c r="O448" i="1"/>
  <c r="W448" i="1" s="1"/>
  <c r="O447" i="1"/>
  <c r="W447" i="1" s="1"/>
  <c r="O446" i="1"/>
  <c r="W446" i="1" s="1"/>
  <c r="O445" i="1"/>
  <c r="W445" i="1" s="1"/>
  <c r="O444" i="1"/>
  <c r="W444" i="1" s="1"/>
  <c r="K77" i="20" s="1"/>
  <c r="L77" i="20" s="1"/>
  <c r="N77" i="20" s="1"/>
  <c r="O77" i="20" s="1"/>
  <c r="O443" i="1"/>
  <c r="W443" i="1" s="1"/>
  <c r="K76" i="20" s="1"/>
  <c r="L76" i="20" s="1"/>
  <c r="N76" i="20" s="1"/>
  <c r="O76" i="20"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0" i="20" s="1"/>
  <c r="L70" i="20" s="1"/>
  <c r="N70" i="20" s="1"/>
  <c r="O70" i="20"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K59" i="20" s="1"/>
  <c r="L59" i="20" s="1"/>
  <c r="O395" i="1"/>
  <c r="W395" i="1" s="1"/>
  <c r="O394" i="1"/>
  <c r="W394" i="1" s="1"/>
  <c r="O393" i="1"/>
  <c r="W393" i="1" s="1"/>
  <c r="O392" i="1"/>
  <c r="W392" i="1" s="1"/>
  <c r="O391" i="1"/>
  <c r="W391" i="1" s="1"/>
  <c r="O390" i="1"/>
  <c r="W390" i="1" s="1"/>
  <c r="O389" i="1"/>
  <c r="W389" i="1" s="1"/>
  <c r="K56" i="20" s="1"/>
  <c r="L56" i="20" s="1"/>
  <c r="N56" i="20" s="1"/>
  <c r="O56" i="20" s="1"/>
  <c r="O388" i="1"/>
  <c r="W388" i="1" s="1"/>
  <c r="K55" i="20" s="1"/>
  <c r="L55" i="20" s="1"/>
  <c r="N55" i="20" s="1"/>
  <c r="O55" i="20"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K45" i="20" s="1"/>
  <c r="L45" i="20" s="1"/>
  <c r="N45" i="20" s="1"/>
  <c r="O45" i="20" s="1"/>
  <c r="O359" i="1"/>
  <c r="W359" i="1" s="1"/>
  <c r="O358" i="1"/>
  <c r="W358" i="1" s="1"/>
  <c r="O357" i="1"/>
  <c r="W357" i="1" s="1"/>
  <c r="O356" i="1"/>
  <c r="W356" i="1" s="1"/>
  <c r="O355" i="1"/>
  <c r="W355" i="1" s="1"/>
  <c r="O354" i="1"/>
  <c r="W354" i="1" s="1"/>
  <c r="O353" i="1"/>
  <c r="W353" i="1" s="1"/>
  <c r="O352" i="1"/>
  <c r="W352" i="1" s="1"/>
  <c r="O351" i="1"/>
  <c r="W351" i="1" s="1"/>
  <c r="O350" i="1"/>
  <c r="W350"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32" i="1"/>
  <c r="J1226" i="1"/>
  <c r="J1220" i="1"/>
  <c r="J1224" i="1"/>
  <c r="J1228" i="1"/>
  <c r="J1222" i="1"/>
  <c r="J1230" i="1"/>
  <c r="J1218" i="1"/>
  <c r="J1229" i="1"/>
  <c r="J1223" i="1"/>
  <c r="J1227" i="1"/>
  <c r="J1231" i="1"/>
  <c r="J1225" i="1"/>
  <c r="J1219" i="1"/>
  <c r="J1221" i="1"/>
  <c r="J126" i="1"/>
  <c r="G129" i="20"/>
  <c r="G107" i="17" s="1"/>
  <c r="G525" i="20"/>
  <c r="G498" i="17" s="1"/>
  <c r="G523" i="20"/>
  <c r="G496" i="17" s="1"/>
  <c r="G522" i="20"/>
  <c r="G495" i="17" s="1"/>
  <c r="G524" i="20"/>
  <c r="G497" i="17" s="1"/>
  <c r="G521" i="20"/>
  <c r="G494" i="17" s="1"/>
  <c r="J1002" i="1"/>
  <c r="G591" i="20"/>
  <c r="G564" i="17" s="1"/>
  <c r="H171" i="21" s="1"/>
  <c r="O171" i="21" s="1"/>
  <c r="G589" i="20"/>
  <c r="G562" i="17" s="1"/>
  <c r="H170" i="21" s="1"/>
  <c r="O170" i="21" s="1"/>
  <c r="G590" i="20"/>
  <c r="G563" i="17" s="1"/>
  <c r="H172" i="21" s="1"/>
  <c r="O172" i="21" s="1"/>
  <c r="G592" i="20"/>
  <c r="G565" i="17" s="1"/>
  <c r="H173" i="21" s="1"/>
  <c r="O173" i="21" s="1"/>
  <c r="W1143" i="1"/>
  <c r="K591" i="20" s="1"/>
  <c r="L591" i="20" s="1"/>
  <c r="I591" i="20"/>
  <c r="J591" i="20" s="1"/>
  <c r="W1140" i="1"/>
  <c r="K590" i="20" s="1"/>
  <c r="L590" i="20" s="1"/>
  <c r="I590" i="20"/>
  <c r="J590" i="20" s="1"/>
  <c r="W1137" i="1"/>
  <c r="K589" i="20" s="1"/>
  <c r="L589" i="20" s="1"/>
  <c r="I589" i="20"/>
  <c r="J589" i="20" s="1"/>
  <c r="W1134" i="1"/>
  <c r="K592" i="20" s="1"/>
  <c r="L592" i="20" s="1"/>
  <c r="I592" i="20"/>
  <c r="J592" i="20" s="1"/>
  <c r="J1058" i="1"/>
  <c r="J829" i="1"/>
  <c r="G28" i="20"/>
  <c r="G9" i="17" s="1"/>
  <c r="H207" i="21" s="1"/>
  <c r="O207" i="21" s="1"/>
  <c r="G195" i="20"/>
  <c r="G174" i="17" s="1"/>
  <c r="H242" i="21" s="1"/>
  <c r="O242" i="21" s="1"/>
  <c r="G89" i="20"/>
  <c r="G68" i="17" s="1"/>
  <c r="J389" i="1"/>
  <c r="J796" i="1"/>
  <c r="J795" i="1"/>
  <c r="J797" i="1"/>
  <c r="J794" i="1"/>
  <c r="G198" i="20"/>
  <c r="G177" i="17" s="1"/>
  <c r="H245" i="21" s="1"/>
  <c r="O245" i="21" s="1"/>
  <c r="G200" i="20"/>
  <c r="G179" i="17" s="1"/>
  <c r="H247" i="21" s="1"/>
  <c r="O247" i="21" s="1"/>
  <c r="G197" i="20"/>
  <c r="G176" i="17" s="1"/>
  <c r="H244" i="21" s="1"/>
  <c r="O244" i="21" s="1"/>
  <c r="G201" i="20"/>
  <c r="G180" i="17" s="1"/>
  <c r="G196" i="20"/>
  <c r="G175" i="17" s="1"/>
  <c r="H243" i="21" s="1"/>
  <c r="O243" i="21" s="1"/>
  <c r="G199" i="20"/>
  <c r="G178" i="17" s="1"/>
  <c r="H246" i="21" s="1"/>
  <c r="O246" i="21" s="1"/>
  <c r="G266" i="20"/>
  <c r="G243" i="17" s="1"/>
  <c r="G235" i="20"/>
  <c r="G212" i="17" s="1"/>
  <c r="G236" i="20"/>
  <c r="G213" i="17" s="1"/>
  <c r="J341" i="1"/>
  <c r="J333" i="1"/>
  <c r="J349" i="1"/>
  <c r="J338" i="1"/>
  <c r="J330" i="1"/>
  <c r="J343" i="1"/>
  <c r="J335" i="1"/>
  <c r="J327" i="1"/>
  <c r="J339" i="1"/>
  <c r="J331" i="1"/>
  <c r="J340" i="1"/>
  <c r="J332" i="1"/>
  <c r="J348" i="1"/>
  <c r="J337" i="1"/>
  <c r="J329" i="1"/>
  <c r="J336" i="1"/>
  <c r="J328" i="1"/>
  <c r="J342" i="1"/>
  <c r="J334" i="1"/>
  <c r="J326" i="1"/>
  <c r="J347" i="1"/>
  <c r="W324" i="1"/>
  <c r="W325" i="1"/>
  <c r="J923" i="1"/>
  <c r="J881" i="1"/>
  <c r="J830" i="1"/>
  <c r="G280" i="20"/>
  <c r="G257" i="17" s="1"/>
  <c r="J557" i="1"/>
  <c r="J723" i="1"/>
  <c r="J1059" i="1"/>
  <c r="J657" i="1"/>
  <c r="J922" i="1"/>
  <c r="J874" i="1"/>
  <c r="J962" i="1"/>
  <c r="J182" i="1"/>
  <c r="J951" i="1"/>
  <c r="J483" i="1"/>
  <c r="J132" i="1"/>
  <c r="J809" i="1"/>
  <c r="J118" i="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J1077" i="1"/>
  <c r="J880" i="1"/>
  <c r="J558" i="1"/>
  <c r="J518" i="1"/>
  <c r="J1205" i="1"/>
  <c r="J628" i="1"/>
  <c r="J1178" i="1"/>
  <c r="J566" i="1"/>
  <c r="K369" i="20"/>
  <c r="L369" i="20" s="1"/>
  <c r="K258" i="20"/>
  <c r="L258" i="20" s="1"/>
  <c r="K271" i="20"/>
  <c r="L271" i="20" s="1"/>
  <c r="K28" i="20"/>
  <c r="L28" i="20" s="1"/>
  <c r="K32" i="20"/>
  <c r="L32" i="20" s="1"/>
  <c r="K36" i="20"/>
  <c r="L36"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42" i="20"/>
  <c r="L342" i="20" s="1"/>
  <c r="K459" i="20"/>
  <c r="L459" i="20" s="1"/>
  <c r="K319" i="20"/>
  <c r="L319" i="20" s="1"/>
  <c r="K328" i="20"/>
  <c r="L328" i="20" s="1"/>
  <c r="K467" i="20"/>
  <c r="L467" i="20" s="1"/>
  <c r="K475" i="20"/>
  <c r="L475" i="20" s="1"/>
  <c r="K483" i="20"/>
  <c r="L483" i="20" s="1"/>
  <c r="K491" i="20"/>
  <c r="L491" i="20" s="1"/>
  <c r="J1203" i="1"/>
  <c r="J1075" i="1"/>
  <c r="J961" i="1"/>
  <c r="J686" i="1"/>
  <c r="J461" i="1"/>
  <c r="J1171" i="1"/>
  <c r="J1029" i="1"/>
  <c r="J787" i="1"/>
  <c r="J649" i="1"/>
  <c r="J1299" i="1"/>
  <c r="J1027" i="1"/>
  <c r="J769" i="1"/>
  <c r="J632" i="1"/>
  <c r="J1153" i="1"/>
  <c r="J751" i="1"/>
  <c r="J1241" i="1"/>
  <c r="J1107" i="1"/>
  <c r="J969" i="1"/>
  <c r="J743" i="1"/>
  <c r="J1236" i="1"/>
  <c r="J1106" i="1"/>
  <c r="J964" i="1"/>
  <c r="J862" i="1"/>
  <c r="J727" i="1"/>
  <c r="K499" i="20"/>
  <c r="L499" i="20" s="1"/>
  <c r="K503" i="20"/>
  <c r="L503" i="20" s="1"/>
  <c r="K511" i="20"/>
  <c r="L511" i="20" s="1"/>
  <c r="K519" i="20"/>
  <c r="L519" i="20" s="1"/>
  <c r="K532" i="20"/>
  <c r="L532" i="20" s="1"/>
  <c r="K98" i="20"/>
  <c r="L98" i="20" s="1"/>
  <c r="K112" i="20"/>
  <c r="L112" i="20" s="1"/>
  <c r="K128" i="20"/>
  <c r="L128" i="20" s="1"/>
  <c r="K143" i="20"/>
  <c r="L143" i="20" s="1"/>
  <c r="K159" i="20"/>
  <c r="L159" i="20" s="1"/>
  <c r="K175" i="20"/>
  <c r="L175" i="20" s="1"/>
  <c r="K183" i="20"/>
  <c r="L183" i="20" s="1"/>
  <c r="K48" i="20"/>
  <c r="L48" i="20" s="1"/>
  <c r="K72" i="20"/>
  <c r="L72" i="20" s="1"/>
  <c r="K82" i="20"/>
  <c r="L82" i="20" s="1"/>
  <c r="K379" i="20"/>
  <c r="L379" i="20" s="1"/>
  <c r="K387" i="20"/>
  <c r="L387" i="20" s="1"/>
  <c r="K401" i="20"/>
  <c r="L401" i="20" s="1"/>
  <c r="K439" i="20"/>
  <c r="L439" i="20" s="1"/>
  <c r="K453" i="20"/>
  <c r="L453" i="20" s="1"/>
  <c r="K120" i="20"/>
  <c r="L120" i="20" s="1"/>
  <c r="K135" i="20"/>
  <c r="L135" i="20" s="1"/>
  <c r="K151" i="20"/>
  <c r="L151" i="20" s="1"/>
  <c r="K167" i="20"/>
  <c r="L167" i="20" s="1"/>
  <c r="K191" i="20"/>
  <c r="L191" i="20" s="1"/>
  <c r="K42" i="20"/>
  <c r="L42" i="20" s="1"/>
  <c r="K66" i="20"/>
  <c r="L66" i="20" s="1"/>
  <c r="K393" i="20"/>
  <c r="L393" i="20" s="1"/>
  <c r="K409" i="20"/>
  <c r="L409" i="20" s="1"/>
  <c r="K417" i="20"/>
  <c r="L417" i="20" s="1"/>
  <c r="K431" i="20"/>
  <c r="L431" i="20" s="1"/>
  <c r="K445" i="20"/>
  <c r="L445" i="20" s="1"/>
  <c r="K206" i="20"/>
  <c r="K210" i="20"/>
  <c r="L210" i="20" s="1"/>
  <c r="K27" i="20"/>
  <c r="L27" i="20" s="1"/>
  <c r="K31" i="20"/>
  <c r="L31" i="20" s="1"/>
  <c r="K35" i="20"/>
  <c r="L35" i="20" s="1"/>
  <c r="K277" i="20"/>
  <c r="L277"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80" i="20"/>
  <c r="L380" i="20" s="1"/>
  <c r="K394" i="20"/>
  <c r="L394" i="20" s="1"/>
  <c r="K410" i="20"/>
  <c r="L410" i="20" s="1"/>
  <c r="K432" i="20"/>
  <c r="L432" i="20" s="1"/>
  <c r="K446" i="20"/>
  <c r="L446" i="20" s="1"/>
  <c r="K460" i="20"/>
  <c r="L460" i="20" s="1"/>
  <c r="K468" i="20"/>
  <c r="L468" i="20" s="1"/>
  <c r="K476" i="20"/>
  <c r="L476" i="20" s="1"/>
  <c r="K484" i="20"/>
  <c r="L484" i="20" s="1"/>
  <c r="K492" i="20"/>
  <c r="L492" i="20" s="1"/>
  <c r="K500" i="20"/>
  <c r="L500" i="20" s="1"/>
  <c r="K504" i="20"/>
  <c r="L504" i="20" s="1"/>
  <c r="K512" i="20"/>
  <c r="L512" i="20" s="1"/>
  <c r="K520" i="20"/>
  <c r="L520" i="20" s="1"/>
  <c r="K533" i="20"/>
  <c r="L533" i="20" s="1"/>
  <c r="K43" i="20"/>
  <c r="L43" i="20" s="1"/>
  <c r="K67" i="20"/>
  <c r="L67" i="20" s="1"/>
  <c r="K83" i="20"/>
  <c r="L83" i="20" s="1"/>
  <c r="K388" i="20"/>
  <c r="L388" i="20" s="1"/>
  <c r="K402" i="20"/>
  <c r="L402" i="20" s="1"/>
  <c r="K418" i="20"/>
  <c r="L418" i="20" s="1"/>
  <c r="K440" i="20"/>
  <c r="L440" i="20" s="1"/>
  <c r="K454" i="20"/>
  <c r="L454"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1" i="20"/>
  <c r="L381" i="20" s="1"/>
  <c r="K389" i="20"/>
  <c r="L389" i="20" s="1"/>
  <c r="K395" i="20"/>
  <c r="L395" i="20" s="1"/>
  <c r="K403" i="20"/>
  <c r="L403" i="20" s="1"/>
  <c r="K411" i="20"/>
  <c r="L411" i="20" s="1"/>
  <c r="K419" i="20"/>
  <c r="L419" i="20" s="1"/>
  <c r="K433" i="20"/>
  <c r="L433" i="20" s="1"/>
  <c r="K447" i="20"/>
  <c r="L447" i="20" s="1"/>
  <c r="K455" i="20"/>
  <c r="L455" i="20" s="1"/>
  <c r="K247" i="20"/>
  <c r="L247" i="20" s="1"/>
  <c r="K264" i="20"/>
  <c r="L264" i="20" s="1"/>
  <c r="K285" i="20"/>
  <c r="L285" i="20" s="1"/>
  <c r="K289" i="20"/>
  <c r="L289" i="20" s="1"/>
  <c r="K293" i="20"/>
  <c r="L293" i="20" s="1"/>
  <c r="K297" i="20"/>
  <c r="L297" i="20" s="1"/>
  <c r="K301" i="20"/>
  <c r="L301" i="20" s="1"/>
  <c r="K305" i="20"/>
  <c r="L305" i="20" s="1"/>
  <c r="K309" i="20"/>
  <c r="L309" i="20" s="1"/>
  <c r="K313" i="20"/>
  <c r="L313" i="20" s="1"/>
  <c r="K327" i="20"/>
  <c r="L327" i="20" s="1"/>
  <c r="K347" i="20"/>
  <c r="L347" i="20" s="1"/>
  <c r="K352" i="20"/>
  <c r="L352" i="20" s="1"/>
  <c r="K469" i="20"/>
  <c r="L469" i="20" s="1"/>
  <c r="K477" i="20"/>
  <c r="L477" i="20" s="1"/>
  <c r="K485" i="20"/>
  <c r="L485" i="20" s="1"/>
  <c r="K493" i="20"/>
  <c r="L493" i="20" s="1"/>
  <c r="K501" i="20"/>
  <c r="L501" i="20" s="1"/>
  <c r="K505" i="20"/>
  <c r="L505" i="20" s="1"/>
  <c r="K513" i="20"/>
  <c r="L513" i="20" s="1"/>
  <c r="K526" i="20"/>
  <c r="L526" i="20" s="1"/>
  <c r="K534" i="20"/>
  <c r="L534"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8" i="20"/>
  <c r="L378" i="20" s="1"/>
  <c r="K386" i="20"/>
  <c r="L386" i="20" s="1"/>
  <c r="K400" i="20"/>
  <c r="L400" i="20" s="1"/>
  <c r="K408" i="20"/>
  <c r="L408" i="20" s="1"/>
  <c r="K416" i="20"/>
  <c r="L416" i="20" s="1"/>
  <c r="K424" i="20"/>
  <c r="L424" i="20" s="1"/>
  <c r="K430" i="20"/>
  <c r="L430" i="20" s="1"/>
  <c r="K438" i="20"/>
  <c r="L438" i="20" s="1"/>
  <c r="K444" i="20"/>
  <c r="L444" i="20" s="1"/>
  <c r="K452" i="20"/>
  <c r="L452" i="20" s="1"/>
  <c r="K208" i="20"/>
  <c r="L208" i="20" s="1"/>
  <c r="K212" i="20"/>
  <c r="L212" i="20" s="1"/>
  <c r="K216" i="20"/>
  <c r="L216" i="20" s="1"/>
  <c r="K220" i="20"/>
  <c r="L220" i="20" s="1"/>
  <c r="K461" i="20"/>
  <c r="L461" i="20" s="1"/>
  <c r="K224" i="20"/>
  <c r="L224" i="20" s="1"/>
  <c r="K228" i="20"/>
  <c r="L228" i="20" s="1"/>
  <c r="K232" i="20"/>
  <c r="L232" i="20" s="1"/>
  <c r="K238" i="20"/>
  <c r="L238" i="20" s="1"/>
  <c r="K242" i="20"/>
  <c r="L242" i="20" s="1"/>
  <c r="K251" i="20"/>
  <c r="L251" i="20" s="1"/>
  <c r="K255" i="20"/>
  <c r="L255" i="20" s="1"/>
  <c r="K259" i="20"/>
  <c r="L259" i="20" s="1"/>
  <c r="K317" i="20"/>
  <c r="L317" i="20" s="1"/>
  <c r="K458" i="20"/>
  <c r="K466" i="20"/>
  <c r="L466" i="20" s="1"/>
  <c r="K474" i="20"/>
  <c r="L474" i="20" s="1"/>
  <c r="K482" i="20"/>
  <c r="L482" i="20" s="1"/>
  <c r="K490" i="20"/>
  <c r="L490" i="20" s="1"/>
  <c r="K498" i="20"/>
  <c r="L498" i="20" s="1"/>
  <c r="K502" i="20"/>
  <c r="L502" i="20" s="1"/>
  <c r="K510" i="20"/>
  <c r="L510" i="20" s="1"/>
  <c r="K518" i="20"/>
  <c r="L518" i="20" s="1"/>
  <c r="K531" i="20"/>
  <c r="L531" i="20" s="1"/>
  <c r="K508" i="20"/>
  <c r="L508" i="20" s="1"/>
  <c r="K516" i="20"/>
  <c r="L516"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5" i="20"/>
  <c r="L375" i="20" s="1"/>
  <c r="K383" i="20"/>
  <c r="L383" i="20" s="1"/>
  <c r="K391" i="20"/>
  <c r="L391" i="20" s="1"/>
  <c r="K397" i="20"/>
  <c r="L397" i="20" s="1"/>
  <c r="K405" i="20"/>
  <c r="L405" i="20" s="1"/>
  <c r="K413" i="20"/>
  <c r="L413" i="20" s="1"/>
  <c r="K421" i="20"/>
  <c r="L421" i="20" s="1"/>
  <c r="K427" i="20"/>
  <c r="L427" i="20" s="1"/>
  <c r="K435" i="20"/>
  <c r="L435" i="20" s="1"/>
  <c r="K449" i="20"/>
  <c r="L449" i="20" s="1"/>
  <c r="K246" i="20"/>
  <c r="L246" i="20" s="1"/>
  <c r="K263" i="20"/>
  <c r="L263" i="20" s="1"/>
  <c r="K267" i="20"/>
  <c r="L267" i="20" s="1"/>
  <c r="K284" i="20"/>
  <c r="L284" i="20" s="1"/>
  <c r="K288" i="20"/>
  <c r="L288" i="20" s="1"/>
  <c r="K292" i="20"/>
  <c r="L292" i="20" s="1"/>
  <c r="K296" i="20"/>
  <c r="L296" i="20" s="1"/>
  <c r="K300" i="20"/>
  <c r="L300" i="20" s="1"/>
  <c r="K304" i="20"/>
  <c r="L304" i="20" s="1"/>
  <c r="K308" i="20"/>
  <c r="L308" i="20" s="1"/>
  <c r="K312" i="20"/>
  <c r="L312" i="20" s="1"/>
  <c r="K321" i="20"/>
  <c r="L321" i="20" s="1"/>
  <c r="K326" i="20"/>
  <c r="L326" i="20" s="1"/>
  <c r="K351" i="20"/>
  <c r="L351" i="20" s="1"/>
  <c r="K463" i="20"/>
  <c r="L463" i="20" s="1"/>
  <c r="K471" i="20"/>
  <c r="L471" i="20" s="1"/>
  <c r="K479" i="20"/>
  <c r="L479" i="20" s="1"/>
  <c r="K487" i="20"/>
  <c r="L487" i="20" s="1"/>
  <c r="K495" i="20"/>
  <c r="L495" i="20" s="1"/>
  <c r="K507" i="20"/>
  <c r="L507" i="20" s="1"/>
  <c r="K515" i="20"/>
  <c r="L515" i="20" s="1"/>
  <c r="K528" i="20"/>
  <c r="L528"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9" i="20"/>
  <c r="L209" i="20" s="1"/>
  <c r="K213" i="20"/>
  <c r="L213" i="20" s="1"/>
  <c r="K217" i="20"/>
  <c r="L217" i="20" s="1"/>
  <c r="K221" i="20"/>
  <c r="L221" i="20" s="1"/>
  <c r="K225" i="20"/>
  <c r="L225" i="20" s="1"/>
  <c r="K229" i="20"/>
  <c r="L229" i="20" s="1"/>
  <c r="K233" i="20"/>
  <c r="L233" i="20" s="1"/>
  <c r="K239" i="20"/>
  <c r="L239" i="20" s="1"/>
  <c r="K243" i="20"/>
  <c r="L243" i="20" s="1"/>
  <c r="K252" i="20"/>
  <c r="L252" i="20" s="1"/>
  <c r="K256" i="20"/>
  <c r="L256" i="20" s="1"/>
  <c r="K260" i="20"/>
  <c r="L260" i="20" s="1"/>
  <c r="K269" i="20"/>
  <c r="L269" i="20" s="1"/>
  <c r="K323" i="20"/>
  <c r="L323" i="20" s="1"/>
  <c r="K464" i="20"/>
  <c r="L464" i="20" s="1"/>
  <c r="K472" i="20"/>
  <c r="L472" i="20" s="1"/>
  <c r="K480" i="20"/>
  <c r="L480" i="20" s="1"/>
  <c r="K488" i="20"/>
  <c r="L488" i="20" s="1"/>
  <c r="K496" i="20"/>
  <c r="L496" i="20" s="1"/>
  <c r="K529" i="20"/>
  <c r="L529" i="20" s="1"/>
  <c r="L26" i="20"/>
  <c r="L373"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14" i="20"/>
  <c r="L214" i="20" s="1"/>
  <c r="K218" i="20"/>
  <c r="L218" i="20" s="1"/>
  <c r="K222" i="20"/>
  <c r="L222" i="20" s="1"/>
  <c r="K226" i="20"/>
  <c r="L226" i="20" s="1"/>
  <c r="K230" i="20"/>
  <c r="L230" i="20" s="1"/>
  <c r="K234" i="20"/>
  <c r="L234" i="20" s="1"/>
  <c r="K240" i="20"/>
  <c r="L240" i="20" s="1"/>
  <c r="K244" i="20"/>
  <c r="L244" i="20" s="1"/>
  <c r="K249" i="20"/>
  <c r="L249" i="20" s="1"/>
  <c r="K253" i="20"/>
  <c r="L253" i="20" s="1"/>
  <c r="K257" i="20"/>
  <c r="L257" i="20" s="1"/>
  <c r="K261" i="20"/>
  <c r="L261" i="20" s="1"/>
  <c r="K270" i="20"/>
  <c r="L270" i="20" s="1"/>
  <c r="K276" i="20"/>
  <c r="L276" i="20" s="1"/>
  <c r="K462" i="20"/>
  <c r="L462" i="20" s="1"/>
  <c r="K470" i="20"/>
  <c r="L470" i="20" s="1"/>
  <c r="K478" i="20"/>
  <c r="L478" i="20" s="1"/>
  <c r="K486" i="20"/>
  <c r="L486" i="20" s="1"/>
  <c r="K494" i="20"/>
  <c r="L494" i="20" s="1"/>
  <c r="K506" i="20"/>
  <c r="L506" i="20" s="1"/>
  <c r="K514" i="20"/>
  <c r="L514" i="20" s="1"/>
  <c r="K527" i="20"/>
  <c r="L527"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66" i="20"/>
  <c r="L266" i="20" s="1"/>
  <c r="K283" i="20"/>
  <c r="L283" i="20" s="1"/>
  <c r="K287" i="20"/>
  <c r="L287" i="20" s="1"/>
  <c r="K291" i="20"/>
  <c r="L291" i="20" s="1"/>
  <c r="K295" i="20"/>
  <c r="L295" i="20" s="1"/>
  <c r="K299" i="20"/>
  <c r="L299" i="20" s="1"/>
  <c r="K303" i="20"/>
  <c r="L303" i="20" s="1"/>
  <c r="K307" i="20"/>
  <c r="L307" i="20" s="1"/>
  <c r="K311" i="20"/>
  <c r="L311" i="20" s="1"/>
  <c r="K315" i="20"/>
  <c r="L315" i="20" s="1"/>
  <c r="K320" i="20"/>
  <c r="L320" i="20" s="1"/>
  <c r="K325" i="20"/>
  <c r="L325" i="20" s="1"/>
  <c r="K329" i="20"/>
  <c r="L329" i="20" s="1"/>
  <c r="K350" i="20"/>
  <c r="L350" i="20" s="1"/>
  <c r="K370" i="20"/>
  <c r="L370" i="20" s="1"/>
  <c r="K465" i="20"/>
  <c r="L465" i="20" s="1"/>
  <c r="K473" i="20"/>
  <c r="L473" i="20" s="1"/>
  <c r="K481" i="20"/>
  <c r="L481" i="20" s="1"/>
  <c r="K489" i="20"/>
  <c r="L489" i="20" s="1"/>
  <c r="K497" i="20"/>
  <c r="L497" i="20" s="1"/>
  <c r="K509" i="20"/>
  <c r="L509" i="20" s="1"/>
  <c r="K517" i="20"/>
  <c r="L517" i="20" s="1"/>
  <c r="K530" i="20"/>
  <c r="L530"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91" i="1"/>
  <c r="J99" i="1"/>
  <c r="J67" i="1"/>
  <c r="J42" i="1"/>
  <c r="J976" i="1"/>
  <c r="J950" i="1"/>
  <c r="J808" i="1"/>
  <c r="J750" i="1"/>
  <c r="J685" i="1"/>
  <c r="J499" i="1"/>
  <c r="J90" i="1"/>
  <c r="J74" i="1"/>
  <c r="J49" i="1"/>
  <c r="J975" i="1"/>
  <c r="J967" i="1"/>
  <c r="J957" i="1"/>
  <c r="J949" i="1"/>
  <c r="J860" i="1"/>
  <c r="J793" i="1"/>
  <c r="J785" i="1"/>
  <c r="J767" i="1"/>
  <c r="J749" i="1"/>
  <c r="J741" i="1"/>
  <c r="J692" i="1"/>
  <c r="J684" i="1"/>
  <c r="J655" i="1"/>
  <c r="J646" i="1"/>
  <c r="J620" i="1"/>
  <c r="J550" i="1"/>
  <c r="J506" i="1"/>
  <c r="J498" i="1"/>
  <c r="J489" i="1"/>
  <c r="J481" i="1"/>
  <c r="J113" i="1"/>
  <c r="J105" i="1"/>
  <c r="J97" i="1"/>
  <c r="J89" i="1"/>
  <c r="J81" i="1"/>
  <c r="J73" i="1"/>
  <c r="J65" i="1"/>
  <c r="J56" i="1"/>
  <c r="J48" i="1"/>
  <c r="J40" i="1"/>
  <c r="J500" i="1"/>
  <c r="J91" i="1"/>
  <c r="J75" i="1"/>
  <c r="J50" i="1"/>
  <c r="J786" i="1"/>
  <c r="J742" i="1"/>
  <c r="J648" i="1"/>
  <c r="J507" i="1"/>
  <c r="J482" i="1"/>
  <c r="J114" i="1"/>
  <c r="J98" i="1"/>
  <c r="J66" i="1"/>
  <c r="J41" i="1"/>
  <c r="J974" i="1"/>
  <c r="J966" i="1"/>
  <c r="J956" i="1"/>
  <c r="J948" i="1"/>
  <c r="J859" i="1"/>
  <c r="J792" i="1"/>
  <c r="J784" i="1"/>
  <c r="J766" i="1"/>
  <c r="J748" i="1"/>
  <c r="J740" i="1"/>
  <c r="J691" i="1"/>
  <c r="J674" i="1"/>
  <c r="J654" i="1"/>
  <c r="J645" i="1"/>
  <c r="J612" i="1"/>
  <c r="J540" i="1"/>
  <c r="J505" i="1"/>
  <c r="J497" i="1"/>
  <c r="J488" i="1"/>
  <c r="J480" i="1"/>
  <c r="J454" i="1"/>
  <c r="J125" i="1"/>
  <c r="J112" i="1"/>
  <c r="J104" i="1"/>
  <c r="J96" i="1"/>
  <c r="J88" i="1"/>
  <c r="J80" i="1"/>
  <c r="J72" i="1"/>
  <c r="J64" i="1"/>
  <c r="J55" i="1"/>
  <c r="J47" i="1"/>
  <c r="J39" i="1"/>
  <c r="J656" i="1"/>
  <c r="J973" i="1"/>
  <c r="J965" i="1"/>
  <c r="J955" i="1"/>
  <c r="J947" i="1"/>
  <c r="J866" i="1"/>
  <c r="J858" i="1"/>
  <c r="J791" i="1"/>
  <c r="J783" i="1"/>
  <c r="J765" i="1"/>
  <c r="J747" i="1"/>
  <c r="J739" i="1"/>
  <c r="J690" i="1"/>
  <c r="J673" i="1"/>
  <c r="J653" i="1"/>
  <c r="J644" i="1"/>
  <c r="J604" i="1"/>
  <c r="J539" i="1"/>
  <c r="J504" i="1"/>
  <c r="J496" i="1"/>
  <c r="J487" i="1"/>
  <c r="J479" i="1"/>
  <c r="J453" i="1"/>
  <c r="J124" i="1"/>
  <c r="J111" i="1"/>
  <c r="J103" i="1"/>
  <c r="J95" i="1"/>
  <c r="J87" i="1"/>
  <c r="J79" i="1"/>
  <c r="J71" i="1"/>
  <c r="J63" i="1"/>
  <c r="J54" i="1"/>
  <c r="J46" i="1"/>
  <c r="J529" i="1"/>
  <c r="J471" i="1"/>
  <c r="J107" i="1"/>
  <c r="J83" i="1"/>
  <c r="J59" i="1"/>
  <c r="J968" i="1"/>
  <c r="J861" i="1"/>
  <c r="J490" i="1"/>
  <c r="J106" i="1"/>
  <c r="J82" i="1"/>
  <c r="J58" i="1"/>
  <c r="J972" i="1"/>
  <c r="J954" i="1"/>
  <c r="J946" i="1"/>
  <c r="J865" i="1"/>
  <c r="J857" i="1"/>
  <c r="J790" i="1"/>
  <c r="J782" i="1"/>
  <c r="J764" i="1"/>
  <c r="J746" i="1"/>
  <c r="J738" i="1"/>
  <c r="J689" i="1"/>
  <c r="J672" i="1"/>
  <c r="J652" i="1"/>
  <c r="J641" i="1"/>
  <c r="J590" i="1"/>
  <c r="J538" i="1"/>
  <c r="J503" i="1"/>
  <c r="J494" i="1"/>
  <c r="J486" i="1"/>
  <c r="J478" i="1"/>
  <c r="J452" i="1"/>
  <c r="J123" i="1"/>
  <c r="J110" i="1"/>
  <c r="J102" i="1"/>
  <c r="J94" i="1"/>
  <c r="J86" i="1"/>
  <c r="J78" i="1"/>
  <c r="J70" i="1"/>
  <c r="J62" i="1"/>
  <c r="J53" i="1"/>
  <c r="J45" i="1"/>
  <c r="J960" i="1"/>
  <c r="J768" i="1"/>
  <c r="J470" i="1"/>
  <c r="J971" i="1"/>
  <c r="J963" i="1"/>
  <c r="J953" i="1"/>
  <c r="J945" i="1"/>
  <c r="J864" i="1"/>
  <c r="J789" i="1"/>
  <c r="J781" i="1"/>
  <c r="J753" i="1"/>
  <c r="J745" i="1"/>
  <c r="J729" i="1"/>
  <c r="J688" i="1"/>
  <c r="J659" i="1"/>
  <c r="J651" i="1"/>
  <c r="J634" i="1"/>
  <c r="J582" i="1"/>
  <c r="J531" i="1"/>
  <c r="J502" i="1"/>
  <c r="J493" i="1"/>
  <c r="J485" i="1"/>
  <c r="J477" i="1"/>
  <c r="J122" i="1"/>
  <c r="J109" i="1"/>
  <c r="J101" i="1"/>
  <c r="J93" i="1"/>
  <c r="J85" i="1"/>
  <c r="J77" i="1"/>
  <c r="J69" i="1"/>
  <c r="J61" i="1"/>
  <c r="J52" i="1"/>
  <c r="J44" i="1"/>
  <c r="J35" i="1"/>
  <c r="J1317" i="1"/>
  <c r="J1318" i="1"/>
  <c r="J1319" i="1"/>
  <c r="J1320" i="1"/>
  <c r="J1321" i="1"/>
  <c r="J1314" i="1"/>
  <c r="J1322" i="1"/>
  <c r="J1315" i="1"/>
  <c r="J1323" i="1"/>
  <c r="J1316" i="1"/>
  <c r="G297" i="19"/>
  <c r="G70" i="19"/>
  <c r="G136" i="19"/>
  <c r="G176" i="19"/>
  <c r="G201" i="19"/>
  <c r="G289" i="19"/>
  <c r="G616" i="19"/>
  <c r="G242" i="19"/>
  <c r="G542" i="19"/>
  <c r="G135" i="20"/>
  <c r="G114" i="17" s="1"/>
  <c r="H230" i="21" s="1"/>
  <c r="O230" i="21" s="1"/>
  <c r="G207" i="20"/>
  <c r="G184" i="17" s="1"/>
  <c r="G273" i="20"/>
  <c r="G250" i="17" s="1"/>
  <c r="G338" i="20"/>
  <c r="G315" i="17" s="1"/>
  <c r="G400" i="20"/>
  <c r="G375" i="17" s="1"/>
  <c r="H114" i="21" s="1"/>
  <c r="O114" i="21" s="1"/>
  <c r="G378" i="19"/>
  <c r="G177" i="19"/>
  <c r="G530" i="19"/>
  <c r="G92" i="19"/>
  <c r="G162" i="19"/>
  <c r="G227" i="19"/>
  <c r="G291" i="19"/>
  <c r="G355" i="19"/>
  <c r="G420" i="19"/>
  <c r="G485" i="19"/>
  <c r="G129" i="19"/>
  <c r="G526" i="19"/>
  <c r="G86" i="19"/>
  <c r="G155" i="19"/>
  <c r="G220" i="19"/>
  <c r="G284" i="19"/>
  <c r="G503" i="20"/>
  <c r="G476" i="17" s="1"/>
  <c r="H160" i="21" s="1"/>
  <c r="O160" i="21" s="1"/>
  <c r="O159" i="21" s="1"/>
  <c r="G403" i="19"/>
  <c r="G140" i="19"/>
  <c r="G213" i="19"/>
  <c r="G277" i="19"/>
  <c r="G341" i="19"/>
  <c r="G406" i="19"/>
  <c r="G605" i="19"/>
  <c r="G495" i="20"/>
  <c r="G468"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3" i="20"/>
  <c r="G446" i="17" s="1"/>
  <c r="H89" i="21" s="1"/>
  <c r="O89" i="21" s="1"/>
  <c r="G316" i="19"/>
  <c r="G381" i="19"/>
  <c r="G445" i="19"/>
  <c r="G510" i="19"/>
  <c r="G547" i="19"/>
  <c r="G105" i="20"/>
  <c r="G84" i="17" s="1"/>
  <c r="G169" i="20"/>
  <c r="G148" i="17" s="1"/>
  <c r="G243" i="20"/>
  <c r="G220" i="17" s="1"/>
  <c r="G308" i="20"/>
  <c r="G285" i="17" s="1"/>
  <c r="G378" i="20"/>
  <c r="G353" i="17" s="1"/>
  <c r="H221" i="21" s="1"/>
  <c r="O221" i="21" s="1"/>
  <c r="G442" i="20"/>
  <c r="G417" i="17" s="1"/>
  <c r="H177" i="21" s="1"/>
  <c r="O177" i="21" s="1"/>
  <c r="G63" i="20"/>
  <c r="G42" i="17" s="1"/>
  <c r="G491" i="20"/>
  <c r="G464" i="17" s="1"/>
  <c r="H84" i="21" s="1"/>
  <c r="O84" i="21" s="1"/>
  <c r="G334" i="19"/>
  <c r="G399" i="19"/>
  <c r="G464" i="19"/>
  <c r="G524" i="19"/>
  <c r="G556" i="19"/>
  <c r="G114" i="20"/>
  <c r="G93" i="17" s="1"/>
  <c r="G329" i="19"/>
  <c r="G112" i="19"/>
  <c r="G168" i="19"/>
  <c r="G217" i="19"/>
  <c r="G249" i="19"/>
  <c r="G370" i="19"/>
  <c r="G59" i="20"/>
  <c r="G38" i="17" s="1"/>
  <c r="G290" i="19"/>
  <c r="G550" i="19"/>
  <c r="G143" i="20"/>
  <c r="G122" i="17" s="1"/>
  <c r="H235" i="21" s="1"/>
  <c r="O235" i="21" s="1"/>
  <c r="G215" i="20"/>
  <c r="G192" i="17" s="1"/>
  <c r="H29" i="21" s="1"/>
  <c r="O29" i="21" s="1"/>
  <c r="G282" i="20"/>
  <c r="G259" i="17" s="1"/>
  <c r="G346" i="20"/>
  <c r="G323" i="17" s="1"/>
  <c r="G408" i="20"/>
  <c r="G383"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1" i="20"/>
  <c r="G454" i="17" s="1"/>
  <c r="H93" i="21" s="1"/>
  <c r="O93" i="21" s="1"/>
  <c r="O92" i="21" s="1"/>
  <c r="G324" i="19"/>
  <c r="G389" i="19"/>
  <c r="G454" i="19"/>
  <c r="G518" i="19"/>
  <c r="G551" i="19"/>
  <c r="G112" i="20"/>
  <c r="G91" i="17" s="1"/>
  <c r="G177" i="20"/>
  <c r="G156" i="17" s="1"/>
  <c r="G251" i="20"/>
  <c r="G228" i="17" s="1"/>
  <c r="G316" i="20"/>
  <c r="G293" i="17" s="1"/>
  <c r="G386" i="20"/>
  <c r="G361" i="17" s="1"/>
  <c r="H23" i="21" s="1"/>
  <c r="O23" i="21" s="1"/>
  <c r="G450" i="20"/>
  <c r="G425" i="17" s="1"/>
  <c r="H184" i="21" s="1"/>
  <c r="O184" i="21" s="1"/>
  <c r="G77" i="20"/>
  <c r="G56" i="17" s="1"/>
  <c r="G499" i="20"/>
  <c r="G472" i="17" s="1"/>
  <c r="H204" i="21" s="1"/>
  <c r="O204" i="21" s="1"/>
  <c r="G342" i="19"/>
  <c r="G407" i="19"/>
  <c r="G472" i="19"/>
  <c r="G528" i="19"/>
  <c r="G560" i="19"/>
  <c r="G122" i="20"/>
  <c r="G101" i="17" s="1"/>
  <c r="G56" i="19"/>
  <c r="G144" i="19"/>
  <c r="G225" i="19"/>
  <c r="G241" i="19"/>
  <c r="G305" i="19"/>
  <c r="G410" i="19"/>
  <c r="G102" i="20"/>
  <c r="G81" i="17" s="1"/>
  <c r="G338" i="19"/>
  <c r="G562" i="19"/>
  <c r="G151" i="20"/>
  <c r="G130" i="17" s="1"/>
  <c r="G223" i="20"/>
  <c r="G200" i="17" s="1"/>
  <c r="H34" i="21" s="1"/>
  <c r="O34" i="21" s="1"/>
  <c r="G290" i="20"/>
  <c r="G267" i="17" s="1"/>
  <c r="G354" i="20"/>
  <c r="G331" i="17" s="1"/>
  <c r="G416" i="20"/>
  <c r="G391"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9" i="20"/>
  <c r="G452" i="17" s="1"/>
  <c r="H138" i="21" s="1"/>
  <c r="O138" i="21" s="1"/>
  <c r="G298" i="19"/>
  <c r="G87" i="19"/>
  <c r="G75" i="19"/>
  <c r="G134" i="19"/>
  <c r="G199" i="19"/>
  <c r="G263" i="19"/>
  <c r="G327" i="19"/>
  <c r="G392" i="19"/>
  <c r="G31" i="19"/>
  <c r="G97" i="19"/>
  <c r="G159" i="19"/>
  <c r="G61" i="20"/>
  <c r="G40" i="17" s="1"/>
  <c r="G489" i="20"/>
  <c r="G462" i="17" s="1"/>
  <c r="H135" i="21" s="1"/>
  <c r="O135" i="21" s="1"/>
  <c r="G332" i="19"/>
  <c r="G397" i="19"/>
  <c r="G462" i="19"/>
  <c r="G523" i="19"/>
  <c r="G555" i="19"/>
  <c r="G120" i="20"/>
  <c r="G99" i="17" s="1"/>
  <c r="G98" i="19"/>
  <c r="G192" i="19"/>
  <c r="G273" i="19"/>
  <c r="G281" i="19"/>
  <c r="G32" i="19"/>
  <c r="G426" i="19"/>
  <c r="G519" i="20"/>
  <c r="G492" i="17" s="1"/>
  <c r="H59" i="21" s="1"/>
  <c r="O59" i="21" s="1"/>
  <c r="G387" i="19"/>
  <c r="G570" i="19"/>
  <c r="G159" i="20"/>
  <c r="G138" i="17" s="1"/>
  <c r="G231" i="20"/>
  <c r="G208" i="17" s="1"/>
  <c r="H41" i="21" s="1"/>
  <c r="O41" i="21" s="1"/>
  <c r="G298" i="20"/>
  <c r="G275" i="17" s="1"/>
  <c r="G362" i="20"/>
  <c r="G339" i="17" s="1"/>
  <c r="G424" i="20"/>
  <c r="G399"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1" i="20"/>
  <c r="G484" i="17" s="1"/>
  <c r="H51" i="21" s="1"/>
  <c r="O51" i="21" s="1"/>
  <c r="G354" i="19"/>
  <c r="G124" i="19"/>
  <c r="G81" i="19"/>
  <c r="G142" i="19"/>
  <c r="G207" i="19"/>
  <c r="G271" i="19"/>
  <c r="G335" i="19"/>
  <c r="G400" i="19"/>
  <c r="G39" i="19"/>
  <c r="G104" i="19"/>
  <c r="G615" i="19"/>
  <c r="G69" i="20"/>
  <c r="G48" i="17" s="1"/>
  <c r="G497" i="20"/>
  <c r="G470" i="17" s="1"/>
  <c r="H202" i="21" s="1"/>
  <c r="O202" i="21" s="1"/>
  <c r="G340" i="19"/>
  <c r="G405" i="19"/>
  <c r="G470" i="19"/>
  <c r="G527" i="19"/>
  <c r="G559" i="19"/>
  <c r="G128" i="20"/>
  <c r="G108" i="17" s="1"/>
  <c r="G193" i="20"/>
  <c r="G172" i="17" s="1"/>
  <c r="G267" i="20"/>
  <c r="G244" i="17" s="1"/>
  <c r="G332" i="20"/>
  <c r="G309" i="17" s="1"/>
  <c r="G402" i="20"/>
  <c r="G377" i="17" s="1"/>
  <c r="H116" i="21" s="1"/>
  <c r="O116" i="21" s="1"/>
  <c r="G466" i="20"/>
  <c r="G439" i="17" s="1"/>
  <c r="H69" i="21" s="1"/>
  <c r="O69" i="21" s="1"/>
  <c r="G91" i="20"/>
  <c r="G70" i="17" s="1"/>
  <c r="G515" i="20"/>
  <c r="G488" i="17" s="1"/>
  <c r="H55" i="21" s="1"/>
  <c r="O55" i="21" s="1"/>
  <c r="G358" i="19"/>
  <c r="G423" i="19"/>
  <c r="G488" i="19"/>
  <c r="G536" i="19"/>
  <c r="G568" i="19"/>
  <c r="G139" i="20"/>
  <c r="G118" i="17" s="1"/>
  <c r="H234" i="21" s="1"/>
  <c r="O234" i="21" s="1"/>
  <c r="G211" i="20"/>
  <c r="G188" i="17" s="1"/>
  <c r="G277" i="20"/>
  <c r="G254" i="17" s="1"/>
  <c r="G342" i="20"/>
  <c r="G319" i="17" s="1"/>
  <c r="G412" i="20"/>
  <c r="G387" i="17" s="1"/>
  <c r="H142" i="21" s="1"/>
  <c r="O142" i="21" s="1"/>
  <c r="G465" i="19"/>
  <c r="G611" i="19"/>
  <c r="G152" i="19"/>
  <c r="G265" i="19"/>
  <c r="G345" i="19"/>
  <c r="G337" i="19"/>
  <c r="G77" i="19"/>
  <c r="G459" i="19"/>
  <c r="G49" i="19"/>
  <c r="G435" i="19"/>
  <c r="G627" i="19"/>
  <c r="G167" i="20"/>
  <c r="G146" i="17" s="1"/>
  <c r="G241" i="20"/>
  <c r="G218" i="17" s="1"/>
  <c r="G306" i="20"/>
  <c r="G283" i="17" s="1"/>
  <c r="G370" i="20"/>
  <c r="G347" i="17" s="1"/>
  <c r="G432" i="20"/>
  <c r="G407" i="17" s="1"/>
  <c r="H125" i="21" s="1"/>
  <c r="O125" i="21" s="1"/>
  <c r="G487" i="20"/>
  <c r="G460"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2" i="20"/>
  <c r="G505" i="17" s="1"/>
  <c r="G395" i="19"/>
  <c r="G30" i="19"/>
  <c r="G89" i="19"/>
  <c r="G150" i="19"/>
  <c r="G215" i="19"/>
  <c r="G279" i="19"/>
  <c r="G343" i="19"/>
  <c r="G408" i="19"/>
  <c r="G55" i="19"/>
  <c r="G111" i="19"/>
  <c r="G607" i="19"/>
  <c r="G76" i="20"/>
  <c r="G55" i="17" s="1"/>
  <c r="G505" i="20"/>
  <c r="G478" i="17" s="1"/>
  <c r="H163" i="21" s="1"/>
  <c r="O163" i="21" s="1"/>
  <c r="G348" i="19"/>
  <c r="G413" i="19"/>
  <c r="G478" i="19"/>
  <c r="G531" i="19"/>
  <c r="G563" i="19"/>
  <c r="G137" i="20"/>
  <c r="G116" i="17" s="1"/>
  <c r="H232" i="21" s="1"/>
  <c r="O232" i="21" s="1"/>
  <c r="G209" i="20"/>
  <c r="G186" i="17" s="1"/>
  <c r="G275" i="20"/>
  <c r="G252" i="17" s="1"/>
  <c r="G340" i="20"/>
  <c r="G317" i="17" s="1"/>
  <c r="G410" i="20"/>
  <c r="G385" i="17" s="1"/>
  <c r="H194" i="21" s="1"/>
  <c r="O194" i="21" s="1"/>
  <c r="G34" i="20"/>
  <c r="G15" i="17" s="1"/>
  <c r="H213" i="21" s="1"/>
  <c r="O213" i="21" s="1"/>
  <c r="G98" i="20"/>
  <c r="G77" i="17" s="1"/>
  <c r="G528" i="20"/>
  <c r="G501" i="17" s="1"/>
  <c r="G367" i="19"/>
  <c r="G431" i="19"/>
  <c r="G496" i="19"/>
  <c r="G540" i="19"/>
  <c r="G572" i="19"/>
  <c r="G147" i="20"/>
  <c r="G126" i="17" s="1"/>
  <c r="H251" i="21" s="1"/>
  <c r="O251" i="21" s="1"/>
  <c r="Q251" i="21" s="1"/>
  <c r="G219" i="20"/>
  <c r="G196" i="17" s="1"/>
  <c r="H33" i="21" s="1"/>
  <c r="O33" i="21" s="1"/>
  <c r="G286" i="20"/>
  <c r="G263" i="17" s="1"/>
  <c r="G350" i="20"/>
  <c r="G327" i="17" s="1"/>
  <c r="G420" i="20"/>
  <c r="G395" i="17" s="1"/>
  <c r="G473" i="19"/>
  <c r="G209" i="19"/>
  <c r="G321" i="19"/>
  <c r="G40" i="19"/>
  <c r="G62" i="19"/>
  <c r="G120" i="19"/>
  <c r="G475" i="19"/>
  <c r="G106" i="19"/>
  <c r="G484" i="19"/>
  <c r="G110" i="20"/>
  <c r="G89" i="17" s="1"/>
  <c r="G175" i="20"/>
  <c r="G154" i="17" s="1"/>
  <c r="G249" i="20"/>
  <c r="G226" i="17" s="1"/>
  <c r="G314" i="20"/>
  <c r="G291" i="17" s="1"/>
  <c r="G376" i="20"/>
  <c r="G351" i="17" s="1"/>
  <c r="G440" i="20"/>
  <c r="G415"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3" i="20"/>
  <c r="G486" i="17" s="1"/>
  <c r="H53" i="21" s="1"/>
  <c r="O53" i="21" s="1"/>
  <c r="G356" i="19"/>
  <c r="G421" i="19"/>
  <c r="G486" i="19"/>
  <c r="G535" i="19"/>
  <c r="G567" i="19"/>
  <c r="G145" i="20"/>
  <c r="G124" i="17" s="1"/>
  <c r="H236" i="21" s="1"/>
  <c r="O236" i="21" s="1"/>
  <c r="G217" i="20"/>
  <c r="G194" i="17" s="1"/>
  <c r="H31" i="21" s="1"/>
  <c r="O31" i="21" s="1"/>
  <c r="G284" i="20"/>
  <c r="G261" i="17" s="1"/>
  <c r="G348" i="20"/>
  <c r="G325" i="17" s="1"/>
  <c r="G418" i="20"/>
  <c r="G393" i="17" s="1"/>
  <c r="H154" i="21" s="1"/>
  <c r="O154" i="21" s="1"/>
  <c r="G42" i="20"/>
  <c r="G21" i="17" s="1"/>
  <c r="G467" i="20"/>
  <c r="G440" i="17" s="1"/>
  <c r="H90" i="21" s="1"/>
  <c r="O90" i="21" s="1"/>
  <c r="G310" i="19"/>
  <c r="G375" i="19"/>
  <c r="G439" i="19"/>
  <c r="G504" i="19"/>
  <c r="G544" i="19"/>
  <c r="G630" i="19"/>
  <c r="G155" i="20"/>
  <c r="G134" i="17" s="1"/>
  <c r="G227" i="20"/>
  <c r="G204" i="17" s="1"/>
  <c r="H45" i="21" s="1"/>
  <c r="O45" i="21" s="1"/>
  <c r="O44" i="21" s="1"/>
  <c r="G294" i="20"/>
  <c r="G271" i="17" s="1"/>
  <c r="G358" i="20"/>
  <c r="G335" i="17" s="1"/>
  <c r="G428" i="20"/>
  <c r="G403" i="17" s="1"/>
  <c r="G481" i="19"/>
  <c r="G257" i="19"/>
  <c r="G184" i="19"/>
  <c r="G118" i="20"/>
  <c r="G97" i="17" s="1"/>
  <c r="G384" i="20"/>
  <c r="G359" i="17" s="1"/>
  <c r="H22" i="21" s="1"/>
  <c r="O22" i="21" s="1"/>
  <c r="G72" i="19"/>
  <c r="G339" i="19"/>
  <c r="G427" i="19"/>
  <c r="G268" i="19"/>
  <c r="G196" i="19"/>
  <c r="G619" i="19"/>
  <c r="G59" i="19"/>
  <c r="G402" i="19"/>
  <c r="G47" i="19"/>
  <c r="G295" i="19"/>
  <c r="G127" i="19"/>
  <c r="G365" i="19"/>
  <c r="G571" i="19"/>
  <c r="G292" i="20"/>
  <c r="G269" i="17" s="1"/>
  <c r="G458" i="20"/>
  <c r="G431" i="17" s="1"/>
  <c r="H131" i="21" s="1"/>
  <c r="O131" i="21" s="1"/>
  <c r="G326" i="19"/>
  <c r="G512" i="19"/>
  <c r="G131" i="20"/>
  <c r="G110" i="17" s="1"/>
  <c r="G253" i="20"/>
  <c r="G230" i="17" s="1"/>
  <c r="G366" i="20"/>
  <c r="G343" i="17" s="1"/>
  <c r="G460" i="20"/>
  <c r="G433"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8" i="20"/>
  <c r="G185" i="17" s="1"/>
  <c r="G274" i="20"/>
  <c r="G251" i="17" s="1"/>
  <c r="G339" i="20"/>
  <c r="G316" i="17" s="1"/>
  <c r="G409" i="20"/>
  <c r="G384" i="17" s="1"/>
  <c r="H146" i="21" s="1"/>
  <c r="O146" i="21" s="1"/>
  <c r="G480" i="20"/>
  <c r="G453" i="17" s="1"/>
  <c r="H76" i="21" s="1"/>
  <c r="O76" i="21" s="1"/>
  <c r="G542" i="20"/>
  <c r="G515" i="17" s="1"/>
  <c r="G574" i="20"/>
  <c r="G547" i="17" s="1"/>
  <c r="H100" i="21" s="1"/>
  <c r="O100" i="21" s="1"/>
  <c r="G596" i="19"/>
  <c r="G85" i="20"/>
  <c r="G64" i="17" s="1"/>
  <c r="G154" i="20"/>
  <c r="G133" i="17" s="1"/>
  <c r="G226" i="20"/>
  <c r="G203" i="17" s="1"/>
  <c r="H37" i="21" s="1"/>
  <c r="O37" i="21" s="1"/>
  <c r="G293" i="20"/>
  <c r="G270" i="17" s="1"/>
  <c r="G357" i="20"/>
  <c r="G334" i="17" s="1"/>
  <c r="G427" i="20"/>
  <c r="G402" i="17" s="1"/>
  <c r="G498" i="20"/>
  <c r="G471" i="17" s="1"/>
  <c r="H203" i="21" s="1"/>
  <c r="O203" i="21" s="1"/>
  <c r="G551" i="20"/>
  <c r="G524" i="17" s="1"/>
  <c r="G583" i="20"/>
  <c r="G556" i="17" s="1"/>
  <c r="G586" i="19"/>
  <c r="G87" i="20"/>
  <c r="G66" i="17" s="1"/>
  <c r="G148" i="20"/>
  <c r="G127" i="17" s="1"/>
  <c r="H238" i="21" s="1"/>
  <c r="O238" i="21" s="1"/>
  <c r="G228" i="20"/>
  <c r="G205" i="17" s="1"/>
  <c r="H38" i="21" s="1"/>
  <c r="O38" i="21" s="1"/>
  <c r="G295" i="20"/>
  <c r="G272" i="17" s="1"/>
  <c r="G359" i="20"/>
  <c r="G336" i="17" s="1"/>
  <c r="G421" i="20"/>
  <c r="G396" i="17" s="1"/>
  <c r="H156" i="21" s="1"/>
  <c r="O156" i="21" s="1"/>
  <c r="G484" i="20"/>
  <c r="G457" i="17" s="1"/>
  <c r="H91" i="21" s="1"/>
  <c r="O91" i="21" s="1"/>
  <c r="G544" i="20"/>
  <c r="G517" i="17" s="1"/>
  <c r="G576" i="20"/>
  <c r="G549" i="17" s="1"/>
  <c r="H105" i="21" s="1"/>
  <c r="O105" i="21" s="1"/>
  <c r="O104" i="21" s="1"/>
  <c r="G221" i="20"/>
  <c r="G198" i="17" s="1"/>
  <c r="G288" i="20"/>
  <c r="G265" i="17" s="1"/>
  <c r="G352" i="20"/>
  <c r="G329" i="17" s="1"/>
  <c r="G414" i="20"/>
  <c r="G389" i="17" s="1"/>
  <c r="H143" i="21" s="1"/>
  <c r="O143" i="21" s="1"/>
  <c r="G477" i="20"/>
  <c r="G450" i="17" s="1"/>
  <c r="H75" i="21" s="1"/>
  <c r="O75" i="21" s="1"/>
  <c r="G626" i="19"/>
  <c r="G54" i="20"/>
  <c r="G33" i="17" s="1"/>
  <c r="G109" i="20"/>
  <c r="G88" i="17" s="1"/>
  <c r="G174" i="20"/>
  <c r="G153" i="17" s="1"/>
  <c r="G248" i="20"/>
  <c r="G225" i="17" s="1"/>
  <c r="G313" i="20"/>
  <c r="G290" i="17" s="1"/>
  <c r="G375" i="20"/>
  <c r="G350" i="17" s="1"/>
  <c r="G439" i="20"/>
  <c r="G414" i="17" s="1"/>
  <c r="G502" i="20"/>
  <c r="G475" i="17" s="1"/>
  <c r="H78" i="21" s="1"/>
  <c r="O78" i="21" s="1"/>
  <c r="G553" i="20"/>
  <c r="G526" i="17" s="1"/>
  <c r="G585" i="20"/>
  <c r="G558" i="17" s="1"/>
  <c r="G182" i="20"/>
  <c r="G161" i="17" s="1"/>
  <c r="G256" i="20"/>
  <c r="G233" i="17" s="1"/>
  <c r="G321" i="20"/>
  <c r="G298" i="17" s="1"/>
  <c r="G313" i="19"/>
  <c r="G233" i="19"/>
  <c r="G126" i="20"/>
  <c r="G105" i="17" s="1"/>
  <c r="G392" i="20"/>
  <c r="G367" i="17" s="1"/>
  <c r="G85" i="19"/>
  <c r="G347" i="19"/>
  <c r="G476" i="19"/>
  <c r="G276" i="19"/>
  <c r="G205" i="19"/>
  <c r="G613" i="19"/>
  <c r="G67" i="19"/>
  <c r="G418" i="19"/>
  <c r="G54" i="19"/>
  <c r="G303" i="19"/>
  <c r="G135" i="19"/>
  <c r="G373" i="19"/>
  <c r="G631" i="19"/>
  <c r="G300" i="20"/>
  <c r="G277" i="17" s="1"/>
  <c r="G49" i="20"/>
  <c r="G28" i="17" s="1"/>
  <c r="G350" i="19"/>
  <c r="G520" i="19"/>
  <c r="G163" i="20"/>
  <c r="G142" i="17" s="1"/>
  <c r="G261" i="20"/>
  <c r="G238" i="17" s="1"/>
  <c r="G380" i="20"/>
  <c r="G355" i="17" s="1"/>
  <c r="H223" i="21" s="1"/>
  <c r="O223" i="21" s="1"/>
  <c r="G457" i="19"/>
  <c r="G587" i="19"/>
  <c r="G78" i="20"/>
  <c r="G57" i="17" s="1"/>
  <c r="G200" i="19"/>
  <c r="G264" i="19"/>
  <c r="G328" i="19"/>
  <c r="G393" i="19"/>
  <c r="G458" i="19"/>
  <c r="G521" i="19"/>
  <c r="G553" i="19"/>
  <c r="G116" i="20"/>
  <c r="G95" i="17" s="1"/>
  <c r="G471" i="19"/>
  <c r="G620" i="19"/>
  <c r="G62" i="20"/>
  <c r="G41" i="17" s="1"/>
  <c r="G144" i="20"/>
  <c r="G123" i="17" s="1"/>
  <c r="G216" i="20"/>
  <c r="G193" i="17" s="1"/>
  <c r="H30" i="21" s="1"/>
  <c r="O30" i="21" s="1"/>
  <c r="G283" i="20"/>
  <c r="G260" i="17" s="1"/>
  <c r="G347" i="20"/>
  <c r="G324" i="17" s="1"/>
  <c r="G417" i="20"/>
  <c r="G392" i="17" s="1"/>
  <c r="H153" i="21" s="1"/>
  <c r="O153" i="21" s="1"/>
  <c r="G488" i="20"/>
  <c r="G461" i="17" s="1"/>
  <c r="H134" i="21" s="1"/>
  <c r="O134" i="21" s="1"/>
  <c r="G546" i="20"/>
  <c r="G519" i="17" s="1"/>
  <c r="G578" i="20"/>
  <c r="G551" i="17" s="1"/>
  <c r="G588" i="19"/>
  <c r="G92" i="20"/>
  <c r="G71" i="17" s="1"/>
  <c r="G162" i="20"/>
  <c r="G141" i="17" s="1"/>
  <c r="H252" i="21" s="1"/>
  <c r="O252" i="21" s="1"/>
  <c r="G234" i="20"/>
  <c r="G211" i="17" s="1"/>
  <c r="H43" i="21" s="1"/>
  <c r="O43" i="21" s="1"/>
  <c r="G301" i="20"/>
  <c r="G278" i="17" s="1"/>
  <c r="G365" i="20"/>
  <c r="G342" i="17" s="1"/>
  <c r="G435" i="20"/>
  <c r="G410" i="17" s="1"/>
  <c r="H126" i="21" s="1"/>
  <c r="O126" i="21" s="1"/>
  <c r="G506" i="20"/>
  <c r="G479" i="17" s="1"/>
  <c r="H18" i="21" s="1"/>
  <c r="O18" i="21" s="1"/>
  <c r="O17" i="21" s="1"/>
  <c r="G555" i="20"/>
  <c r="G528" i="17" s="1"/>
  <c r="H166" i="21" s="1"/>
  <c r="O166" i="21" s="1"/>
  <c r="O165" i="21" s="1"/>
  <c r="G587" i="20"/>
  <c r="G560" i="17" s="1"/>
  <c r="G37" i="20"/>
  <c r="G18" i="17" s="1"/>
  <c r="H216" i="21" s="1"/>
  <c r="O216" i="21" s="1"/>
  <c r="G94" i="20"/>
  <c r="G73" i="17" s="1"/>
  <c r="G156" i="20"/>
  <c r="G135" i="17" s="1"/>
  <c r="G238" i="20"/>
  <c r="G215" i="17" s="1"/>
  <c r="G303" i="20"/>
  <c r="G280" i="17" s="1"/>
  <c r="G367" i="20"/>
  <c r="G344" i="17" s="1"/>
  <c r="G429" i="20"/>
  <c r="G404" i="17" s="1"/>
  <c r="G492" i="20"/>
  <c r="G465" i="17" s="1"/>
  <c r="H87" i="21" s="1"/>
  <c r="O87" i="21" s="1"/>
  <c r="O86" i="21" s="1"/>
  <c r="G548" i="20"/>
  <c r="G521" i="17" s="1"/>
  <c r="G580" i="20"/>
  <c r="G553" i="17" s="1"/>
  <c r="G229" i="20"/>
  <c r="G206" i="17" s="1"/>
  <c r="H39" i="21" s="1"/>
  <c r="O39" i="21" s="1"/>
  <c r="G296" i="20"/>
  <c r="G273" i="17" s="1"/>
  <c r="G360" i="20"/>
  <c r="G337" i="17" s="1"/>
  <c r="G422" i="20"/>
  <c r="G397" i="17" s="1"/>
  <c r="H157" i="21" s="1"/>
  <c r="O157" i="21" s="1"/>
  <c r="G485" i="20"/>
  <c r="G458" i="17" s="1"/>
  <c r="H95" i="21" s="1"/>
  <c r="O95" i="21" s="1"/>
  <c r="O94" i="21" s="1"/>
  <c r="G621" i="19"/>
  <c r="G60" i="20"/>
  <c r="G39" i="17" s="1"/>
  <c r="G117" i="20"/>
  <c r="G96" i="17" s="1"/>
  <c r="G48" i="19"/>
  <c r="G491" i="19"/>
  <c r="G183" i="20"/>
  <c r="G162" i="17" s="1"/>
  <c r="G448" i="20"/>
  <c r="G423" i="17" s="1"/>
  <c r="H182" i="21" s="1"/>
  <c r="O182" i="21" s="1"/>
  <c r="G146" i="19"/>
  <c r="G404" i="19"/>
  <c r="G65" i="19"/>
  <c r="G80" i="20"/>
  <c r="G59" i="17" s="1"/>
  <c r="G261" i="19"/>
  <c r="G67" i="20"/>
  <c r="G46" i="17" s="1"/>
  <c r="G117" i="19"/>
  <c r="G515" i="19"/>
  <c r="G103" i="19"/>
  <c r="G359" i="19"/>
  <c r="G591" i="19"/>
  <c r="G429" i="19"/>
  <c r="G153" i="20"/>
  <c r="G132" i="17" s="1"/>
  <c r="G324" i="20"/>
  <c r="G301" i="17" s="1"/>
  <c r="G56" i="20"/>
  <c r="G35" i="17" s="1"/>
  <c r="G383" i="19"/>
  <c r="G532" i="19"/>
  <c r="G171" i="20"/>
  <c r="G150" i="17" s="1"/>
  <c r="H253" i="21" s="1"/>
  <c r="O253" i="21" s="1"/>
  <c r="G269" i="20"/>
  <c r="G246" i="17" s="1"/>
  <c r="G388" i="20"/>
  <c r="G363" i="17" s="1"/>
  <c r="G489" i="19"/>
  <c r="G86" i="20"/>
  <c r="G65" i="17" s="1"/>
  <c r="G208" i="19"/>
  <c r="G272" i="19"/>
  <c r="G336" i="19"/>
  <c r="G401" i="19"/>
  <c r="G466" i="19"/>
  <c r="G525" i="19"/>
  <c r="G557" i="19"/>
  <c r="G124" i="20"/>
  <c r="G103" i="17" s="1"/>
  <c r="G479" i="19"/>
  <c r="G614" i="19"/>
  <c r="G70" i="20"/>
  <c r="G49" i="17" s="1"/>
  <c r="G152" i="20"/>
  <c r="G131" i="17" s="1"/>
  <c r="G224" i="20"/>
  <c r="G201" i="17" s="1"/>
  <c r="H35" i="21" s="1"/>
  <c r="O35" i="21" s="1"/>
  <c r="G291" i="20"/>
  <c r="G268" i="17" s="1"/>
  <c r="G355" i="20"/>
  <c r="G332" i="17" s="1"/>
  <c r="G425" i="20"/>
  <c r="G400" i="17" s="1"/>
  <c r="G496" i="20"/>
  <c r="G469" i="17" s="1"/>
  <c r="H201" i="21" s="1"/>
  <c r="O201" i="21" s="1"/>
  <c r="G550" i="20"/>
  <c r="G523" i="17" s="1"/>
  <c r="G582" i="20"/>
  <c r="G555" i="17" s="1"/>
  <c r="G27" i="20"/>
  <c r="G8" i="17" s="1"/>
  <c r="H206" i="21" s="1"/>
  <c r="O206" i="21" s="1"/>
  <c r="G99" i="20"/>
  <c r="G78" i="17" s="1"/>
  <c r="G170" i="20"/>
  <c r="G149" i="17" s="1"/>
  <c r="G244" i="20"/>
  <c r="G221" i="17" s="1"/>
  <c r="G309" i="20"/>
  <c r="G286" i="17" s="1"/>
  <c r="G379" i="20"/>
  <c r="G354" i="17" s="1"/>
  <c r="H222" i="21" s="1"/>
  <c r="O222" i="21" s="1"/>
  <c r="G443" i="20"/>
  <c r="G418" i="17" s="1"/>
  <c r="H178" i="21" s="1"/>
  <c r="O178" i="21" s="1"/>
  <c r="G514" i="20"/>
  <c r="G487" i="17" s="1"/>
  <c r="H54" i="21" s="1"/>
  <c r="O54" i="21" s="1"/>
  <c r="G559" i="20"/>
  <c r="G532" i="17" s="1"/>
  <c r="G633" i="19"/>
  <c r="G45" i="20"/>
  <c r="G24" i="17" s="1"/>
  <c r="G101" i="20"/>
  <c r="G80" i="17" s="1"/>
  <c r="G164" i="20"/>
  <c r="G143" i="17" s="1"/>
  <c r="G246" i="20"/>
  <c r="G223" i="17" s="1"/>
  <c r="G311" i="20"/>
  <c r="G288" i="17" s="1"/>
  <c r="G373" i="20"/>
  <c r="G348" i="17" s="1"/>
  <c r="G437" i="20"/>
  <c r="G412" i="17" s="1"/>
  <c r="H49" i="21" s="1"/>
  <c r="O49" i="21" s="1"/>
  <c r="G500" i="20"/>
  <c r="G473" i="17" s="1"/>
  <c r="H81" i="21" s="1"/>
  <c r="O81" i="21" s="1"/>
  <c r="G552" i="20"/>
  <c r="G525" i="17" s="1"/>
  <c r="G584" i="20"/>
  <c r="G557" i="17" s="1"/>
  <c r="G239" i="20"/>
  <c r="G216" i="17" s="1"/>
  <c r="G304" i="20"/>
  <c r="G281" i="17" s="1"/>
  <c r="G368" i="20"/>
  <c r="G345" i="17" s="1"/>
  <c r="G430" i="20"/>
  <c r="G405" i="17" s="1"/>
  <c r="H47" i="21" s="1"/>
  <c r="O47" i="21" s="1"/>
  <c r="G493" i="20"/>
  <c r="G466" i="17" s="1"/>
  <c r="H85" i="21" s="1"/>
  <c r="O85" i="21" s="1"/>
  <c r="G608" i="19"/>
  <c r="G68" i="20"/>
  <c r="G47" i="17" s="1"/>
  <c r="G125" i="20"/>
  <c r="G104" i="17" s="1"/>
  <c r="G190" i="20"/>
  <c r="G169" i="17" s="1"/>
  <c r="G264" i="20"/>
  <c r="G241" i="17" s="1"/>
  <c r="G329" i="20"/>
  <c r="G306" i="17" s="1"/>
  <c r="G391" i="20"/>
  <c r="G366" i="17" s="1"/>
  <c r="H27" i="21" s="1"/>
  <c r="O27" i="21" s="1"/>
  <c r="G455" i="20"/>
  <c r="G430" i="17" s="1"/>
  <c r="H188" i="21" s="1"/>
  <c r="O188" i="21" s="1"/>
  <c r="G518" i="20"/>
  <c r="G491" i="17" s="1"/>
  <c r="H58" i="21" s="1"/>
  <c r="O58" i="21" s="1"/>
  <c r="G561" i="20"/>
  <c r="G534" i="17" s="1"/>
  <c r="G91" i="19"/>
  <c r="G507" i="19"/>
  <c r="G191" i="20"/>
  <c r="G170" i="17" s="1"/>
  <c r="G464" i="20"/>
  <c r="G437" i="17" s="1"/>
  <c r="H67" i="21" s="1"/>
  <c r="O67" i="21" s="1"/>
  <c r="G154" i="19"/>
  <c r="G412" i="19"/>
  <c r="G79" i="19"/>
  <c r="G471" i="20"/>
  <c r="G444" i="17" s="1"/>
  <c r="H73" i="21" s="1"/>
  <c r="O73" i="21" s="1"/>
  <c r="G269" i="19"/>
  <c r="G95" i="20"/>
  <c r="G74" i="17" s="1"/>
  <c r="G125" i="19"/>
  <c r="G609" i="19"/>
  <c r="G110" i="19"/>
  <c r="G368" i="19"/>
  <c r="G32" i="20"/>
  <c r="G13" i="17" s="1"/>
  <c r="H211" i="21" s="1"/>
  <c r="O211" i="21" s="1"/>
  <c r="G437" i="19"/>
  <c r="G161" i="20"/>
  <c r="G140" i="17" s="1"/>
  <c r="G356" i="20"/>
  <c r="G333" i="17" s="1"/>
  <c r="G84" i="20"/>
  <c r="G63" i="17" s="1"/>
  <c r="G391" i="19"/>
  <c r="G548" i="19"/>
  <c r="G179" i="20"/>
  <c r="G158" i="17" s="1"/>
  <c r="G302" i="20"/>
  <c r="G279" i="17" s="1"/>
  <c r="G396" i="20"/>
  <c r="G371"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2" i="20"/>
  <c r="G209" i="17" s="1"/>
  <c r="G299" i="20"/>
  <c r="G276" i="17" s="1"/>
  <c r="G363" i="20"/>
  <c r="G340" i="17" s="1"/>
  <c r="G433" i="20"/>
  <c r="G408" i="17" s="1"/>
  <c r="H48" i="21" s="1"/>
  <c r="O48" i="21" s="1"/>
  <c r="G504" i="20"/>
  <c r="G477" i="17" s="1"/>
  <c r="H162" i="21" s="1"/>
  <c r="O162" i="21" s="1"/>
  <c r="G554" i="20"/>
  <c r="G527" i="17" s="1"/>
  <c r="H164" i="21" s="1"/>
  <c r="O164" i="21" s="1"/>
  <c r="G586" i="20"/>
  <c r="G559" i="17" s="1"/>
  <c r="G35" i="20"/>
  <c r="G16" i="17" s="1"/>
  <c r="H214" i="21" s="1"/>
  <c r="O214" i="21" s="1"/>
  <c r="G113" i="20"/>
  <c r="G92" i="17" s="1"/>
  <c r="G178" i="20"/>
  <c r="G157" i="17" s="1"/>
  <c r="G252" i="20"/>
  <c r="G229" i="17" s="1"/>
  <c r="G317" i="20"/>
  <c r="G294" i="17" s="1"/>
  <c r="G387" i="20"/>
  <c r="G362" i="17" s="1"/>
  <c r="H24" i="21" s="1"/>
  <c r="O24" i="21" s="1"/>
  <c r="G451" i="20"/>
  <c r="G426" i="17" s="1"/>
  <c r="H185" i="21" s="1"/>
  <c r="O185" i="21" s="1"/>
  <c r="G527" i="20"/>
  <c r="G500" i="17" s="1"/>
  <c r="G563" i="20"/>
  <c r="G536" i="17" s="1"/>
  <c r="G628" i="19"/>
  <c r="G52" i="20"/>
  <c r="G31" i="17" s="1"/>
  <c r="G107" i="20"/>
  <c r="G86" i="17" s="1"/>
  <c r="G172" i="20"/>
  <c r="G151" i="17" s="1"/>
  <c r="G254" i="20"/>
  <c r="G231" i="17" s="1"/>
  <c r="G319" i="20"/>
  <c r="G296" i="17" s="1"/>
  <c r="G381" i="20"/>
  <c r="G356" i="17" s="1"/>
  <c r="H224" i="21" s="1"/>
  <c r="O224" i="21" s="1"/>
  <c r="G445" i="20"/>
  <c r="G420" i="17" s="1"/>
  <c r="H180" i="21" s="1"/>
  <c r="O180" i="21" s="1"/>
  <c r="G508" i="20"/>
  <c r="G481" i="17" s="1"/>
  <c r="H191" i="21" s="1"/>
  <c r="O191" i="21" s="1"/>
  <c r="G556" i="20"/>
  <c r="G529" i="17" s="1"/>
  <c r="G588" i="20"/>
  <c r="G561" i="17" s="1"/>
  <c r="G247" i="20"/>
  <c r="G224" i="17" s="1"/>
  <c r="G312" i="20"/>
  <c r="G289" i="17" s="1"/>
  <c r="G374" i="20"/>
  <c r="G349" i="17" s="1"/>
  <c r="G438" i="20"/>
  <c r="G413" i="17" s="1"/>
  <c r="G501" i="20"/>
  <c r="G474" i="17" s="1"/>
  <c r="H82" i="21" s="1"/>
  <c r="O82" i="21" s="1"/>
  <c r="G600" i="19"/>
  <c r="G75" i="20"/>
  <c r="G54" i="17" s="1"/>
  <c r="G134" i="20"/>
  <c r="G113" i="17" s="1"/>
  <c r="G206" i="20"/>
  <c r="G183" i="17" s="1"/>
  <c r="G272" i="20"/>
  <c r="G249" i="17" s="1"/>
  <c r="G337" i="20"/>
  <c r="G314" i="17" s="1"/>
  <c r="G399" i="20"/>
  <c r="G374" i="17" s="1"/>
  <c r="H113" i="21" s="1"/>
  <c r="O113" i="21" s="1"/>
  <c r="G463" i="20"/>
  <c r="G436" i="17" s="1"/>
  <c r="H66" i="21" s="1"/>
  <c r="O66" i="21" s="1"/>
  <c r="G531" i="20"/>
  <c r="G504" i="17" s="1"/>
  <c r="G565" i="20"/>
  <c r="G538" i="17" s="1"/>
  <c r="G569" i="20"/>
  <c r="G542" i="17" s="1"/>
  <c r="G573" i="20"/>
  <c r="G546" i="17" s="1"/>
  <c r="H99" i="21" s="1"/>
  <c r="O99" i="21" s="1"/>
  <c r="G83" i="19"/>
  <c r="G145" i="19"/>
  <c r="G257" i="20"/>
  <c r="G234" i="17" s="1"/>
  <c r="G71" i="19"/>
  <c r="G211" i="19"/>
  <c r="G469" i="19"/>
  <c r="G139" i="19"/>
  <c r="G306" i="19"/>
  <c r="G325" i="19"/>
  <c r="G330" i="19"/>
  <c r="G181" i="19"/>
  <c r="G113" i="19"/>
  <c r="G166" i="19"/>
  <c r="G424" i="19"/>
  <c r="G97" i="20"/>
  <c r="G76" i="17" s="1"/>
  <c r="G494" i="19"/>
  <c r="G185" i="20"/>
  <c r="G164" i="17" s="1"/>
  <c r="G364" i="20"/>
  <c r="G341" i="17" s="1"/>
  <c r="G475" i="20"/>
  <c r="G448" i="17" s="1"/>
  <c r="H150" i="21" s="1"/>
  <c r="O150" i="21" s="1"/>
  <c r="G415" i="19"/>
  <c r="G552" i="19"/>
  <c r="G187" i="20"/>
  <c r="G166" i="17" s="1"/>
  <c r="G310" i="20"/>
  <c r="G287" i="17" s="1"/>
  <c r="G404" i="20"/>
  <c r="G379"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2" i="20"/>
  <c r="G219" i="17" s="1"/>
  <c r="G307" i="20"/>
  <c r="G284" i="17" s="1"/>
  <c r="G377" i="20"/>
  <c r="G352" i="17" s="1"/>
  <c r="G441" i="20"/>
  <c r="G416" i="17" s="1"/>
  <c r="G512" i="20"/>
  <c r="G485" i="17" s="1"/>
  <c r="H52" i="21" s="1"/>
  <c r="O52" i="21" s="1"/>
  <c r="G558" i="20"/>
  <c r="G531" i="17" s="1"/>
  <c r="G629" i="19"/>
  <c r="G43" i="20"/>
  <c r="G22" i="17" s="1"/>
  <c r="G121" i="20"/>
  <c r="G100" i="17" s="1"/>
  <c r="G186" i="20"/>
  <c r="G165" i="17" s="1"/>
  <c r="G260" i="20"/>
  <c r="G237" i="17" s="1"/>
  <c r="G325" i="20"/>
  <c r="G302" i="17" s="1"/>
  <c r="G395" i="20"/>
  <c r="G370" i="17" s="1"/>
  <c r="H109" i="21" s="1"/>
  <c r="O109" i="21" s="1"/>
  <c r="G459" i="20"/>
  <c r="G432" i="17" s="1"/>
  <c r="H62" i="21" s="1"/>
  <c r="O62" i="21" s="1"/>
  <c r="G535" i="20"/>
  <c r="G508" i="17" s="1"/>
  <c r="G567" i="20"/>
  <c r="G540" i="17" s="1"/>
  <c r="G617" i="19"/>
  <c r="G58" i="20"/>
  <c r="G37" i="17" s="1"/>
  <c r="G115" i="20"/>
  <c r="G94" i="17" s="1"/>
  <c r="G180" i="20"/>
  <c r="G159" i="17" s="1"/>
  <c r="H241" i="21" s="1"/>
  <c r="O241" i="21" s="1"/>
  <c r="G262" i="20"/>
  <c r="G239" i="17" s="1"/>
  <c r="G327" i="20"/>
  <c r="G304" i="17" s="1"/>
  <c r="G389" i="20"/>
  <c r="G364" i="17" s="1"/>
  <c r="H25" i="21" s="1"/>
  <c r="O25" i="21" s="1"/>
  <c r="G453" i="20"/>
  <c r="G428" i="17" s="1"/>
  <c r="G516" i="20"/>
  <c r="G489" i="17" s="1"/>
  <c r="H56" i="21" s="1"/>
  <c r="O56" i="21" s="1"/>
  <c r="G560" i="20"/>
  <c r="G533" i="17" s="1"/>
  <c r="G173" i="20"/>
  <c r="G152" i="17" s="1"/>
  <c r="G255" i="20"/>
  <c r="G232" i="17" s="1"/>
  <c r="G320" i="20"/>
  <c r="G297" i="17" s="1"/>
  <c r="G382" i="20"/>
  <c r="G357" i="17" s="1"/>
  <c r="H20" i="21" s="1"/>
  <c r="O20" i="21" s="1"/>
  <c r="G446" i="20"/>
  <c r="G421" i="17" s="1"/>
  <c r="G509" i="20"/>
  <c r="G482" i="17" s="1"/>
  <c r="H192" i="21" s="1"/>
  <c r="O192" i="21" s="1"/>
  <c r="G592" i="19"/>
  <c r="G81" i="20"/>
  <c r="G60" i="17" s="1"/>
  <c r="G142" i="20"/>
  <c r="G121" i="17" s="1"/>
  <c r="G214" i="20"/>
  <c r="G191" i="17" s="1"/>
  <c r="G281" i="20"/>
  <c r="G258" i="17" s="1"/>
  <c r="G345" i="20"/>
  <c r="G322" i="17" s="1"/>
  <c r="G407" i="20"/>
  <c r="G382" i="17" s="1"/>
  <c r="H140" i="21" s="1"/>
  <c r="O140" i="21" s="1"/>
  <c r="O139" i="21" s="1"/>
  <c r="G470" i="20"/>
  <c r="G443" i="17" s="1"/>
  <c r="H72" i="21" s="1"/>
  <c r="O72" i="21" s="1"/>
  <c r="G537" i="20"/>
  <c r="G510" i="17" s="1"/>
  <c r="G128" i="19"/>
  <c r="G193" i="19"/>
  <c r="G265" i="20"/>
  <c r="G242" i="17" s="1"/>
  <c r="G121" i="19"/>
  <c r="G219" i="19"/>
  <c r="G477" i="19"/>
  <c r="G147" i="19"/>
  <c r="G346" i="19"/>
  <c r="G333" i="19"/>
  <c r="G371" i="19"/>
  <c r="G189" i="19"/>
  <c r="G161" i="19"/>
  <c r="G174" i="19"/>
  <c r="G432" i="19"/>
  <c r="G104" i="20"/>
  <c r="G83" i="17" s="1"/>
  <c r="G502" i="19"/>
  <c r="G225" i="20"/>
  <c r="G202" i="17" s="1"/>
  <c r="H36" i="21" s="1"/>
  <c r="O36" i="21" s="1"/>
  <c r="G394" i="20"/>
  <c r="G369" i="17" s="1"/>
  <c r="H108" i="21" s="1"/>
  <c r="O108" i="21" s="1"/>
  <c r="G483" i="20"/>
  <c r="G456" i="17" s="1"/>
  <c r="H97" i="21" s="1"/>
  <c r="O97" i="21" s="1"/>
  <c r="O96" i="21" s="1"/>
  <c r="G448" i="19"/>
  <c r="G564" i="19"/>
  <c r="G202" i="20"/>
  <c r="G181" i="17" s="1"/>
  <c r="G318" i="20"/>
  <c r="G295" i="17" s="1"/>
  <c r="G436" i="20"/>
  <c r="G411"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0" i="21" s="1"/>
  <c r="O240" i="21" s="1"/>
  <c r="G250" i="20"/>
  <c r="G227" i="17" s="1"/>
  <c r="G315" i="20"/>
  <c r="G292" i="17" s="1"/>
  <c r="G385" i="20"/>
  <c r="G360" i="17" s="1"/>
  <c r="G449" i="20"/>
  <c r="G424" i="17" s="1"/>
  <c r="H183" i="21" s="1"/>
  <c r="O183" i="21" s="1"/>
  <c r="G520" i="20"/>
  <c r="G493" i="17" s="1"/>
  <c r="H60" i="21" s="1"/>
  <c r="O60" i="21" s="1"/>
  <c r="G562" i="20"/>
  <c r="G535" i="17" s="1"/>
  <c r="G623" i="19"/>
  <c r="G50" i="20"/>
  <c r="G29" i="17" s="1"/>
  <c r="G130" i="20"/>
  <c r="G109" i="17" s="1"/>
  <c r="G194" i="20"/>
  <c r="G173" i="17" s="1"/>
  <c r="G268" i="20"/>
  <c r="G245" i="17" s="1"/>
  <c r="G333" i="20"/>
  <c r="G310" i="17" s="1"/>
  <c r="G403" i="20"/>
  <c r="G378" i="17" s="1"/>
  <c r="H117" i="21" s="1"/>
  <c r="O117" i="21" s="1"/>
  <c r="G474" i="20"/>
  <c r="G447" i="17" s="1"/>
  <c r="H149" i="21" s="1"/>
  <c r="O149" i="21" s="1"/>
  <c r="G539" i="20"/>
  <c r="G512" i="17" s="1"/>
  <c r="G571" i="20"/>
  <c r="G544" i="17" s="1"/>
  <c r="G610" i="19"/>
  <c r="G66" i="20"/>
  <c r="G45" i="17" s="1"/>
  <c r="G123" i="20"/>
  <c r="G102" i="17" s="1"/>
  <c r="G188" i="20"/>
  <c r="G167" i="17" s="1"/>
  <c r="G270" i="20"/>
  <c r="G247" i="17" s="1"/>
  <c r="G335" i="20"/>
  <c r="G312" i="17" s="1"/>
  <c r="G397" i="20"/>
  <c r="G372" i="17" s="1"/>
  <c r="H111" i="21" s="1"/>
  <c r="O111" i="21" s="1"/>
  <c r="G461" i="20"/>
  <c r="G434" i="17" s="1"/>
  <c r="H64" i="21" s="1"/>
  <c r="O64" i="21" s="1"/>
  <c r="G529" i="20"/>
  <c r="G502" i="17" s="1"/>
  <c r="G564" i="20"/>
  <c r="G537" i="17" s="1"/>
  <c r="G181" i="20"/>
  <c r="G160" i="17" s="1"/>
  <c r="G263" i="20"/>
  <c r="G240" i="17" s="1"/>
  <c r="G328" i="20"/>
  <c r="G305" i="17" s="1"/>
  <c r="G390" i="20"/>
  <c r="G365" i="17" s="1"/>
  <c r="H26" i="21" s="1"/>
  <c r="O26" i="21" s="1"/>
  <c r="G454" i="20"/>
  <c r="G429" i="17" s="1"/>
  <c r="H187" i="21" s="1"/>
  <c r="O187" i="21" s="1"/>
  <c r="G517" i="20"/>
  <c r="G490" i="17" s="1"/>
  <c r="H57" i="21" s="1"/>
  <c r="O57" i="21" s="1"/>
  <c r="G584" i="19"/>
  <c r="G150" i="20"/>
  <c r="G129" i="17" s="1"/>
  <c r="H239" i="21" s="1"/>
  <c r="O239" i="21" s="1"/>
  <c r="G222" i="20"/>
  <c r="G199" i="17" s="1"/>
  <c r="G289" i="20"/>
  <c r="G266" i="17" s="1"/>
  <c r="G353" i="20"/>
  <c r="G330" i="17" s="1"/>
  <c r="G415" i="20"/>
  <c r="G390" i="17" s="1"/>
  <c r="H196" i="21" s="1"/>
  <c r="O196" i="21" s="1"/>
  <c r="G478" i="20"/>
  <c r="G451" i="17" s="1"/>
  <c r="H137" i="21" s="1"/>
  <c r="O137" i="21" s="1"/>
  <c r="O136" i="21" s="1"/>
  <c r="G541" i="20"/>
  <c r="G514" i="17" s="1"/>
  <c r="G105" i="19"/>
  <c r="G522" i="19"/>
  <c r="G322" i="20"/>
  <c r="G299" i="17" s="1"/>
  <c r="G460" i="19"/>
  <c r="G275" i="19"/>
  <c r="G585" i="19"/>
  <c r="G204" i="19"/>
  <c r="G94" i="19"/>
  <c r="G390" i="19"/>
  <c r="G101" i="19"/>
  <c r="G254" i="19"/>
  <c r="G508" i="19"/>
  <c r="G231" i="19"/>
  <c r="G69" i="19"/>
  <c r="G526" i="20"/>
  <c r="G499" i="17" s="1"/>
  <c r="G539" i="19"/>
  <c r="G233" i="20"/>
  <c r="G210" i="17" s="1"/>
  <c r="H42" i="21" s="1"/>
  <c r="O42" i="21" s="1"/>
  <c r="G426" i="20"/>
  <c r="G401" i="17" s="1"/>
  <c r="G507" i="20"/>
  <c r="G480" i="17" s="1"/>
  <c r="H190" i="21" s="1"/>
  <c r="O190" i="21" s="1"/>
  <c r="G456" i="19"/>
  <c r="G624" i="19"/>
  <c r="G237" i="20"/>
  <c r="G214" i="17" s="1"/>
  <c r="G326" i="20"/>
  <c r="G303" i="17" s="1"/>
  <c r="G444" i="20"/>
  <c r="G419" i="17" s="1"/>
  <c r="H179" i="21" s="1"/>
  <c r="O179" i="21" s="1"/>
  <c r="G618" i="19"/>
  <c r="G57" i="20"/>
  <c r="G36" i="17" s="1"/>
  <c r="G175" i="19"/>
  <c r="G240" i="19"/>
  <c r="G304" i="19"/>
  <c r="G369" i="19"/>
  <c r="G433" i="19"/>
  <c r="G498" i="19"/>
  <c r="G541" i="19"/>
  <c r="G573" i="19"/>
  <c r="G157" i="20"/>
  <c r="G136" i="17" s="1"/>
  <c r="G160" i="19"/>
  <c r="G398" i="19"/>
  <c r="G259" i="20"/>
  <c r="G236" i="17" s="1"/>
  <c r="G603" i="19"/>
  <c r="G545" i="19"/>
  <c r="G127" i="20"/>
  <c r="G106" i="17" s="1"/>
  <c r="G401" i="20"/>
  <c r="G376" i="17" s="1"/>
  <c r="H115" i="21" s="1"/>
  <c r="O115" i="21" s="1"/>
  <c r="G604" i="19"/>
  <c r="G285" i="20"/>
  <c r="G262" i="17" s="1"/>
  <c r="G547" i="20"/>
  <c r="G520" i="17" s="1"/>
  <c r="G140" i="20"/>
  <c r="G119" i="17" s="1"/>
  <c r="H250" i="21" s="1"/>
  <c r="O250" i="21" s="1"/>
  <c r="G413" i="20"/>
  <c r="G388" i="17" s="1"/>
  <c r="H147" i="21" s="1"/>
  <c r="O147" i="21" s="1"/>
  <c r="G213" i="20"/>
  <c r="G190" i="17" s="1"/>
  <c r="G469" i="20"/>
  <c r="G442" i="17" s="1"/>
  <c r="H71" i="21" s="1"/>
  <c r="O71" i="21" s="1"/>
  <c r="G166" i="20"/>
  <c r="G145" i="17" s="1"/>
  <c r="G423" i="20"/>
  <c r="G398" i="17" s="1"/>
  <c r="H158" i="21" s="1"/>
  <c r="O158" i="21" s="1"/>
  <c r="G557" i="20"/>
  <c r="G530" i="17" s="1"/>
  <c r="G73" i="20"/>
  <c r="G52" i="17" s="1"/>
  <c r="G96" i="20"/>
  <c r="G75" i="17" s="1"/>
  <c r="G612" i="19"/>
  <c r="G383" i="20"/>
  <c r="G358" i="17" s="1"/>
  <c r="H21" i="21" s="1"/>
  <c r="O21" i="21" s="1"/>
  <c r="G534" i="19"/>
  <c r="G108" i="19"/>
  <c r="G434" i="20"/>
  <c r="G409" i="17" s="1"/>
  <c r="G65" i="20"/>
  <c r="G44" i="17" s="1"/>
  <c r="G634" i="19"/>
  <c r="G184" i="20"/>
  <c r="G163" i="17" s="1"/>
  <c r="G465" i="20"/>
  <c r="G438" i="17" s="1"/>
  <c r="H68" i="21" s="1"/>
  <c r="O68" i="21" s="1"/>
  <c r="G64" i="20"/>
  <c r="G43" i="17" s="1"/>
  <c r="G341" i="20"/>
  <c r="G318" i="17" s="1"/>
  <c r="G575" i="20"/>
  <c r="G548" i="17" s="1"/>
  <c r="H175" i="21" s="1"/>
  <c r="O175" i="21" s="1"/>
  <c r="O174" i="21" s="1"/>
  <c r="G212" i="20"/>
  <c r="G189" i="17" s="1"/>
  <c r="G468" i="20"/>
  <c r="G441" i="17" s="1"/>
  <c r="H70" i="21" s="1"/>
  <c r="O70" i="21" s="1"/>
  <c r="G271" i="20"/>
  <c r="G248" i="17" s="1"/>
  <c r="G530" i="20"/>
  <c r="G503" i="17" s="1"/>
  <c r="G230" i="20"/>
  <c r="G207" i="17" s="1"/>
  <c r="H40" i="21" s="1"/>
  <c r="O40" i="21" s="1"/>
  <c r="G431" i="20"/>
  <c r="G406" i="17" s="1"/>
  <c r="H124" i="21" s="1"/>
  <c r="O124" i="21" s="1"/>
  <c r="G577" i="20"/>
  <c r="G550" i="17" s="1"/>
  <c r="H168" i="21" s="1"/>
  <c r="O168" i="21" s="1"/>
  <c r="G447" i="20"/>
  <c r="G422" i="17" s="1"/>
  <c r="H181" i="21" s="1"/>
  <c r="O181" i="21" s="1"/>
  <c r="G305" i="20"/>
  <c r="G282" i="17" s="1"/>
  <c r="G76" i="19"/>
  <c r="G566" i="20"/>
  <c r="G539" i="17" s="1"/>
  <c r="G398" i="20"/>
  <c r="G373" i="17" s="1"/>
  <c r="H112" i="21" s="1"/>
  <c r="O112" i="21" s="1"/>
  <c r="G119" i="20"/>
  <c r="G98" i="17" s="1"/>
  <c r="G405" i="20"/>
  <c r="G380" i="17" s="1"/>
  <c r="H119" i="21" s="1"/>
  <c r="O119" i="21" s="1"/>
  <c r="G549" i="20"/>
  <c r="G522" i="17" s="1"/>
  <c r="G330" i="20"/>
  <c r="G307" i="17" s="1"/>
  <c r="G262" i="19"/>
  <c r="G318" i="19"/>
  <c r="G183" i="19"/>
  <c r="G165" i="20"/>
  <c r="G144" i="17" s="1"/>
  <c r="G192" i="20"/>
  <c r="G171" i="17" s="1"/>
  <c r="G472" i="20"/>
  <c r="G445" i="17" s="1"/>
  <c r="H74" i="21" s="1"/>
  <c r="O74" i="21" s="1"/>
  <c r="G71" i="20"/>
  <c r="G50" i="17" s="1"/>
  <c r="G349" i="20"/>
  <c r="G326" i="17" s="1"/>
  <c r="G579" i="20"/>
  <c r="G552" i="17" s="1"/>
  <c r="G220" i="20"/>
  <c r="G197" i="17" s="1"/>
  <c r="G476" i="20"/>
  <c r="G449" i="17" s="1"/>
  <c r="H151" i="21" s="1"/>
  <c r="O151" i="21" s="1"/>
  <c r="G279" i="20"/>
  <c r="G256" i="17" s="1"/>
  <c r="G632" i="19"/>
  <c r="G240" i="20"/>
  <c r="G217" i="17" s="1"/>
  <c r="G581" i="20"/>
  <c r="G554" i="17" s="1"/>
  <c r="G84" i="19"/>
  <c r="G33" i="20"/>
  <c r="G14" i="17" s="1"/>
  <c r="H212" i="21" s="1"/>
  <c r="O212" i="21" s="1"/>
  <c r="G343" i="20"/>
  <c r="G320" i="17" s="1"/>
  <c r="G361" i="20"/>
  <c r="G338" i="17" s="1"/>
  <c r="G276" i="20"/>
  <c r="G253" i="17" s="1"/>
  <c r="G462" i="20"/>
  <c r="G435" i="17" s="1"/>
  <c r="H65" i="21" s="1"/>
  <c r="O65" i="21" s="1"/>
  <c r="G500" i="19"/>
  <c r="G554" i="19"/>
  <c r="G480" i="19"/>
  <c r="G248" i="19"/>
  <c r="G511" i="19"/>
  <c r="G258" i="20"/>
  <c r="G235" i="17" s="1"/>
  <c r="G533" i="20"/>
  <c r="G506" i="17" s="1"/>
  <c r="G138" i="20"/>
  <c r="G117" i="17" s="1"/>
  <c r="H233" i="21" s="1"/>
  <c r="O233" i="21" s="1"/>
  <c r="G411" i="20"/>
  <c r="G386" i="17" s="1"/>
  <c r="H195" i="21" s="1"/>
  <c r="O195" i="21" s="1"/>
  <c r="G602" i="19"/>
  <c r="G278" i="20"/>
  <c r="G255" i="17" s="1"/>
  <c r="G536" i="20"/>
  <c r="G509" i="17" s="1"/>
  <c r="G336" i="20"/>
  <c r="G313" i="17" s="1"/>
  <c r="G31" i="20"/>
  <c r="G12" i="17" s="1"/>
  <c r="H210" i="21" s="1"/>
  <c r="O210" i="21" s="1"/>
  <c r="G297" i="20"/>
  <c r="G274" i="17" s="1"/>
  <c r="G486" i="20"/>
  <c r="G459" i="17" s="1"/>
  <c r="H129" i="21" s="1"/>
  <c r="O129" i="21" s="1"/>
  <c r="G377" i="19"/>
  <c r="G482" i="20"/>
  <c r="G455" i="17" s="1"/>
  <c r="H122" i="21" s="1"/>
  <c r="O122" i="21" s="1"/>
  <c r="O121" i="21" s="1"/>
  <c r="G393" i="20"/>
  <c r="G368" i="17" s="1"/>
  <c r="H107" i="21" s="1"/>
  <c r="O107" i="21" s="1"/>
  <c r="G189" i="20"/>
  <c r="G168" i="17" s="1"/>
  <c r="G283" i="19"/>
  <c r="G239" i="19"/>
  <c r="G106" i="20"/>
  <c r="G85" i="17" s="1"/>
  <c r="G312" i="19"/>
  <c r="G519" i="19"/>
  <c r="G538" i="20"/>
  <c r="G511" i="17" s="1"/>
  <c r="G146" i="20"/>
  <c r="G125" i="17" s="1"/>
  <c r="H237" i="21" s="1"/>
  <c r="O237" i="21" s="1"/>
  <c r="G419" i="20"/>
  <c r="G394" i="17" s="1"/>
  <c r="H155" i="21" s="1"/>
  <c r="O155" i="21" s="1"/>
  <c r="G594" i="19"/>
  <c r="G287" i="20"/>
  <c r="G264" i="17" s="1"/>
  <c r="G540" i="20"/>
  <c r="G513" i="17" s="1"/>
  <c r="G344" i="20"/>
  <c r="G321" i="17" s="1"/>
  <c r="G46" i="20"/>
  <c r="G25" i="17" s="1"/>
  <c r="G494" i="20"/>
  <c r="G467" i="17" s="1"/>
  <c r="H199" i="21" s="1"/>
  <c r="O199" i="21" s="1"/>
  <c r="G245" i="20"/>
  <c r="G222" i="17" s="1"/>
  <c r="G323" i="20"/>
  <c r="G300" i="17" s="1"/>
  <c r="G210" i="20"/>
  <c r="G187" i="17" s="1"/>
  <c r="G568" i="20"/>
  <c r="G541" i="17" s="1"/>
  <c r="G510" i="20"/>
  <c r="G483" i="17" s="1"/>
  <c r="H79" i="21" s="1"/>
  <c r="O79" i="21" s="1"/>
  <c r="G543" i="20"/>
  <c r="G516" i="17" s="1"/>
  <c r="G158" i="20"/>
  <c r="G137" i="17" s="1"/>
  <c r="G212" i="19"/>
  <c r="G534" i="20"/>
  <c r="G507" i="17" s="1"/>
  <c r="G334" i="20"/>
  <c r="G311" i="17" s="1"/>
  <c r="G441" i="19"/>
  <c r="G41" i="20"/>
  <c r="G20" i="17" s="1"/>
  <c r="G331" i="20"/>
  <c r="G308" i="17" s="1"/>
  <c r="G570" i="20"/>
  <c r="G543" i="17" s="1"/>
  <c r="G218" i="20"/>
  <c r="G195" i="17" s="1"/>
  <c r="H32" i="21" s="1"/>
  <c r="O32" i="21" s="1"/>
  <c r="G490" i="20"/>
  <c r="G463" i="17" s="1"/>
  <c r="H101" i="21" s="1"/>
  <c r="O101" i="21" s="1"/>
  <c r="G79" i="20"/>
  <c r="G58" i="17" s="1"/>
  <c r="G351" i="20"/>
  <c r="G328" i="17" s="1"/>
  <c r="G572" i="20"/>
  <c r="G545" i="17" s="1"/>
  <c r="H103" i="21" s="1"/>
  <c r="O103" i="21" s="1"/>
  <c r="O102" i="21" s="1"/>
  <c r="G406" i="20"/>
  <c r="G381" i="17" s="1"/>
  <c r="H120" i="21" s="1"/>
  <c r="O120" i="21" s="1"/>
  <c r="G103" i="20"/>
  <c r="G82" i="17" s="1"/>
  <c r="G369" i="20"/>
  <c r="G346" i="17" s="1"/>
  <c r="G545" i="20"/>
  <c r="G518" i="17" s="1"/>
  <c r="G116" i="19"/>
  <c r="G543" i="19"/>
  <c r="G452" i="20"/>
  <c r="G427" i="17" s="1"/>
  <c r="H186" i="21" s="1"/>
  <c r="O186" i="21" s="1"/>
  <c r="G506" i="19"/>
  <c r="G132" i="20"/>
  <c r="G111" i="17" s="1"/>
  <c r="G29" i="20"/>
  <c r="G10" i="17" s="1"/>
  <c r="H208" i="21" s="1"/>
  <c r="O208" i="21" s="1"/>
  <c r="J970" i="1"/>
  <c r="J952" i="1"/>
  <c r="J944" i="1"/>
  <c r="J863" i="1"/>
  <c r="J788" i="1"/>
  <c r="J780" i="1"/>
  <c r="J752" i="1"/>
  <c r="J744" i="1"/>
  <c r="J728" i="1"/>
  <c r="J687" i="1"/>
  <c r="J658" i="1"/>
  <c r="J650" i="1"/>
  <c r="J633" i="1"/>
  <c r="J574" i="1"/>
  <c r="J530" i="1"/>
  <c r="J501" i="1"/>
  <c r="J492" i="1"/>
  <c r="J484" i="1"/>
  <c r="J472"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5" i="20"/>
  <c r="J275" i="20" s="1"/>
  <c r="I266" i="19"/>
  <c r="J266" i="19" s="1"/>
  <c r="L266" i="19" s="1"/>
  <c r="I292" i="19"/>
  <c r="J292" i="19" s="1"/>
  <c r="L292" i="19" s="1"/>
  <c r="I302" i="20"/>
  <c r="J302" i="20" s="1"/>
  <c r="I328" i="20"/>
  <c r="J328" i="20" s="1"/>
  <c r="I318" i="19"/>
  <c r="J318" i="19" s="1"/>
  <c r="L318" i="19" s="1"/>
  <c r="I369" i="20"/>
  <c r="J369" i="20" s="1"/>
  <c r="I359" i="19"/>
  <c r="J359" i="19" s="1"/>
  <c r="L359" i="19" s="1"/>
  <c r="I475" i="20"/>
  <c r="J475" i="20" s="1"/>
  <c r="I465" i="19"/>
  <c r="J465" i="19" s="1"/>
  <c r="I491" i="20"/>
  <c r="J491" i="20" s="1"/>
  <c r="I481" i="19"/>
  <c r="J481" i="19" s="1"/>
  <c r="I503" i="20"/>
  <c r="J503" i="20" s="1"/>
  <c r="I493" i="19"/>
  <c r="J493" i="19" s="1"/>
  <c r="I532" i="20"/>
  <c r="J532"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4" i="20"/>
  <c r="J434" i="20" s="1"/>
  <c r="I424" i="19"/>
  <c r="J424" i="19" s="1"/>
  <c r="L424" i="19" s="1"/>
  <c r="I448" i="20"/>
  <c r="J448" i="20" s="1"/>
  <c r="I438" i="19"/>
  <c r="J438" i="19" s="1"/>
  <c r="L438" i="19" s="1"/>
  <c r="I211" i="19"/>
  <c r="J211" i="19" s="1"/>
  <c r="L211" i="19" s="1"/>
  <c r="I218" i="20"/>
  <c r="J218" i="20" s="1"/>
  <c r="I244" i="20"/>
  <c r="J244" i="20" s="1"/>
  <c r="I235" i="19"/>
  <c r="J235" i="19" s="1"/>
  <c r="L235" i="19" s="1"/>
  <c r="I270" i="20"/>
  <c r="J270" i="20" s="1"/>
  <c r="I261" i="19"/>
  <c r="J261" i="19" s="1"/>
  <c r="L261" i="19" s="1"/>
  <c r="I349" i="20"/>
  <c r="J349" i="20" s="1"/>
  <c r="I339" i="19"/>
  <c r="J339" i="19" s="1"/>
  <c r="L339" i="19" s="1"/>
  <c r="I478" i="20"/>
  <c r="J478" i="20" s="1"/>
  <c r="I468" i="19"/>
  <c r="J468" i="19" s="1"/>
  <c r="I514" i="20"/>
  <c r="J514"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7" i="20"/>
  <c r="J377" i="20" s="1"/>
  <c r="I375" i="19"/>
  <c r="J375" i="19" s="1"/>
  <c r="L375" i="19" s="1"/>
  <c r="I385" i="20"/>
  <c r="J385" i="20" s="1"/>
  <c r="I399" i="20"/>
  <c r="J399" i="20" s="1"/>
  <c r="I389" i="19"/>
  <c r="J389" i="19" s="1"/>
  <c r="L389" i="19" s="1"/>
  <c r="I407" i="20"/>
  <c r="J407" i="20" s="1"/>
  <c r="I397" i="19"/>
  <c r="J397" i="19" s="1"/>
  <c r="L397" i="19" s="1"/>
  <c r="I415" i="20"/>
  <c r="J415" i="20" s="1"/>
  <c r="I405" i="19"/>
  <c r="J405" i="19" s="1"/>
  <c r="L405" i="19" s="1"/>
  <c r="I423" i="20"/>
  <c r="J423" i="20" s="1"/>
  <c r="I413" i="19"/>
  <c r="J413" i="19" s="1"/>
  <c r="L413" i="19" s="1"/>
  <c r="I419" i="19"/>
  <c r="J419" i="19" s="1"/>
  <c r="L419" i="19" s="1"/>
  <c r="I429" i="20"/>
  <c r="J429" i="20" s="1"/>
  <c r="I427" i="19"/>
  <c r="J427" i="19" s="1"/>
  <c r="L427" i="19" s="1"/>
  <c r="I437" i="20"/>
  <c r="J437" i="20" s="1"/>
  <c r="I443" i="20"/>
  <c r="J443" i="20" s="1"/>
  <c r="I433" i="19"/>
  <c r="J433" i="19" s="1"/>
  <c r="L433" i="19" s="1"/>
  <c r="I451" i="20"/>
  <c r="J451" i="20" s="1"/>
  <c r="I441" i="19"/>
  <c r="J441" i="19" s="1"/>
  <c r="L441" i="19" s="1"/>
  <c r="I266" i="20"/>
  <c r="J266" i="20" s="1"/>
  <c r="I257" i="19"/>
  <c r="J257" i="19" s="1"/>
  <c r="L257" i="19" s="1"/>
  <c r="I283" i="20"/>
  <c r="J283" i="20" s="1"/>
  <c r="I273" i="19"/>
  <c r="J273" i="19" s="1"/>
  <c r="L273" i="19" s="1"/>
  <c r="I287" i="20"/>
  <c r="J287" i="20" s="1"/>
  <c r="I277" i="19"/>
  <c r="J277" i="19" s="1"/>
  <c r="L277" i="19" s="1"/>
  <c r="I291" i="20"/>
  <c r="J291" i="20" s="1"/>
  <c r="I281" i="19"/>
  <c r="J281" i="19" s="1"/>
  <c r="L281" i="19" s="1"/>
  <c r="I295" i="20"/>
  <c r="J295" i="20" s="1"/>
  <c r="I285" i="19"/>
  <c r="J285" i="19" s="1"/>
  <c r="L285" i="19" s="1"/>
  <c r="I299" i="20"/>
  <c r="J299" i="20" s="1"/>
  <c r="I289" i="19"/>
  <c r="J289" i="19" s="1"/>
  <c r="L289" i="19" s="1"/>
  <c r="I303" i="20"/>
  <c r="J303" i="20" s="1"/>
  <c r="I293" i="19"/>
  <c r="J293" i="19" s="1"/>
  <c r="L293" i="19" s="1"/>
  <c r="I307" i="20"/>
  <c r="J307" i="20" s="1"/>
  <c r="I297" i="19"/>
  <c r="J297" i="19" s="1"/>
  <c r="L297" i="19" s="1"/>
  <c r="I311" i="20"/>
  <c r="J311" i="20" s="1"/>
  <c r="I301" i="19"/>
  <c r="J301" i="19" s="1"/>
  <c r="L301" i="19" s="1"/>
  <c r="I315" i="20"/>
  <c r="J315" i="20" s="1"/>
  <c r="I305" i="19"/>
  <c r="J305" i="19" s="1"/>
  <c r="L305" i="19" s="1"/>
  <c r="I320" i="20"/>
  <c r="J320" i="20" s="1"/>
  <c r="I310" i="19"/>
  <c r="J310" i="19" s="1"/>
  <c r="L310" i="19" s="1"/>
  <c r="I325" i="20"/>
  <c r="J325" i="20" s="1"/>
  <c r="I315" i="19"/>
  <c r="J315" i="19" s="1"/>
  <c r="L315" i="19" s="1"/>
  <c r="I329" i="20"/>
  <c r="J329" i="20" s="1"/>
  <c r="I319" i="19"/>
  <c r="J319" i="19" s="1"/>
  <c r="L319" i="19" s="1"/>
  <c r="I336" i="20"/>
  <c r="J336" i="20" s="1"/>
  <c r="I326" i="19"/>
  <c r="J326" i="19" s="1"/>
  <c r="L326" i="19" s="1"/>
  <c r="I343" i="20"/>
  <c r="J343" i="20" s="1"/>
  <c r="I333" i="19"/>
  <c r="J333" i="19" s="1"/>
  <c r="L333" i="19" s="1"/>
  <c r="I340" i="19"/>
  <c r="J340" i="19" s="1"/>
  <c r="L340" i="19" s="1"/>
  <c r="I350" i="20"/>
  <c r="J350" i="20" s="1"/>
  <c r="I355" i="20"/>
  <c r="J355" i="20" s="1"/>
  <c r="I345" i="19"/>
  <c r="J345" i="19" s="1"/>
  <c r="L345" i="19" s="1"/>
  <c r="I363" i="20"/>
  <c r="J363" i="20" s="1"/>
  <c r="I353" i="19"/>
  <c r="J353" i="19" s="1"/>
  <c r="L353" i="19" s="1"/>
  <c r="I370" i="20"/>
  <c r="J370" i="20" s="1"/>
  <c r="I360" i="19"/>
  <c r="J360" i="19" s="1"/>
  <c r="L360" i="19" s="1"/>
  <c r="I465" i="20"/>
  <c r="J465" i="20" s="1"/>
  <c r="I455" i="19"/>
  <c r="J455" i="19" s="1"/>
  <c r="I473" i="20"/>
  <c r="J473" i="20" s="1"/>
  <c r="I463" i="19"/>
  <c r="J463" i="19" s="1"/>
  <c r="I481" i="20"/>
  <c r="J481" i="20" s="1"/>
  <c r="I471" i="19"/>
  <c r="J471" i="19" s="1"/>
  <c r="I489" i="20"/>
  <c r="J489" i="20" s="1"/>
  <c r="I479" i="19"/>
  <c r="J479" i="19" s="1"/>
  <c r="I497" i="20"/>
  <c r="J497" i="20" s="1"/>
  <c r="I487" i="19"/>
  <c r="J487" i="19" s="1"/>
  <c r="I509" i="20"/>
  <c r="J509" i="20" s="1"/>
  <c r="I499" i="19"/>
  <c r="J499" i="19" s="1"/>
  <c r="I517" i="20"/>
  <c r="J517" i="20" s="1"/>
  <c r="I507" i="19"/>
  <c r="J507" i="19" s="1"/>
  <c r="I530" i="20"/>
  <c r="J530"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9" i="20"/>
  <c r="J379" i="20" s="1"/>
  <c r="I369" i="19"/>
  <c r="J369" i="19" s="1"/>
  <c r="L369" i="19" s="1"/>
  <c r="I435" i="19"/>
  <c r="J435" i="19" s="1"/>
  <c r="L435" i="19" s="1"/>
  <c r="I445" i="20"/>
  <c r="J445" i="20" s="1"/>
  <c r="I280" i="19"/>
  <c r="J280" i="19" s="1"/>
  <c r="L280" i="19" s="1"/>
  <c r="I290" i="20"/>
  <c r="J290" i="20" s="1"/>
  <c r="I304" i="19"/>
  <c r="J304" i="19" s="1"/>
  <c r="L304" i="19" s="1"/>
  <c r="I314" i="20"/>
  <c r="J314" i="20" s="1"/>
  <c r="I348" i="20"/>
  <c r="J348" i="20" s="1"/>
  <c r="I338" i="19"/>
  <c r="J338" i="19" s="1"/>
  <c r="L338" i="19" s="1"/>
  <c r="I115" i="20"/>
  <c r="J115" i="20" s="1"/>
  <c r="I117" i="19"/>
  <c r="J117" i="19" s="1"/>
  <c r="L117" i="19" s="1"/>
  <c r="I79" i="20"/>
  <c r="J79" i="20" s="1"/>
  <c r="I81" i="19"/>
  <c r="J81" i="19" s="1"/>
  <c r="L81" i="19" s="1"/>
  <c r="I390" i="20"/>
  <c r="J390" i="20" s="1"/>
  <c r="I380" i="19"/>
  <c r="J380" i="19" s="1"/>
  <c r="L380" i="19" s="1"/>
  <c r="I214" i="20"/>
  <c r="J214" i="20" s="1"/>
  <c r="I207" i="19"/>
  <c r="J207" i="19" s="1"/>
  <c r="L207" i="19" s="1"/>
  <c r="I231" i="19"/>
  <c r="J231" i="19" s="1"/>
  <c r="L231" i="19" s="1"/>
  <c r="I240" i="20"/>
  <c r="J240" i="20" s="1"/>
  <c r="I335" i="20"/>
  <c r="J335" i="20" s="1"/>
  <c r="I325" i="19"/>
  <c r="J325" i="19" s="1"/>
  <c r="L325" i="19" s="1"/>
  <c r="I470" i="20"/>
  <c r="J470" i="20" s="1"/>
  <c r="I460" i="19"/>
  <c r="J460" i="19" s="1"/>
  <c r="I527" i="20"/>
  <c r="J527"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80" i="20"/>
  <c r="J380" i="20" s="1"/>
  <c r="I370" i="19"/>
  <c r="J370" i="19" s="1"/>
  <c r="L370" i="19" s="1"/>
  <c r="I388" i="20"/>
  <c r="J388" i="20" s="1"/>
  <c r="I378" i="19"/>
  <c r="J378" i="19" s="1"/>
  <c r="L378" i="19" s="1"/>
  <c r="I394" i="20"/>
  <c r="J394" i="20" s="1"/>
  <c r="I384" i="19"/>
  <c r="J384" i="19" s="1"/>
  <c r="L384" i="19" s="1"/>
  <c r="I402" i="20"/>
  <c r="J402" i="20" s="1"/>
  <c r="I392" i="19"/>
  <c r="J392" i="19" s="1"/>
  <c r="L392" i="19" s="1"/>
  <c r="I410" i="20"/>
  <c r="J410" i="20" s="1"/>
  <c r="I400" i="19"/>
  <c r="J400" i="19" s="1"/>
  <c r="L400" i="19" s="1"/>
  <c r="I418" i="20"/>
  <c r="J418" i="20" s="1"/>
  <c r="I408" i="19"/>
  <c r="J408" i="19" s="1"/>
  <c r="L408" i="19" s="1"/>
  <c r="I432" i="20"/>
  <c r="J432" i="20" s="1"/>
  <c r="I422" i="19"/>
  <c r="J422" i="19" s="1"/>
  <c r="L422" i="19" s="1"/>
  <c r="I440" i="20"/>
  <c r="J440" i="20" s="1"/>
  <c r="I430" i="19"/>
  <c r="J430" i="19" s="1"/>
  <c r="L430" i="19" s="1"/>
  <c r="I446" i="20"/>
  <c r="J446" i="20" s="1"/>
  <c r="I436" i="19"/>
  <c r="J436" i="19" s="1"/>
  <c r="L436" i="19" s="1"/>
  <c r="I454" i="20"/>
  <c r="J454" i="20" s="1"/>
  <c r="I444" i="19"/>
  <c r="J444" i="19" s="1"/>
  <c r="L444" i="19" s="1"/>
  <c r="I207" i="20"/>
  <c r="J207" i="20" s="1"/>
  <c r="I200" i="19"/>
  <c r="J200" i="19" s="1"/>
  <c r="L200" i="19" s="1"/>
  <c r="I211" i="20"/>
  <c r="J211" i="20" s="1"/>
  <c r="I204" i="19"/>
  <c r="J204" i="19" s="1"/>
  <c r="L204" i="19" s="1"/>
  <c r="I215" i="20"/>
  <c r="J215" i="20" s="1"/>
  <c r="I208" i="19"/>
  <c r="J208" i="19" s="1"/>
  <c r="L208" i="19" s="1"/>
  <c r="I219" i="20"/>
  <c r="J219" i="20" s="1"/>
  <c r="I212" i="19"/>
  <c r="J212" i="19" s="1"/>
  <c r="L212" i="19" s="1"/>
  <c r="I216" i="19"/>
  <c r="J216" i="19" s="1"/>
  <c r="L216" i="19" s="1"/>
  <c r="I223" i="20"/>
  <c r="J223" i="20" s="1"/>
  <c r="I220" i="19"/>
  <c r="J220" i="19" s="1"/>
  <c r="L220" i="19" s="1"/>
  <c r="I227" i="20"/>
  <c r="J227" i="20" s="1"/>
  <c r="I231" i="20"/>
  <c r="J231" i="20" s="1"/>
  <c r="I224" i="19"/>
  <c r="J224" i="19" s="1"/>
  <c r="L224" i="19" s="1"/>
  <c r="I228" i="19"/>
  <c r="J228" i="19" s="1"/>
  <c r="L228" i="19" s="1"/>
  <c r="I237" i="20"/>
  <c r="J237" i="20" s="1"/>
  <c r="I232" i="19"/>
  <c r="J232" i="19" s="1"/>
  <c r="L232" i="19" s="1"/>
  <c r="I241" i="20"/>
  <c r="J241" i="20" s="1"/>
  <c r="I236" i="19"/>
  <c r="J236" i="19" s="1"/>
  <c r="L236" i="19" s="1"/>
  <c r="I245" i="20"/>
  <c r="J245" i="20" s="1"/>
  <c r="I250" i="20"/>
  <c r="J250" i="20" s="1"/>
  <c r="I241" i="19"/>
  <c r="J241" i="19" s="1"/>
  <c r="L241" i="19" s="1"/>
  <c r="I254" i="20"/>
  <c r="J254" i="20" s="1"/>
  <c r="I245" i="19"/>
  <c r="J245" i="19" s="1"/>
  <c r="L245" i="19" s="1"/>
  <c r="I258" i="20"/>
  <c r="J258" i="20" s="1"/>
  <c r="I249" i="19"/>
  <c r="J249" i="19" s="1"/>
  <c r="L249" i="19" s="1"/>
  <c r="I262" i="20"/>
  <c r="J262" i="20" s="1"/>
  <c r="I253" i="19"/>
  <c r="J253" i="19" s="1"/>
  <c r="L253" i="19" s="1"/>
  <c r="I271" i="20"/>
  <c r="J271" i="20" s="1"/>
  <c r="I262" i="19"/>
  <c r="J262" i="19" s="1"/>
  <c r="L262" i="19" s="1"/>
  <c r="I268" i="19"/>
  <c r="J268" i="19" s="1"/>
  <c r="L268" i="19" s="1"/>
  <c r="I277" i="20"/>
  <c r="J277" i="20" s="1"/>
  <c r="I337" i="20"/>
  <c r="J337" i="20" s="1"/>
  <c r="I327" i="19"/>
  <c r="J327" i="19" s="1"/>
  <c r="L327" i="19" s="1"/>
  <c r="I344" i="20"/>
  <c r="J344" i="20" s="1"/>
  <c r="I334" i="19"/>
  <c r="J334" i="19" s="1"/>
  <c r="L334" i="19" s="1"/>
  <c r="I356" i="20"/>
  <c r="J356" i="20" s="1"/>
  <c r="I346" i="19"/>
  <c r="J346" i="19" s="1"/>
  <c r="L346" i="19" s="1"/>
  <c r="I364" i="20"/>
  <c r="J364" i="20" s="1"/>
  <c r="I354" i="19"/>
  <c r="J354" i="19" s="1"/>
  <c r="L354" i="19" s="1"/>
  <c r="I460" i="20"/>
  <c r="J460" i="20" s="1"/>
  <c r="I450" i="19"/>
  <c r="J450" i="19" s="1"/>
  <c r="I468" i="20"/>
  <c r="J468" i="20" s="1"/>
  <c r="I458" i="19"/>
  <c r="J458" i="19" s="1"/>
  <c r="I466" i="19"/>
  <c r="J466" i="19" s="1"/>
  <c r="I476" i="20"/>
  <c r="J476" i="20" s="1"/>
  <c r="I484" i="20"/>
  <c r="J484" i="20" s="1"/>
  <c r="I474" i="19"/>
  <c r="J474" i="19" s="1"/>
  <c r="I482" i="19"/>
  <c r="J482" i="19" s="1"/>
  <c r="I492" i="20"/>
  <c r="J492" i="20" s="1"/>
  <c r="I500" i="20"/>
  <c r="J500" i="20" s="1"/>
  <c r="I490" i="19"/>
  <c r="J490" i="19" s="1"/>
  <c r="I504" i="20"/>
  <c r="J504" i="20" s="1"/>
  <c r="I494" i="19"/>
  <c r="J494" i="19" s="1"/>
  <c r="I512" i="20"/>
  <c r="J512" i="20" s="1"/>
  <c r="I502" i="19"/>
  <c r="J502" i="19" s="1"/>
  <c r="I520" i="20"/>
  <c r="J520" i="20" s="1"/>
  <c r="I510" i="19"/>
  <c r="J510" i="19" s="1"/>
  <c r="I533" i="20"/>
  <c r="J533"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3" i="20"/>
  <c r="J453" i="20" s="1"/>
  <c r="I272" i="19"/>
  <c r="J272" i="19" s="1"/>
  <c r="L272" i="19" s="1"/>
  <c r="I282" i="20"/>
  <c r="J282" i="20" s="1"/>
  <c r="I296" i="19"/>
  <c r="J296" i="19" s="1"/>
  <c r="L296" i="19" s="1"/>
  <c r="I306" i="20"/>
  <c r="J306" i="20" s="1"/>
  <c r="I332" i="19"/>
  <c r="J332" i="19" s="1"/>
  <c r="L332" i="19" s="1"/>
  <c r="I342" i="20"/>
  <c r="J34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4" i="20"/>
  <c r="J404" i="20" s="1"/>
  <c r="I394" i="19"/>
  <c r="J394" i="19" s="1"/>
  <c r="L394" i="19" s="1"/>
  <c r="I420" i="20"/>
  <c r="J420" i="20" s="1"/>
  <c r="I410" i="19"/>
  <c r="J410" i="19" s="1"/>
  <c r="L410" i="19" s="1"/>
  <c r="I226" i="20"/>
  <c r="J226" i="20" s="1"/>
  <c r="I219" i="19"/>
  <c r="J219" i="19" s="1"/>
  <c r="L219" i="19" s="1"/>
  <c r="I244" i="19"/>
  <c r="J244" i="19" s="1"/>
  <c r="L244" i="19" s="1"/>
  <c r="I253" i="20"/>
  <c r="J253" i="20" s="1"/>
  <c r="I462" i="20"/>
  <c r="J462"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5" i="20"/>
  <c r="J375" i="20" s="1"/>
  <c r="I365" i="19"/>
  <c r="J365" i="19" s="1"/>
  <c r="L365" i="19" s="1"/>
  <c r="I383" i="20"/>
  <c r="J383" i="20" s="1"/>
  <c r="I373" i="19"/>
  <c r="J373" i="19" s="1"/>
  <c r="L373" i="19" s="1"/>
  <c r="I391" i="20"/>
  <c r="J391" i="20" s="1"/>
  <c r="I381" i="19"/>
  <c r="J381" i="19" s="1"/>
  <c r="L381" i="19" s="1"/>
  <c r="I387" i="19"/>
  <c r="J387" i="19" s="1"/>
  <c r="L387" i="19" s="1"/>
  <c r="I397" i="20"/>
  <c r="J397" i="20" s="1"/>
  <c r="I395" i="19"/>
  <c r="J395" i="19" s="1"/>
  <c r="L395" i="19" s="1"/>
  <c r="I405" i="20"/>
  <c r="J405" i="20" s="1"/>
  <c r="I403" i="19"/>
  <c r="J403" i="19" s="1"/>
  <c r="L403" i="19" s="1"/>
  <c r="I413" i="20"/>
  <c r="J413" i="20" s="1"/>
  <c r="I411" i="19"/>
  <c r="J411" i="19" s="1"/>
  <c r="L411" i="19" s="1"/>
  <c r="I421" i="20"/>
  <c r="J421" i="20" s="1"/>
  <c r="I427" i="20"/>
  <c r="J427" i="20" s="1"/>
  <c r="I417" i="19"/>
  <c r="J417" i="19" s="1"/>
  <c r="L417" i="19" s="1"/>
  <c r="I435" i="20"/>
  <c r="J435" i="20" s="1"/>
  <c r="I425" i="19"/>
  <c r="J425" i="19" s="1"/>
  <c r="L425" i="19" s="1"/>
  <c r="I439" i="19"/>
  <c r="J439" i="19" s="1"/>
  <c r="L439" i="19" s="1"/>
  <c r="I449" i="20"/>
  <c r="J449" i="20" s="1"/>
  <c r="I246" i="20"/>
  <c r="J246" i="20" s="1"/>
  <c r="I237" i="19"/>
  <c r="J237" i="19" s="1"/>
  <c r="L237" i="19" s="1"/>
  <c r="I263" i="20"/>
  <c r="J263" i="20" s="1"/>
  <c r="I254" i="19"/>
  <c r="J254" i="19" s="1"/>
  <c r="L254" i="19" s="1"/>
  <c r="I267" i="20"/>
  <c r="J267" i="20" s="1"/>
  <c r="I258" i="19"/>
  <c r="J258" i="19" s="1"/>
  <c r="L258" i="19" s="1"/>
  <c r="I284" i="20"/>
  <c r="J284" i="20" s="1"/>
  <c r="I274" i="19"/>
  <c r="J274" i="19" s="1"/>
  <c r="L274" i="19" s="1"/>
  <c r="I288" i="20"/>
  <c r="J288" i="20" s="1"/>
  <c r="I278" i="19"/>
  <c r="J278" i="19" s="1"/>
  <c r="L278" i="19" s="1"/>
  <c r="I292" i="20"/>
  <c r="J292" i="20" s="1"/>
  <c r="I282" i="19"/>
  <c r="J282" i="19" s="1"/>
  <c r="L282" i="19" s="1"/>
  <c r="I296" i="20"/>
  <c r="J296" i="20" s="1"/>
  <c r="I286" i="19"/>
  <c r="J286" i="19" s="1"/>
  <c r="L286" i="19" s="1"/>
  <c r="I300" i="20"/>
  <c r="J300" i="20" s="1"/>
  <c r="I290" i="19"/>
  <c r="J290" i="19" s="1"/>
  <c r="L290" i="19" s="1"/>
  <c r="I304" i="20"/>
  <c r="J304" i="20" s="1"/>
  <c r="I294" i="19"/>
  <c r="J294" i="19" s="1"/>
  <c r="L294" i="19" s="1"/>
  <c r="I308" i="20"/>
  <c r="J308" i="20" s="1"/>
  <c r="I298" i="19"/>
  <c r="J298" i="19" s="1"/>
  <c r="L298" i="19" s="1"/>
  <c r="I312" i="20"/>
  <c r="J312" i="20" s="1"/>
  <c r="I302" i="19"/>
  <c r="J302" i="19" s="1"/>
  <c r="L302" i="19" s="1"/>
  <c r="I316" i="20"/>
  <c r="J316" i="20" s="1"/>
  <c r="I306" i="19"/>
  <c r="J306" i="19" s="1"/>
  <c r="L306" i="19" s="1"/>
  <c r="I321" i="20"/>
  <c r="J321" i="20" s="1"/>
  <c r="I311" i="19"/>
  <c r="J311" i="19" s="1"/>
  <c r="L311" i="19" s="1"/>
  <c r="I326" i="20"/>
  <c r="J326" i="20" s="1"/>
  <c r="I316" i="19"/>
  <c r="J316" i="19" s="1"/>
  <c r="L316" i="19" s="1"/>
  <c r="I320" i="19"/>
  <c r="J320" i="19" s="1"/>
  <c r="L320" i="19" s="1"/>
  <c r="I330" i="20"/>
  <c r="J330" i="20" s="1"/>
  <c r="I328" i="19"/>
  <c r="J328" i="19" s="1"/>
  <c r="L328" i="19" s="1"/>
  <c r="I338" i="20"/>
  <c r="J338" i="20" s="1"/>
  <c r="I345" i="20"/>
  <c r="J345" i="20" s="1"/>
  <c r="I335" i="19"/>
  <c r="J335" i="19" s="1"/>
  <c r="L335" i="19" s="1"/>
  <c r="I351" i="20"/>
  <c r="J351" i="20" s="1"/>
  <c r="I341" i="19"/>
  <c r="J341" i="19" s="1"/>
  <c r="L341" i="19" s="1"/>
  <c r="I357" i="20"/>
  <c r="J357" i="20" s="1"/>
  <c r="I347" i="19"/>
  <c r="J347" i="19" s="1"/>
  <c r="L347" i="19" s="1"/>
  <c r="I365" i="20"/>
  <c r="J365" i="20" s="1"/>
  <c r="I355" i="19"/>
  <c r="J355" i="19" s="1"/>
  <c r="L355" i="19" s="1"/>
  <c r="I463" i="20"/>
  <c r="J463" i="20" s="1"/>
  <c r="I453" i="19"/>
  <c r="J453" i="19" s="1"/>
  <c r="I471" i="20"/>
  <c r="J471" i="20" s="1"/>
  <c r="I461" i="19"/>
  <c r="J461" i="19" s="1"/>
  <c r="I479" i="20"/>
  <c r="J479" i="20" s="1"/>
  <c r="I469" i="19"/>
  <c r="J469" i="19" s="1"/>
  <c r="I487" i="20"/>
  <c r="J487" i="20" s="1"/>
  <c r="I477" i="19"/>
  <c r="J477" i="19" s="1"/>
  <c r="I495" i="20"/>
  <c r="J495" i="20" s="1"/>
  <c r="I485" i="19"/>
  <c r="J485" i="19" s="1"/>
  <c r="I507" i="20"/>
  <c r="J507" i="20" s="1"/>
  <c r="I497" i="19"/>
  <c r="J497" i="19" s="1"/>
  <c r="I515" i="20"/>
  <c r="J515" i="20" s="1"/>
  <c r="I505" i="19"/>
  <c r="J505" i="19" s="1"/>
  <c r="I528" i="20"/>
  <c r="J528"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7" i="20"/>
  <c r="J387" i="20" s="1"/>
  <c r="I377" i="19"/>
  <c r="J377" i="19" s="1"/>
  <c r="L377" i="19" s="1"/>
  <c r="I439" i="20"/>
  <c r="J439" i="20" s="1"/>
  <c r="I429" i="19"/>
  <c r="J429" i="19" s="1"/>
  <c r="L429" i="19" s="1"/>
  <c r="I256" i="19"/>
  <c r="J256" i="19" s="1"/>
  <c r="L256" i="19" s="1"/>
  <c r="I265" i="20"/>
  <c r="J265" i="20" s="1"/>
  <c r="I294" i="20"/>
  <c r="J294" i="20" s="1"/>
  <c r="I284" i="19"/>
  <c r="J284" i="19" s="1"/>
  <c r="L284" i="19" s="1"/>
  <c r="I361" i="20"/>
  <c r="J361" i="20" s="1"/>
  <c r="I351" i="19"/>
  <c r="J351" i="19" s="1"/>
  <c r="L351" i="19" s="1"/>
  <c r="I51" i="20"/>
  <c r="J51" i="20" s="1"/>
  <c r="I53" i="19"/>
  <c r="J53" i="19" s="1"/>
  <c r="L53" i="19" s="1"/>
  <c r="I69" i="20"/>
  <c r="J69" i="20" s="1"/>
  <c r="I71" i="19"/>
  <c r="J71" i="19" s="1"/>
  <c r="L71" i="19" s="1"/>
  <c r="I382" i="20"/>
  <c r="J382" i="20" s="1"/>
  <c r="I372" i="19"/>
  <c r="J372" i="19" s="1"/>
  <c r="L372" i="19" s="1"/>
  <c r="I396" i="20"/>
  <c r="J396" i="20" s="1"/>
  <c r="I386" i="19"/>
  <c r="J386" i="19" s="1"/>
  <c r="L386" i="19" s="1"/>
  <c r="I412" i="20"/>
  <c r="J412" i="20" s="1"/>
  <c r="I402" i="19"/>
  <c r="J402" i="19" s="1"/>
  <c r="L402" i="19" s="1"/>
  <c r="I199" i="19"/>
  <c r="I206" i="20"/>
  <c r="I230" i="20"/>
  <c r="J230" i="20" s="1"/>
  <c r="I223" i="19"/>
  <c r="J223" i="19" s="1"/>
  <c r="L223" i="19" s="1"/>
  <c r="I248" i="19"/>
  <c r="J248" i="19" s="1"/>
  <c r="L248" i="19" s="1"/>
  <c r="I257" i="20"/>
  <c r="J257" i="20" s="1"/>
  <c r="I362" i="20"/>
  <c r="J362"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8" i="20"/>
  <c r="J378" i="20" s="1"/>
  <c r="I368" i="19"/>
  <c r="J368" i="19" s="1"/>
  <c r="L368" i="19" s="1"/>
  <c r="I386" i="20"/>
  <c r="J386" i="20" s="1"/>
  <c r="I376" i="19"/>
  <c r="J376" i="19" s="1"/>
  <c r="L376" i="19" s="1"/>
  <c r="I400" i="20"/>
  <c r="J400" i="20" s="1"/>
  <c r="I390" i="19"/>
  <c r="J390" i="19" s="1"/>
  <c r="L390" i="19" s="1"/>
  <c r="I408" i="20"/>
  <c r="J408" i="20" s="1"/>
  <c r="I398" i="19"/>
  <c r="J398" i="19" s="1"/>
  <c r="L398" i="19" s="1"/>
  <c r="I416" i="20"/>
  <c r="J416" i="20" s="1"/>
  <c r="I406" i="19"/>
  <c r="J406" i="19" s="1"/>
  <c r="L406" i="19" s="1"/>
  <c r="I424" i="20"/>
  <c r="J424" i="20" s="1"/>
  <c r="I414" i="19"/>
  <c r="J414" i="19" s="1"/>
  <c r="L414" i="19" s="1"/>
  <c r="I430" i="20"/>
  <c r="J430" i="20" s="1"/>
  <c r="I420" i="19"/>
  <c r="J420" i="19" s="1"/>
  <c r="L420" i="19" s="1"/>
  <c r="I438" i="20"/>
  <c r="J438" i="20" s="1"/>
  <c r="I428" i="19"/>
  <c r="J428" i="19" s="1"/>
  <c r="L428" i="19" s="1"/>
  <c r="I444" i="20"/>
  <c r="J444" i="20" s="1"/>
  <c r="I434" i="19"/>
  <c r="J434" i="19" s="1"/>
  <c r="L434" i="19" s="1"/>
  <c r="I452" i="20"/>
  <c r="J452" i="20" s="1"/>
  <c r="I442" i="19"/>
  <c r="J442" i="19" s="1"/>
  <c r="L442" i="19" s="1"/>
  <c r="I208" i="20"/>
  <c r="J208" i="20" s="1"/>
  <c r="I201" i="19"/>
  <c r="J201" i="19" s="1"/>
  <c r="L201" i="19" s="1"/>
  <c r="I212" i="20"/>
  <c r="J212" i="20" s="1"/>
  <c r="I205" i="19"/>
  <c r="J205" i="19" s="1"/>
  <c r="L205" i="19" s="1"/>
  <c r="I216" i="20"/>
  <c r="J216" i="20" s="1"/>
  <c r="I209" i="19"/>
  <c r="J209" i="19" s="1"/>
  <c r="L209" i="19" s="1"/>
  <c r="I220" i="20"/>
  <c r="J220" i="20" s="1"/>
  <c r="I213" i="19"/>
  <c r="J213" i="19" s="1"/>
  <c r="L213" i="19" s="1"/>
  <c r="I224" i="20"/>
  <c r="J224" i="20" s="1"/>
  <c r="I217" i="19"/>
  <c r="J217" i="19" s="1"/>
  <c r="L217" i="19" s="1"/>
  <c r="I228" i="20"/>
  <c r="J228" i="20" s="1"/>
  <c r="I221" i="19"/>
  <c r="J221" i="19" s="1"/>
  <c r="L221" i="19" s="1"/>
  <c r="I232" i="20"/>
  <c r="J232" i="20" s="1"/>
  <c r="I225" i="19"/>
  <c r="J225" i="19" s="1"/>
  <c r="L225" i="19" s="1"/>
  <c r="I238" i="20"/>
  <c r="J238" i="20" s="1"/>
  <c r="I229" i="19"/>
  <c r="J229" i="19" s="1"/>
  <c r="L229" i="19" s="1"/>
  <c r="I242" i="20"/>
  <c r="J242" i="20" s="1"/>
  <c r="I233" i="19"/>
  <c r="J233" i="19" s="1"/>
  <c r="L233" i="19" s="1"/>
  <c r="I251" i="20"/>
  <c r="J251" i="20" s="1"/>
  <c r="I242" i="19"/>
  <c r="J242" i="19" s="1"/>
  <c r="L242" i="19" s="1"/>
  <c r="I255" i="20"/>
  <c r="J255" i="20" s="1"/>
  <c r="I246" i="19"/>
  <c r="J246" i="19" s="1"/>
  <c r="L246" i="19" s="1"/>
  <c r="I259" i="20"/>
  <c r="J259" i="20" s="1"/>
  <c r="I250" i="19"/>
  <c r="J250" i="19" s="1"/>
  <c r="L250" i="19" s="1"/>
  <c r="I272" i="20"/>
  <c r="J272" i="20" s="1"/>
  <c r="I263" i="19"/>
  <c r="J263" i="19" s="1"/>
  <c r="L263" i="19" s="1"/>
  <c r="I278" i="20"/>
  <c r="J278" i="20" s="1"/>
  <c r="I269" i="19"/>
  <c r="J269" i="19" s="1"/>
  <c r="L269" i="19" s="1"/>
  <c r="I317" i="20"/>
  <c r="J317" i="20" s="1"/>
  <c r="I307" i="19"/>
  <c r="J307" i="19" s="1"/>
  <c r="L307" i="19" s="1"/>
  <c r="I331" i="20"/>
  <c r="J331" i="20" s="1"/>
  <c r="I321" i="19"/>
  <c r="J321" i="19" s="1"/>
  <c r="L321" i="19" s="1"/>
  <c r="I339" i="20"/>
  <c r="J339" i="20" s="1"/>
  <c r="I329" i="19"/>
  <c r="J329" i="19" s="1"/>
  <c r="L329" i="19" s="1"/>
  <c r="I336" i="19"/>
  <c r="J336" i="19" s="1"/>
  <c r="L336" i="19" s="1"/>
  <c r="I346" i="20"/>
  <c r="J346" i="20" s="1"/>
  <c r="I358" i="20"/>
  <c r="J358" i="20" s="1"/>
  <c r="I348" i="19"/>
  <c r="J348" i="19" s="1"/>
  <c r="L348" i="19" s="1"/>
  <c r="I366" i="20"/>
  <c r="J366" i="20" s="1"/>
  <c r="I356" i="19"/>
  <c r="J356" i="19" s="1"/>
  <c r="L356" i="19" s="1"/>
  <c r="I458" i="20"/>
  <c r="I448" i="19"/>
  <c r="I466" i="20"/>
  <c r="J466" i="20" s="1"/>
  <c r="I456" i="19"/>
  <c r="J456" i="19" s="1"/>
  <c r="I474" i="20"/>
  <c r="J474" i="20" s="1"/>
  <c r="I464" i="19"/>
  <c r="J464" i="19" s="1"/>
  <c r="I482" i="20"/>
  <c r="J482" i="20" s="1"/>
  <c r="I472" i="19"/>
  <c r="J472" i="19" s="1"/>
  <c r="I490" i="20"/>
  <c r="J490" i="20" s="1"/>
  <c r="I480" i="19"/>
  <c r="J480" i="19" s="1"/>
  <c r="I498" i="20"/>
  <c r="J498" i="20" s="1"/>
  <c r="I488" i="19"/>
  <c r="J488" i="19" s="1"/>
  <c r="I502" i="20"/>
  <c r="J502" i="20" s="1"/>
  <c r="I492" i="19"/>
  <c r="J492" i="19" s="1"/>
  <c r="I510" i="20"/>
  <c r="J510" i="20" s="1"/>
  <c r="I500" i="19"/>
  <c r="J500" i="19" s="1"/>
  <c r="I518" i="20"/>
  <c r="J518" i="20" s="1"/>
  <c r="I508" i="19"/>
  <c r="J508" i="19" s="1"/>
  <c r="I531" i="20"/>
  <c r="J531" i="20" s="1"/>
  <c r="I516" i="19"/>
  <c r="J516" i="19" s="1"/>
  <c r="I98" i="20"/>
  <c r="J98" i="20" s="1"/>
  <c r="I100" i="19"/>
  <c r="J100" i="19" s="1"/>
  <c r="L100" i="19" s="1"/>
  <c r="I42" i="20"/>
  <c r="J42" i="20" s="1"/>
  <c r="I44" i="19"/>
  <c r="J44" i="19" s="1"/>
  <c r="L44" i="19" s="1"/>
  <c r="I363" i="19"/>
  <c r="I373" i="20"/>
  <c r="I383" i="19"/>
  <c r="J383" i="19" s="1"/>
  <c r="L383" i="19" s="1"/>
  <c r="I393" i="20"/>
  <c r="J393" i="20" s="1"/>
  <c r="I399" i="19"/>
  <c r="J399" i="19" s="1"/>
  <c r="L399" i="19" s="1"/>
  <c r="I409" i="20"/>
  <c r="J409" i="20" s="1"/>
  <c r="I415" i="19"/>
  <c r="J415" i="19" s="1"/>
  <c r="L415" i="19" s="1"/>
  <c r="I425" i="20"/>
  <c r="J425" i="20" s="1"/>
  <c r="I276" i="19"/>
  <c r="J276" i="19" s="1"/>
  <c r="L276" i="19" s="1"/>
  <c r="I286" i="20"/>
  <c r="J286" i="20" s="1"/>
  <c r="I300" i="19"/>
  <c r="J300" i="19" s="1"/>
  <c r="L300" i="19" s="1"/>
  <c r="I310" i="20"/>
  <c r="J310" i="20" s="1"/>
  <c r="I324" i="19"/>
  <c r="J324" i="19" s="1"/>
  <c r="L324" i="19" s="1"/>
  <c r="I334" i="20"/>
  <c r="J334" i="20" s="1"/>
  <c r="I459" i="20"/>
  <c r="J459" i="20" s="1"/>
  <c r="I449" i="19"/>
  <c r="J449" i="19" s="1"/>
  <c r="I519" i="20"/>
  <c r="J519"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2" i="20"/>
  <c r="J222" i="20" s="1"/>
  <c r="I249" i="20"/>
  <c r="J249" i="20" s="1"/>
  <c r="I240" i="19"/>
  <c r="J240" i="19" s="1"/>
  <c r="L240" i="19" s="1"/>
  <c r="I276" i="20"/>
  <c r="J276" i="20" s="1"/>
  <c r="I267" i="19"/>
  <c r="J267" i="19" s="1"/>
  <c r="L267" i="19" s="1"/>
  <c r="I324" i="20"/>
  <c r="J324" i="20" s="1"/>
  <c r="I314" i="19"/>
  <c r="J314" i="19" s="1"/>
  <c r="L314" i="19" s="1"/>
  <c r="I354" i="20"/>
  <c r="J354" i="20" s="1"/>
  <c r="I344" i="19"/>
  <c r="J344" i="19" s="1"/>
  <c r="L344" i="19" s="1"/>
  <c r="I494" i="20"/>
  <c r="J494" i="20" s="1"/>
  <c r="I484" i="19"/>
  <c r="J484" i="19" s="1"/>
  <c r="I506" i="20"/>
  <c r="J506"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1" i="20"/>
  <c r="J381" i="20" s="1"/>
  <c r="I379" i="19"/>
  <c r="J379" i="19" s="1"/>
  <c r="L379" i="19" s="1"/>
  <c r="I389" i="20"/>
  <c r="J389" i="20" s="1"/>
  <c r="I395" i="20"/>
  <c r="J395" i="20" s="1"/>
  <c r="I385" i="19"/>
  <c r="J385" i="19" s="1"/>
  <c r="L385" i="19" s="1"/>
  <c r="I403" i="20"/>
  <c r="J403" i="20" s="1"/>
  <c r="I393" i="19"/>
  <c r="J393" i="19" s="1"/>
  <c r="L393" i="19" s="1"/>
  <c r="I411" i="20"/>
  <c r="J411" i="20" s="1"/>
  <c r="I401" i="19"/>
  <c r="J401" i="19" s="1"/>
  <c r="L401" i="19" s="1"/>
  <c r="I419" i="20"/>
  <c r="J419" i="20" s="1"/>
  <c r="I409" i="19"/>
  <c r="J409" i="19" s="1"/>
  <c r="L409" i="19" s="1"/>
  <c r="I423" i="19"/>
  <c r="J423" i="19" s="1"/>
  <c r="L423" i="19" s="1"/>
  <c r="I433" i="20"/>
  <c r="J433" i="20" s="1"/>
  <c r="I431" i="19"/>
  <c r="J431" i="19" s="1"/>
  <c r="L431" i="19" s="1"/>
  <c r="I441" i="20"/>
  <c r="J441" i="20" s="1"/>
  <c r="I447" i="20"/>
  <c r="J447" i="20" s="1"/>
  <c r="I437" i="19"/>
  <c r="J437" i="19" s="1"/>
  <c r="L437" i="19" s="1"/>
  <c r="I455" i="20"/>
  <c r="J455" i="20" s="1"/>
  <c r="I445" i="19"/>
  <c r="J445" i="19" s="1"/>
  <c r="L445" i="19" s="1"/>
  <c r="I247" i="20"/>
  <c r="J247" i="20" s="1"/>
  <c r="I238" i="19"/>
  <c r="J238" i="19" s="1"/>
  <c r="L238" i="19" s="1"/>
  <c r="I264" i="20"/>
  <c r="J264" i="20" s="1"/>
  <c r="I255" i="19"/>
  <c r="J255" i="19" s="1"/>
  <c r="L255" i="19" s="1"/>
  <c r="I268" i="20"/>
  <c r="J268" i="20" s="1"/>
  <c r="I259" i="19"/>
  <c r="J259" i="19" s="1"/>
  <c r="L259" i="19" s="1"/>
  <c r="I264" i="19"/>
  <c r="J264" i="19" s="1"/>
  <c r="L264" i="19" s="1"/>
  <c r="I273" i="20"/>
  <c r="J273" i="20" s="1"/>
  <c r="I279" i="20"/>
  <c r="J279" i="20" s="1"/>
  <c r="I270" i="19"/>
  <c r="J270" i="19" s="1"/>
  <c r="L270" i="19" s="1"/>
  <c r="I285" i="20"/>
  <c r="J285" i="20" s="1"/>
  <c r="I275" i="19"/>
  <c r="J275" i="19" s="1"/>
  <c r="L275" i="19" s="1"/>
  <c r="I289" i="20"/>
  <c r="J289" i="20" s="1"/>
  <c r="I279" i="19"/>
  <c r="J279" i="19" s="1"/>
  <c r="L279" i="19" s="1"/>
  <c r="I293" i="20"/>
  <c r="J293" i="20" s="1"/>
  <c r="I283" i="19"/>
  <c r="J283" i="19" s="1"/>
  <c r="L283" i="19" s="1"/>
  <c r="I297" i="20"/>
  <c r="J297" i="20" s="1"/>
  <c r="I287" i="19"/>
  <c r="J287" i="19" s="1"/>
  <c r="L287" i="19" s="1"/>
  <c r="I301" i="20"/>
  <c r="J301" i="20" s="1"/>
  <c r="I291" i="19"/>
  <c r="J291" i="19" s="1"/>
  <c r="L291" i="19" s="1"/>
  <c r="I305" i="20"/>
  <c r="J305" i="20" s="1"/>
  <c r="I295" i="19"/>
  <c r="J295" i="19" s="1"/>
  <c r="L295" i="19" s="1"/>
  <c r="I309" i="20"/>
  <c r="J309" i="20" s="1"/>
  <c r="I299" i="19"/>
  <c r="J299" i="19" s="1"/>
  <c r="L299" i="19" s="1"/>
  <c r="I313" i="20"/>
  <c r="J313" i="20" s="1"/>
  <c r="I303" i="19"/>
  <c r="J303" i="19" s="1"/>
  <c r="L303" i="19" s="1"/>
  <c r="I312" i="19"/>
  <c r="J312" i="19" s="1"/>
  <c r="L312" i="19" s="1"/>
  <c r="I322" i="20"/>
  <c r="J322" i="20" s="1"/>
  <c r="I327" i="20"/>
  <c r="J327" i="20" s="1"/>
  <c r="I317" i="19"/>
  <c r="J317" i="19" s="1"/>
  <c r="L317" i="19" s="1"/>
  <c r="I332" i="20"/>
  <c r="J332" i="20" s="1"/>
  <c r="I322" i="19"/>
  <c r="J322" i="19" s="1"/>
  <c r="L322" i="19" s="1"/>
  <c r="I340" i="20"/>
  <c r="J340" i="20" s="1"/>
  <c r="I330" i="19"/>
  <c r="J330" i="19" s="1"/>
  <c r="L330" i="19" s="1"/>
  <c r="I347" i="20"/>
  <c r="J347" i="20" s="1"/>
  <c r="I337" i="19"/>
  <c r="J337" i="19" s="1"/>
  <c r="L337" i="19" s="1"/>
  <c r="I352" i="20"/>
  <c r="J352" i="20" s="1"/>
  <c r="I342" i="19"/>
  <c r="J342" i="19" s="1"/>
  <c r="L342" i="19" s="1"/>
  <c r="I359" i="20"/>
  <c r="J359" i="20" s="1"/>
  <c r="I349" i="19"/>
  <c r="J349" i="19" s="1"/>
  <c r="L349" i="19" s="1"/>
  <c r="I367" i="20"/>
  <c r="J367" i="20" s="1"/>
  <c r="I357" i="19"/>
  <c r="J357" i="19" s="1"/>
  <c r="L357" i="19" s="1"/>
  <c r="I461" i="20"/>
  <c r="J461" i="20" s="1"/>
  <c r="I451" i="19"/>
  <c r="J451" i="19" s="1"/>
  <c r="I469" i="20"/>
  <c r="J469" i="20" s="1"/>
  <c r="I459" i="19"/>
  <c r="J459" i="19" s="1"/>
  <c r="I477" i="20"/>
  <c r="J477" i="20" s="1"/>
  <c r="I467" i="19"/>
  <c r="J467" i="19" s="1"/>
  <c r="I485" i="20"/>
  <c r="J485" i="20" s="1"/>
  <c r="I475" i="19"/>
  <c r="J475" i="19" s="1"/>
  <c r="I493" i="20"/>
  <c r="J493" i="20" s="1"/>
  <c r="I483" i="19"/>
  <c r="J483" i="19" s="1"/>
  <c r="I501" i="20"/>
  <c r="J501" i="20" s="1"/>
  <c r="I491" i="19"/>
  <c r="J491" i="19" s="1"/>
  <c r="I505" i="20"/>
  <c r="J505" i="20" s="1"/>
  <c r="I495" i="19"/>
  <c r="J495" i="19" s="1"/>
  <c r="I513" i="20"/>
  <c r="J513" i="20" s="1"/>
  <c r="I503" i="19"/>
  <c r="J503" i="19" s="1"/>
  <c r="I526" i="20"/>
  <c r="J526" i="20" s="1"/>
  <c r="I511" i="19"/>
  <c r="J511" i="19" s="1"/>
  <c r="I534" i="20"/>
  <c r="J534"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1" i="20"/>
  <c r="J401" i="20" s="1"/>
  <c r="I407" i="19"/>
  <c r="J407" i="19" s="1"/>
  <c r="L407" i="19" s="1"/>
  <c r="I417" i="20"/>
  <c r="J417" i="20" s="1"/>
  <c r="I431" i="20"/>
  <c r="J431" i="20" s="1"/>
  <c r="I421" i="19"/>
  <c r="J421" i="19" s="1"/>
  <c r="L421" i="19" s="1"/>
  <c r="I248" i="20"/>
  <c r="J248" i="20" s="1"/>
  <c r="I239" i="19"/>
  <c r="J239" i="19" s="1"/>
  <c r="L239" i="19" s="1"/>
  <c r="I288" i="19"/>
  <c r="J288" i="19" s="1"/>
  <c r="L288" i="19" s="1"/>
  <c r="I298" i="20"/>
  <c r="J298" i="20" s="1"/>
  <c r="I319" i="20"/>
  <c r="J319" i="20" s="1"/>
  <c r="I309" i="19"/>
  <c r="J309" i="19" s="1"/>
  <c r="L309" i="19" s="1"/>
  <c r="I353" i="20"/>
  <c r="J353" i="20" s="1"/>
  <c r="I343" i="19"/>
  <c r="J343" i="19" s="1"/>
  <c r="L343" i="19" s="1"/>
  <c r="I467" i="20"/>
  <c r="J467" i="20" s="1"/>
  <c r="I457" i="19"/>
  <c r="J457" i="19" s="1"/>
  <c r="I483" i="20"/>
  <c r="J483" i="20" s="1"/>
  <c r="I473" i="19"/>
  <c r="J473" i="19" s="1"/>
  <c r="I499" i="20"/>
  <c r="J499" i="20" s="1"/>
  <c r="I489" i="19"/>
  <c r="J489" i="19" s="1"/>
  <c r="I511" i="20"/>
  <c r="J511" i="20" s="1"/>
  <c r="I501" i="19"/>
  <c r="J501" i="19" s="1"/>
  <c r="I101" i="20"/>
  <c r="J101" i="20" s="1"/>
  <c r="I103" i="19"/>
  <c r="J103" i="19" s="1"/>
  <c r="L103" i="19" s="1"/>
  <c r="I61" i="20"/>
  <c r="J61" i="20" s="1"/>
  <c r="I63" i="19"/>
  <c r="J63" i="19" s="1"/>
  <c r="L63" i="19" s="1"/>
  <c r="I374" i="20"/>
  <c r="J374" i="20" s="1"/>
  <c r="I364" i="19"/>
  <c r="J364" i="19" s="1"/>
  <c r="L364" i="19" s="1"/>
  <c r="I426" i="20"/>
  <c r="J426" i="20" s="1"/>
  <c r="I416" i="19"/>
  <c r="J416" i="19" s="1"/>
  <c r="L416" i="19" s="1"/>
  <c r="I210" i="20"/>
  <c r="J210" i="20" s="1"/>
  <c r="I203" i="19"/>
  <c r="J203" i="19" s="1"/>
  <c r="L203" i="19" s="1"/>
  <c r="I227" i="19"/>
  <c r="J227" i="19" s="1"/>
  <c r="L227" i="19" s="1"/>
  <c r="I234" i="20"/>
  <c r="J234" i="20" s="1"/>
  <c r="I261" i="20"/>
  <c r="J261" i="20" s="1"/>
  <c r="I252" i="19"/>
  <c r="J252" i="19" s="1"/>
  <c r="L252" i="19" s="1"/>
  <c r="I486" i="20"/>
  <c r="J486"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6" i="20"/>
  <c r="J376" i="20" s="1"/>
  <c r="I366" i="19"/>
  <c r="J366" i="19" s="1"/>
  <c r="L366" i="19" s="1"/>
  <c r="I384" i="20"/>
  <c r="J384" i="20" s="1"/>
  <c r="I374" i="19"/>
  <c r="J374" i="19" s="1"/>
  <c r="L374" i="19" s="1"/>
  <c r="I392" i="20"/>
  <c r="J392" i="20" s="1"/>
  <c r="I382" i="19"/>
  <c r="J382" i="19" s="1"/>
  <c r="L382" i="19" s="1"/>
  <c r="I398" i="20"/>
  <c r="J398" i="20" s="1"/>
  <c r="I388" i="19"/>
  <c r="J388" i="19" s="1"/>
  <c r="L388" i="19" s="1"/>
  <c r="I406" i="20"/>
  <c r="J406" i="20" s="1"/>
  <c r="I396" i="19"/>
  <c r="J396" i="19" s="1"/>
  <c r="L396" i="19" s="1"/>
  <c r="I414" i="20"/>
  <c r="J414" i="20" s="1"/>
  <c r="I404" i="19"/>
  <c r="J404" i="19" s="1"/>
  <c r="L404" i="19" s="1"/>
  <c r="I422" i="20"/>
  <c r="J422" i="20" s="1"/>
  <c r="I412" i="19"/>
  <c r="J412" i="19" s="1"/>
  <c r="L412" i="19" s="1"/>
  <c r="I428" i="20"/>
  <c r="J428" i="20" s="1"/>
  <c r="I418" i="19"/>
  <c r="J418" i="19" s="1"/>
  <c r="L418" i="19" s="1"/>
  <c r="I436" i="20"/>
  <c r="J436" i="20" s="1"/>
  <c r="I426" i="19"/>
  <c r="J426" i="19" s="1"/>
  <c r="L426" i="19" s="1"/>
  <c r="I442" i="20"/>
  <c r="J442" i="20" s="1"/>
  <c r="I432" i="19"/>
  <c r="J432" i="19" s="1"/>
  <c r="L432" i="19" s="1"/>
  <c r="I450" i="20"/>
  <c r="J450" i="20" s="1"/>
  <c r="I440" i="19"/>
  <c r="J440" i="19" s="1"/>
  <c r="L440" i="19" s="1"/>
  <c r="I209" i="20"/>
  <c r="J209" i="20" s="1"/>
  <c r="I202" i="19"/>
  <c r="J202" i="19" s="1"/>
  <c r="L202" i="19" s="1"/>
  <c r="I213" i="20"/>
  <c r="J213" i="20" s="1"/>
  <c r="I206" i="19"/>
  <c r="J206" i="19" s="1"/>
  <c r="L206" i="19" s="1"/>
  <c r="I217" i="20"/>
  <c r="J217" i="20" s="1"/>
  <c r="I210" i="19"/>
  <c r="J210" i="19" s="1"/>
  <c r="L210" i="19" s="1"/>
  <c r="I221" i="20"/>
  <c r="J221" i="20" s="1"/>
  <c r="I214" i="19"/>
  <c r="J214" i="19" s="1"/>
  <c r="L214" i="19" s="1"/>
  <c r="I225" i="20"/>
  <c r="J225" i="20" s="1"/>
  <c r="I218" i="19"/>
  <c r="J218" i="19" s="1"/>
  <c r="L218" i="19" s="1"/>
  <c r="I229" i="20"/>
  <c r="J229" i="20" s="1"/>
  <c r="I222" i="19"/>
  <c r="J222" i="19" s="1"/>
  <c r="L222" i="19" s="1"/>
  <c r="I233" i="20"/>
  <c r="J233" i="20" s="1"/>
  <c r="I226" i="19"/>
  <c r="J226" i="19" s="1"/>
  <c r="L226" i="19" s="1"/>
  <c r="I239" i="20"/>
  <c r="J239" i="20" s="1"/>
  <c r="I230" i="19"/>
  <c r="J230" i="19" s="1"/>
  <c r="L230" i="19" s="1"/>
  <c r="I243" i="20"/>
  <c r="J243" i="20" s="1"/>
  <c r="I234" i="19"/>
  <c r="J234" i="19" s="1"/>
  <c r="L234" i="19" s="1"/>
  <c r="I243" i="19"/>
  <c r="J243" i="19" s="1"/>
  <c r="L243" i="19" s="1"/>
  <c r="I252" i="20"/>
  <c r="J252" i="20" s="1"/>
  <c r="I256" i="20"/>
  <c r="J256" i="20" s="1"/>
  <c r="I247" i="19"/>
  <c r="J247" i="19" s="1"/>
  <c r="L247" i="19" s="1"/>
  <c r="I260" i="20"/>
  <c r="J260" i="20" s="1"/>
  <c r="I251" i="19"/>
  <c r="J251" i="19" s="1"/>
  <c r="L251" i="19" s="1"/>
  <c r="I260" i="19"/>
  <c r="J260" i="19" s="1"/>
  <c r="L260" i="19" s="1"/>
  <c r="I269" i="20"/>
  <c r="J269" i="20" s="1"/>
  <c r="I274" i="20"/>
  <c r="J274" i="20" s="1"/>
  <c r="I265" i="19"/>
  <c r="J265" i="19" s="1"/>
  <c r="L265" i="19" s="1"/>
  <c r="I281" i="20"/>
  <c r="J281" i="20" s="1"/>
  <c r="I271" i="19"/>
  <c r="J271" i="19" s="1"/>
  <c r="L271" i="19" s="1"/>
  <c r="I308" i="19"/>
  <c r="J308" i="19" s="1"/>
  <c r="L308" i="19" s="1"/>
  <c r="I318" i="20"/>
  <c r="J318" i="20" s="1"/>
  <c r="I323" i="20"/>
  <c r="J323" i="20" s="1"/>
  <c r="I313" i="19"/>
  <c r="J313" i="19" s="1"/>
  <c r="L313" i="19" s="1"/>
  <c r="I333" i="20"/>
  <c r="J333" i="20" s="1"/>
  <c r="I323" i="19"/>
  <c r="J323" i="19" s="1"/>
  <c r="L323" i="19" s="1"/>
  <c r="I341" i="20"/>
  <c r="J341" i="20" s="1"/>
  <c r="I331" i="19"/>
  <c r="J331" i="19" s="1"/>
  <c r="L331" i="19" s="1"/>
  <c r="I360" i="20"/>
  <c r="J360" i="20" s="1"/>
  <c r="I350" i="19"/>
  <c r="J350" i="19" s="1"/>
  <c r="L350" i="19" s="1"/>
  <c r="I368" i="20"/>
  <c r="J368" i="20" s="1"/>
  <c r="I358" i="19"/>
  <c r="J358" i="19" s="1"/>
  <c r="L358" i="19" s="1"/>
  <c r="I464" i="20"/>
  <c r="J464" i="20" s="1"/>
  <c r="I454" i="19"/>
  <c r="J454" i="19" s="1"/>
  <c r="I462" i="19"/>
  <c r="J462" i="19" s="1"/>
  <c r="I472" i="20"/>
  <c r="J472" i="20" s="1"/>
  <c r="I470" i="19"/>
  <c r="J470" i="19" s="1"/>
  <c r="I480" i="20"/>
  <c r="J480" i="20" s="1"/>
  <c r="I478" i="19"/>
  <c r="J478" i="19" s="1"/>
  <c r="I488" i="20"/>
  <c r="J488" i="20" s="1"/>
  <c r="I496" i="20"/>
  <c r="J496" i="20" s="1"/>
  <c r="I486" i="19"/>
  <c r="J486" i="19" s="1"/>
  <c r="I508" i="20"/>
  <c r="J508" i="20" s="1"/>
  <c r="I498" i="19"/>
  <c r="J498" i="19" s="1"/>
  <c r="I516" i="20"/>
  <c r="J516" i="20" s="1"/>
  <c r="I506" i="19"/>
  <c r="J506" i="19" s="1"/>
  <c r="I529" i="20"/>
  <c r="J529" i="20" s="1"/>
  <c r="I514" i="19"/>
  <c r="J514" i="19" s="1"/>
  <c r="J1003" i="1"/>
  <c r="J626" i="1"/>
  <c r="J618" i="1"/>
  <c r="J610" i="1"/>
  <c r="J602" i="1"/>
  <c r="J588" i="1"/>
  <c r="J580" i="1"/>
  <c r="J572" i="1"/>
  <c r="J564" i="1"/>
  <c r="J556" i="1"/>
  <c r="J119" i="1"/>
  <c r="J625" i="1"/>
  <c r="J617" i="1"/>
  <c r="J609" i="1"/>
  <c r="J601" i="1"/>
  <c r="J587" i="1"/>
  <c r="J579" i="1"/>
  <c r="J571" i="1"/>
  <c r="J563" i="1"/>
  <c r="J555" i="1"/>
  <c r="J624" i="1"/>
  <c r="J616" i="1"/>
  <c r="J608" i="1"/>
  <c r="J600" i="1"/>
  <c r="J586" i="1"/>
  <c r="J578" i="1"/>
  <c r="J570" i="1"/>
  <c r="J562" i="1"/>
  <c r="J554" i="1"/>
  <c r="J418" i="1"/>
  <c r="J623" i="1"/>
  <c r="J607" i="1"/>
  <c r="J585" i="1"/>
  <c r="J569" i="1"/>
  <c r="J561" i="1"/>
  <c r="J1145" i="1"/>
  <c r="J630" i="1"/>
  <c r="J622" i="1"/>
  <c r="J614" i="1"/>
  <c r="J606" i="1"/>
  <c r="J592" i="1"/>
  <c r="J584" i="1"/>
  <c r="J576" i="1"/>
  <c r="J568" i="1"/>
  <c r="J560" i="1"/>
  <c r="J552" i="1"/>
  <c r="J376" i="1"/>
  <c r="J631" i="1"/>
  <c r="J615" i="1"/>
  <c r="J599" i="1"/>
  <c r="J577" i="1"/>
  <c r="J553" i="1"/>
  <c r="J1143" i="1"/>
  <c r="J629" i="1"/>
  <c r="J621" i="1"/>
  <c r="J613" i="1"/>
  <c r="J605" i="1"/>
  <c r="J591" i="1"/>
  <c r="J583" i="1"/>
  <c r="J575" i="1"/>
  <c r="J567" i="1"/>
  <c r="J559" i="1"/>
  <c r="J551" i="1"/>
  <c r="J310" i="1"/>
  <c r="J38" i="1"/>
  <c r="J755" i="1"/>
  <c r="J627" i="1"/>
  <c r="J619" i="1"/>
  <c r="J611" i="1"/>
  <c r="J603" i="1"/>
  <c r="J589" i="1"/>
  <c r="J581" i="1"/>
  <c r="J573" i="1"/>
  <c r="J565" i="1"/>
  <c r="J224" i="1"/>
  <c r="J413" i="1"/>
  <c r="J369" i="1"/>
  <c r="J303" i="1"/>
  <c r="J261" i="1"/>
  <c r="J217" i="1"/>
  <c r="J175" i="1"/>
  <c r="J997" i="1"/>
  <c r="J911" i="1"/>
  <c r="J816" i="1"/>
  <c r="J698" i="1"/>
  <c r="J667" i="1"/>
  <c r="J528" i="1"/>
  <c r="J410" i="1"/>
  <c r="J368" i="1"/>
  <c r="J302" i="1"/>
  <c r="J258" i="1"/>
  <c r="J216" i="1"/>
  <c r="J174" i="1"/>
  <c r="J117" i="1"/>
  <c r="J699" i="1"/>
  <c r="J995" i="1"/>
  <c r="J910" i="1"/>
  <c r="J815" i="1"/>
  <c r="J662" i="1"/>
  <c r="J547" i="1"/>
  <c r="J511" i="1"/>
  <c r="J474" i="1"/>
  <c r="J409" i="1"/>
  <c r="J367" i="1"/>
  <c r="J301" i="1"/>
  <c r="J257" i="1"/>
  <c r="J215" i="1"/>
  <c r="J173" i="1"/>
  <c r="J116" i="1"/>
  <c r="J985" i="1"/>
  <c r="J903" i="1"/>
  <c r="J850" i="1"/>
  <c r="J774" i="1"/>
  <c r="J681" i="1"/>
  <c r="J510" i="1"/>
  <c r="J473" i="1"/>
  <c r="J440" i="1"/>
  <c r="J398" i="1"/>
  <c r="J354" i="1"/>
  <c r="J288" i="1"/>
  <c r="J246" i="1"/>
  <c r="J202" i="1"/>
  <c r="J159" i="1"/>
  <c r="J115" i="1"/>
  <c r="J984" i="1"/>
  <c r="J902" i="1"/>
  <c r="J849" i="1"/>
  <c r="J773" i="1"/>
  <c r="J680" i="1"/>
  <c r="J433" i="1"/>
  <c r="J391" i="1"/>
  <c r="J325" i="1"/>
  <c r="J281" i="1"/>
  <c r="J239" i="1"/>
  <c r="J197" i="1"/>
  <c r="J151" i="1"/>
  <c r="J1015" i="1"/>
  <c r="J977" i="1"/>
  <c r="J931" i="1"/>
  <c r="J889" i="1"/>
  <c r="J838" i="1"/>
  <c r="J679" i="1"/>
  <c r="J432" i="1"/>
  <c r="J390" i="1"/>
  <c r="J322" i="1"/>
  <c r="J280" i="1"/>
  <c r="J238" i="1"/>
  <c r="J194" i="1"/>
  <c r="J150" i="1"/>
  <c r="J1014" i="1"/>
  <c r="J930" i="1"/>
  <c r="J888" i="1"/>
  <c r="J837" i="1"/>
  <c r="J431" i="1"/>
  <c r="J321" i="1"/>
  <c r="J279" i="1"/>
  <c r="J237" i="1"/>
  <c r="J193" i="1"/>
  <c r="J149" i="1"/>
  <c r="J120" i="1"/>
  <c r="J1034" i="1"/>
  <c r="J1307" i="1"/>
  <c r="J1308" i="1"/>
  <c r="J1122" i="1"/>
  <c r="J1284" i="1"/>
  <c r="J1292" i="1"/>
  <c r="J1261" i="1"/>
  <c r="J1269" i="1"/>
  <c r="J1277" i="1"/>
  <c r="J1123" i="1"/>
  <c r="J1279" i="1"/>
  <c r="J1287" i="1"/>
  <c r="J1295" i="1"/>
  <c r="J1264" i="1"/>
  <c r="J1272" i="1"/>
  <c r="J1280" i="1"/>
  <c r="J1273" i="1"/>
  <c r="J1113" i="1"/>
  <c r="J1282" i="1"/>
  <c r="J1267" i="1"/>
  <c r="J1275" i="1"/>
  <c r="J1124" i="1"/>
  <c r="J1291" i="1"/>
  <c r="J1268" i="1"/>
  <c r="J1309" i="1"/>
  <c r="J1303" i="1"/>
  <c r="J1285" i="1"/>
  <c r="J1293" i="1"/>
  <c r="J1262" i="1"/>
  <c r="J1270" i="1"/>
  <c r="J1278" i="1"/>
  <c r="J1302" i="1"/>
  <c r="J1286" i="1"/>
  <c r="J1294" i="1"/>
  <c r="J1263" i="1"/>
  <c r="J1271" i="1"/>
  <c r="J1310" i="1"/>
  <c r="J1121" i="1"/>
  <c r="J1288" i="1"/>
  <c r="J1265" i="1"/>
  <c r="J1290" i="1"/>
  <c r="J1283" i="1"/>
  <c r="J1260" i="1"/>
  <c r="J1276" i="1"/>
  <c r="J1311" i="1"/>
  <c r="J1304" i="1"/>
  <c r="J1312" i="1"/>
  <c r="J1305" i="1"/>
  <c r="J1313" i="1"/>
  <c r="J1120" i="1"/>
  <c r="J1281" i="1"/>
  <c r="J1289" i="1"/>
  <c r="J1266" i="1"/>
  <c r="J1274" i="1"/>
  <c r="J1306" i="1"/>
  <c r="J495" i="1"/>
  <c r="J596" i="1"/>
  <c r="J636" i="1"/>
  <c r="J711" i="1"/>
  <c r="J719" i="1"/>
  <c r="J759" i="1"/>
  <c r="J811" i="1"/>
  <c r="J597" i="1"/>
  <c r="J637" i="1"/>
  <c r="J720" i="1"/>
  <c r="J736" i="1"/>
  <c r="J760" i="1"/>
  <c r="J776" i="1"/>
  <c r="J812" i="1"/>
  <c r="J635" i="1"/>
  <c r="J715" i="1"/>
  <c r="J725" i="1"/>
  <c r="J761" i="1"/>
  <c r="J779" i="1"/>
  <c r="J799" i="1"/>
  <c r="J639" i="1"/>
  <c r="J704" i="1"/>
  <c r="J737" i="1"/>
  <c r="J813" i="1"/>
  <c r="J705" i="1"/>
  <c r="J638" i="1"/>
  <c r="J703" i="1"/>
  <c r="J716" i="1"/>
  <c r="J726" i="1"/>
  <c r="J762" i="1"/>
  <c r="J800" i="1"/>
  <c r="J810" i="1"/>
  <c r="J717" i="1"/>
  <c r="J763" i="1"/>
  <c r="J801" i="1"/>
  <c r="J640" i="1"/>
  <c r="J598" i="1"/>
  <c r="J718" i="1"/>
  <c r="J754" i="1"/>
  <c r="J1202" i="1"/>
  <c r="J1137" i="1"/>
  <c r="J1101" i="1"/>
  <c r="J1053" i="1"/>
  <c r="J1013" i="1"/>
  <c r="J994" i="1"/>
  <c r="J959" i="1"/>
  <c r="J943" i="1"/>
  <c r="J921" i="1"/>
  <c r="J899" i="1"/>
  <c r="J879" i="1"/>
  <c r="J848" i="1"/>
  <c r="J826" i="1"/>
  <c r="J807" i="1"/>
  <c r="J732" i="1"/>
  <c r="J722" i="1"/>
  <c r="J697" i="1"/>
  <c r="J542" i="1"/>
  <c r="J521" i="1"/>
  <c r="J450" i="1"/>
  <c r="J430" i="1"/>
  <c r="J408" i="1"/>
  <c r="J386" i="1"/>
  <c r="J366" i="1"/>
  <c r="J320" i="1"/>
  <c r="J298" i="1"/>
  <c r="J278" i="1"/>
  <c r="J256" i="1"/>
  <c r="J234" i="1"/>
  <c r="J214" i="1"/>
  <c r="J192" i="1"/>
  <c r="J170" i="1"/>
  <c r="J148" i="1"/>
  <c r="J1197" i="1"/>
  <c r="J1147" i="1"/>
  <c r="J1099" i="1"/>
  <c r="J1051" i="1"/>
  <c r="J1011" i="1"/>
  <c r="J993" i="1"/>
  <c r="J958" i="1"/>
  <c r="J942" i="1"/>
  <c r="J920" i="1"/>
  <c r="J898" i="1"/>
  <c r="J878" i="1"/>
  <c r="J847" i="1"/>
  <c r="J825" i="1"/>
  <c r="J806" i="1"/>
  <c r="J731" i="1"/>
  <c r="J721" i="1"/>
  <c r="J696" i="1"/>
  <c r="J520" i="1"/>
  <c r="J464" i="1"/>
  <c r="J445" i="1"/>
  <c r="J423" i="1"/>
  <c r="J401" i="1"/>
  <c r="J381" i="1"/>
  <c r="J359" i="1"/>
  <c r="J313" i="1"/>
  <c r="J293" i="1"/>
  <c r="J271" i="1"/>
  <c r="J249" i="1"/>
  <c r="J229" i="1"/>
  <c r="J207" i="1"/>
  <c r="J185" i="1"/>
  <c r="J165" i="1"/>
  <c r="J137" i="1"/>
  <c r="J1244" i="1"/>
  <c r="J1181" i="1"/>
  <c r="J1160" i="1"/>
  <c r="J1083" i="1"/>
  <c r="J1035" i="1"/>
  <c r="J1006" i="1"/>
  <c r="J987" i="1"/>
  <c r="J935" i="1"/>
  <c r="J913" i="1"/>
  <c r="J891" i="1"/>
  <c r="J870" i="1"/>
  <c r="J840" i="1"/>
  <c r="J818" i="1"/>
  <c r="J805" i="1"/>
  <c r="J778" i="1"/>
  <c r="J730" i="1"/>
  <c r="J714" i="1"/>
  <c r="J671" i="1"/>
  <c r="J519" i="1"/>
  <c r="J463" i="1"/>
  <c r="J442" i="1"/>
  <c r="J422" i="1"/>
  <c r="J400" i="1"/>
  <c r="J378" i="1"/>
  <c r="J358" i="1"/>
  <c r="J312" i="1"/>
  <c r="J290" i="1"/>
  <c r="J270" i="1"/>
  <c r="J248" i="1"/>
  <c r="J226" i="1"/>
  <c r="J206" i="1"/>
  <c r="J184" i="1"/>
  <c r="J161" i="1"/>
  <c r="J136" i="1"/>
  <c r="J1242" i="1"/>
  <c r="J1179" i="1"/>
  <c r="J1298" i="1"/>
  <c r="J1082" i="1"/>
  <c r="J1005" i="1"/>
  <c r="J986" i="1"/>
  <c r="J934" i="1"/>
  <c r="J912" i="1"/>
  <c r="J890" i="1"/>
  <c r="J869" i="1"/>
  <c r="J839" i="1"/>
  <c r="J817" i="1"/>
  <c r="J798" i="1"/>
  <c r="J777" i="1"/>
  <c r="J713" i="1"/>
  <c r="J682" i="1"/>
  <c r="J670" i="1"/>
  <c r="J462" i="1"/>
  <c r="J441" i="1"/>
  <c r="J421" i="1"/>
  <c r="J399" i="1"/>
  <c r="J377" i="1"/>
  <c r="J357" i="1"/>
  <c r="J311" i="1"/>
  <c r="J289" i="1"/>
  <c r="J269" i="1"/>
  <c r="J247" i="1"/>
  <c r="J225" i="1"/>
  <c r="J205" i="1"/>
  <c r="J183" i="1"/>
  <c r="J160" i="1"/>
  <c r="J135" i="1"/>
  <c r="J13" i="1"/>
  <c r="J11" i="1"/>
  <c r="J26" i="1"/>
  <c r="J1026" i="1"/>
  <c r="J1045" i="1"/>
  <c r="J1067" i="1"/>
  <c r="J1090" i="1"/>
  <c r="J1109" i="1"/>
  <c r="J1158" i="1"/>
  <c r="J1142" i="1"/>
  <c r="J1173" i="1"/>
  <c r="J1195" i="1"/>
  <c r="J1233" i="1"/>
  <c r="J1252" i="1"/>
  <c r="J27" i="1"/>
  <c r="J1037" i="1"/>
  <c r="J1061" i="1"/>
  <c r="J1085" i="1"/>
  <c r="J1118" i="1"/>
  <c r="J1129" i="1"/>
  <c r="J1162" i="1"/>
  <c r="J1186" i="1"/>
  <c r="J1210" i="1"/>
  <c r="J1249" i="1"/>
  <c r="J1019" i="1"/>
  <c r="J1043" i="1"/>
  <c r="J1093" i="1"/>
  <c r="J1126" i="1"/>
  <c r="J1189" i="1"/>
  <c r="J1257" i="1"/>
  <c r="J1021" i="1"/>
  <c r="J1074" i="1"/>
  <c r="J1146" i="1"/>
  <c r="J1234" i="1"/>
  <c r="J1018" i="1"/>
  <c r="J1042" i="1"/>
  <c r="J1066" i="1"/>
  <c r="J1091" i="1"/>
  <c r="J1119" i="1"/>
  <c r="J1130" i="1"/>
  <c r="J1163" i="1"/>
  <c r="J1187" i="1"/>
  <c r="J1211" i="1"/>
  <c r="J1250" i="1"/>
  <c r="J14" i="1"/>
  <c r="J1069" i="1"/>
  <c r="J1156" i="1"/>
  <c r="J1165" i="1"/>
  <c r="J1213" i="1"/>
  <c r="J1050" i="1"/>
  <c r="J1152" i="1"/>
  <c r="J1194" i="1"/>
  <c r="J1098" i="1"/>
  <c r="J1170" i="1"/>
  <c r="J1258" i="1"/>
  <c r="J758" i="1"/>
  <c r="J710" i="1"/>
  <c r="J757" i="1"/>
  <c r="J709" i="1"/>
  <c r="J643"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5" i="1"/>
  <c r="J363" i="1"/>
  <c r="J371" i="1"/>
  <c r="J379" i="1"/>
  <c r="J387" i="1"/>
  <c r="J395" i="1"/>
  <c r="J403" i="1"/>
  <c r="J411" i="1"/>
  <c r="J419" i="1"/>
  <c r="J435" i="1"/>
  <c r="J451" i="1"/>
  <c r="J459" i="1"/>
  <c r="J467" i="1"/>
  <c r="J475" i="1"/>
  <c r="J508" i="1"/>
  <c r="J700" i="1"/>
  <c r="J735" i="1"/>
  <c r="J775" i="1"/>
  <c r="J803" i="1"/>
  <c r="J134" i="1"/>
  <c r="J144" i="1"/>
  <c r="J155" i="1"/>
  <c r="J164" i="1"/>
  <c r="J172" i="1"/>
  <c r="J180" i="1"/>
  <c r="J188" i="1"/>
  <c r="J196" i="1"/>
  <c r="J204" i="1"/>
  <c r="J212" i="1"/>
  <c r="J220" i="1"/>
  <c r="J228" i="1"/>
  <c r="J236" i="1"/>
  <c r="J244" i="1"/>
  <c r="J252" i="1"/>
  <c r="J260" i="1"/>
  <c r="J268" i="1"/>
  <c r="J276" i="1"/>
  <c r="J284" i="1"/>
  <c r="J292" i="1"/>
  <c r="J300" i="1"/>
  <c r="J308" i="1"/>
  <c r="J316" i="1"/>
  <c r="J324" i="1"/>
  <c r="J356" i="1"/>
  <c r="J364" i="1"/>
  <c r="J372" i="1"/>
  <c r="J380" i="1"/>
  <c r="J396" i="1"/>
  <c r="J404" i="1"/>
  <c r="J412" i="1"/>
  <c r="J420" i="1"/>
  <c r="J428" i="1"/>
  <c r="J436" i="1"/>
  <c r="J460" i="1"/>
  <c r="J468" i="1"/>
  <c r="J509" i="1"/>
  <c r="J701" i="1"/>
  <c r="J804" i="1"/>
  <c r="J34" i="1"/>
  <c r="J140" i="1"/>
  <c r="J152" i="1"/>
  <c r="J166" i="1"/>
  <c r="J176" i="1"/>
  <c r="J186" i="1"/>
  <c r="J198" i="1"/>
  <c r="J208" i="1"/>
  <c r="J218" i="1"/>
  <c r="J230" i="1"/>
  <c r="J240" i="1"/>
  <c r="J250" i="1"/>
  <c r="J262" i="1"/>
  <c r="J272" i="1"/>
  <c r="J282" i="1"/>
  <c r="J294" i="1"/>
  <c r="J304" i="1"/>
  <c r="J314" i="1"/>
  <c r="J350" i="1"/>
  <c r="J370" i="1"/>
  <c r="J382" i="1"/>
  <c r="J392" i="1"/>
  <c r="J402" i="1"/>
  <c r="J414" i="1"/>
  <c r="J424" i="1"/>
  <c r="J434" i="1"/>
  <c r="J446" i="1"/>
  <c r="J455" i="1"/>
  <c r="J465" i="1"/>
  <c r="J512" i="1"/>
  <c r="J702" i="1"/>
  <c r="J733" i="1"/>
  <c r="J157" i="1"/>
  <c r="J178" i="1"/>
  <c r="J200" i="1"/>
  <c r="J222" i="1"/>
  <c r="J242" i="1"/>
  <c r="J264" i="1"/>
  <c r="J286" i="1"/>
  <c r="J306" i="1"/>
  <c r="J352" i="1"/>
  <c r="J374" i="1"/>
  <c r="J384" i="1"/>
  <c r="J406" i="1"/>
  <c r="J426" i="1"/>
  <c r="J448" i="1"/>
  <c r="J469" i="1"/>
  <c r="J771" i="1"/>
  <c r="J37" i="1"/>
  <c r="J158" i="1"/>
  <c r="J181" i="1"/>
  <c r="J201" i="1"/>
  <c r="J223" i="1"/>
  <c r="J255" i="1"/>
  <c r="J277" i="1"/>
  <c r="J309" i="1"/>
  <c r="J365" i="1"/>
  <c r="J397" i="1"/>
  <c r="J429" i="1"/>
  <c r="J458" i="1"/>
  <c r="J772" i="1"/>
  <c r="J802" i="1"/>
  <c r="J141" i="1"/>
  <c r="J156" i="1"/>
  <c r="J167" i="1"/>
  <c r="J177" i="1"/>
  <c r="J189" i="1"/>
  <c r="J199" i="1"/>
  <c r="J209" i="1"/>
  <c r="J221" i="1"/>
  <c r="J231" i="1"/>
  <c r="J241" i="1"/>
  <c r="J253" i="1"/>
  <c r="J263" i="1"/>
  <c r="J273" i="1"/>
  <c r="J285" i="1"/>
  <c r="J295" i="1"/>
  <c r="J305" i="1"/>
  <c r="J317" i="1"/>
  <c r="J351" i="1"/>
  <c r="J361" i="1"/>
  <c r="J373" i="1"/>
  <c r="J383" i="1"/>
  <c r="J393" i="1"/>
  <c r="J405" i="1"/>
  <c r="J415" i="1"/>
  <c r="J425" i="1"/>
  <c r="J437" i="1"/>
  <c r="J447" i="1"/>
  <c r="J456" i="1"/>
  <c r="J466" i="1"/>
  <c r="J513" i="1"/>
  <c r="J734" i="1"/>
  <c r="J770" i="1"/>
  <c r="J36" i="1"/>
  <c r="J142" i="1"/>
  <c r="J168" i="1"/>
  <c r="J190" i="1"/>
  <c r="J210" i="1"/>
  <c r="J232" i="1"/>
  <c r="J254" i="1"/>
  <c r="J274" i="1"/>
  <c r="J296" i="1"/>
  <c r="J318" i="1"/>
  <c r="J362" i="1"/>
  <c r="J394" i="1"/>
  <c r="J416" i="1"/>
  <c r="J438" i="1"/>
  <c r="J457" i="1"/>
  <c r="J647" i="1"/>
  <c r="J694" i="1"/>
  <c r="J233" i="1"/>
  <c r="J287" i="1"/>
  <c r="J319" i="1"/>
  <c r="J375" i="1"/>
  <c r="J407" i="1"/>
  <c r="J439" i="1"/>
  <c r="J695" i="1"/>
  <c r="J145" i="1"/>
  <c r="J169" i="1"/>
  <c r="J191" i="1"/>
  <c r="J213" i="1"/>
  <c r="J245" i="1"/>
  <c r="J265" i="1"/>
  <c r="J297" i="1"/>
  <c r="J353" i="1"/>
  <c r="J385" i="1"/>
  <c r="J417" i="1"/>
  <c r="J449" i="1"/>
  <c r="J756" i="1"/>
  <c r="J724" i="1"/>
  <c r="J642" i="1"/>
  <c r="J516" i="1"/>
  <c r="J524" i="1"/>
  <c r="J532" i="1"/>
  <c r="J548" i="1"/>
  <c r="J660" i="1"/>
  <c r="J668" i="1"/>
  <c r="J676" i="1"/>
  <c r="J819" i="1"/>
  <c r="J827" i="1"/>
  <c r="J835" i="1"/>
  <c r="J843" i="1"/>
  <c r="J851" i="1"/>
  <c r="J867" i="1"/>
  <c r="J876" i="1"/>
  <c r="J884" i="1"/>
  <c r="J892" i="1"/>
  <c r="J900" i="1"/>
  <c r="J908" i="1"/>
  <c r="J916" i="1"/>
  <c r="J924" i="1"/>
  <c r="J932" i="1"/>
  <c r="J940" i="1"/>
  <c r="J980" i="1"/>
  <c r="J988" i="1"/>
  <c r="J996" i="1"/>
  <c r="J1004" i="1"/>
  <c r="J1012" i="1"/>
  <c r="J517" i="1"/>
  <c r="J525" i="1"/>
  <c r="J533" i="1"/>
  <c r="J541" i="1"/>
  <c r="J549" i="1"/>
  <c r="J661" i="1"/>
  <c r="J669" i="1"/>
  <c r="J677" i="1"/>
  <c r="J693" i="1"/>
  <c r="J712" i="1"/>
  <c r="J820" i="1"/>
  <c r="J828" i="1"/>
  <c r="J836" i="1"/>
  <c r="J844" i="1"/>
  <c r="J852" i="1"/>
  <c r="J868" i="1"/>
  <c r="J877" i="1"/>
  <c r="J885" i="1"/>
  <c r="J893" i="1"/>
  <c r="J901" i="1"/>
  <c r="J909" i="1"/>
  <c r="J917" i="1"/>
  <c r="J925" i="1"/>
  <c r="J933" i="1"/>
  <c r="J941" i="1"/>
  <c r="J981" i="1"/>
  <c r="J522" i="1"/>
  <c r="J534" i="1"/>
  <c r="J543" i="1"/>
  <c r="J593" i="1"/>
  <c r="J663" i="1"/>
  <c r="J683" i="1"/>
  <c r="J821" i="1"/>
  <c r="J831" i="1"/>
  <c r="J841" i="1"/>
  <c r="J853" i="1"/>
  <c r="J871" i="1"/>
  <c r="J882" i="1"/>
  <c r="J894" i="1"/>
  <c r="J904" i="1"/>
  <c r="J914" i="1"/>
  <c r="J926" i="1"/>
  <c r="J936" i="1"/>
  <c r="J978" i="1"/>
  <c r="J989" i="1"/>
  <c r="J998" i="1"/>
  <c r="J1007" i="1"/>
  <c r="J1016" i="1"/>
  <c r="J514" i="1"/>
  <c r="J536" i="1"/>
  <c r="J675" i="1"/>
  <c r="J833" i="1"/>
  <c r="J845" i="1"/>
  <c r="J886" i="1"/>
  <c r="J906" i="1"/>
  <c r="J928" i="1"/>
  <c r="J982" i="1"/>
  <c r="J1000" i="1"/>
  <c r="J537" i="1"/>
  <c r="J666" i="1"/>
  <c r="J834" i="1"/>
  <c r="J897" i="1"/>
  <c r="J929" i="1"/>
  <c r="J992" i="1"/>
  <c r="J523" i="1"/>
  <c r="J535" i="1"/>
  <c r="J544" i="1"/>
  <c r="J594" i="1"/>
  <c r="J664" i="1"/>
  <c r="J822" i="1"/>
  <c r="J832" i="1"/>
  <c r="J842" i="1"/>
  <c r="J854" i="1"/>
  <c r="J872" i="1"/>
  <c r="J883" i="1"/>
  <c r="J895" i="1"/>
  <c r="J905" i="1"/>
  <c r="J915" i="1"/>
  <c r="J927" i="1"/>
  <c r="J937" i="1"/>
  <c r="J979" i="1"/>
  <c r="J990" i="1"/>
  <c r="J999" i="1"/>
  <c r="J1008" i="1"/>
  <c r="J526" i="1"/>
  <c r="J545" i="1"/>
  <c r="J595" i="1"/>
  <c r="J665" i="1"/>
  <c r="J823" i="1"/>
  <c r="J855" i="1"/>
  <c r="J873" i="1"/>
  <c r="J896" i="1"/>
  <c r="J918" i="1"/>
  <c r="J938" i="1"/>
  <c r="J991" i="1"/>
  <c r="J1009" i="1"/>
  <c r="J515" i="1"/>
  <c r="J546" i="1"/>
  <c r="J814" i="1"/>
  <c r="J846" i="1"/>
  <c r="J875" i="1"/>
  <c r="J907" i="1"/>
  <c r="J939" i="1"/>
  <c r="J1001" i="1"/>
  <c r="J527" i="1"/>
  <c r="J678" i="1"/>
  <c r="J824" i="1"/>
  <c r="J856" i="1"/>
  <c r="J887" i="1"/>
  <c r="J919" i="1"/>
  <c r="J983" i="1"/>
  <c r="J1010" i="1"/>
  <c r="J427" i="1"/>
  <c r="J443" i="1"/>
  <c r="J57" i="1"/>
  <c r="J388" i="1"/>
  <c r="J444" i="1"/>
  <c r="J476" i="1"/>
  <c r="J360" i="1"/>
  <c r="J29" i="1"/>
  <c r="J10" i="1"/>
  <c r="J21" i="1"/>
  <c r="J19" i="1"/>
  <c r="J18" i="1"/>
  <c r="J1259" i="1"/>
  <c r="J1251" i="1"/>
  <c r="J1243" i="1"/>
  <c r="J1235" i="1"/>
  <c r="J1212" i="1"/>
  <c r="J1204" i="1"/>
  <c r="J1196" i="1"/>
  <c r="J1188" i="1"/>
  <c r="J1180" i="1"/>
  <c r="J1172" i="1"/>
  <c r="J1164" i="1"/>
  <c r="J1144" i="1"/>
  <c r="J1148" i="1"/>
  <c r="J1125" i="1"/>
  <c r="J1159" i="1"/>
  <c r="J1154" i="1"/>
  <c r="J1155" i="1"/>
  <c r="J1108" i="1"/>
  <c r="J1100" i="1"/>
  <c r="J1092" i="1"/>
  <c r="J1084" i="1"/>
  <c r="J1076" i="1"/>
  <c r="J1068" i="1"/>
  <c r="J1060" i="1"/>
  <c r="J1052" i="1"/>
  <c r="J1044" i="1"/>
  <c r="J1036" i="1"/>
  <c r="J1028" i="1"/>
  <c r="J1020" i="1"/>
  <c r="J28" i="1"/>
  <c r="J20" i="1"/>
  <c r="J12" i="1"/>
  <c r="J1256" i="1"/>
  <c r="J1248" i="1"/>
  <c r="J1240" i="1"/>
  <c r="J1217" i="1"/>
  <c r="J1209" i="1"/>
  <c r="J1201" i="1"/>
  <c r="J1193" i="1"/>
  <c r="J1185" i="1"/>
  <c r="J1177" i="1"/>
  <c r="J1169" i="1"/>
  <c r="J1161" i="1"/>
  <c r="J1141" i="1"/>
  <c r="J1151" i="1"/>
  <c r="J1128" i="1"/>
  <c r="J1297" i="1"/>
  <c r="J1116" i="1"/>
  <c r="J1117" i="1"/>
  <c r="J1105" i="1"/>
  <c r="J1097" i="1"/>
  <c r="J1089" i="1"/>
  <c r="J1081" i="1"/>
  <c r="J1073" i="1"/>
  <c r="J1065" i="1"/>
  <c r="J1057" i="1"/>
  <c r="J1049" i="1"/>
  <c r="J1041" i="1"/>
  <c r="J1033" i="1"/>
  <c r="J1025" i="1"/>
  <c r="J1017" i="1"/>
  <c r="J708" i="1"/>
  <c r="J33" i="1"/>
  <c r="J25" i="1"/>
  <c r="J17" i="1"/>
  <c r="J9" i="1"/>
  <c r="J1255" i="1"/>
  <c r="J1247" i="1"/>
  <c r="J1239" i="1"/>
  <c r="J1216" i="1"/>
  <c r="J1208" i="1"/>
  <c r="J1200" i="1"/>
  <c r="J1192" i="1"/>
  <c r="J1184" i="1"/>
  <c r="J1176" i="1"/>
  <c r="J1168" i="1"/>
  <c r="J1136" i="1"/>
  <c r="J1140" i="1"/>
  <c r="J1150" i="1"/>
  <c r="J1133" i="1"/>
  <c r="J1296" i="1"/>
  <c r="J1115" i="1"/>
  <c r="J1112" i="1"/>
  <c r="J1104" i="1"/>
  <c r="J1096" i="1"/>
  <c r="J1088" i="1"/>
  <c r="J1080" i="1"/>
  <c r="J1072" i="1"/>
  <c r="J1064" i="1"/>
  <c r="J1056" i="1"/>
  <c r="J1048" i="1"/>
  <c r="J1040" i="1"/>
  <c r="J1032" i="1"/>
  <c r="J1024" i="1"/>
  <c r="J707" i="1"/>
  <c r="J32" i="1"/>
  <c r="J24" i="1"/>
  <c r="J16" i="1"/>
  <c r="J1254" i="1"/>
  <c r="J1246" i="1"/>
  <c r="J1238" i="1"/>
  <c r="J1215" i="1"/>
  <c r="J1207" i="1"/>
  <c r="J1199" i="1"/>
  <c r="J1191" i="1"/>
  <c r="J1183" i="1"/>
  <c r="J1175" i="1"/>
  <c r="J1167" i="1"/>
  <c r="J1135" i="1"/>
  <c r="J1139" i="1"/>
  <c r="J1149" i="1"/>
  <c r="J1132" i="1"/>
  <c r="J1301" i="1"/>
  <c r="J1114" i="1"/>
  <c r="J1111" i="1"/>
  <c r="J1103" i="1"/>
  <c r="J1095" i="1"/>
  <c r="J1087" i="1"/>
  <c r="J1079" i="1"/>
  <c r="J1071" i="1"/>
  <c r="J1063" i="1"/>
  <c r="J1055" i="1"/>
  <c r="J1047" i="1"/>
  <c r="J1039" i="1"/>
  <c r="J1031" i="1"/>
  <c r="J1023" i="1"/>
  <c r="J706" i="1"/>
  <c r="J31" i="1"/>
  <c r="J23" i="1"/>
  <c r="J15" i="1"/>
  <c r="J1253" i="1"/>
  <c r="J1245" i="1"/>
  <c r="J1237" i="1"/>
  <c r="J1214" i="1"/>
  <c r="J1206" i="1"/>
  <c r="J1198" i="1"/>
  <c r="J1190" i="1"/>
  <c r="J1182" i="1"/>
  <c r="J1174" i="1"/>
  <c r="J1166" i="1"/>
  <c r="J1134" i="1"/>
  <c r="J1138" i="1"/>
  <c r="J1127" i="1"/>
  <c r="J1131" i="1"/>
  <c r="J1300" i="1"/>
  <c r="J1157" i="1"/>
  <c r="J1110" i="1"/>
  <c r="J1102" i="1"/>
  <c r="J1094" i="1"/>
  <c r="J1086" i="1"/>
  <c r="J1078" i="1"/>
  <c r="J1070" i="1"/>
  <c r="J1062" i="1"/>
  <c r="J1054" i="1"/>
  <c r="J1046" i="1"/>
  <c r="J1038" i="1"/>
  <c r="J1030" i="1"/>
  <c r="J1022" i="1"/>
  <c r="J30" i="1"/>
  <c r="J22" i="1"/>
  <c r="O249" i="21" l="1"/>
  <c r="H248" i="21"/>
  <c r="O248" i="21" s="1"/>
  <c r="O229" i="21" s="1"/>
  <c r="O167" i="21"/>
  <c r="O141" i="21"/>
  <c r="O152" i="21"/>
  <c r="O148" i="21" s="1"/>
  <c r="O144" i="21" s="1"/>
  <c r="O161" i="21"/>
  <c r="O132" i="21"/>
  <c r="O130" i="21" s="1"/>
  <c r="O128" i="21"/>
  <c r="O83" i="21"/>
  <c r="U24" i="15"/>
  <c r="V24" i="15" s="1"/>
  <c r="U20" i="15"/>
  <c r="V20" i="15" s="1"/>
  <c r="U75" i="15"/>
  <c r="F45" i="15" s="1"/>
  <c r="U79" i="15"/>
  <c r="V79" i="15" s="1"/>
  <c r="U83" i="15"/>
  <c r="V83" i="15" s="1"/>
  <c r="U23" i="15"/>
  <c r="V23" i="15" s="1"/>
  <c r="U19" i="15"/>
  <c r="V19" i="15" s="1"/>
  <c r="U76" i="15"/>
  <c r="U80" i="15"/>
  <c r="V80" i="15" s="1"/>
  <c r="U22" i="15"/>
  <c r="V22" i="15" s="1"/>
  <c r="U18" i="15"/>
  <c r="V18" i="15" s="1"/>
  <c r="U77" i="15"/>
  <c r="U81" i="15"/>
  <c r="V81" i="15" s="1"/>
  <c r="U25" i="15"/>
  <c r="V25" i="15" s="1"/>
  <c r="U21" i="15"/>
  <c r="V21" i="15" s="1"/>
  <c r="U17" i="15"/>
  <c r="U78" i="15"/>
  <c r="V78" i="15" s="1"/>
  <c r="U82" i="15"/>
  <c r="V82" i="15" s="1"/>
  <c r="O123" i="21"/>
  <c r="O106" i="21"/>
  <c r="O88" i="21"/>
  <c r="O61" i="21"/>
  <c r="O46" i="21"/>
  <c r="H227" i="21"/>
  <c r="O227" i="21" s="1"/>
  <c r="H226" i="21"/>
  <c r="O226" i="21" s="1"/>
  <c r="H228" i="21"/>
  <c r="O228" i="21" s="1"/>
  <c r="O50" i="21"/>
  <c r="O98" i="21"/>
  <c r="O19" i="21"/>
  <c r="O220" i="21"/>
  <c r="O198" i="21"/>
  <c r="O77" i="21"/>
  <c r="O193" i="21"/>
  <c r="O28" i="21"/>
  <c r="O80" i="21"/>
  <c r="O189" i="21"/>
  <c r="O205" i="21"/>
  <c r="N589" i="20"/>
  <c r="N592" i="20"/>
  <c r="N590" i="20"/>
  <c r="N591" i="20"/>
  <c r="U137" i="15"/>
  <c r="V137" i="15" s="1"/>
  <c r="U102" i="15"/>
  <c r="V102" i="15" s="1"/>
  <c r="L458" i="20"/>
  <c r="L206" i="20"/>
  <c r="K205" i="20"/>
  <c r="L205" i="20" s="1"/>
  <c r="N507" i="20"/>
  <c r="K202" i="20"/>
  <c r="L202" i="20" s="1"/>
  <c r="N202" i="20" s="1"/>
  <c r="O202" i="20" s="1"/>
  <c r="N490" i="20"/>
  <c r="N520" i="20"/>
  <c r="N460" i="20"/>
  <c r="N459" i="20"/>
  <c r="N483" i="20"/>
  <c r="N491" i="20"/>
  <c r="N499" i="20"/>
  <c r="N467" i="20"/>
  <c r="N511" i="20"/>
  <c r="N532" i="20"/>
  <c r="N503" i="20"/>
  <c r="N475" i="20"/>
  <c r="N519" i="20"/>
  <c r="N481" i="20"/>
  <c r="N533" i="20"/>
  <c r="N468" i="20"/>
  <c r="N498" i="20"/>
  <c r="N488" i="20"/>
  <c r="N513" i="20"/>
  <c r="N476" i="20"/>
  <c r="N534" i="20"/>
  <c r="N469" i="20"/>
  <c r="N502" i="20"/>
  <c r="N496" i="20"/>
  <c r="N526" i="20"/>
  <c r="N461" i="20"/>
  <c r="N484" i="20"/>
  <c r="N477" i="20"/>
  <c r="N500" i="20"/>
  <c r="N509" i="20"/>
  <c r="N486" i="20"/>
  <c r="N514" i="20"/>
  <c r="N512" i="20"/>
  <c r="N516" i="20"/>
  <c r="N472" i="20"/>
  <c r="N501" i="20"/>
  <c r="N492" i="20"/>
  <c r="N504" i="20"/>
  <c r="N493" i="20"/>
  <c r="N480" i="20"/>
  <c r="N482" i="20"/>
  <c r="N465" i="20"/>
  <c r="N495" i="20"/>
  <c r="N506" i="20"/>
  <c r="N505" i="20"/>
  <c r="N474" i="20"/>
  <c r="N508" i="20"/>
  <c r="N479" i="20"/>
  <c r="N530" i="20"/>
  <c r="N494" i="20"/>
  <c r="N531" i="20"/>
  <c r="N466" i="20"/>
  <c r="N517" i="20"/>
  <c r="N485" i="20"/>
  <c r="N529" i="20"/>
  <c r="N510" i="20"/>
  <c r="N528" i="20"/>
  <c r="N518" i="20"/>
  <c r="N463" i="20"/>
  <c r="N497" i="20"/>
  <c r="N478" i="20"/>
  <c r="N462" i="20"/>
  <c r="N515" i="20"/>
  <c r="N464" i="20"/>
  <c r="N471" i="20"/>
  <c r="K39" i="20"/>
  <c r="L39" i="20" s="1"/>
  <c r="N473" i="20"/>
  <c r="N487" i="20"/>
  <c r="N527" i="20"/>
  <c r="K593" i="20"/>
  <c r="L593" i="20" s="1"/>
  <c r="N470" i="20"/>
  <c r="N489" i="20"/>
  <c r="K456" i="20"/>
  <c r="L456" i="20" s="1"/>
  <c r="Q368" i="20"/>
  <c r="N368" i="20"/>
  <c r="O368" i="20" s="1"/>
  <c r="Q209" i="20"/>
  <c r="N209" i="20"/>
  <c r="O209" i="20" s="1"/>
  <c r="Q93" i="20"/>
  <c r="N93" i="20"/>
  <c r="O93" i="20" s="1"/>
  <c r="Q417" i="20"/>
  <c r="N417" i="20"/>
  <c r="O417" i="20" s="1"/>
  <c r="Q433" i="20"/>
  <c r="N433" i="20"/>
  <c r="O433" i="20" s="1"/>
  <c r="Q153" i="20"/>
  <c r="N153" i="20"/>
  <c r="O153" i="20" s="1"/>
  <c r="Q318" i="20"/>
  <c r="N318" i="20"/>
  <c r="O318" i="20" s="1"/>
  <c r="Q164" i="20"/>
  <c r="N164" i="20"/>
  <c r="O164" i="20" s="1"/>
  <c r="Q132" i="20"/>
  <c r="N132" i="20"/>
  <c r="O132" i="20" s="1"/>
  <c r="Q261" i="20"/>
  <c r="N261" i="20"/>
  <c r="O261" i="20" s="1"/>
  <c r="Q374" i="20"/>
  <c r="N374" i="20"/>
  <c r="O374" i="20" s="1"/>
  <c r="Q319" i="20"/>
  <c r="N319" i="20"/>
  <c r="O319" i="20" s="1"/>
  <c r="Q367" i="20"/>
  <c r="N367" i="20"/>
  <c r="O367" i="20" s="1"/>
  <c r="Q340" i="20"/>
  <c r="N340" i="20"/>
  <c r="O340" i="20" s="1"/>
  <c r="Q313" i="20"/>
  <c r="N313" i="20"/>
  <c r="O313" i="20" s="1"/>
  <c r="Q297" i="20"/>
  <c r="N297" i="20"/>
  <c r="O297" i="20" s="1"/>
  <c r="Q279" i="20"/>
  <c r="N279" i="20"/>
  <c r="O279" i="20" s="1"/>
  <c r="Q247" i="20"/>
  <c r="N247" i="20"/>
  <c r="O247" i="20" s="1"/>
  <c r="Q395" i="20"/>
  <c r="N395" i="20"/>
  <c r="O395" i="20" s="1"/>
  <c r="Q84" i="20"/>
  <c r="N84" i="20"/>
  <c r="O84" i="20" s="1"/>
  <c r="Q60" i="20"/>
  <c r="N60" i="20"/>
  <c r="O60" i="20" s="1"/>
  <c r="Q35" i="20"/>
  <c r="N35" i="20"/>
  <c r="O35" i="20" s="1"/>
  <c r="Q123" i="20"/>
  <c r="N123" i="20"/>
  <c r="O123" i="20" s="1"/>
  <c r="Q334" i="20"/>
  <c r="N334" i="20"/>
  <c r="O334" i="20" s="1"/>
  <c r="Q409" i="20"/>
  <c r="N409" i="20"/>
  <c r="O409" i="20" s="1"/>
  <c r="Q366" i="20"/>
  <c r="N366" i="20"/>
  <c r="O366" i="20" s="1"/>
  <c r="Q331" i="20"/>
  <c r="N331" i="20"/>
  <c r="O331" i="20" s="1"/>
  <c r="Q259" i="20"/>
  <c r="N259" i="20"/>
  <c r="O259" i="20" s="1"/>
  <c r="Q238" i="20"/>
  <c r="N238" i="20"/>
  <c r="O238" i="20" s="1"/>
  <c r="Q220" i="20"/>
  <c r="N220" i="20"/>
  <c r="O220" i="20" s="1"/>
  <c r="Q452" i="20"/>
  <c r="N452" i="20"/>
  <c r="O452" i="20" s="1"/>
  <c r="Q424" i="20"/>
  <c r="N424" i="20"/>
  <c r="O424" i="20" s="1"/>
  <c r="Q386" i="20"/>
  <c r="N386" i="20"/>
  <c r="O386" i="20" s="1"/>
  <c r="Q71" i="20"/>
  <c r="N71" i="20"/>
  <c r="O71" i="20" s="1"/>
  <c r="Q190" i="20"/>
  <c r="N190" i="20"/>
  <c r="O190" i="20" s="1"/>
  <c r="Q158" i="20"/>
  <c r="N158" i="20"/>
  <c r="O158" i="20" s="1"/>
  <c r="Q265" i="20"/>
  <c r="N265" i="20"/>
  <c r="O265" i="20" s="1"/>
  <c r="Q175" i="20"/>
  <c r="N175" i="20"/>
  <c r="O175" i="20" s="1"/>
  <c r="Q338" i="20"/>
  <c r="N338" i="20"/>
  <c r="O338" i="20" s="1"/>
  <c r="Q449" i="20"/>
  <c r="N449" i="20"/>
  <c r="O449" i="20" s="1"/>
  <c r="Q413" i="20"/>
  <c r="N413" i="20"/>
  <c r="O413" i="20" s="1"/>
  <c r="Q187" i="20"/>
  <c r="N187" i="20"/>
  <c r="O187" i="20" s="1"/>
  <c r="Q155" i="20"/>
  <c r="N155" i="20"/>
  <c r="O155" i="20" s="1"/>
  <c r="Q253" i="20"/>
  <c r="N253" i="20"/>
  <c r="O253" i="20" s="1"/>
  <c r="Q75" i="20"/>
  <c r="N75" i="20"/>
  <c r="O75" i="20" s="1"/>
  <c r="Q146" i="20"/>
  <c r="N146" i="20"/>
  <c r="O146" i="20" s="1"/>
  <c r="Q453" i="20"/>
  <c r="N453" i="20"/>
  <c r="O453" i="20" s="1"/>
  <c r="Q151" i="20"/>
  <c r="N151" i="20"/>
  <c r="O151" i="20" s="1"/>
  <c r="Q277" i="20"/>
  <c r="N277" i="20"/>
  <c r="O277" i="20" s="1"/>
  <c r="Q237" i="20"/>
  <c r="N237" i="20"/>
  <c r="O237" i="20" s="1"/>
  <c r="Q152" i="20"/>
  <c r="N152" i="20"/>
  <c r="O152" i="20" s="1"/>
  <c r="Q350" i="20"/>
  <c r="N350" i="20"/>
  <c r="O350" i="20" s="1"/>
  <c r="Q385" i="20"/>
  <c r="N385" i="20"/>
  <c r="O385" i="20" s="1"/>
  <c r="Q157" i="20"/>
  <c r="N157" i="20"/>
  <c r="O157" i="20" s="1"/>
  <c r="Q126" i="20"/>
  <c r="N126" i="20"/>
  <c r="O126" i="20" s="1"/>
  <c r="Q218" i="20"/>
  <c r="N218" i="20"/>
  <c r="O218" i="20" s="1"/>
  <c r="Q341" i="20"/>
  <c r="N341" i="20"/>
  <c r="O341" i="20" s="1"/>
  <c r="Q243" i="20"/>
  <c r="N243" i="20"/>
  <c r="O243" i="20" s="1"/>
  <c r="Q398" i="20"/>
  <c r="N398" i="20"/>
  <c r="O398" i="20" s="1"/>
  <c r="Q109" i="20"/>
  <c r="N109" i="20"/>
  <c r="O109" i="20" s="1"/>
  <c r="Q360" i="20"/>
  <c r="N360" i="20"/>
  <c r="O360" i="20" s="1"/>
  <c r="Q239" i="20"/>
  <c r="N239" i="20"/>
  <c r="O239" i="20" s="1"/>
  <c r="Q450" i="20"/>
  <c r="N450" i="20"/>
  <c r="O450" i="20" s="1"/>
  <c r="Q392" i="20"/>
  <c r="N392" i="20"/>
  <c r="O392" i="20" s="1"/>
  <c r="I204" i="20"/>
  <c r="J204" i="20" s="1"/>
  <c r="Q234" i="20"/>
  <c r="N234" i="20"/>
  <c r="O234" i="20" s="1"/>
  <c r="Q401" i="20"/>
  <c r="N401" i="20"/>
  <c r="O401" i="20" s="1"/>
  <c r="Q389" i="20"/>
  <c r="N389" i="20"/>
  <c r="O389" i="20" s="1"/>
  <c r="Q145" i="20"/>
  <c r="N145" i="20"/>
  <c r="O145" i="20" s="1"/>
  <c r="Q31" i="20"/>
  <c r="N31" i="20"/>
  <c r="O31" i="20" s="1"/>
  <c r="Q276" i="20"/>
  <c r="N276" i="20"/>
  <c r="O276" i="20" s="1"/>
  <c r="Q98" i="20"/>
  <c r="N98" i="20"/>
  <c r="O98" i="20" s="1"/>
  <c r="Q69" i="20"/>
  <c r="N69" i="20"/>
  <c r="O69" i="20" s="1"/>
  <c r="Q365" i="20"/>
  <c r="N365" i="20"/>
  <c r="O365" i="20" s="1"/>
  <c r="Q316" i="20"/>
  <c r="N316" i="20"/>
  <c r="O316" i="20" s="1"/>
  <c r="Q300" i="20"/>
  <c r="N300" i="20"/>
  <c r="O300" i="20" s="1"/>
  <c r="Q284" i="20"/>
  <c r="N284" i="20"/>
  <c r="O284" i="20" s="1"/>
  <c r="Q383" i="20"/>
  <c r="N383" i="20"/>
  <c r="O383" i="20" s="1"/>
  <c r="Q80" i="20"/>
  <c r="N80" i="20"/>
  <c r="O80" i="20" s="1"/>
  <c r="Q124" i="20"/>
  <c r="N124" i="20"/>
  <c r="O124" i="20" s="1"/>
  <c r="Q38" i="20"/>
  <c r="N38" i="20"/>
  <c r="O38" i="20" s="1"/>
  <c r="Q364" i="20"/>
  <c r="N364" i="20"/>
  <c r="O364" i="20" s="1"/>
  <c r="Q254" i="20"/>
  <c r="N254" i="20"/>
  <c r="O254" i="20" s="1"/>
  <c r="Q219" i="20"/>
  <c r="N219" i="20"/>
  <c r="O219" i="20" s="1"/>
  <c r="Q454" i="20"/>
  <c r="N454" i="20"/>
  <c r="O454" i="20" s="1"/>
  <c r="Q418" i="20"/>
  <c r="N418" i="20"/>
  <c r="O418" i="20" s="1"/>
  <c r="Q388" i="20"/>
  <c r="N388" i="20"/>
  <c r="O388" i="20" s="1"/>
  <c r="Q67" i="20"/>
  <c r="N67" i="20"/>
  <c r="O67" i="20" s="1"/>
  <c r="Q184" i="20"/>
  <c r="N184" i="20"/>
  <c r="O184" i="20" s="1"/>
  <c r="Q121" i="20"/>
  <c r="N121" i="20"/>
  <c r="O121" i="20" s="1"/>
  <c r="Q214" i="20"/>
  <c r="N214" i="20"/>
  <c r="O214" i="20" s="1"/>
  <c r="Q348" i="20"/>
  <c r="N348" i="20"/>
  <c r="O348" i="20" s="1"/>
  <c r="Q379" i="20"/>
  <c r="N379" i="20"/>
  <c r="O379" i="20" s="1"/>
  <c r="Q28" i="20"/>
  <c r="N28" i="20"/>
  <c r="O28" i="20" s="1"/>
  <c r="Q325" i="20"/>
  <c r="N325" i="20"/>
  <c r="O325" i="20" s="1"/>
  <c r="Q307" i="20"/>
  <c r="N307" i="20"/>
  <c r="O307" i="20" s="1"/>
  <c r="Q291" i="20"/>
  <c r="N291" i="20"/>
  <c r="O291" i="20" s="1"/>
  <c r="Q451" i="20"/>
  <c r="N451" i="20"/>
  <c r="O451" i="20" s="1"/>
  <c r="Q423" i="20"/>
  <c r="N423" i="20"/>
  <c r="O423" i="20" s="1"/>
  <c r="Q64" i="20"/>
  <c r="N64" i="20"/>
  <c r="O64" i="20" s="1"/>
  <c r="Q189" i="20"/>
  <c r="N189" i="20"/>
  <c r="O189" i="20" s="1"/>
  <c r="Q37" i="20"/>
  <c r="N37" i="20"/>
  <c r="O37" i="20" s="1"/>
  <c r="Q186" i="20"/>
  <c r="N186" i="20"/>
  <c r="O186" i="20" s="1"/>
  <c r="Q369" i="20"/>
  <c r="N369" i="20"/>
  <c r="O369" i="20" s="1"/>
  <c r="Q225" i="20"/>
  <c r="N225" i="20"/>
  <c r="O225" i="20" s="1"/>
  <c r="Q53" i="20"/>
  <c r="N53" i="20"/>
  <c r="O53" i="20" s="1"/>
  <c r="Q260" i="20"/>
  <c r="N260" i="20"/>
  <c r="O260" i="20" s="1"/>
  <c r="Q221" i="20"/>
  <c r="N221" i="20"/>
  <c r="O221" i="20" s="1"/>
  <c r="Q422" i="20"/>
  <c r="N422" i="20"/>
  <c r="O422" i="20" s="1"/>
  <c r="Q87" i="20"/>
  <c r="N87" i="20"/>
  <c r="O87" i="20" s="1"/>
  <c r="Q103" i="20"/>
  <c r="N103" i="20"/>
  <c r="O103" i="20" s="1"/>
  <c r="Q298" i="20"/>
  <c r="N298" i="20"/>
  <c r="O298" i="20" s="1"/>
  <c r="Q273" i="20"/>
  <c r="N273" i="20"/>
  <c r="O273" i="20" s="1"/>
  <c r="Q177" i="20"/>
  <c r="N177" i="20"/>
  <c r="O177" i="20" s="1"/>
  <c r="Q106" i="20"/>
  <c r="N106" i="20"/>
  <c r="O106" i="20" s="1"/>
  <c r="Q156" i="20"/>
  <c r="N156" i="20"/>
  <c r="O156" i="20" s="1"/>
  <c r="Q61" i="20"/>
  <c r="N61" i="20"/>
  <c r="O61" i="20" s="1"/>
  <c r="Q32" i="20"/>
  <c r="N32" i="20"/>
  <c r="O32" i="20" s="1"/>
  <c r="Q359" i="20"/>
  <c r="N359" i="20"/>
  <c r="O359" i="20" s="1"/>
  <c r="Q332" i="20"/>
  <c r="N332" i="20"/>
  <c r="O332" i="20" s="1"/>
  <c r="Q309" i="20"/>
  <c r="N309" i="20"/>
  <c r="O309" i="20" s="1"/>
  <c r="Q293" i="20"/>
  <c r="N293" i="20"/>
  <c r="O293" i="20" s="1"/>
  <c r="Q455" i="20"/>
  <c r="N455" i="20"/>
  <c r="O455" i="20" s="1"/>
  <c r="Q419" i="20"/>
  <c r="N419" i="20"/>
  <c r="O419" i="20" s="1"/>
  <c r="Q78" i="20"/>
  <c r="N78" i="20"/>
  <c r="O78" i="20" s="1"/>
  <c r="Q50" i="20"/>
  <c r="N50" i="20"/>
  <c r="O50" i="20" s="1"/>
  <c r="Q107" i="20"/>
  <c r="N107" i="20"/>
  <c r="O107" i="20" s="1"/>
  <c r="Q310" i="20"/>
  <c r="N310" i="20"/>
  <c r="O310" i="20" s="1"/>
  <c r="Q393" i="20"/>
  <c r="N393" i="20"/>
  <c r="O393" i="20" s="1"/>
  <c r="Q358" i="20"/>
  <c r="N358" i="20"/>
  <c r="O358" i="20" s="1"/>
  <c r="Q317" i="20"/>
  <c r="N317" i="20"/>
  <c r="O317" i="20" s="1"/>
  <c r="Q255" i="20"/>
  <c r="N255" i="20"/>
  <c r="O255" i="20" s="1"/>
  <c r="Q232" i="20"/>
  <c r="N232" i="20"/>
  <c r="O232" i="20" s="1"/>
  <c r="Q216" i="20"/>
  <c r="N216" i="20"/>
  <c r="O216" i="20" s="1"/>
  <c r="Q444" i="20"/>
  <c r="N444" i="20"/>
  <c r="O444" i="20" s="1"/>
  <c r="Q416" i="20"/>
  <c r="N416" i="20"/>
  <c r="O416" i="20" s="1"/>
  <c r="Q378" i="20"/>
  <c r="N378" i="20"/>
  <c r="O378" i="20" s="1"/>
  <c r="Q65" i="20"/>
  <c r="N65" i="20"/>
  <c r="O65" i="20" s="1"/>
  <c r="Q182" i="20"/>
  <c r="N182" i="20"/>
  <c r="O182" i="20" s="1"/>
  <c r="Q150" i="20"/>
  <c r="N150" i="20"/>
  <c r="O150" i="20" s="1"/>
  <c r="Q119" i="20"/>
  <c r="N119" i="20"/>
  <c r="O119" i="20" s="1"/>
  <c r="Q128" i="20"/>
  <c r="N128" i="20"/>
  <c r="O128" i="20" s="1"/>
  <c r="Q330" i="20"/>
  <c r="N330" i="20"/>
  <c r="O330" i="20" s="1"/>
  <c r="Q405" i="20"/>
  <c r="N405" i="20"/>
  <c r="O405" i="20" s="1"/>
  <c r="Q179" i="20"/>
  <c r="N179" i="20"/>
  <c r="O179" i="20" s="1"/>
  <c r="Q147" i="20"/>
  <c r="N147" i="20"/>
  <c r="O147" i="20" s="1"/>
  <c r="Q116" i="20"/>
  <c r="N116" i="20"/>
  <c r="O116" i="20" s="1"/>
  <c r="Q342" i="20"/>
  <c r="N342" i="20"/>
  <c r="O342" i="20" s="1"/>
  <c r="Q135" i="20"/>
  <c r="N135" i="20"/>
  <c r="O135" i="20" s="1"/>
  <c r="Q176" i="20"/>
  <c r="N176" i="20"/>
  <c r="O176" i="20" s="1"/>
  <c r="Q144" i="20"/>
  <c r="N144" i="20"/>
  <c r="O144" i="20" s="1"/>
  <c r="Q113" i="20"/>
  <c r="N113" i="20"/>
  <c r="O113" i="20" s="1"/>
  <c r="Q314" i="20"/>
  <c r="N314" i="20"/>
  <c r="O314" i="20" s="1"/>
  <c r="Q377" i="20"/>
  <c r="N377" i="20"/>
  <c r="O377" i="20" s="1"/>
  <c r="Q181" i="20"/>
  <c r="N181" i="20"/>
  <c r="O181" i="20" s="1"/>
  <c r="Q149" i="20"/>
  <c r="N149" i="20"/>
  <c r="O149" i="20" s="1"/>
  <c r="Q118" i="20"/>
  <c r="N118" i="20"/>
  <c r="O118" i="20" s="1"/>
  <c r="Q233" i="20"/>
  <c r="N233" i="20"/>
  <c r="O233" i="20" s="1"/>
  <c r="Q384" i="20"/>
  <c r="N384" i="20"/>
  <c r="O384" i="20" s="1"/>
  <c r="Q381" i="20"/>
  <c r="N381" i="20"/>
  <c r="O381" i="20" s="1"/>
  <c r="Q111" i="20"/>
  <c r="N111" i="20"/>
  <c r="O111" i="20" s="1"/>
  <c r="Q439" i="20"/>
  <c r="N439" i="20"/>
  <c r="O439" i="20" s="1"/>
  <c r="Q312" i="20"/>
  <c r="N312" i="20"/>
  <c r="O312" i="20" s="1"/>
  <c r="Q375" i="20"/>
  <c r="N375" i="20"/>
  <c r="O375" i="20" s="1"/>
  <c r="Q226" i="20"/>
  <c r="N226" i="20"/>
  <c r="O226" i="20" s="1"/>
  <c r="Q194" i="20"/>
  <c r="N194" i="20"/>
  <c r="O194" i="20" s="1"/>
  <c r="Q82" i="20"/>
  <c r="N82" i="20"/>
  <c r="O82" i="20" s="1"/>
  <c r="Q356" i="20"/>
  <c r="N356" i="20"/>
  <c r="O356" i="20" s="1"/>
  <c r="Q271" i="20"/>
  <c r="N271" i="20"/>
  <c r="O271" i="20" s="1"/>
  <c r="Q250" i="20"/>
  <c r="N250" i="20"/>
  <c r="O250" i="20" s="1"/>
  <c r="Q231" i="20"/>
  <c r="N231" i="20"/>
  <c r="O231" i="20" s="1"/>
  <c r="Q215" i="20"/>
  <c r="N215" i="20"/>
  <c r="O215" i="20" s="1"/>
  <c r="Q446" i="20"/>
  <c r="N446" i="20"/>
  <c r="O446" i="20" s="1"/>
  <c r="Q410" i="20"/>
  <c r="N410" i="20"/>
  <c r="O410" i="20" s="1"/>
  <c r="Q380" i="20"/>
  <c r="N380" i="20"/>
  <c r="O380" i="20" s="1"/>
  <c r="Q49" i="20"/>
  <c r="N49" i="20"/>
  <c r="O49" i="20" s="1"/>
  <c r="Q390" i="20"/>
  <c r="N390" i="20"/>
  <c r="O390" i="20" s="1"/>
  <c r="Q66" i="20"/>
  <c r="N66" i="20"/>
  <c r="O66" i="20" s="1"/>
  <c r="Q370" i="20"/>
  <c r="N370" i="20"/>
  <c r="O370" i="20" s="1"/>
  <c r="Q343" i="20"/>
  <c r="N343" i="20"/>
  <c r="O343" i="20" s="1"/>
  <c r="Q320" i="20"/>
  <c r="N320" i="20"/>
  <c r="O320" i="20" s="1"/>
  <c r="Q303" i="20"/>
  <c r="N303" i="20"/>
  <c r="O303" i="20" s="1"/>
  <c r="Q287" i="20"/>
  <c r="N287" i="20"/>
  <c r="O287" i="20" s="1"/>
  <c r="Q443" i="20"/>
  <c r="N443" i="20"/>
  <c r="O443" i="20" s="1"/>
  <c r="Q415" i="20"/>
  <c r="N415" i="20"/>
  <c r="O415" i="20" s="1"/>
  <c r="Q58" i="20"/>
  <c r="N58" i="20"/>
  <c r="O58" i="20" s="1"/>
  <c r="Q33" i="20"/>
  <c r="N33" i="20"/>
  <c r="O33" i="20" s="1"/>
  <c r="Q349" i="20"/>
  <c r="N349" i="20"/>
  <c r="O349" i="20" s="1"/>
  <c r="Q448" i="20"/>
  <c r="N448" i="20"/>
  <c r="O448" i="20" s="1"/>
  <c r="Q170" i="20"/>
  <c r="N170" i="20"/>
  <c r="O170" i="20" s="1"/>
  <c r="Q328" i="20"/>
  <c r="N328" i="20"/>
  <c r="O328" i="20" s="1"/>
  <c r="Q217" i="20"/>
  <c r="N217" i="20"/>
  <c r="O217" i="20" s="1"/>
  <c r="Q63" i="20"/>
  <c r="N63" i="20"/>
  <c r="O63" i="20" s="1"/>
  <c r="Q169" i="20"/>
  <c r="N169" i="20"/>
  <c r="O169" i="20" s="1"/>
  <c r="Q249" i="20"/>
  <c r="N249" i="20"/>
  <c r="O249" i="20" s="1"/>
  <c r="Q362" i="20"/>
  <c r="N362" i="20"/>
  <c r="O362" i="20" s="1"/>
  <c r="Q435" i="20"/>
  <c r="N435" i="20"/>
  <c r="O435" i="20" s="1"/>
  <c r="Q252" i="20"/>
  <c r="N252" i="20"/>
  <c r="O252" i="20" s="1"/>
  <c r="Q210" i="20"/>
  <c r="N210" i="20"/>
  <c r="O210" i="20" s="1"/>
  <c r="Q248" i="20"/>
  <c r="N248" i="20"/>
  <c r="O248" i="20" s="1"/>
  <c r="Q191" i="20"/>
  <c r="N191" i="20"/>
  <c r="O191" i="20" s="1"/>
  <c r="Q352" i="20"/>
  <c r="N352" i="20"/>
  <c r="O352" i="20" s="1"/>
  <c r="Q327" i="20"/>
  <c r="N327" i="20"/>
  <c r="O327" i="20" s="1"/>
  <c r="Q305" i="20"/>
  <c r="N305" i="20"/>
  <c r="O305" i="20" s="1"/>
  <c r="Q289" i="20"/>
  <c r="N289" i="20"/>
  <c r="O289" i="20" s="1"/>
  <c r="Q268" i="20"/>
  <c r="N268" i="20"/>
  <c r="O268" i="20" s="1"/>
  <c r="Q447" i="20"/>
  <c r="N447" i="20"/>
  <c r="O447" i="20" s="1"/>
  <c r="Q411" i="20"/>
  <c r="N411" i="20"/>
  <c r="O411" i="20" s="1"/>
  <c r="Q74" i="20"/>
  <c r="N74" i="20"/>
  <c r="O74" i="20" s="1"/>
  <c r="Q44" i="20"/>
  <c r="N44" i="20"/>
  <c r="O44" i="20" s="1"/>
  <c r="Q100" i="20"/>
  <c r="N100" i="20"/>
  <c r="O100" i="20" s="1"/>
  <c r="Q222" i="20"/>
  <c r="N222" i="20"/>
  <c r="O222" i="20" s="1"/>
  <c r="Q286" i="20"/>
  <c r="N286" i="20"/>
  <c r="O286" i="20" s="1"/>
  <c r="I456" i="20"/>
  <c r="J456" i="20" s="1"/>
  <c r="Q278" i="20"/>
  <c r="N278" i="20"/>
  <c r="O278" i="20" s="1"/>
  <c r="Q251" i="20"/>
  <c r="N251" i="20"/>
  <c r="O251" i="20" s="1"/>
  <c r="Q228" i="20"/>
  <c r="N228" i="20"/>
  <c r="O228" i="20" s="1"/>
  <c r="Q212" i="20"/>
  <c r="N212" i="20"/>
  <c r="O212" i="20" s="1"/>
  <c r="Q438" i="20"/>
  <c r="N438" i="20"/>
  <c r="O438" i="20" s="1"/>
  <c r="Q408" i="20"/>
  <c r="N408" i="20"/>
  <c r="O408" i="20" s="1"/>
  <c r="Q59" i="20"/>
  <c r="N59" i="20"/>
  <c r="O59" i="20" s="1"/>
  <c r="Q174" i="20"/>
  <c r="N174" i="20"/>
  <c r="O174" i="20" s="1"/>
  <c r="Q142" i="20"/>
  <c r="N142" i="20"/>
  <c r="O142" i="20" s="1"/>
  <c r="Q257" i="20"/>
  <c r="N257" i="20"/>
  <c r="O257" i="20" s="1"/>
  <c r="Q112" i="20"/>
  <c r="N112" i="20"/>
  <c r="O112" i="20" s="1"/>
  <c r="Q397" i="20"/>
  <c r="N397" i="20"/>
  <c r="O397" i="20" s="1"/>
  <c r="Q171" i="20"/>
  <c r="N171" i="20"/>
  <c r="O171" i="20" s="1"/>
  <c r="Q139" i="20"/>
  <c r="N139" i="20"/>
  <c r="O139" i="20" s="1"/>
  <c r="Q108" i="20"/>
  <c r="N108" i="20"/>
  <c r="O108" i="20" s="1"/>
  <c r="Q178" i="20"/>
  <c r="N178" i="20"/>
  <c r="O178" i="20" s="1"/>
  <c r="Q306" i="20"/>
  <c r="N306" i="20"/>
  <c r="O306" i="20" s="1"/>
  <c r="Q183" i="20"/>
  <c r="N183" i="20"/>
  <c r="O183" i="20" s="1"/>
  <c r="Q245" i="20"/>
  <c r="N245" i="20"/>
  <c r="O245" i="20" s="1"/>
  <c r="Q227" i="20"/>
  <c r="N227" i="20"/>
  <c r="O227" i="20" s="1"/>
  <c r="Q43" i="20"/>
  <c r="N43" i="20"/>
  <c r="O43" i="20" s="1"/>
  <c r="Q168" i="20"/>
  <c r="N168" i="20"/>
  <c r="O168" i="20" s="1"/>
  <c r="Q136" i="20"/>
  <c r="N136" i="20"/>
  <c r="O136" i="20" s="1"/>
  <c r="Q99" i="20"/>
  <c r="N99" i="20"/>
  <c r="O99" i="20" s="1"/>
  <c r="Q290" i="20"/>
  <c r="N290" i="20"/>
  <c r="O290" i="20" s="1"/>
  <c r="Q437" i="20"/>
  <c r="N437" i="20"/>
  <c r="O437" i="20" s="1"/>
  <c r="Q173" i="20"/>
  <c r="N173" i="20"/>
  <c r="O173" i="20" s="1"/>
  <c r="Q141" i="20"/>
  <c r="N141" i="20"/>
  <c r="O141" i="20" s="1"/>
  <c r="Q110" i="20"/>
  <c r="N110" i="20"/>
  <c r="O110" i="20" s="1"/>
  <c r="Q302" i="20"/>
  <c r="N302" i="20"/>
  <c r="O302" i="20" s="1"/>
  <c r="Q256" i="20"/>
  <c r="N256" i="20"/>
  <c r="O256" i="20" s="1"/>
  <c r="Q414" i="20"/>
  <c r="N414" i="20"/>
  <c r="O414" i="20" s="1"/>
  <c r="Q125" i="20"/>
  <c r="N125" i="20"/>
  <c r="O125" i="20" s="1"/>
  <c r="Q27" i="20"/>
  <c r="N27" i="20"/>
  <c r="O27" i="20" s="1"/>
  <c r="Q95" i="20"/>
  <c r="N95" i="20"/>
  <c r="O95" i="20" s="1"/>
  <c r="Q51" i="20"/>
  <c r="N51" i="20"/>
  <c r="O51" i="20" s="1"/>
  <c r="Q357" i="20"/>
  <c r="N357" i="20"/>
  <c r="O357" i="20" s="1"/>
  <c r="Q267" i="20"/>
  <c r="N267" i="20"/>
  <c r="O267" i="20" s="1"/>
  <c r="Q34" i="20"/>
  <c r="N34" i="20"/>
  <c r="O34" i="20" s="1"/>
  <c r="Q274" i="20"/>
  <c r="N274" i="20"/>
  <c r="O274" i="20" s="1"/>
  <c r="Q213" i="20"/>
  <c r="N213" i="20"/>
  <c r="O213" i="20" s="1"/>
  <c r="Q406" i="20"/>
  <c r="N406" i="20"/>
  <c r="O406" i="20" s="1"/>
  <c r="Q57" i="20"/>
  <c r="N57" i="20"/>
  <c r="O57" i="20" s="1"/>
  <c r="Q180" i="20"/>
  <c r="N180" i="20"/>
  <c r="O180" i="20" s="1"/>
  <c r="Q117" i="20"/>
  <c r="N117" i="20"/>
  <c r="O117" i="20" s="1"/>
  <c r="Q159" i="20"/>
  <c r="N159" i="20"/>
  <c r="O159" i="20" s="1"/>
  <c r="Q322" i="20"/>
  <c r="N322" i="20"/>
  <c r="O322" i="20" s="1"/>
  <c r="Q441" i="20"/>
  <c r="N441" i="20"/>
  <c r="O441" i="20" s="1"/>
  <c r="Q161" i="20"/>
  <c r="N161" i="20"/>
  <c r="O161" i="20" s="1"/>
  <c r="Q122" i="20"/>
  <c r="N122" i="20"/>
  <c r="O122" i="20" s="1"/>
  <c r="Q354" i="20"/>
  <c r="N354" i="20"/>
  <c r="O354" i="20" s="1"/>
  <c r="Q396" i="20"/>
  <c r="N396" i="20"/>
  <c r="O396" i="20" s="1"/>
  <c r="Q361" i="20"/>
  <c r="N361" i="20"/>
  <c r="O361" i="20" s="1"/>
  <c r="Q387" i="20"/>
  <c r="N387" i="20"/>
  <c r="O387" i="20" s="1"/>
  <c r="Q351" i="20"/>
  <c r="N351" i="20"/>
  <c r="O351" i="20" s="1"/>
  <c r="Q326" i="20"/>
  <c r="N326" i="20"/>
  <c r="O326" i="20" s="1"/>
  <c r="Q308" i="20"/>
  <c r="N308" i="20"/>
  <c r="O308" i="20" s="1"/>
  <c r="Q292" i="20"/>
  <c r="N292" i="20"/>
  <c r="O292" i="20" s="1"/>
  <c r="Q263" i="20"/>
  <c r="N263" i="20"/>
  <c r="O263" i="20" s="1"/>
  <c r="Q427" i="20"/>
  <c r="N427" i="20"/>
  <c r="O427" i="20" s="1"/>
  <c r="Q92" i="20"/>
  <c r="N92" i="20"/>
  <c r="O92" i="20" s="1"/>
  <c r="Q52" i="20"/>
  <c r="N52" i="20"/>
  <c r="O52" i="20" s="1"/>
  <c r="Q30" i="20"/>
  <c r="N30" i="20"/>
  <c r="O30" i="20" s="1"/>
  <c r="Q420" i="20"/>
  <c r="N420" i="20"/>
  <c r="O420" i="20" s="1"/>
  <c r="Q344" i="20"/>
  <c r="N344" i="20"/>
  <c r="O344" i="20" s="1"/>
  <c r="Q262" i="20"/>
  <c r="N262" i="20"/>
  <c r="O262" i="20" s="1"/>
  <c r="Q211" i="20"/>
  <c r="N211" i="20"/>
  <c r="O211" i="20" s="1"/>
  <c r="Q440" i="20"/>
  <c r="N440" i="20"/>
  <c r="O440" i="20" s="1"/>
  <c r="Q402" i="20"/>
  <c r="N402" i="20"/>
  <c r="O402" i="20" s="1"/>
  <c r="Q83" i="20"/>
  <c r="N83" i="20"/>
  <c r="O83" i="20" s="1"/>
  <c r="Q335" i="20"/>
  <c r="N335" i="20"/>
  <c r="O335" i="20" s="1"/>
  <c r="Q79" i="20"/>
  <c r="N79" i="20"/>
  <c r="O79" i="20" s="1"/>
  <c r="Q48" i="20"/>
  <c r="N48" i="20"/>
  <c r="O48" i="20" s="1"/>
  <c r="Q363" i="20"/>
  <c r="N363" i="20"/>
  <c r="O363" i="20" s="1"/>
  <c r="Q336" i="20"/>
  <c r="N336" i="20"/>
  <c r="O336" i="20" s="1"/>
  <c r="Q315" i="20"/>
  <c r="N315" i="20"/>
  <c r="O315" i="20" s="1"/>
  <c r="Q299" i="20"/>
  <c r="N299" i="20"/>
  <c r="O299" i="20" s="1"/>
  <c r="Q283" i="20"/>
  <c r="N283" i="20"/>
  <c r="O283" i="20" s="1"/>
  <c r="Q407" i="20"/>
  <c r="N407" i="20"/>
  <c r="O407" i="20" s="1"/>
  <c r="Q94" i="20"/>
  <c r="N94" i="20"/>
  <c r="O94" i="20" s="1"/>
  <c r="Q54" i="20"/>
  <c r="N54" i="20"/>
  <c r="O54" i="20" s="1"/>
  <c r="Q29" i="20"/>
  <c r="N29" i="20"/>
  <c r="O29" i="20" s="1"/>
  <c r="Q270" i="20"/>
  <c r="N270" i="20"/>
  <c r="O270" i="20" s="1"/>
  <c r="Q434" i="20"/>
  <c r="N434" i="20"/>
  <c r="O434" i="20" s="1"/>
  <c r="Q154" i="20"/>
  <c r="N154" i="20"/>
  <c r="O154" i="20" s="1"/>
  <c r="Q281" i="20"/>
  <c r="N281" i="20"/>
  <c r="O281" i="20" s="1"/>
  <c r="Q442" i="20"/>
  <c r="N442" i="20"/>
  <c r="O442" i="20" s="1"/>
  <c r="Q188" i="20"/>
  <c r="N188" i="20"/>
  <c r="O188" i="20" s="1"/>
  <c r="Q137" i="20"/>
  <c r="N137" i="20"/>
  <c r="O137" i="20" s="1"/>
  <c r="Q346" i="20"/>
  <c r="N346" i="20"/>
  <c r="O346" i="20" s="1"/>
  <c r="Q412" i="20"/>
  <c r="N412" i="20"/>
  <c r="O412" i="20" s="1"/>
  <c r="Q296" i="20"/>
  <c r="N296" i="20"/>
  <c r="O296" i="20" s="1"/>
  <c r="Q62" i="20"/>
  <c r="N62" i="20"/>
  <c r="O62" i="20" s="1"/>
  <c r="Q101" i="20"/>
  <c r="N101" i="20"/>
  <c r="O101" i="20" s="1"/>
  <c r="Q333" i="20"/>
  <c r="N333" i="20"/>
  <c r="O333" i="20" s="1"/>
  <c r="Q229" i="20"/>
  <c r="N229" i="20"/>
  <c r="O229" i="20" s="1"/>
  <c r="Q436" i="20"/>
  <c r="N436" i="20"/>
  <c r="O436" i="20" s="1"/>
  <c r="Q376" i="20"/>
  <c r="N376" i="20"/>
  <c r="O376" i="20" s="1"/>
  <c r="Q148" i="20"/>
  <c r="N148" i="20"/>
  <c r="O148" i="20" s="1"/>
  <c r="Q269" i="20"/>
  <c r="N269" i="20"/>
  <c r="O269" i="20" s="1"/>
  <c r="Q140" i="20"/>
  <c r="N140" i="20"/>
  <c r="O140" i="20" s="1"/>
  <c r="Q426" i="20"/>
  <c r="N426" i="20"/>
  <c r="O426" i="20" s="1"/>
  <c r="Q353" i="20"/>
  <c r="N353" i="20"/>
  <c r="O353" i="20" s="1"/>
  <c r="Q431" i="20"/>
  <c r="N431" i="20"/>
  <c r="O431" i="20" s="1"/>
  <c r="Q347" i="20"/>
  <c r="N347" i="20"/>
  <c r="O347" i="20" s="1"/>
  <c r="Q301" i="20"/>
  <c r="N301" i="20"/>
  <c r="O301" i="20" s="1"/>
  <c r="Q285" i="20"/>
  <c r="N285" i="20"/>
  <c r="O285" i="20" s="1"/>
  <c r="Q264" i="20"/>
  <c r="N264" i="20"/>
  <c r="O264" i="20" s="1"/>
  <c r="Q403" i="20"/>
  <c r="N403" i="20"/>
  <c r="O403" i="20" s="1"/>
  <c r="Q90" i="20"/>
  <c r="N90" i="20"/>
  <c r="O90" i="20" s="1"/>
  <c r="Q68" i="20"/>
  <c r="N68" i="20"/>
  <c r="O68" i="20" s="1"/>
  <c r="Q193" i="20"/>
  <c r="N193" i="20"/>
  <c r="O193" i="20" s="1"/>
  <c r="Q96" i="20"/>
  <c r="N96" i="20"/>
  <c r="O96" i="20" s="1"/>
  <c r="Q425" i="20"/>
  <c r="N425" i="20"/>
  <c r="O425" i="20" s="1"/>
  <c r="I593" i="20"/>
  <c r="J593" i="20" s="1"/>
  <c r="Q339" i="20"/>
  <c r="N339" i="20"/>
  <c r="O339" i="20" s="1"/>
  <c r="Q272" i="20"/>
  <c r="N272" i="20"/>
  <c r="O272" i="20" s="1"/>
  <c r="Q242" i="20"/>
  <c r="N242" i="20"/>
  <c r="O242" i="20" s="1"/>
  <c r="Q224" i="20"/>
  <c r="N224" i="20"/>
  <c r="O224" i="20" s="1"/>
  <c r="Q208" i="20"/>
  <c r="N208" i="20"/>
  <c r="O208" i="20" s="1"/>
  <c r="Q430" i="20"/>
  <c r="N430" i="20"/>
  <c r="O430" i="20" s="1"/>
  <c r="Q400" i="20"/>
  <c r="N400" i="20"/>
  <c r="O400" i="20" s="1"/>
  <c r="Q81" i="20"/>
  <c r="N81" i="20"/>
  <c r="O81" i="20" s="1"/>
  <c r="Q47" i="20"/>
  <c r="N47" i="20"/>
  <c r="O47" i="20" s="1"/>
  <c r="Q166" i="20"/>
  <c r="N166" i="20"/>
  <c r="O166" i="20" s="1"/>
  <c r="Q134" i="20"/>
  <c r="N134" i="20"/>
  <c r="O134" i="20" s="1"/>
  <c r="I39" i="20"/>
  <c r="J39" i="20" s="1"/>
  <c r="Q421" i="20"/>
  <c r="N421" i="20"/>
  <c r="O421" i="20" s="1"/>
  <c r="Q163" i="20"/>
  <c r="N163" i="20"/>
  <c r="O163" i="20" s="1"/>
  <c r="Q131" i="20"/>
  <c r="N131" i="20"/>
  <c r="O131" i="20" s="1"/>
  <c r="Q282" i="20"/>
  <c r="N282" i="20"/>
  <c r="O282" i="20" s="1"/>
  <c r="Q167" i="20"/>
  <c r="N167" i="20"/>
  <c r="O167" i="20" s="1"/>
  <c r="Q241" i="20"/>
  <c r="N241" i="20"/>
  <c r="O241" i="20" s="1"/>
  <c r="Q223" i="20"/>
  <c r="N223" i="20"/>
  <c r="O223" i="20" s="1"/>
  <c r="Q160" i="20"/>
  <c r="N160" i="20"/>
  <c r="O160" i="20" s="1"/>
  <c r="Q240" i="20"/>
  <c r="N240" i="20"/>
  <c r="O240" i="20" s="1"/>
  <c r="Q445" i="20"/>
  <c r="N445" i="20"/>
  <c r="O445" i="20" s="1"/>
  <c r="Q120" i="20"/>
  <c r="N120" i="20"/>
  <c r="O120" i="20" s="1"/>
  <c r="Q429" i="20"/>
  <c r="N429" i="20"/>
  <c r="O429" i="20" s="1"/>
  <c r="Q133" i="20"/>
  <c r="N133" i="20"/>
  <c r="O133" i="20" s="1"/>
  <c r="Q323" i="20"/>
  <c r="N323" i="20"/>
  <c r="O323" i="20" s="1"/>
  <c r="Q428" i="20"/>
  <c r="N428" i="20"/>
  <c r="O428" i="20" s="1"/>
  <c r="Q172" i="20"/>
  <c r="N172" i="20"/>
  <c r="O172" i="20" s="1"/>
  <c r="Q143" i="20"/>
  <c r="N143" i="20"/>
  <c r="O143" i="20" s="1"/>
  <c r="Q185" i="20"/>
  <c r="N185" i="20"/>
  <c r="O185" i="20" s="1"/>
  <c r="Q114" i="20"/>
  <c r="N114" i="20"/>
  <c r="O114" i="20" s="1"/>
  <c r="Q324" i="20"/>
  <c r="N324" i="20"/>
  <c r="O324" i="20" s="1"/>
  <c r="Q91" i="20"/>
  <c r="N91" i="20"/>
  <c r="O91" i="20" s="1"/>
  <c r="Q42" i="20"/>
  <c r="N42" i="20"/>
  <c r="O42" i="20" s="1"/>
  <c r="Q127" i="20"/>
  <c r="N127" i="20"/>
  <c r="O127" i="20" s="1"/>
  <c r="Q230" i="20"/>
  <c r="N230" i="20"/>
  <c r="O230" i="20" s="1"/>
  <c r="Q382" i="20"/>
  <c r="N382" i="20"/>
  <c r="O382" i="20" s="1"/>
  <c r="Q294" i="20"/>
  <c r="N294" i="20"/>
  <c r="O294" i="20" s="1"/>
  <c r="Q72" i="20"/>
  <c r="N72" i="20"/>
  <c r="O72" i="20" s="1"/>
  <c r="Q36" i="20"/>
  <c r="N36" i="20"/>
  <c r="O36" i="20" s="1"/>
  <c r="Q345" i="20"/>
  <c r="N345" i="20"/>
  <c r="O345" i="20" s="1"/>
  <c r="Q321" i="20"/>
  <c r="N321" i="20"/>
  <c r="O321" i="20" s="1"/>
  <c r="Q304" i="20"/>
  <c r="N304" i="20"/>
  <c r="O304" i="20" s="1"/>
  <c r="Q288" i="20"/>
  <c r="N288" i="20"/>
  <c r="O288" i="20" s="1"/>
  <c r="Q246" i="20"/>
  <c r="N246" i="20"/>
  <c r="O246" i="20" s="1"/>
  <c r="Q391" i="20"/>
  <c r="N391" i="20"/>
  <c r="O391" i="20" s="1"/>
  <c r="Q86" i="20"/>
  <c r="N86" i="20"/>
  <c r="O86" i="20" s="1"/>
  <c r="Q202" i="20"/>
  <c r="Q102" i="20"/>
  <c r="N102" i="20"/>
  <c r="O102" i="20" s="1"/>
  <c r="Q404" i="20"/>
  <c r="N404" i="20"/>
  <c r="O404" i="20" s="1"/>
  <c r="Q162" i="20"/>
  <c r="N162" i="20"/>
  <c r="O162" i="20" s="1"/>
  <c r="Q337" i="20"/>
  <c r="N337" i="20"/>
  <c r="O337" i="20" s="1"/>
  <c r="Q258" i="20"/>
  <c r="N258" i="20"/>
  <c r="O258" i="20" s="1"/>
  <c r="Q207" i="20"/>
  <c r="N207" i="20"/>
  <c r="O207" i="20" s="1"/>
  <c r="Q432" i="20"/>
  <c r="N432" i="20"/>
  <c r="O432" i="20" s="1"/>
  <c r="Q394" i="20"/>
  <c r="N394" i="20"/>
  <c r="O394" i="20" s="1"/>
  <c r="Q73" i="20"/>
  <c r="N73" i="20"/>
  <c r="O73" i="20" s="1"/>
  <c r="Q192" i="20"/>
  <c r="N192" i="20"/>
  <c r="O192" i="20" s="1"/>
  <c r="Q130" i="20"/>
  <c r="N130" i="20"/>
  <c r="O130" i="20" s="1"/>
  <c r="Q115" i="20"/>
  <c r="N115" i="20"/>
  <c r="O115" i="20" s="1"/>
  <c r="Q355" i="20"/>
  <c r="N355" i="20"/>
  <c r="O355" i="20" s="1"/>
  <c r="Q329" i="20"/>
  <c r="N329" i="20"/>
  <c r="O329" i="20" s="1"/>
  <c r="Q311" i="20"/>
  <c r="N311" i="20"/>
  <c r="O311" i="20" s="1"/>
  <c r="Q295" i="20"/>
  <c r="N295" i="20"/>
  <c r="O295" i="20" s="1"/>
  <c r="Q266" i="20"/>
  <c r="N266" i="20"/>
  <c r="O266" i="20" s="1"/>
  <c r="Q399" i="20"/>
  <c r="N399" i="20"/>
  <c r="O399" i="20" s="1"/>
  <c r="Q88" i="20"/>
  <c r="N88" i="20"/>
  <c r="O88" i="20" s="1"/>
  <c r="Q46" i="20"/>
  <c r="N46" i="20"/>
  <c r="O46" i="20" s="1"/>
  <c r="Q165" i="20"/>
  <c r="N165" i="20"/>
  <c r="O165" i="20" s="1"/>
  <c r="Q104" i="20"/>
  <c r="N104" i="20"/>
  <c r="O104" i="20" s="1"/>
  <c r="Q244" i="20"/>
  <c r="N244" i="20"/>
  <c r="O244" i="20" s="1"/>
  <c r="Q85" i="20"/>
  <c r="N85" i="20"/>
  <c r="O85" i="20" s="1"/>
  <c r="Q138" i="20"/>
  <c r="N138" i="20"/>
  <c r="O138" i="20" s="1"/>
  <c r="Q275" i="20"/>
  <c r="N275" i="20"/>
  <c r="O275" i="20" s="1"/>
  <c r="U140" i="15"/>
  <c r="V140" i="15" s="1"/>
  <c r="U139" i="15"/>
  <c r="V139" i="15" s="1"/>
  <c r="U138" i="15"/>
  <c r="V138" i="15" s="1"/>
  <c r="U134" i="15"/>
  <c r="F47" i="15" s="1"/>
  <c r="U136" i="15"/>
  <c r="U135" i="15"/>
  <c r="U142" i="15"/>
  <c r="V142" i="15" s="1"/>
  <c r="U141" i="15"/>
  <c r="V141" i="15" s="1"/>
  <c r="I635" i="19"/>
  <c r="J635" i="19" s="1"/>
  <c r="L635" i="19" s="1"/>
  <c r="J199" i="19"/>
  <c r="L199" i="19" s="1"/>
  <c r="I198" i="19"/>
  <c r="J198" i="19" s="1"/>
  <c r="L198" i="19" s="1"/>
  <c r="J363" i="19"/>
  <c r="L363" i="19" s="1"/>
  <c r="I446" i="19"/>
  <c r="J446" i="19" s="1"/>
  <c r="L446" i="19" s="1"/>
  <c r="I205" i="20"/>
  <c r="J205" i="20" s="1"/>
  <c r="J206" i="20"/>
  <c r="J373" i="20"/>
  <c r="J448" i="19"/>
  <c r="I574" i="19"/>
  <c r="J574" i="19" s="1"/>
  <c r="J28" i="19"/>
  <c r="L28" i="19" s="1"/>
  <c r="I41" i="19"/>
  <c r="J41" i="19" s="1"/>
  <c r="L41" i="19" s="1"/>
  <c r="J43" i="19"/>
  <c r="L43" i="19" s="1"/>
  <c r="I197" i="19"/>
  <c r="J197" i="19" s="1"/>
  <c r="L197" i="19" s="1"/>
  <c r="J458" i="20"/>
  <c r="J26" i="20"/>
  <c r="J41" i="20"/>
  <c r="U99" i="15"/>
  <c r="F46" i="15" s="1"/>
  <c r="U104" i="15"/>
  <c r="V104" i="15" s="1"/>
  <c r="U105" i="15"/>
  <c r="V105" i="15" s="1"/>
  <c r="U100" i="15"/>
  <c r="U101" i="15"/>
  <c r="U106" i="15"/>
  <c r="V106" i="15" s="1"/>
  <c r="U103" i="15"/>
  <c r="V103" i="15" s="1"/>
  <c r="U107" i="15"/>
  <c r="V107" i="15" s="1"/>
  <c r="V76" i="15" l="1"/>
  <c r="E45" i="15"/>
  <c r="F48" i="15"/>
  <c r="V101" i="15"/>
  <c r="V136" i="15"/>
  <c r="V77" i="15"/>
  <c r="V100" i="15"/>
  <c r="E46" i="15"/>
  <c r="V135" i="15"/>
  <c r="E47" i="15"/>
  <c r="U26" i="15"/>
  <c r="V17" i="15"/>
  <c r="O225" i="21"/>
  <c r="N205" i="20"/>
  <c r="N458" i="20"/>
  <c r="K372" i="20"/>
  <c r="K457" i="20"/>
  <c r="L457" i="20" s="1"/>
  <c r="Q205" i="20"/>
  <c r="I25" i="20"/>
  <c r="J25" i="20" s="1"/>
  <c r="K204" i="20"/>
  <c r="L204" i="20" s="1"/>
  <c r="N204" i="20" s="1"/>
  <c r="O204" i="20" s="1"/>
  <c r="K25" i="20"/>
  <c r="L25" i="20" s="1"/>
  <c r="N593" i="20"/>
  <c r="Q204" i="20"/>
  <c r="Q41" i="20"/>
  <c r="N41" i="20"/>
  <c r="O41" i="20" s="1"/>
  <c r="Q39" i="20"/>
  <c r="N39" i="20"/>
  <c r="O39" i="20" s="1"/>
  <c r="Q26" i="20"/>
  <c r="N26" i="20"/>
  <c r="O26" i="20" s="1"/>
  <c r="Q456" i="20"/>
  <c r="N456" i="20"/>
  <c r="O456" i="20" s="1"/>
  <c r="Q373" i="20"/>
  <c r="N373" i="20"/>
  <c r="O373" i="20" s="1"/>
  <c r="Q206" i="20"/>
  <c r="N206" i="20"/>
  <c r="O206" i="20" s="1"/>
  <c r="I583" i="19"/>
  <c r="I581" i="19" s="1"/>
  <c r="I362" i="19"/>
  <c r="J362" i="19" s="1"/>
  <c r="L362" i="19" s="1"/>
  <c r="I42" i="19"/>
  <c r="J42" i="19" s="1"/>
  <c r="L42" i="19" s="1"/>
  <c r="I457" i="20"/>
  <c r="J457" i="20" s="1"/>
  <c r="I447" i="19"/>
  <c r="J447" i="19" s="1"/>
  <c r="L447" i="19" s="1"/>
  <c r="I27" i="19"/>
  <c r="I40" i="20"/>
  <c r="J40" i="20" s="1"/>
  <c r="I372" i="20"/>
  <c r="J372" i="20" s="1"/>
  <c r="V99" i="15"/>
  <c r="U108" i="15"/>
  <c r="D46" i="15" s="1"/>
  <c r="V134" i="15"/>
  <c r="U143" i="15"/>
  <c r="V75" i="15"/>
  <c r="U84" i="15"/>
  <c r="G46" i="15" l="1"/>
  <c r="K46" i="15" s="1"/>
  <c r="D137" i="15"/>
  <c r="D47" i="15"/>
  <c r="D78" i="15"/>
  <c r="D45" i="15"/>
  <c r="G45" i="15" s="1"/>
  <c r="K45" i="15" s="1"/>
  <c r="E48" i="15"/>
  <c r="L372" i="20"/>
  <c r="N372" i="20" s="1"/>
  <c r="Q457" i="20"/>
  <c r="N457" i="20"/>
  <c r="Q372" i="20"/>
  <c r="Q40" i="20"/>
  <c r="K40" i="20"/>
  <c r="L40" i="20" s="1"/>
  <c r="N40" i="20" s="1"/>
  <c r="N25" i="20"/>
  <c r="J583" i="19"/>
  <c r="L583" i="19" s="1"/>
  <c r="J27" i="19"/>
  <c r="I25" i="19"/>
  <c r="J24" i="20"/>
  <c r="J595" i="20" s="1"/>
  <c r="Q25" i="20"/>
  <c r="I24" i="20"/>
  <c r="D102" i="15"/>
  <c r="D48" i="15" l="1"/>
  <c r="F49" i="15" s="1"/>
  <c r="G47" i="15"/>
  <c r="K24" i="20"/>
  <c r="L24" i="20"/>
  <c r="L59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8" i="15" l="1"/>
  <c r="G50" i="15" s="1"/>
  <c r="K47" i="15"/>
  <c r="K48" i="15" s="1"/>
  <c r="E49" i="15"/>
  <c r="E50" i="15"/>
  <c r="N24" i="20"/>
  <c r="N595" i="20" s="1"/>
  <c r="BO12" i="20"/>
  <c r="BO9" i="20"/>
  <c r="BV16" i="21"/>
  <c r="BP13" i="20"/>
  <c r="BP12" i="20" s="1"/>
  <c r="G49" i="15" l="1"/>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33" i="21"/>
  <c r="Q129" i="21"/>
  <c r="Q153" i="21"/>
  <c r="Q122" i="21"/>
  <c r="Q140" i="21"/>
  <c r="P46" i="21"/>
  <c r="Q46" i="21" s="1"/>
  <c r="P88" i="21"/>
  <c r="Q89" i="21"/>
  <c r="P17" i="21"/>
  <c r="Q17" i="21" s="1"/>
  <c r="P189" i="21"/>
  <c r="Q189" i="21" s="1"/>
  <c r="Q176" i="21"/>
  <c r="P174" i="21"/>
  <c r="Q174" i="21" s="1"/>
  <c r="P229" i="21"/>
  <c r="Q229" i="21" s="1"/>
  <c r="Q205" i="21"/>
  <c r="CD12" i="20"/>
  <c r="CD9" i="20"/>
  <c r="CE13" i="20"/>
  <c r="Q250" i="21" l="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7" i="20" l="1"/>
  <c r="O457" i="20" s="1"/>
  <c r="M20" i="20"/>
  <c r="M205" i="20"/>
  <c r="O205" i="20" s="1"/>
  <c r="M40" i="20"/>
  <c r="O40" i="20" s="1"/>
  <c r="M372" i="20"/>
  <c r="O372" i="20" s="1"/>
  <c r="M21" i="20"/>
  <c r="O21" i="20" s="1"/>
  <c r="M22" i="20"/>
  <c r="O22" i="20" s="1"/>
  <c r="M25" i="20"/>
  <c r="M24" i="20" l="1"/>
  <c r="O25" i="20"/>
  <c r="M19" i="20"/>
  <c r="O19" i="20" s="1"/>
  <c r="O20" i="20"/>
  <c r="O24" i="20" l="1"/>
  <c r="M595" i="20"/>
  <c r="O59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<sst xmlns="http://schemas.openxmlformats.org/spreadsheetml/2006/main" count="29579" uniqueCount="2127">
  <si>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</si>
  <si>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</si>
  <si>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</si>
  <si>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</si>
  <si>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</si>
  <si>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</si>
  <si>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</si>
  <si>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</si>
  <si>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</si>
  <si>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</si>
  <si>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</si>
  <si>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</si>
  <si>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</si>
  <si>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</si>
  <si>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</si>
  <si>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</si>
  <si>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</si>
  <si>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</si>
  <si>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</si>
  <si>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</si>
  <si>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</si>
  <si>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</si>
  <si>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</si>
  <si>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</si>
  <si>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</si>
  <si>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</si>
  <si>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</si>
  <si>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</si>
  <si>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</si>
  <si>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</si>
  <si>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</si>
  <si>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</si>
  <si>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</si>
  <si>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</si>
  <si>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</si>
  <si>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</si>
  <si>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</si>
  <si>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</si>
  <si>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</si>
  <si>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</si>
  <si>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</si>
  <si>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</si>
  <si>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</si>
  <si>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</si>
  <si>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</si>
  <si>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</si>
  <si>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</si>
  <si>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</si>
  <si>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</si>
  <si>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</si>
  <si>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</si>
  <si>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</si>
  <si>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</si>
  <si>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</si>
  <si>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</si>
  <si>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</si>
  <si>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</si>
  <si>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</si>
  <si>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</si>
  <si>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</si>
  <si>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</si>
  <si>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</si>
  <si>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</si>
  <si>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</si>
  <si>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</si>
  <si>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</si>
  <si>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</si>
  <si>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</si>
  <si>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</si>
  <si>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</si>
  <si>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</si>
  <si>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</si>
  <si>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</si>
  <si>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</si>
  <si>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</si>
  <si>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</si>
  <si>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</si>
  <si>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</si>
  <si>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</si>
  <si>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</si>
  <si>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</si>
  <si>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</si>
  <si>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</si>
  <si>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</si>
  <si>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</si>
  <si>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</si>
  <si>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</si>
  <si>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</si>
  <si>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</si>
  <si>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</si>
  <si>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</si>
  <si>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</si>
  <si>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</si>
  <si>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</si>
  <si>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</si>
  <si>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</si>
  <si>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</si>
  <si>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</si>
  <si>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</si>
  <si>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</si>
  <si>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</si>
  <si>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</si>
  <si>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</si>
  <si>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</si>
  <si>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</si>
  <si>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</si>
  <si>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</si>
  <si>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</si>
  <si>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</si>
  <si>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</si>
  <si>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</si>
  <si>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</si>
  <si>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</si>
  <si>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</si>
  <si>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</si>
  <si>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</si>
  <si>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</si>
  <si>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</si>
  <si>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</si>
  <si>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</si>
  <si>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</si>
  <si>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</si>
  <si>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</si>
  <si>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</si>
  <si>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</si>
  <si>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</si>
  <si>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</si>
  <si>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</si>
  <si>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</si>
  <si>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</si>
  <si>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</si>
  <si>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</si>
  <si>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</si>
  <si>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</si>
  <si>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</si>
  <si>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</si>
  <si>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</si>
  <si>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</si>
  <si>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</si>
  <si>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</si>
  <si>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</si>
  <si>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</si>
  <si>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</si>
  <si>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</si>
  <si>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</si>
  <si>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</si>
  <si>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</si>
  <si>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</si>
  <si>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</si>
  <si>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</si>
  <si>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</si>
  <si>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</si>
  <si>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</si>
  <si>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</si>
  <si>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</si>
  <si>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</si>
  <si>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</si>
  <si>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</si>
  <si>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</si>
  <si>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</si>
  <si>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</si>
  <si>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</si>
  <si>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</si>
  <si>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</si>
  <si>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</si>
  <si>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</si>
  <si>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</si>
  <si>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</si>
  <si>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</si>
  <si>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</si>
  <si>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</si>
  <si>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</si>
  <si>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</si>
  <si>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</si>
  <si>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</si>
  <si>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</si>
  <si>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</si>
  <si>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</si>
  <si>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</si>
  <si>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</si>
  <si>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</si>
  <si>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</si>
  <si>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</si>
  <si>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</si>
  <si>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</si>
  <si>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</si>
  <si>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</si>
  <si>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</si>
  <si>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</si>
  <si>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</si>
  <si>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</si>
  <si>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</si>
  <si>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</si>
  <si>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</si>
  <si>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</si>
  <si>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</si>
  <si>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</si>
  <si>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</si>
  <si>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</si>
  <si>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</si>
  <si>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</si>
  <si>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</si>
  <si>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</si>
  <si>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</si>
  <si>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</si>
  <si>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</si>
  <si>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</si>
  <si>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</si>
  <si>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</si>
  <si>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</si>
  <si>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</si>
  <si>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</si>
  <si>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</si>
  <si>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</si>
  <si>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</si>
  <si>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</si>
  <si>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</si>
  <si>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</si>
  <si>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</si>
  <si>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</si>
  <si>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</si>
  <si>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</si>
  <si>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</si>
  <si>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</si>
  <si>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</si>
  <si>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</si>
  <si>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</si>
  <si>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</si>
  <si>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</si>
  <si>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</si>
  <si>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</si>
  <si>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</si>
  <si>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</si>
  <si>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</si>
  <si>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</si>
  <si>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</si>
  <si>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</si>
  <si>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</si>
  <si>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</si>
  <si>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</si>
  <si>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</si>
  <si>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</si>
  <si>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</si>
  <si>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</si>
  <si>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</si>
  <si>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</si>
  <si>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</si>
  <si>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</si>
  <si>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</si>
  <si>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</si>
  <si>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</si>
  <si>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</si>
  <si>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</si>
  <si>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</si>
  <si>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</si>
  <si>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</si>
  <si>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</si>
  <si>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</si>
  <si>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</si>
  <si>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</si>
  <si>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</si>
  <si>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</si>
  <si>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</si>
  <si>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</si>
  <si>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</si>
  <si>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</si>
  <si>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</si>
  <si>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</si>
  <si>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</si>
  <si>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</si>
  <si>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</si>
  <si>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</si>
  <si>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</si>
  <si>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</si>
  <si>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</si>
  <si>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</si>
  <si>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</si>
  <si>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</si>
  <si>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</si>
  <si>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</si>
  <si>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</si>
  <si>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</si>
  <si>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</si>
  <si>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</si>
  <si>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</si>
  <si>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</si>
  <si>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</si>
  <si>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</si>
  <si>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</si>
  <si>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</si>
  <si>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</si>
  <si>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</si>
  <si>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</si>
  <si>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</si>
  <si>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</si>
  <si>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</si>
  <si>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</si>
  <si>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</si>
  <si>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</si>
  <si>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</si>
  <si>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</si>
  <si>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</si>
  <si>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</si>
  <si>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</si>
  <si>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</si>
  <si>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</si>
  <si>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</si>
  <si>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</si>
  <si>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</si>
  <si>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</si>
  <si>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</si>
  <si>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</si>
  <si>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</si>
  <si>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</si>
  <si>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</si>
  <si>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</si>
  <si>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</si>
  <si>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</si>
  <si>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</si>
  <si>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</si>
  <si>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</si>
  <si>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</si>
  <si>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</si>
  <si>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</si>
  <si>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</si>
  <si>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</si>
  <si>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</si>
  <si>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</si>
  <si>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</si>
  <si>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</si>
  <si>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</si>
  <si>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</si>
  <si>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</si>
  <si>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</si>
  <si>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</si>
  <si>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</si>
  <si>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</si>
  <si>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</si>
  <si>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</si>
  <si>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</si>
  <si>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</si>
  <si>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</si>
  <si>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</si>
  <si>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</si>
  <si>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</si>
  <si>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</si>
  <si>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</si>
  <si>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</si>
  <si>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</si>
  <si>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</si>
  <si>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</si>
  <si>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</si>
  <si>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</si>
  <si>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</si>
  <si>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</si>
  <si>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</si>
  <si>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</si>
  <si>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</si>
  <si>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</si>
  <si>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</si>
  <si>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</si>
  <si>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</si>
  <si>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</si>
  <si>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</si>
  <si>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</si>
  <si>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</si>
  <si>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</si>
  <si>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</si>
  <si>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</si>
  <si>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</si>
  <si>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</si>
  <si>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</si>
  <si>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</si>
  <si>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</si>
  <si>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</si>
  <si>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</si>
  <si>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</si>
  <si>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</si>
  <si>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</si>
  <si>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</si>
  <si>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</si>
  <si>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</si>
  <si>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</si>
  <si>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</si>
  <si>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</si>
  <si>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</si>
  <si>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</si>
  <si>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</si>
  <si>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</si>
  <si>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</si>
  <si>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</si>
  <si>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</si>
  <si>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</si>
  <si>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</si>
  <si>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</si>
  <si>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</si>
  <si>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</si>
  <si>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</si>
  <si>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</si>
  <si>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</si>
  <si>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</si>
  <si>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</si>
  <si>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</si>
  <si>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</si>
  <si>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</si>
  <si>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</si>
  <si>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</si>
  <si>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</si>
  <si>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</si>
  <si>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</si>
  <si>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</si>
  <si>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</si>
  <si>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</si>
  <si>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</si>
  <si>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</si>
  <si>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</si>
  <si>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</si>
  <si>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</si>
  <si>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</si>
  <si>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</si>
  <si>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</si>
  <si>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</si>
  <si>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</si>
  <si>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</si>
  <si>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</si>
  <si>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</si>
  <si>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</si>
  <si>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</si>
  <si>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</si>
  <si>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</si>
  <si>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</si>
  <si>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</si>
  <si>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</si>
  <si>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</si>
  <si>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</si>
  <si>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</si>
  <si>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</si>
  <si>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</si>
  <si>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</si>
  <si>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</si>
  <si>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</si>
  <si>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</si>
  <si>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</si>
  <si>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</si>
  <si>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</si>
  <si>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</si>
  <si>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</si>
  <si>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</si>
  <si>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</si>
  <si>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</si>
  <si>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</si>
  <si>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</si>
  <si>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</si>
  <si>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</si>
  <si>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</si>
  <si>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</si>
  <si>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</si>
  <si>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</si>
  <si>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</si>
  <si>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</si>
  <si>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</si>
  <si>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</si>
  <si>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</si>
  <si>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</si>
  <si>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</si>
  <si>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</si>
  <si>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</si>
  <si>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</si>
  <si>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</si>
  <si>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</si>
  <si>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</si>
  <si>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</si>
  <si>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</si>
  <si>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</si>
  <si>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</si>
  <si>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</si>
  <si>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</si>
  <si>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</si>
  <si>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</si>
  <si>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</si>
  <si>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</si>
  <si>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</si>
  <si>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</si>
  <si>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</si>
  <si>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</si>
  <si>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</si>
  <si>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</si>
  <si>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</si>
  <si>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</si>
  <si>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</si>
  <si>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</si>
  <si>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</si>
  <si>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</si>
  <si>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</si>
  <si>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</si>
  <si>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</si>
  <si>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</si>
  <si>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</si>
  <si>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</si>
  <si>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</si>
  <si>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</si>
  <si>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</si>
  <si>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</si>
  <si>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</si>
  <si>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</si>
  <si>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</si>
  <si>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</si>
  <si>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</si>
  <si>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</si>
  <si>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</si>
  <si>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</si>
  <si>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</si>
  <si>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</si>
  <si>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</si>
  <si>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</si>
  <si>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</si>
  <si>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</si>
  <si>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</si>
  <si>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</si>
  <si>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</si>
  <si>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</si>
  <si>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</si>
  <si>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</si>
  <si>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</si>
  <si>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</si>
  <si>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</si>
  <si>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</si>
  <si>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</si>
  <si>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</si>
  <si>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</si>
  <si>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</si>
  <si>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</si>
  <si>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</si>
  <si>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</si>
  <si>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</si>
  <si>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</si>
  <si>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</si>
  <si>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</si>
  <si>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</si>
  <si>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</si>
  <si>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</si>
  <si>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</si>
  <si>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</si>
  <si>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</si>
  <si>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</si>
  <si>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</si>
  <si>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</si>
  <si>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</si>
  <si>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</si>
  <si>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</si>
  <si>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</si>
  <si>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</si>
  <si>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</si>
  <si>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</si>
  <si>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</si>
  <si>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</si>
  <si>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</si>
  <si>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</si>
  <si>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</si>
  <si>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</si>
  <si>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</si>
  <si>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</si>
  <si>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</si>
  <si>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</si>
  <si>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</si>
  <si>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</si>
  <si>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</si>
  <si>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</si>
  <si>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</si>
  <si>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</si>
  <si>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</si>
  <si>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</si>
  <si>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</si>
  <si>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</si>
  <si>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</si>
  <si>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</si>
  <si>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</si>
  <si>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</si>
  <si>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</si>
  <si>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</si>
  <si>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</si>
  <si>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</si>
  <si>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</si>
  <si>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</si>
  <si>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</si>
  <si>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</si>
  <si>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</si>
  <si>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</si>
  <si>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</si>
  <si>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</si>
  <si>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</si>
  <si>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</si>
  <si>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</si>
  <si>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</si>
  <si>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</si>
  <si>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</si>
  <si>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</si>
  <si>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</si>
  <si>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</si>
  <si>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</si>
  <si>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</si>
  <si>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</si>
  <si>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</si>
  <si>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</si>
  <si>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</si>
  <si>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</si>
  <si>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</si>
  <si>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</si>
  <si>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</si>
  <si>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</si>
  <si>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</si>
  <si>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</si>
  <si>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</si>
  <si>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</si>
  <si>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</si>
  <si>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</si>
  <si>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</si>
  <si>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</si>
  <si>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</si>
  <si>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</si>
  <si>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</si>
  <si>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</si>
  <si>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</si>
  <si>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</si>
  <si>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</si>
  <si>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</si>
  <si>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</si>
  <si>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</si>
  <si>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</si>
  <si>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</si>
  <si>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</si>
  <si>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</si>
  <si>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</si>
  <si>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</si>
  <si>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</si>
  <si>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</si>
  <si>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</si>
  <si>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</si>
  <si>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</si>
  <si>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</si>
  <si>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</si>
  <si>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</si>
  <si>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</si>
  <si>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</si>
  <si>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</si>
  <si>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</si>
  <si>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</si>
  <si>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</si>
  <si>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</si>
  <si>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</si>
  <si>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</si>
  <si>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</si>
  <si>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</si>
  <si>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</si>
  <si>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</si>
  <si>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</si>
  <si>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</si>
  <si>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</si>
  <si>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</si>
  <si>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</si>
  <si>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</si>
  <si>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</si>
  <si>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</si>
  <si>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</si>
  <si>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</si>
  <si>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</si>
  <si>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</si>
  <si>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</si>
  <si>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</si>
  <si>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</si>
  <si>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</si>
  <si>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</si>
  <si>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</si>
  <si>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</si>
  <si>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</si>
  <si>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</si>
  <si>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</si>
  <si>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</si>
  <si>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</si>
  <si>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</si>
  <si>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</si>
  <si>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</si>
  <si>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</si>
  <si>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</si>
  <si>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</si>
  <si>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</si>
  <si>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</si>
  <si>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</si>
  <si>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</si>
  <si>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</si>
  <si>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</si>
  <si>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</si>
  <si>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</si>
  <si>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</si>
  <si>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</si>
  <si>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</si>
  <si>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</si>
  <si>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</si>
  <si>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</si>
  <si>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</si>
  <si>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</si>
  <si>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</si>
  <si>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</si>
  <si>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</si>
  <si>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</si>
  <si>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</si>
  <si>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</si>
  <si>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</si>
  <si>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</si>
  <si>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</si>
  <si>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</si>
  <si>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</si>
  <si>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</si>
  <si>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</si>
  <si>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</si>
  <si>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</si>
  <si>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</si>
  <si>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</si>
  <si>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</si>
  <si>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</si>
  <si>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</si>
  <si>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</si>
  <si>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</si>
  <si>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</si>
  <si>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</si>
  <si>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</si>
  <si>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</si>
  <si>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</si>
  <si>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</si>
  <si>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</si>
  <si>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</si>
  <si>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</si>
  <si>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</si>
  <si>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</si>
  <si>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</si>
  <si>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</si>
  <si>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</si>
  <si>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</si>
  <si>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</si>
  <si>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</si>
  <si>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</si>
  <si>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</si>
  <si>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</si>
  <si>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</si>
  <si>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</si>
  <si>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</si>
  <si>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</si>
  <si>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</si>
  <si>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</si>
  <si>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</si>
  <si>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</si>
  <si>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</si>
  <si>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</si>
  <si>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</si>
  <si>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</si>
  <si>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</si>
  <si>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</si>
  <si>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</si>
  <si>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</si>
  <si>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</si>
  <si>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</si>
  <si>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</si>
  <si>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</si>
  <si>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</si>
  <si>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</si>
  <si>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</si>
  <si>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</si>
  <si>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</si>
  <si>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</si>
  <si>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</si>
  <si>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</si>
  <si>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</si>
  <si>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</si>
  <si>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</si>
  <si>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</si>
  <si>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</si>
  <si>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</si>
  <si>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</si>
  <si>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</si>
  <si>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</si>
  <si>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</si>
  <si>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</si>
  <si>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</si>
  <si>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</si>
  <si>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</si>
  <si>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</si>
  <si>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</si>
  <si>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</si>
  <si>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</si>
  <si>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</si>
  <si>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</si>
  <si>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</si>
  <si>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</si>
  <si>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</si>
  <si>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</si>
  <si>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</si>
  <si>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</si>
  <si>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</si>
  <si>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</si>
  <si>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</si>
  <si>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</si>
  <si>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</si>
  <si>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</si>
  <si>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</si>
  <si>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</si>
  <si>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</si>
  <si>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</si>
  <si>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</si>
  <si>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</si>
  <si>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</si>
  <si>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</si>
  <si>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</si>
  <si>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</si>
  <si>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</si>
  <si>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</si>
  <si>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</si>
  <si>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</si>
  <si>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</si>
  <si>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</si>
  <si>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</si>
  <si>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</si>
  <si>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</si>
  <si>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</si>
  <si>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</si>
  <si>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</si>
  <si>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</si>
  <si>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</si>
  <si>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</si>
  <si>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</si>
  <si>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</si>
  <si>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</si>
  <si>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</si>
  <si>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</si>
  <si>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</si>
  <si>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</si>
  <si>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</si>
  <si>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</si>
  <si>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</si>
  <si>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</si>
  <si>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</si>
  <si>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</si>
  <si>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</si>
  <si>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</si>
  <si>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</si>
  <si>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</si>
  <si>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</si>
  <si>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</si>
  <si>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</si>
  <si>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</si>
  <si>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</si>
  <si>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</si>
  <si>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</si>
  <si>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</si>
  <si>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</si>
  <si>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</si>
  <si>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</si>
  <si>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</si>
  <si>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</si>
  <si>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</si>
  <si>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</si>
  <si>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</si>
  <si>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</si>
  <si>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</si>
  <si>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</si>
  <si>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</si>
  <si>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</si>
  <si>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</si>
  <si>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</si>
  <si>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</si>
  <si>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</si>
  <si>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</si>
  <si>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</si>
  <si>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</si>
  <si>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</si>
  <si>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</si>
  <si>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</si>
  <si>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</si>
  <si>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</si>
  <si>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</si>
  <si>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</si>
  <si>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</si>
  <si>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</si>
  <si>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</si>
  <si>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</si>
  <si>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</si>
  <si>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</si>
  <si>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</si>
  <si>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</si>
  <si>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</si>
  <si>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</si>
  <si>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</si>
  <si>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</si>
  <si>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</si>
  <si>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</si>
  <si>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</si>
  <si>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</si>
  <si>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</si>
  <si>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</si>
  <si>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</si>
  <si>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</si>
  <si>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</si>
  <si>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</si>
  <si>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</si>
  <si>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</si>
  <si>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</si>
  <si>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</si>
  <si>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</si>
  <si>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</si>
  <si>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</si>
  <si>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</si>
  <si>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</si>
  <si>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</si>
  <si>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</si>
  <si>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</si>
  <si>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</si>
  <si>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</si>
  <si>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</si>
  <si>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</si>
  <si>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</si>
  <si>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</si>
  <si>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</si>
  <si>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</si>
  <si>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</si>
  <si>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</si>
  <si>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</si>
  <si>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</si>
  <si>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</si>
  <si>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</si>
  <si>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</si>
  <si>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</si>
  <si>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</si>
  <si>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</si>
  <si>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</si>
  <si>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</si>
  <si>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</si>
  <si>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</si>
  <si>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</si>
  <si>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</si>
  <si>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</si>
  <si>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</si>
  <si>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</si>
  <si>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</si>
  <si>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</si>
  <si>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</si>
  <si>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</si>
  <si>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</si>
  <si>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</si>
  <si>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</si>
  <si>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</si>
  <si>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</si>
  <si>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</si>
  <si>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</si>
  <si>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</si>
  <si>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</si>
  <si>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</si>
  <si>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</si>
  <si>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</si>
  <si>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</si>
  <si>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</si>
  <si>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</si>
  <si>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</si>
  <si>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</si>
  <si>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</si>
  <si>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</si>
  <si>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</si>
  <si>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</si>
  <si>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</si>
  <si>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</si>
  <si>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</si>
  <si>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</si>
  <si>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</si>
  <si>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</si>
  <si>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</si>
  <si>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</si>
  <si>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</si>
  <si>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</si>
  <si>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</si>
  <si>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</si>
  <si>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</si>
  <si>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</si>
  <si>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</si>
  <si>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</si>
  <si>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</si>
  <si>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</si>
  <si>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</si>
  <si>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</si>
  <si>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</si>
  <si>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</si>
  <si>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</si>
  <si>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</si>
  <si>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</si>
  <si>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</si>
  <si>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</si>
  <si>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</si>
  <si>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</si>
  <si>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</si>
  <si>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</si>
  <si>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</si>
  <si>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</si>
  <si>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</si>
  <si>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</si>
  <si>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</si>
  <si>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</si>
  <si>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</si>
  <si>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</si>
  <si>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</si>
  <si>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</si>
  <si>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</si>
  <si>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</si>
  <si>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</si>
  <si>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</si>
  <si>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</si>
  <si>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</si>
  <si>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</si>
  <si>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</si>
  <si>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</si>
  <si>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</si>
  <si>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</si>
  <si>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</si>
  <si>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</si>
  <si>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</si>
  <si>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</si>
  <si>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</si>
  <si>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</si>
  <si>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</si>
  <si>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</si>
  <si>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</si>
  <si>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</si>
  <si>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</si>
  <si>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</si>
  <si>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</si>
  <si>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</si>
  <si>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</si>
  <si>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</si>
  <si>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</si>
  <si>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</si>
  <si>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</si>
  <si>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</si>
  <si>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</si>
  <si>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</si>
  <si>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</si>
  <si>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</si>
  <si>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</si>
  <si>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</si>
  <si>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</si>
  <si>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</si>
  <si>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</si>
  <si>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</si>
  <si>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</si>
  <si>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</si>
  <si>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</si>
  <si>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</si>
  <si>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</si>
  <si>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</si>
  <si>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</si>
  <si>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</si>
  <si>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</si>
  <si>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</si>
  <si>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</si>
  <si>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</si>
  <si>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</si>
  <si>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</si>
  <si>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</si>
  <si>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</si>
  <si>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</si>
  <si>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</si>
  <si>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</si>
  <si>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</si>
  <si>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</si>
  <si>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</si>
  <si>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</si>
  <si>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</si>
  <si>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</si>
  <si>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</si>
  <si>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</si>
  <si>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</si>
  <si>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</si>
  <si>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</si>
  <si>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</si>
  <si>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</si>
  <si>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</si>
  <si>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</si>
  <si>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</si>
  <si>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</si>
  <si>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</si>
  <si>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</si>
  <si>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</si>
  <si>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</si>
  <si>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</si>
  <si>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</si>
  <si>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</si>
  <si>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</si>
  <si>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</si>
  <si>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</si>
  <si>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</si>
  <si>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</si>
  <si>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</si>
  <si>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</si>
  <si>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</si>
  <si>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</si>
  <si>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</si>
  <si>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</si>
  <si>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</si>
  <si>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</si>
  <si>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</si>
  <si>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</si>
  <si>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</si>
  <si>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</si>
  <si>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</si>
  <si>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</si>
  <si>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</si>
  <si>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</si>
  <si>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</si>
  <si>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</si>
  <si>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</si>
  <si>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</si>
  <si>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</si>
  <si>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</si>
  <si>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</si>
  <si>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</si>
  <si>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</si>
  <si>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</si>
  <si>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</si>
  <si>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</si>
  <si>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</si>
  <si>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</si>
  <si>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</si>
  <si>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</si>
  <si>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</si>
  <si>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</si>
  <si>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</si>
  <si>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</si>
  <si>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</si>
  <si>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</si>
  <si>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</si>
  <si>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</si>
  <si>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</si>
  <si>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</si>
  <si>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</si>
  <si>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</si>
  <si>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</si>
  <si>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</si>
  <si>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</si>
  <si>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</si>
  <si>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</si>
  <si>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</si>
  <si>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</si>
  <si>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</si>
  <si>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</si>
  <si>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</si>
  <si>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</si>
  <si>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</si>
  <si>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</si>
  <si>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</si>
  <si>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</si>
  <si>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</si>
  <si>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</si>
  <si>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</si>
  <si>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</si>
  <si>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</si>
  <si>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</si>
  <si>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</si>
  <si>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</si>
  <si>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</si>
  <si>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</si>
  <si>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</si>
  <si>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</si>
  <si>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</si>
  <si>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</si>
  <si>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</si>
  <si>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</si>
  <si>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</si>
  <si>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</si>
  <si>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</si>
  <si>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</si>
  <si>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</si>
  <si>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</si>
  <si>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</si>
  <si>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</si>
  <si>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</si>
  <si>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</si>
  <si>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</si>
  <si>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</si>
  <si>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</si>
  <si>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</si>
  <si>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</si>
  <si>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</si>
  <si>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</si>
  <si>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</si>
  <si>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</si>
  <si>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</si>
  <si>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</si>
  <si>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</si>
  <si>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</si>
  <si>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</si>
  <si>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</si>
  <si>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</si>
  <si>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</si>
  <si>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</si>
  <si>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</si>
  <si>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</si>
  <si>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</si>
  <si>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</si>
  <si>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</si>
  <si>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</si>
  <si>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</si>
  <si>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</si>
  <si>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</si>
  <si>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</si>
  <si>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</si>
  <si>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</si>
  <si>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</si>
  <si>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</si>
  <si>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</si>
  <si>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</si>
  <si>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</si>
  <si>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</si>
  <si>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</si>
  <si>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</si>
  <si>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</si>
  <si>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</si>
  <si>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</si>
  <si>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</si>
  <si>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</si>
  <si>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</si>
  <si>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</si>
  <si>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</si>
  <si>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</si>
  <si>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</si>
  <si>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</si>
  <si>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</si>
  <si>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</si>
  <si>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</si>
  <si>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</si>
  <si>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</si>
  <si>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</si>
  <si>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</si>
  <si>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</si>
  <si>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</si>
  <si>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</si>
  <si>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</si>
  <si>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</si>
  <si>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</si>
  <si>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</si>
  <si>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</si>
  <si>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</si>
  <si>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</si>
  <si>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</si>
  <si>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</si>
  <si>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</si>
  <si>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</si>
  <si>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</si>
  <si>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</si>
  <si>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</si>
  <si>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</si>
  <si>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</si>
  <si>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</si>
  <si>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</si>
  <si>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</si>
  <si>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</si>
  <si>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</si>
  <si>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</si>
  <si>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</si>
  <si>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</si>
  <si>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</si>
  <si>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</si>
  <si>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</si>
  <si>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</si>
  <si>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</si>
  <si>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</si>
  <si>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</si>
  <si>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</si>
  <si>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</si>
  <si>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</si>
  <si>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</si>
  <si>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</si>
  <si>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</si>
  <si>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</si>
  <si>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</si>
  <si>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</si>
  <si>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</si>
  <si>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</si>
  <si>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</si>
  <si>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</si>
  <si>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</si>
  <si>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</si>
  <si>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</si>
  <si>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</si>
  <si>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</si>
  <si>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</si>
  <si>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</si>
  <si>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</si>
  <si>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</si>
  <si>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</si>
  <si>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</si>
  <si>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</si>
  <si>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</si>
  <si>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</si>
  <si>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</si>
  <si>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</si>
  <si>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</si>
  <si>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</si>
  <si>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</si>
  <si>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</si>
  <si>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</si>
  <si>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</si>
  <si>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</si>
  <si>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</si>
  <si>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</si>
  <si>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</si>
  <si>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</si>
  <si>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</si>
  <si>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</si>
  <si>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</si>
  <si>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</si>
  <si>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</si>
  <si>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</si>
  <si>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</si>
  <si>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</si>
  <si>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</si>
  <si>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</si>
  <si>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</si>
  <si>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</si>
  <si>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</si>
  <si>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</si>
  <si>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</si>
  <si>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</si>
  <si>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</si>
  <si>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</si>
  <si>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</si>
  <si>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</si>
  <si>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</si>
  <si>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</si>
  <si>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</si>
  <si>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</si>
  <si>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</si>
  <si>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</si>
  <si>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</si>
  <si>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</si>
  <si>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</si>
  <si>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</si>
  <si>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</si>
  <si>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</si>
  <si>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</si>
  <si>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</si>
  <si>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</si>
  <si>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</si>
  <si>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</si>
  <si>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</si>
  <si>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</si>
  <si>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</si>
  <si>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</si>
  <si>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</si>
  <si>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</si>
  <si>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</si>
  <si>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</si>
  <si>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</si>
  <si>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</si>
  <si>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</si>
  <si>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</si>
  <si>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</si>
  <si>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</si>
  <si>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</si>
  <si>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</si>
  <si>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</si>
  <si>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</si>
  <si>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</si>
  <si>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</si>
  <si>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</si>
  <si>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</si>
  <si>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</si>
  <si>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</si>
  <si>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</si>
  <si>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</si>
  <si>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</si>
  <si>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</si>
  <si>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</si>
  <si>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</si>
  <si>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</si>
  <si>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</si>
  <si>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</si>
  <si>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</si>
  <si>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</si>
  <si>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</si>
  <si>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</si>
  <si>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</si>
  <si>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</si>
  <si>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</si>
  <si>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</si>
  <si>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</si>
  <si>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</si>
  <si>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</si>
  <si>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</si>
  <si>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</si>
  <si>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</si>
  <si>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</si>
  <si>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</si>
  <si>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</si>
  <si>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</si>
  <si>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</si>
  <si>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</si>
  <si>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</si>
  <si>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</si>
  <si>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</si>
  <si>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</si>
  <si>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</si>
  <si>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</si>
  <si>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</si>
  <si>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</si>
  <si>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</si>
  <si>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</si>
  <si>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</si>
  <si>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</si>
  <si>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</si>
  <si>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</si>
  <si>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</si>
  <si>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</si>
  <si>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</si>
  <si>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</si>
  <si>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</si>
  <si>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</si>
  <si>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</si>
  <si>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</si>
  <si>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</si>
  <si>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</si>
  <si>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</si>
  <si>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</si>
  <si>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</si>
  <si>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</si>
  <si>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</si>
  <si>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</si>
  <si>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</si>
  <si>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</si>
  <si>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</si>
  <si>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</si>
  <si>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</si>
  <si>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</si>
  <si>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</si>
  <si>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</si>
  <si>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</si>
  <si>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</si>
  <si>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</si>
  <si>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</si>
  <si>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</si>
  <si>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</si>
  <si>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</si>
  <si>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</si>
  <si>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</si>
  <si>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</si>
  <si>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</si>
  <si>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</si>
  <si>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</si>
  <si>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</si>
  <si>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</si>
  <si>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</si>
  <si>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</si>
  <si>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</si>
  <si>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</si>
  <si>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</si>
  <si>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</si>
  <si>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</si>
  <si>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</si>
  <si>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</si>
  <si>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</si>
  <si>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</si>
  <si>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</si>
  <si>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</si>
  <si>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</si>
  <si>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</si>
  <si>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</si>
  <si>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</si>
  <si>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</si>
  <si>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</si>
  <si>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</si>
  <si>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</si>
  <si>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</si>
  <si>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</si>
  <si>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</si>
  <si>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</si>
  <si>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</si>
  <si>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</si>
  <si>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</si>
  <si>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</si>
  <si>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</si>
  <si>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</si>
  <si>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</si>
  <si>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</si>
  <si>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</si>
  <si>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</si>
  <si>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</si>
  <si>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</si>
  <si>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</si>
  <si>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</si>
  <si>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</si>
  <si>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</si>
  <si>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</si>
  <si>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</si>
  <si>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</si>
  <si>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</si>
  <si>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</si>
  <si>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</si>
  <si>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</si>
  <si>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</si>
  <si>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</si>
  <si>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</si>
  <si>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</si>
  <si>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</si>
  <si>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</si>
  <si>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</si>
  <si>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</si>
  <si>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</si>
  <si>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</si>
  <si>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</si>
  <si>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</si>
  <si>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</si>
  <si>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</si>
  <si>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</si>
  <si>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</si>
  <si>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</si>
  <si>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</si>
  <si>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</si>
  <si>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</si>
  <si>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</si>
  <si>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</si>
  <si>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</si>
  <si>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</si>
  <si>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</si>
  <si>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</si>
  <si>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</si>
  <si>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</si>
  <si>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</si>
  <si>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</si>
  <si>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</si>
  <si>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</si>
  <si>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</si>
  <si>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</si>
  <si>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</si>
  <si>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</si>
  <si>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</si>
  <si>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</si>
  <si>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</si>
  <si>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</si>
  <si>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</si>
  <si>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</si>
  <si>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</si>
  <si>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</si>
  <si>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</si>
  <si>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</si>
  <si>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</si>
  <si>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</si>
  <si>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</si>
  <si>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</si>
  <si>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</si>
  <si>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</si>
  <si>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</si>
  <si>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</si>
  <si>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</si>
  <si>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</si>
  <si>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</si>
  <si>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</si>
  <si>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</si>
  <si>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</si>
  <si>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</si>
  <si>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</si>
  <si>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</si>
  <si>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</si>
  <si>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</si>
  <si>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</si>
  <si>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</si>
  <si>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</si>
  <si>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</si>
  <si>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</si>
  <si>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</si>
  <si>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</si>
  <si>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</si>
  <si>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</si>
  <si>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</si>
  <si>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</si>
  <si>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</si>
  <si>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</si>
  <si>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</si>
  <si>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</si>
  <si>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</si>
  <si>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</si>
  <si>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</si>
  <si>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</si>
  <si>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</si>
  <si>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</si>
  <si>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</si>
  <si>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</si>
  <si>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</si>
  <si>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</si>
  <si>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</si>
  <si>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</si>
  <si>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</si>
  <si>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</si>
  <si>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</si>
  <si>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</si>
  <si>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</si>
  <si>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</si>
  <si>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</si>
  <si>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</si>
  <si>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</si>
  <si>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</si>
  <si>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</si>
  <si>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</si>
  <si>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</si>
  <si>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</si>
  <si>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</si>
  <si>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</si>
  <si>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</si>
  <si>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</si>
  <si>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</si>
  <si>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</si>
  <si>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</si>
  <si>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</si>
  <si>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</si>
  <si>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</si>
  <si>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</si>
  <si>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</si>
  <si>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</si>
  <si>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</si>
  <si>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</si>
  <si>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</si>
  <si>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</si>
  <si>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</si>
  <si>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</si>
  <si>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</si>
  <si>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</si>
  <si>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</si>
  <si>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</si>
  <si>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</si>
  <si>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</si>
  <si>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</si>
  <si>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</si>
  <si>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</si>
  <si>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</si>
  <si>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</si>
  <si>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</si>
  <si>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</si>
  <si>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</si>
  <si>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</si>
  <si>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</si>
  <si>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</si>
  <si>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</si>
  <si>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</si>
  <si>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</si>
  <si>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</si>
  <si>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</si>
  <si>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</si>
  <si>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</si>
  <si>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</si>
  <si>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</si>
  <si>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</si>
  <si>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</si>
  <si>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</si>
  <si>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</si>
  <si>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</si>
  <si>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</si>
  <si>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</si>
  <si>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</si>
  <si>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</si>
  <si>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</si>
  <si>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</si>
  <si>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</si>
  <si>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</si>
  <si>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</si>
  <si>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</si>
  <si>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</si>
  <si>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</si>
  <si>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</si>
  <si>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</si>
  <si>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</si>
  <si>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</si>
  <si>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</si>
  <si>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</si>
  <si>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</si>
  <si>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</si>
  <si>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</si>
  <si>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</si>
  <si>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</si>
  <si>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</si>
  <si>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</si>
  <si>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</si>
  <si>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</si>
  <si>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</si>
  <si>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</si>
  <si>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</si>
  <si>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</si>
  <si>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</si>
  <si>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</si>
  <si>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</si>
  <si>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</si>
  <si>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</si>
  <si>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</si>
  <si>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</si>
  <si>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</si>
  <si>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</si>
  <si>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</si>
  <si>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</si>
  <si>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</si>
  <si>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</si>
  <si>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</si>
  <si>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</si>
  <si>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</si>
  <si>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</si>
  <si>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</si>
  <si>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</si>
  <si>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</si>
  <si>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</si>
  <si>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</si>
  <si>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</si>
  <si>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</si>
  <si>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</si>
  <si>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</si>
  <si>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</si>
  <si>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</si>
  <si>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</si>
  <si>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</si>
  <si>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</si>
  <si>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</si>
  <si>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</si>
  <si>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</si>
  <si>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</si>
  <si>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</si>
  <si>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</si>
  <si>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</si>
  <si>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</si>
  <si>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</si>
  <si>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</si>
  <si>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</si>
  <si>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</si>
  <si>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</si>
  <si>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</si>
  <si>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</si>
  <si>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</si>
  <si>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</si>
  <si>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</si>
  <si>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</si>
  <si>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</si>
  <si>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</si>
  <si>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</si>
  <si>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</si>
  <si>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</si>
  <si>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</si>
  <si>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</si>
  <si>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</si>
  <si>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</si>
  <si>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</si>
  <si>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</si>
  <si>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</si>
  <si>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</si>
  <si>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</si>
  <si>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</si>
  <si>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</si>
  <si>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</si>
  <si>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</si>
  <si>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</si>
  <si>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</si>
  <si>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</si>
  <si>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</si>
  <si>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</si>
  <si>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</si>
  <si>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</si>
  <si>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</si>
  <si>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</si>
  <si>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</si>
  <si>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</si>
  <si>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</si>
  <si>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</si>
  <si>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</si>
  <si>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</si>
  <si>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</si>
  <si>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</si>
  <si>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</si>
  <si>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</si>
  <si>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</si>
  <si>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</si>
  <si>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</si>
  <si>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</si>
  <si>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</si>
  <si>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</si>
  <si>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</si>
  <si>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</si>
  <si>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</si>
  <si>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</si>
  <si>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</si>
  <si>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</si>
  <si>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</si>
  <si>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</si>
  <si>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</si>
  <si>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</si>
  <si>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</si>
  <si>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</si>
  <si>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</si>
  <si>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</si>
  <si>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</si>
  <si>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</si>
  <si>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</si>
  <si>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</si>
  <si>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</si>
  <si>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</si>
  <si>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</si>
  <si>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</si>
  <si>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</si>
  <si>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</si>
  <si>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</si>
  <si>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</si>
  <si>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</si>
  <si>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</si>
  <si>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</si>
  <si>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</si>
  <si>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</si>
  <si>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</si>
  <si>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</si>
  <si>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</si>
  <si>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</si>
  <si>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</si>
  <si>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</si>
  <si>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</si>
  <si>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</si>
  <si>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</si>
  <si>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</si>
  <si>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</si>
  <si>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</si>
  <si>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</si>
  <si>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</si>
  <si>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</si>
  <si>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</si>
  <si>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</si>
  <si>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</si>
  <si>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</si>
  <si>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</si>
  <si>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</si>
  <si>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</si>
  <si>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</si>
  <si>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</si>
  <si>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</si>
  <si>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</si>
  <si>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</si>
  <si>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</si>
  <si>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</si>
  <si>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</si>
  <si>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</si>
  <si>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</si>
  <si>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</si>
  <si>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</si>
  <si>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</si>
  <si>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</si>
  <si>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</si>
  <si>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</si>
  <si>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</si>
  <si>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</si>
  <si>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</si>
  <si>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</si>
  <si>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</si>
  <si>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</si>
  <si>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</si>
  <si>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</si>
  <si>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</si>
  <si>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</si>
  <si>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</si>
  <si>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</si>
  <si>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</si>
  <si>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</si>
  <si>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</si>
  <si>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</si>
  <si>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</si>
  <si>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</si>
  <si>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</si>
  <si>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</si>
  <si>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</si>
  <si>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</si>
  <si>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</si>
  <si>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</si>
  <si>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</si>
  <si>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</si>
  <si>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</si>
  <si>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</si>
  <si>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</si>
  <si>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</si>
  <si>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</si>
  <si>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</si>
  <si>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</si>
  <si>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</si>
  <si>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</si>
  <si>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</si>
  <si>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</si>
  <si>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</si>
  <si>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</si>
  <si>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</si>
  <si>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</si>
  <si>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</si>
  <si>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</si>
  <si>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</si>
  <si>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</si>
  <si>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</si>
  <si>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</si>
  <si>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</si>
  <si>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</si>
  <si>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</si>
  <si>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</si>
  <si>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</si>
  <si>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</si>
  <si>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</si>
  <si>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</si>
  <si>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</si>
  <si>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</si>
  <si>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</si>
  <si>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</si>
  <si>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</si>
  <si>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</si>
  <si>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</si>
  <si>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</si>
  <si>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</si>
  <si>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</si>
  <si>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</si>
  <si>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</si>
  <si>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</si>
  <si>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</si>
  <si>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</si>
  <si>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</si>
  <si>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</si>
  <si>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</si>
  <si>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</si>
  <si>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</si>
  <si>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</si>
  <si>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</si>
  <si>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</si>
  <si>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</si>
  <si>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</si>
  <si>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</si>
  <si>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</si>
  <si>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</si>
  <si>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</si>
  <si>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</si>
  <si>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</si>
  <si>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</si>
  <si>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</si>
  <si>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</si>
  <si>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</si>
  <si>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</si>
  <si>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</si>
  <si>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</si>
  <si>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</si>
  <si>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</si>
  <si>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</si>
  <si>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</si>
  <si>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</si>
  <si>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</si>
  <si>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</si>
  <si>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</si>
  <si>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</si>
  <si>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</si>
  <si>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</si>
  <si>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</si>
  <si>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</si>
  <si>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</si>
  <si>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</si>
  <si>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</si>
  <si>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</si>
  <si>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</si>
  <si>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</si>
  <si>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</si>
  <si>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</si>
  <si>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</si>
  <si>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</si>
  <si>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</si>
  <si>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</si>
  <si>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</si>
  <si>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</si>
  <si>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</si>
  <si>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</si>
  <si>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</si>
  <si>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</si>
  <si>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</si>
  <si>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</si>
  <si>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</si>
  <si>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</si>
  <si>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</si>
  <si>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</si>
  <si>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</si>
  <si>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</si>
  <si>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</si>
  <si>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</si>
  <si>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</si>
  <si>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</si>
  <si>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</si>
  <si>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</si>
  <si>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</si>
  <si>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</si>
  <si>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</si>
  <si>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</si>
  <si>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</si>
  <si>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</si>
  <si>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</si>
  <si>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</si>
  <si>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</si>
  <si>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</si>
  <si>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</si>
  <si>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</si>
  <si>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</si>
  <si>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</si>
  <si>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</si>
  <si>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</si>
  <si>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</si>
  <si>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</si>
  <si>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</si>
  <si>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</si>
  <si>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</si>
  <si>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</si>
  <si>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</si>
  <si>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</si>
  <si>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</si>
  <si>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</si>
  <si>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</si>
  <si>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</si>
  <si>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</si>
  <si>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</si>
  <si>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</si>
  <si>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</si>
  <si>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</si>
  <si>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</si>
  <si>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</si>
  <si>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</si>
  <si>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</si>
  <si>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</si>
  <si>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</si>
  <si>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</si>
  <si>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</si>
  <si>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</si>
  <si>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</si>
  <si>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</si>
  <si>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</si>
  <si>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</si>
  <si>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</si>
  <si>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</si>
  <si>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</si>
  <si>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</si>
  <si>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</si>
  <si>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</si>
  <si>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</si>
  <si>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</si>
  <si>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</si>
  <si>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</si>
  <si>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</si>
  <si>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</si>
  <si>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</si>
  <si>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</si>
  <si>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</si>
  <si>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</si>
  <si>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</si>
  <si>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A validar por CDO</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</si>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</sst>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14" fontId="29" fillId="0" borderId="25" xfId="0" applyNumberFormat="1" applyFont="1" applyBorder="1" applyAlignment="1">
      <alignment horizontal="center" vertical="center"/>
    </xf>
  </cellXfs>
  <cellStyles count="4">
    <cellStyle name="Normal" xfId="0" builtinId="0"/>
    <cellStyle name="Normal 2" xfId="3"/>
    <cellStyle name="Normal 3" xfId="2"/>
    <cellStyle name="Percent" xfId="1" builtinId="5"/>
  </cellStyles>
  <dxfs count="334">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
        <c:idx val="49"/>
        <c:spPr>
          <a:solidFill>
            <a:schemeClr val="accent6">
              <a:lumMod val="50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2.2 Em Re-especificação</c:v>
                </c:pt>
              </c:strCache>
            </c:strRef>
          </c:cat>
          <c:val>
            <c:numRef>
              <c:f>'Aux - Pivots2'!$C$67:$C$70</c:f>
              <c:numCache>
                <c:formatCode>General</c:formatCode>
                <c:ptCount val="3"/>
                <c:pt idx="0">
                  <c:v>10</c:v>
                </c:pt>
                <c:pt idx="1">
                  <c:v>143</c:v>
                </c:pt>
                <c:pt idx="2">
                  <c:v>17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25</c:v>
                </c:pt>
                <c:pt idx="4">
                  <c:v>18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1</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3923219151647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spPr>
              <a:solidFill>
                <a:srgbClr val="FF0000"/>
              </a:solidFill>
              <a:ln>
                <a:noFill/>
              </a:ln>
              <a:effectLst/>
            </c:spPr>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6</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dLbl>
          <c:idx val="0"/>
          <c:layout>
            <c:manualLayout>
              <c:x val="1.5850277529623112E-2"/>
              <c:y val="-4.07145528701444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5"/>
          </a:solidFill>
          <a:ln>
            <a:solidFill>
              <a:schemeClr val="bg1"/>
            </a:solidFill>
          </a:ln>
          <a:effectLst/>
        </c:spPr>
        <c:dLbl>
          <c:idx val="0"/>
          <c:layout>
            <c:manualLayout>
              <c:x val="-6.6663521572228298E-3"/>
              <c:y val="-3.992804602204926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1.5850277529623112E-2"/>
                  <c:y val="-4.07145528701444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3"/>
              <c:layout>
                <c:manualLayout>
                  <c:x val="-6.6663521572228298E-3"/>
                  <c:y val="-3.992804602204926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2.2 Em Re-especificação</c:v>
                </c:pt>
                <c:pt idx="3">
                  <c:v>4. Validação EF</c:v>
                </c:pt>
                <c:pt idx="4">
                  <c:v>6. Em implementação (re-especificação)</c:v>
                </c:pt>
              </c:strCache>
            </c:strRef>
          </c:cat>
          <c:val>
            <c:numRef>
              <c:f>'Aux - Pivots2'!$C$112:$C$117</c:f>
              <c:numCache>
                <c:formatCode>General</c:formatCode>
                <c:ptCount val="5"/>
                <c:pt idx="0">
                  <c:v>14</c:v>
                </c:pt>
                <c:pt idx="1">
                  <c:v>211</c:v>
                </c:pt>
                <c:pt idx="2">
                  <c:v>1</c:v>
                </c:pt>
                <c:pt idx="3">
                  <c:v>13</c:v>
                </c:pt>
                <c:pt idx="4">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1"/>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1"/>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43</c:v>
                </c:pt>
                <c:pt idx="2">
                  <c:v>20</c:v>
                </c:pt>
                <c:pt idx="3">
                  <c:v>5</c:v>
                </c:pt>
                <c:pt idx="4">
                  <c:v>5</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A-F6BC-40DF-8F6D-ED03F0409185}"/>
              </c:ext>
            </c:extLst>
          </c:dPt>
          <c:dPt>
            <c:idx val="2"/>
            <c:invertIfNegative val="0"/>
            <c:bubble3D val="0"/>
            <c:extLst>
              <c:ext xmlns:c16="http://schemas.microsoft.com/office/drawing/2014/chart" uri="{C3380CC4-5D6E-409C-BE32-E72D297353CC}">
                <c16:uniqueId val="{0000000B-F6BC-40DF-8F6D-ED03F0409185}"/>
              </c:ext>
            </c:extLst>
          </c:dPt>
          <c:dPt>
            <c:idx val="5"/>
            <c:invertIfNegative val="0"/>
            <c:bubble3D val="0"/>
            <c:extLst>
              <c:ext xmlns:c16="http://schemas.microsoft.com/office/drawing/2014/chart" uri="{C3380CC4-5D6E-409C-BE32-E72D297353CC}">
                <c16:uniqueId val="{0000000C-F6BC-40DF-8F6D-ED03F0409185}"/>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6BC-40DF-8F6D-ED03F0409185}"/>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6BC-40DF-8F6D-ED03F0409185}"/>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998580690376462E-3"/>
              <c:y val="-5.87162805526339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8.1998580690376462E-3"/>
                  <c:y val="-5.871628055263390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0. Cancelado</c:v>
                </c:pt>
                <c:pt idx="2">
                  <c:v>2.1 Em Teste</c:v>
                </c:pt>
                <c:pt idx="3">
                  <c:v>4. Validação EF</c:v>
                </c:pt>
                <c:pt idx="4">
                  <c:v>3. Pendente de outros desenvolvimentos</c:v>
                </c:pt>
              </c:strCache>
            </c:strRef>
          </c:cat>
          <c:val>
            <c:numRef>
              <c:f>'Aux - Pivots2'!$C$155:$C$160</c:f>
              <c:numCache>
                <c:formatCode>General</c:formatCode>
                <c:ptCount val="5"/>
                <c:pt idx="0">
                  <c:v>123</c:v>
                </c:pt>
                <c:pt idx="1">
                  <c:v>4</c:v>
                </c:pt>
                <c:pt idx="2">
                  <c:v>3</c:v>
                </c:pt>
                <c:pt idx="3">
                  <c:v>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Re-especificação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5</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6. Em implementação (re-especificação)</c:v>
                </c:pt>
                <c:pt idx="6">
                  <c:v>2.2 Em Re-especificação</c:v>
                </c:pt>
              </c:strCache>
            </c:strRef>
          </c:cat>
          <c:val>
            <c:numRef>
              <c:f>'Aux - Pivots2'!$C$24:$C$31</c:f>
              <c:numCache>
                <c:formatCode>General</c:formatCode>
                <c:ptCount val="7"/>
                <c:pt idx="0">
                  <c:v>28</c:v>
                </c:pt>
                <c:pt idx="1">
                  <c:v>477</c:v>
                </c:pt>
                <c:pt idx="2">
                  <c:v>3</c:v>
                </c:pt>
                <c:pt idx="3">
                  <c:v>3</c:v>
                </c:pt>
                <c:pt idx="4">
                  <c:v>15</c:v>
                </c:pt>
                <c:pt idx="5">
                  <c:v>6</c:v>
                </c:pt>
                <c:pt idx="6">
                  <c:v>18</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5.13_DE.xlsx]Aux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143</c:v>
                </c:pt>
                <c:pt idx="1">
                  <c:v>211</c:v>
                </c:pt>
                <c:pt idx="2">
                  <c:v>123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3</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13</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17</c:v>
                </c:pt>
                <c:pt idx="1">
                  <c:v>1</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74.62750925926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9">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74.6275204861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3. Pendente de outros desenvolvimentos"/>
        <s v="4. Validação EF"/>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74.627522916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74.62752511574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0. Cancelado"/>
        <s v="1. Concluído"/>
        <s v="2.1 Em Teste"/>
        <s v="3. Pendente de outros desenvolvimentos"/>
        <s v="4. Validação EF"/>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74.62752731481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74.62752997685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74.6275322916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74.627546527779" createdVersion="6" refreshedVersion="6" minRefreshableVersion="3" recordCount="56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8">
        <s v="2.2 Em Re-especificação"/>
        <s v="1. Concluído"/>
        <s v="0. Cancelado"/>
        <s v="4. Validação EF"/>
        <s v="6. Em implementação (re-especificação)"/>
        <s v="3. Pendente de outros desenvolvimentos"/>
        <s v="2.1 Em Teste"/>
        <s v="5. Em Correção" u="1"/>
      </sharedItems>
    </cacheField>
    <cacheField name="Status Anterior" numFmtId="0">
      <sharedItems containsBlank="1"/>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s v="Pilar III"/>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9">
  <r>
    <x v="0"/>
    <s v="Bens Imóveis - Input"/>
    <x v="0"/>
    <s v="ENERGY_CERTIFICATE_EST_INPUT"/>
    <s v="n.a."/>
    <x v="0"/>
    <s v="4. Validação EF"/>
    <s v="A validar por CDO"/>
    <d v="2024-08-06T00:00:00"/>
    <d v="2024-11-28T00:00:00"/>
    <s v=""/>
    <m/>
    <m/>
    <x v="0"/>
  </r>
  <r>
    <x v="0"/>
    <s v="Bens Imóveis - Input"/>
    <x v="1"/>
    <s v="ENERGY_CERTIFICATE_EST_INPUT"/>
    <s v="PROPERTY_BANK_ID"/>
    <x v="0"/>
    <s v="4. Validação EF"/>
    <s v="A validar por CDO"/>
    <d v="2024-08-06T00:00:00"/>
    <d v="2024-11-28T00:00:00"/>
    <s v=""/>
    <m/>
    <m/>
    <x v="0"/>
  </r>
  <r>
    <x v="0"/>
    <s v="Bens Imóveis - Input"/>
    <x v="1"/>
    <s v="ENERGY_CERTIFICATE_EST_INPUT"/>
    <s v="ENCRYPTED_KEY"/>
    <x v="0"/>
    <s v="4. Validação EF"/>
    <s v="A validar por CDO"/>
    <d v="2024-08-06T00:00:00"/>
    <d v="2024-11-28T00:00:00"/>
    <s v=""/>
    <m/>
    <m/>
    <x v="0"/>
  </r>
  <r>
    <x v="0"/>
    <s v="Bens Imóveis - Input"/>
    <x v="1"/>
    <s v="ENERGY_CERTIFICATE_EST_INPUT"/>
    <s v="PROPERTY_BRANCH_CODE"/>
    <x v="0"/>
    <s v="4. Validação EF"/>
    <s v="A validar por CDO"/>
    <d v="2024-08-06T00:00:00"/>
    <d v="2024-11-28T00:00:00"/>
    <s v=""/>
    <m/>
    <m/>
    <x v="0"/>
  </r>
  <r>
    <x v="0"/>
    <s v="Bens Imóveis - Input"/>
    <x v="1"/>
    <s v="ENERGY_CERTIFICATE_EST_INPUT"/>
    <s v="PROPERTY_CONTRACT_ID"/>
    <x v="0"/>
    <s v="4. Validação EF"/>
    <s v="A validar por CDO"/>
    <d v="2024-08-06T00:00:00"/>
    <d v="2024-11-28T00:00:00"/>
    <s v=""/>
    <m/>
    <m/>
    <x v="0"/>
  </r>
  <r>
    <x v="0"/>
    <s v="Bens Imóveis - Input"/>
    <x v="1"/>
    <s v="ENERGY_CERTIFICATE_EST_INPUT"/>
    <s v="PROPERTY_REFERENCE_CODE"/>
    <x v="0"/>
    <s v="4. Validação EF"/>
    <s v="A validar por CDO"/>
    <d v="2024-08-06T00:00:00"/>
    <d v="2024-11-28T00:00:00"/>
    <s v=""/>
    <m/>
    <m/>
    <x v="0"/>
  </r>
  <r>
    <x v="0"/>
    <s v="Bens Imóveis - Input"/>
    <x v="1"/>
    <s v="ENERGY_CERTIFICATE_EST_INPUT"/>
    <s v="DATA_EXTRACTION_DATE"/>
    <x v="0"/>
    <s v="4. Validação EF"/>
    <s v="A validar por CDO"/>
    <d v="2024-08-06T00:00:00"/>
    <d v="2024-11-28T00:00:00"/>
    <s v=""/>
    <m/>
    <m/>
    <x v="0"/>
  </r>
  <r>
    <x v="0"/>
    <s v="Bens Imóveis - Input"/>
    <x v="1"/>
    <s v="ENERGY_CERTIFICATE_EST_INPUT"/>
    <s v="EPC"/>
    <x v="0"/>
    <s v="4. Validação EF"/>
    <s v="A validar por CDO"/>
    <d v="2024-08-06T00:00:00"/>
    <d v="2024-11-28T00:00:00"/>
    <s v=""/>
    <m/>
    <m/>
    <x v="0"/>
  </r>
  <r>
    <x v="0"/>
    <s v="Bens Imóveis - Input"/>
    <x v="1"/>
    <s v="ENERGY_CERTIFICATE_EST_INPUT"/>
    <s v="DATA_PROVIDER"/>
    <x v="0"/>
    <s v="4. Validação EF"/>
    <s v="A validar por CDO"/>
    <d v="2024-08-06T00:00:00"/>
    <d v="2024-11-28T00:00:00"/>
    <s v=""/>
    <m/>
    <m/>
    <x v="0"/>
  </r>
  <r>
    <x v="0"/>
    <s v="Bens Imóveis - Input"/>
    <x v="1"/>
    <s v="ENERGY_CERTIFICATE_EST_INPUT"/>
    <s v="ACTUAL_VALUE_IND"/>
    <x v="0"/>
    <s v="4. Validação EF"/>
    <s v="A validar por CDO"/>
    <d v="2024-08-06T00:00:00"/>
    <d v="2024-11-28T00:00:00"/>
    <s v=""/>
    <m/>
    <m/>
    <x v="0"/>
  </r>
  <r>
    <x v="0"/>
    <s v="Bens Imóveis - Input"/>
    <x v="1"/>
    <s v="ENERGY_CERTIFICATE_EST_INPUT"/>
    <s v="QUALITY_SCORE"/>
    <x v="0"/>
    <s v="4. Validação EF"/>
    <s v="A validar por CDO"/>
    <d v="2024-08-06T00:00:00"/>
    <d v="2024-11-28T00:00:00"/>
    <s v=""/>
    <m/>
    <m/>
    <x v="0"/>
  </r>
  <r>
    <x v="0"/>
    <s v="Bens Imóveis - Input"/>
    <x v="1"/>
    <s v="ENERGY_CERTIFICATE_EST_INPUT"/>
    <s v="ENERGY_CONSUMPTION_VALUE_YEAR"/>
    <x v="0"/>
    <s v="4. Validação EF"/>
    <s v="A validar por CDO"/>
    <d v="2024-08-06T00:00:00"/>
    <d v="2024-11-28T00:00:00"/>
    <s v=""/>
    <m/>
    <m/>
    <x v="0"/>
  </r>
  <r>
    <x v="0"/>
    <s v="Bens Imóveis - Input"/>
    <x v="1"/>
    <s v="ENERGY_CERTIFICATE_EST_INPUT"/>
    <s v="CARBON_EMISSION_VALUE_YEAR"/>
    <x v="0"/>
    <s v="4. Validação EF"/>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1. Concluíd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0"/>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0"/>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Bens Imóveis - Output"/>
    <x v="1"/>
    <s v="PROPERTY_ENERGY_CERTIFICATE"/>
    <s v="CURRENT_ENERGY_RATING_PERCENTAGE"/>
    <x v="0"/>
    <m/>
    <s v="Novo campo Adicionado"/>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1"/>
    <s v="2.2 Em Re-especificação"/>
    <s v="Re-especificação "/>
    <d v="2024-10-04T00:00:00"/>
    <d v="2024-11-25T00:00:00"/>
    <d v="2024-12-05T00:00:00"/>
    <m/>
    <m/>
    <x v="1"/>
  </r>
  <r>
    <x v="0"/>
    <s v="Modelo Verde - Output"/>
    <x v="1"/>
    <s v="modesg_out_bens_imoveis"/>
    <s v="flg_rsc_fsc_crnc"/>
    <x v="1"/>
    <s v="2.2 Em Re-especificação"/>
    <s v="Re-especificação "/>
    <d v="2024-10-04T00:00:00"/>
    <d v="2024-11-25T00:00:00"/>
    <d v="2024-12-05T00:00:00"/>
    <m/>
    <m/>
    <x v="1"/>
  </r>
  <r>
    <x v="0"/>
    <s v="Modelo Verde - Output"/>
    <x v="1"/>
    <s v="modesg_out_bens_imoveis"/>
    <s v="origem_flg_rsc_fsc_agd"/>
    <x v="1"/>
    <s v="2.2 Em Re-especificação"/>
    <s v="Re-especificação "/>
    <d v="2024-10-04T00:00:00"/>
    <d v="2024-11-25T00:00:00"/>
    <d v="2024-12-05T00:00:00"/>
    <m/>
    <m/>
    <x v="1"/>
  </r>
  <r>
    <x v="0"/>
    <s v="Modelo Verde - Output"/>
    <x v="1"/>
    <s v="modesg_out_bens_imoveis"/>
    <s v="origem_flg_rsc_fsc_crnc"/>
    <x v="1"/>
    <s v="2.2 Em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0"/>
    <s v="2.2 Em Re-especificação"/>
    <s v="Re-especificação "/>
    <d v="2024-09-26T00:00:00"/>
    <d v="2024-11-18T00:00:00"/>
    <d v="2024-11-19T00:00:00"/>
    <m/>
    <m/>
    <x v="1"/>
  </r>
  <r>
    <x v="0"/>
    <s v="Modelo Verde - Output"/>
    <x v="1"/>
    <s v="modesg_out_empr_info_nfin"/>
    <s v="flg_emprs_excl_paris"/>
    <x v="1"/>
    <s v="2.1 Em Teste"/>
    <s v="Re-especificação "/>
    <d v="2024-09-18T00:00:00"/>
    <d v="2024-11-18T00:00:00"/>
    <d v="2024-11-19T00:00:00"/>
    <m/>
    <m/>
    <x v="1"/>
  </r>
  <r>
    <x v="0"/>
    <s v="Modelo Verde - Output"/>
    <x v="1"/>
    <s v="modesg_out_empr_info_nfin"/>
    <s v="flg_nfrd"/>
    <x v="1"/>
    <s v="2.1 Em Teste"/>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1. Concluído"/>
    <s v="Re-especificação "/>
    <d v="2024-10-04T00:00:00"/>
    <d v="2024-11-18T00:00:00"/>
    <d v="2024-11-19T00:00:00"/>
    <m/>
    <m/>
    <x v="1"/>
  </r>
  <r>
    <x v="0"/>
    <s v="Modelo Verde - Output"/>
    <x v="1"/>
    <s v="modesg_out_empr_info_nfin"/>
    <s v="origem_flg_emprs_excl_paris"/>
    <x v="1"/>
    <s v="2.1 Em Teste"/>
    <s v="Re-especificação "/>
    <d v="2024-09-18T00:00:00"/>
    <d v="2024-11-18T00:00:00"/>
    <d v="2024-11-19T00:00:00"/>
    <m/>
    <m/>
    <x v="1"/>
  </r>
  <r>
    <x v="0"/>
    <s v="Modelo Verde - Output"/>
    <x v="1"/>
    <s v="modesg_out_empr_info_nfin"/>
    <s v="origem_flg_nfrd"/>
    <x v="1"/>
    <s v="1. Concluíd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4"/>
    <s v="6. Em implementação (re-especificação)"/>
    <s v="A concluir re-especificação"/>
    <d v="2024-10-04T00:00:00"/>
    <d v="2024-11-25T00:00:00"/>
    <d v="2024-11-26T00:00:00"/>
    <m/>
    <m/>
    <x v="1"/>
  </r>
  <r>
    <x v="0"/>
    <s v="Modelo Verde - Output"/>
    <x v="1"/>
    <s v="modesg_out_empr_info_nfin"/>
    <s v="origem_scp2_emss"/>
    <x v="4"/>
    <s v="6. Em implementação (re-especificação)"/>
    <s v="A concluir re-especificação"/>
    <d v="2024-10-04T00:00:00"/>
    <d v="2024-11-25T00:00:00"/>
    <d v="2024-11-26T00:00:00"/>
    <m/>
    <m/>
    <x v="1"/>
  </r>
  <r>
    <x v="0"/>
    <s v="Modelo Verde - Output"/>
    <x v="1"/>
    <s v="modesg_out_empr_info_nfin"/>
    <s v="origem_scp3_emss"/>
    <x v="4"/>
    <s v="6. Em implementação (re-especificaçã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6. Em implementação (re-especificação)"/>
    <s v="A concluir re-especificação"/>
    <d v="2024-10-04T00:00:00"/>
    <d v="2024-11-25T00:00:00"/>
    <d v="2024-11-26T00:00:00"/>
    <m/>
    <m/>
    <x v="1"/>
  </r>
  <r>
    <x v="0"/>
    <s v="Modelo Verde - Output"/>
    <x v="1"/>
    <s v="modesg_out_empr_info_nfin"/>
    <s v="scp2_emss"/>
    <x v="4"/>
    <s v="6. Em implementação (re-especificação)"/>
    <s v="A concluir re-especificação"/>
    <d v="2024-10-04T00:00:00"/>
    <d v="2024-11-25T00:00:00"/>
    <d v="2024-11-26T00:00:00"/>
    <m/>
    <m/>
    <x v="1"/>
  </r>
  <r>
    <x v="0"/>
    <s v="Modelo Verde - Output"/>
    <x v="1"/>
    <s v="modesg_out_empr_info_nfin"/>
    <s v="scp3_emss"/>
    <x v="4"/>
    <s v="6. Em implementação (re-especificaçã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2 Em Re-especificação"/>
    <s v="Re-especificação "/>
    <d v="2024-09-28T00:00:00"/>
    <d v="2024-11-28T00:00:00"/>
    <d v="2024-12-03T00:00:00"/>
    <m/>
    <m/>
    <x v="1"/>
  </r>
  <r>
    <x v="0"/>
    <s v="Modelo Verde - Output"/>
    <x v="1"/>
    <s v="modesg_out_sfcs_taxon_europeia"/>
    <s v="cbalcao"/>
    <x v="3"/>
    <s v="2.2 Em Re-especificação"/>
    <s v="Re-especificação "/>
    <d v="2024-09-28T00:00:00"/>
    <d v="2024-11-28T00:00:00"/>
    <d v="2024-12-03T00:00:00"/>
    <m/>
    <m/>
    <x v="1"/>
  </r>
  <r>
    <x v="0"/>
    <s v="Modelo Verde - Output"/>
    <x v="1"/>
    <s v="modesg_out_sfcs_taxon_europeia"/>
    <s v="cempresa"/>
    <x v="3"/>
    <s v="2.2 Em Re-especificação"/>
    <s v="Re-especificação "/>
    <d v="2024-09-28T00:00:00"/>
    <d v="2024-11-28T00:00:00"/>
    <d v="2024-12-03T00:00:00"/>
    <m/>
    <m/>
    <x v="1"/>
  </r>
  <r>
    <x v="0"/>
    <s v="Modelo Verde - Output"/>
    <x v="1"/>
    <s v="modesg_out_sfcs_taxon_europeia"/>
    <s v="cnumecta"/>
    <x v="3"/>
    <s v="2.2 Em Re-especificação"/>
    <s v="Re-especificação "/>
    <d v="2024-09-28T00:00:00"/>
    <d v="2024-11-28T00:00:00"/>
    <d v="2024-12-03T00:00:00"/>
    <m/>
    <m/>
    <x v="1"/>
  </r>
  <r>
    <x v="0"/>
    <s v="Modelo Verde - Output"/>
    <x v="1"/>
    <s v="modesg_out_sfcs_taxon_europeia"/>
    <s v="cod_regra"/>
    <x v="3"/>
    <s v="2.2 Em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2 Em Re-especificação"/>
    <s v="Re-especificação "/>
    <d v="2024-09-28T00:00:00"/>
    <d v="2024-11-28T00:00:00"/>
    <d v="2024-12-03T00:00:00"/>
    <m/>
    <m/>
    <x v="1"/>
  </r>
  <r>
    <x v="0"/>
    <s v="Modelo Verde - Output"/>
    <x v="1"/>
    <s v="modesg_out_sfcs_taxon_europeia"/>
    <s v="nome_ctgr_sfcs"/>
    <x v="3"/>
    <s v="2.2 Em Re-especificação"/>
    <s v="Re-especificação "/>
    <d v="2024-09-27T00:00:00"/>
    <d v="2024-11-28T00:00:00"/>
    <d v="2024-12-03T00:00:00"/>
    <m/>
    <m/>
    <x v="1"/>
  </r>
  <r>
    <x v="0"/>
    <s v="Modelo Verde - Output"/>
    <x v="1"/>
    <s v="modesg_out_sfcs_taxon_europeia"/>
    <s v="nome_general_specific_purpose"/>
    <x v="3"/>
    <s v="2.2 Em Re-especificação"/>
    <s v="Re-especificação "/>
    <d v="2024-09-28T00:00:00"/>
    <d v="2024-11-28T00:00:00"/>
    <d v="2024-12-03T00:00:00"/>
    <m/>
    <m/>
    <x v="1"/>
  </r>
  <r>
    <x v="0"/>
    <s v="Modelo Verde - Output"/>
    <x v="1"/>
    <s v="modesg_out_sfcs_taxon_europeia"/>
    <s v="nome_purpose_esg"/>
    <x v="3"/>
    <s v="2.2 Em Re-especificação"/>
    <s v="Re-especificação "/>
    <d v="2024-09-28T00:00:00"/>
    <d v="2024-11-28T00:00:00"/>
    <d v="2024-12-03T00:00:00"/>
    <m/>
    <m/>
    <x v="1"/>
  </r>
  <r>
    <x v="0"/>
    <s v="Modelo Verde - Output"/>
    <x v="1"/>
    <s v="modesg_out_sfcs_taxon_europeia"/>
    <s v="nome_specific_eligible"/>
    <x v="3"/>
    <s v="2.2 Em Re-especificação"/>
    <s v="Re-especificação "/>
    <d v="2024-09-28T00:00:00"/>
    <d v="2024-11-28T00:00:00"/>
    <d v="2024-12-03T00:00:00"/>
    <m/>
    <m/>
    <x v="1"/>
  </r>
  <r>
    <x v="0"/>
    <s v="Modelo Verde - Output"/>
    <x v="1"/>
    <s v="modesg_out_sfcs_taxon_europeia"/>
    <s v="nome_specific_sustainable"/>
    <x v="3"/>
    <s v="2.2 Em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2 Em Re-especificação"/>
    <s v="Re-especificação "/>
    <d v="2024-09-26T00:00:00"/>
    <d v="2024-11-28T00:00:00"/>
    <d v="2024-12-03T00:00:00"/>
    <m/>
    <m/>
    <x v="1"/>
  </r>
  <r>
    <x v="0"/>
    <s v="Modelo Verde - Output"/>
    <x v="1"/>
    <s v="modesg_out_sfcs_taxon_europeia"/>
    <s v="zdeposit"/>
    <x v="3"/>
    <s v="2.2 Em Re-especificação"/>
    <s v="Re-especificação "/>
    <d v="2024-09-26T00:00:00"/>
    <d v="2024-11-28T00:00:00"/>
    <d v="2024-12-03T00:00:00"/>
    <m/>
    <m/>
    <x v="1"/>
  </r>
  <r>
    <x v="0"/>
    <s v="Pilar III"/>
    <x v="1"/>
    <s v="lt003_entity"/>
    <s v="nace_esg"/>
    <x v="1"/>
    <s v="3. Pendente de outros desenvolvimentos"/>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3. Pendente de outros desenvolvimentos"/>
    <m/>
    <s v=""/>
    <d v="2024-11-25T00:00:00"/>
    <d v="2024-10-31T00:00:00"/>
    <m/>
    <m/>
    <x v="2"/>
  </r>
  <r>
    <x v="0"/>
    <s v="Pilar III"/>
    <x v="1"/>
    <s v="lt003_entity"/>
    <s v="cntrprty_emssns_scp2"/>
    <x v="1"/>
    <s v="3. Pendente de outros desenvolvimentos"/>
    <m/>
    <s v=""/>
    <d v="2024-11-25T00:00:00"/>
    <d v="2024-10-31T00:00:00"/>
    <m/>
    <m/>
    <x v="2"/>
  </r>
  <r>
    <x v="0"/>
    <s v="Pilar III"/>
    <x v="1"/>
    <s v="lt003_entity"/>
    <s v="cntrprty_emssns_scp3"/>
    <x v="1"/>
    <s v="3. Pendente de outros desenvolvimentos"/>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3. Pendente de outros desenvolvimentos"/>
    <m/>
    <d v="2024-10-24T00:00:00"/>
    <s v=""/>
    <d v="2024-12-18T00:00:00"/>
    <d v="2024-10-23T00:00:00"/>
    <m/>
    <x v="2"/>
  </r>
  <r>
    <x v="0"/>
    <s v="Pilar III"/>
    <x v="1"/>
    <s v="lt003_entity"/>
    <s v="grp_emssns_scp2"/>
    <x v="1"/>
    <s v="3. Pendente de outros desenvolvimentos"/>
    <m/>
    <d v="2024-10-24T00:00:00"/>
    <s v=""/>
    <d v="2024-12-18T00:00:00"/>
    <d v="2024-10-23T00:00:00"/>
    <m/>
    <x v="2"/>
  </r>
  <r>
    <x v="0"/>
    <s v="Pilar III"/>
    <x v="1"/>
    <s v="lt003_entity"/>
    <s v="grp_emssns_scp3"/>
    <x v="1"/>
    <s v="3. Pendente de outros desenvolvimentos"/>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1. Concluíd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1. Concluído"/>
    <m/>
    <d v="2024-10-18T00:00:00"/>
    <d v="2024-10-31T00:00:00"/>
    <d v="2024-10-31T00:00:00"/>
    <m/>
    <m/>
    <x v="2"/>
  </r>
  <r>
    <x v="0"/>
    <s v="Pilar III"/>
    <x v="1"/>
    <s v="lt004_protection"/>
    <s v="emssns_scp1_prtctn"/>
    <x v="1"/>
    <s v="1. Concluído"/>
    <m/>
    <s v=""/>
    <d v="2024-12-05T00:00:00"/>
    <d v="2024-12-05T00:00:00"/>
    <m/>
    <m/>
    <x v="2"/>
  </r>
  <r>
    <x v="0"/>
    <s v="Pilar III"/>
    <x v="1"/>
    <s v="lt004_protection"/>
    <s v="emssns_scp2_prtctn"/>
    <x v="1"/>
    <s v="1. Concluído"/>
    <m/>
    <s v=""/>
    <d v="2024-12-05T00:00:00"/>
    <d v="2024-12-05T00:00:00"/>
    <m/>
    <m/>
    <x v="2"/>
  </r>
  <r>
    <x v="0"/>
    <s v="Pilar III"/>
    <x v="1"/>
    <s v="lt004_protection"/>
    <s v="emssns_scp3_prtctn"/>
    <x v="1"/>
    <s v="1. Concluído"/>
    <m/>
    <s v=""/>
    <d v="2024-12-05T00:00:00"/>
    <d v="2024-12-05T00:00:00"/>
    <m/>
    <m/>
    <x v="2"/>
  </r>
  <r>
    <x v="0"/>
    <s v="Pilar III"/>
    <x v="1"/>
    <s v="lt004_protection"/>
    <s v="mthd_usd_prtctn_scp_1"/>
    <x v="1"/>
    <s v="1. Concluído"/>
    <m/>
    <s v=""/>
    <d v="2024-12-05T00:00:00"/>
    <d v="2024-12-05T00:00:00"/>
    <m/>
    <m/>
    <x v="2"/>
  </r>
  <r>
    <x v="0"/>
    <s v="Pilar III"/>
    <x v="1"/>
    <s v="lt004_protection"/>
    <s v="mthd_usd_prtctn_scp_2"/>
    <x v="1"/>
    <s v="1. Concluído"/>
    <m/>
    <s v=""/>
    <d v="2024-12-05T00:00:00"/>
    <d v="2024-12-05T00:00:00"/>
    <m/>
    <m/>
    <x v="2"/>
  </r>
  <r>
    <x v="0"/>
    <s v="Pilar III"/>
    <x v="1"/>
    <s v="lt004_protection"/>
    <s v="mthd_usd_prtctn_scp_3"/>
    <x v="1"/>
    <s v="1. Concluído"/>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5"/>
    <s v="3. Pendente de outros desenvolvimentos"/>
    <m/>
    <s v=""/>
    <d v="2024-12-05T00:00:00"/>
    <d v="2024-12-05T00:00:00"/>
    <d v="2024-10-28T00:00:00"/>
    <m/>
    <x v="2"/>
  </r>
  <r>
    <x v="0"/>
    <s v="Pilar III"/>
    <x v="1"/>
    <s v="lt002_instrument"/>
    <s v="mthd_usd_instrmnt_scp_2"/>
    <x v="5"/>
    <s v="3. Pendente de outros desenvolvimentos"/>
    <m/>
    <s v=""/>
    <d v="2024-12-05T00:00:00"/>
    <d v="2024-12-05T00:00:00"/>
    <d v="2024-10-28T00:00:00"/>
    <m/>
    <x v="2"/>
  </r>
  <r>
    <x v="0"/>
    <s v="Pilar III"/>
    <x v="1"/>
    <s v="lt002_instrument"/>
    <s v="mthd_usd_instrmnt_scp_3"/>
    <x v="5"/>
    <s v="3. Pendente de outros desenvolvimentos"/>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3"/>
    <s v="4. Validação EF"/>
    <s v="Pendente de feedback de CDO - Criação de Nova tabela"/>
    <d v="2024-10-28T00:00:00"/>
    <d v="2024-11-28T00:00:00"/>
    <d v="2024-11-28T00:00:00"/>
    <d v="2024-10-28T00:00:00"/>
    <m/>
    <x v="2"/>
  </r>
  <r>
    <x v="0"/>
    <s v="Pilar III"/>
    <x v="1"/>
    <s v="lt002_instrument"/>
    <s v="grss_intrst_incm"/>
    <x v="6"/>
    <s v="2.1 Em Teste"/>
    <s v="26/07/2024: Campo não espelhado na documentação da Deloitte (LT ESTR)"/>
    <d v="2024-11-22T00:00:00"/>
    <d v="2024-12-05T00:00:00"/>
    <d v="2024-12-05T00:00:00"/>
    <d v="2024-10-30T00:00:00"/>
    <m/>
    <x v="2"/>
  </r>
  <r>
    <x v="0"/>
    <s v="Pilar III"/>
    <x v="1"/>
    <s v="lt002_instrument"/>
    <s v="grss_cmmssn_incm"/>
    <x v="6"/>
    <s v="2.1 Em Teste"/>
    <s v="26/07/2024: Campo não espelhado na documentação da Deloitte (LT ESTR)"/>
    <d v="2024-11-22T00:00:00"/>
    <d v="2024-12-05T00:00:00"/>
    <d v="2024-12-05T00:00:00"/>
    <d v="2024-10-30T00:00:00"/>
    <m/>
    <x v="2"/>
  </r>
  <r>
    <x v="0"/>
    <s v="Pilar III"/>
    <x v="1"/>
    <s v="lt002_instrument"/>
    <s v="grss_cmmssn_incm_off_blnc"/>
    <x v="6"/>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1. Concluído"/>
    <s v="Pendente de feedback de CDO - Reunião marcada para dia 28/10"/>
    <d v="2024-10-23T00:00:00"/>
    <d v="2024-11-28T00:00:00"/>
    <d v="2024-11-28T00:00:00"/>
    <d v="2024-10-30T00:00:00"/>
    <m/>
    <x v="2"/>
  </r>
  <r>
    <x v="0"/>
    <s v="Pilar III"/>
    <x v="1"/>
    <s v="lt004_protection"/>
    <s v="orgnl_prtctn_vl"/>
    <x v="1"/>
    <s v="5. Em Correção"/>
    <s v="26/07/2024: Campo não espelhado na documentação da Deloitte (LT ESTR)"/>
    <d v="2024-10-30T00:00:00"/>
    <d v="2024-11-15T00:00:00"/>
    <d v="2024-11-15T00:00:00"/>
    <d v="2024-10-30T00:00:00"/>
    <m/>
    <x v="2"/>
  </r>
  <r>
    <x v="0"/>
    <s v="Pilar III"/>
    <x v="1"/>
    <s v="lt004_protection"/>
    <s v="prtctn_vl"/>
    <x v="1"/>
    <s v="1. Concluíd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2"/>
    <s v="1. Concluído"/>
    <s v="Tema de Loan Tape Estrutural"/>
    <d v="2024-10-28T00:00:00"/>
    <d v="2024-11-28T00:00:00"/>
    <d v="2024-11-28T00:00:00"/>
    <m/>
    <m/>
    <x v="2"/>
  </r>
  <r>
    <x v="0"/>
    <s v="Pilar III"/>
    <x v="1"/>
    <s v="lt004_protection"/>
    <s v="flg_exec"/>
    <x v="2"/>
    <s v="1. Concluído"/>
    <s v="Tema de Loan Tape Estrutural"/>
    <d v="2024-10-28T00:00:00"/>
    <d v="2024-11-28T00:00:00"/>
    <d v="2024-11-28T00:00:00"/>
    <m/>
    <m/>
    <x v="2"/>
  </r>
  <r>
    <x v="0"/>
    <s v="Pilar III"/>
    <x v="1"/>
    <s v="lt004_protection"/>
    <s v="flg_col"/>
    <x v="2"/>
    <s v="1. Concluído"/>
    <s v="Tema de Loan Tape Estrutural"/>
    <d v="2024-10-28T00:00:00"/>
    <d v="2024-11-28T00:00:00"/>
    <d v="2024-11-28T00:00:00"/>
    <m/>
    <m/>
    <x v="2"/>
  </r>
  <r>
    <x v="0"/>
    <s v="Pilar III"/>
    <x v="1"/>
    <s v="lt004_protection"/>
    <s v="flg_pro"/>
    <x v="2"/>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3" firstHeaderRow="0" firstDataRow="1" firstDataCol="1"/>
  <pivotFields count="5">
    <pivotField axis="axisRow" compact="0" allDrilled="1" outline="0" subtotalTop="0" showAll="0" dataSourceSort="1"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0"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2"/>
        <item x="4"/>
        <item x="3"/>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7" cacheId="1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5"/>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4"/>
          </reference>
        </references>
      </pivotArea>
    </chartFormat>
    <chartFormat chart="3" format="55">
      <pivotArea type="data" outline="0" fieldPosition="0">
        <references count="3">
          <reference field="4294967294" count="1" selected="0">
            <x v="0"/>
          </reference>
          <reference field="3" count="1" selected="0">
            <x v="3"/>
          </reference>
          <reference field="5" count="1" selected="0">
            <x v="4"/>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8">
      <pivotArea type="data" outline="0" fieldPosition="0">
        <references count="2">
          <reference field="4294967294" count="1" selected="0">
            <x v="0"/>
          </reference>
          <reference field="6" count="1" selected="0">
            <x v="4"/>
          </reference>
        </references>
      </pivotArea>
    </chartFormat>
    <chartFormat chart="6" format="49">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5.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5"/>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3"/>
          </reference>
        </references>
      </pivotArea>
    </chartFormat>
    <chartFormat chart="6" format="26">
      <pivotArea type="data" outline="0" fieldPosition="0">
        <references count="3">
          <reference field="4294967294" count="1" selected="0">
            <x v="0"/>
          </reference>
          <reference field="3" count="1" selected="0">
            <x v="1"/>
          </reference>
          <reference field="5" count="1" selected="0">
            <x v="3"/>
          </reference>
        </references>
      </pivotArea>
    </chartFormat>
    <chartFormat chart="6" format="27">
      <pivotArea type="data" outline="0" fieldPosition="0">
        <references count="3">
          <reference field="4294967294" count="1" selected="0">
            <x v="0"/>
          </reference>
          <reference field="3" count="1" selected="0">
            <x v="2"/>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3"/>
          </reference>
        </references>
      </pivotArea>
    </chartFormat>
    <chartFormat chart="6" format="29"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Row" showAll="0">
      <items count="5">
        <item x="0"/>
        <item x="1"/>
        <item x="2"/>
        <item m="1" x="3"/>
        <item t="default"/>
      </items>
    </pivotField>
  </pivotFields>
  <rowFields count="1">
    <field x="13"/>
  </rowFields>
  <rowItems count="4">
    <i>
      <x/>
    </i>
    <i>
      <x v="1"/>
    </i>
    <i>
      <x v="2"/>
    </i>
    <i t="grand">
      <x/>
    </i>
  </rowItems>
  <colFields count="1">
    <field x="5"/>
  </colFields>
  <colItems count="8">
    <i>
      <x/>
    </i>
    <i>
      <x v="1"/>
    </i>
    <i>
      <x v="2"/>
    </i>
    <i>
      <x v="3"/>
    </i>
    <i>
      <x v="4"/>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3">
          <reference field="4294967294" count="1" selected="0">
            <x v="0"/>
          </reference>
          <reference field="3" count="1" selected="0">
            <x v="0"/>
          </reference>
          <reference field="5" count="1" selected="0">
            <x v="2"/>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Page" showAll="0">
      <items count="5">
        <item x="0"/>
        <item x="1"/>
        <item x="2"/>
        <item m="1" x="3"/>
        <item t="default"/>
      </items>
    </pivotField>
  </pivotFields>
  <rowFields count="1">
    <field x="5"/>
  </rowFields>
  <rowItems count="8">
    <i>
      <x/>
    </i>
    <i>
      <x v="1"/>
    </i>
    <i>
      <x v="2"/>
    </i>
    <i>
      <x v="3"/>
    </i>
    <i>
      <x v="4"/>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575" totalsRowShown="0" headerRowDxfId="333" tableBorderDxfId="332">
  <autoFilter ref="B6:O575">
    <filterColumn colId="1">
      <filters>
        <filter val="Bens Imóveis - Input"/>
      </filters>
    </filterColumn>
    <filterColumn colId="5">
      <filters>
        <filter val="2.1 Em Teste"/>
        <filter val="2.2 Em Re-especificação"/>
        <filter val="3. Pendente de outros desenvolvimentos"/>
        <filter val="4. Validação EF"/>
        <filter val="6. Em implementação (re-especificação)"/>
      </filters>
    </filterColumn>
  </autoFilter>
  <tableColumns count="14">
    <tableColumn id="1" name="Âmbito" dataDxfId="331"/>
    <tableColumn id="2" name="Sub-âmbito" dataDxfId="330"/>
    <tableColumn id="3" name="Tipo de teste" dataDxfId="329"/>
    <tableColumn id="4" name="Tabela" dataDxfId="328"/>
    <tableColumn id="5" name="Campo" dataDxfId="327"/>
    <tableColumn id="6" name="Status Atual" dataDxfId="326"/>
    <tableColumn id="7" name="Status Anterior" dataDxfId="325"/>
    <tableColumn id="8" name="Observações" dataDxfId="324"/>
    <tableColumn id="9" name="Data de Pedido correção/esclarecimento" dataDxfId="323">
      <calculatedColumnFormula>IF(VLOOKUP(A7,'Aux - pivots1'!$A:$E,3,0)=0, "",VLOOKUP(A7,'Aux - pivots1'!$A:$E,3,0))</calculatedColumnFormula>
    </tableColumn>
    <tableColumn id="10" name="Data de correção prevista" dataDxfId="322">
      <calculatedColumnFormula>IF(VLOOKUP(A7,'Aux - pivots1'!$A:$E,4,0)=0, "",VLOOKUP(A7,'Aux - pivots1'!$A:$E,4,0))</calculatedColumnFormula>
    </tableColumn>
    <tableColumn id="11" name="Data de correção efetiva" dataDxfId="321">
      <calculatedColumnFormula>IF(VLOOKUP(A7,'Aux - pivots1'!$A:$E,5,0)=0, "",VLOOKUP(A7,'Aux - pivots1'!$A:$E,5,0))</calculatedColumnFormula>
    </tableColumn>
    <tableColumn id="12" name="Data Prevista de Re-especificação" dataDxfId="320"/>
    <tableColumn id="13" name="Data Prevista de Teste" dataDxfId="319"/>
    <tableColumn id="14" name="Modelo" dataDxfId="318"/>
  </tableColumns>
  <tableStyleInfo showFirstColumn="0" showLastColumn="0" showRowStripes="1" showColumnStripes="0"/>
</table>
</file>

<file path=xl/tables/table2.xml><?xml version="1.0" encoding="utf-8"?>
<table xmlns="http://schemas.openxmlformats.org/spreadsheetml/2006/main" id="1" name="Table1" displayName="Table1" ref="B8:X1323" headerRowDxfId="317" dataDxfId="315" totalsRowDxfId="313" headerRowBorderDxfId="316" tableBorderDxfId="314" totalsRowBorderDxfId="312">
  <autoFilter ref="B8:X1323">
    <filterColumn colId="1">
      <filters>
        <filter val="Bens Imóveis - Input"/>
      </filters>
    </filterColumn>
    <filterColumn colId="7">
      <filters>
        <filter val="2.1 Em Teste"/>
        <filter val="2.2 Em Re-especificação"/>
        <filter val="3. Pendente de outros desenvolvimentos"/>
        <filter val="4. Validação EF"/>
        <filter val="6. Em implementação (re-especificação)"/>
      </filters>
    </filterColumn>
  </autoFilter>
  <tableColumns count="23">
    <tableColumn id="1" name="Âmbito" dataDxfId="311" totalsRowDxfId="310"/>
    <tableColumn id="12" name="Sub-âmbito" dataDxfId="309" totalsRowDxfId="308"/>
    <tableColumn id="2" name="Origem" dataDxfId="307" totalsRowDxfId="306"/>
    <tableColumn id="18" name="Campo Origem" dataDxfId="305" totalsRowDxfId="304"/>
    <tableColumn id="5" name="Tabela" dataDxfId="303" totalsRowDxfId="302"/>
    <tableColumn id="3" name="Campo" dataDxfId="301" totalsRowDxfId="300"/>
    <tableColumn id="20" name="concat" dataDxfId="299" totalsRowDxfId="298">
      <calculatedColumnFormula>Table1[[#This Row],[Tabela]]&amp;Table1[[#This Row],[Campo]]</calculatedColumnFormula>
    </tableColumn>
    <tableColumn id="4" name="Status" dataDxfId="297" totalsRowDxfId="296"/>
    <tableColumn id="19" name="Status2" dataDxfId="295">
      <calculatedColumnFormula>VLOOKUP(Table1[[#This Row],[Status]],Auxiliar!$B$16:$C$24,2,0)</calculatedColumnFormula>
    </tableColumn>
    <tableColumn id="6" name="Tipologia_Testes" dataDxfId="294" totalsRowDxfId="293"/>
    <tableColumn id="10" name="Necessidade de re-especificação? (campo)" dataDxfId="292" totalsRowDxfId="291"/>
    <tableColumn id="9" name="Complexidade" dataDxfId="290" totalsRowDxfId="289"/>
    <tableColumn id="17" name="Data de Alteração Status" dataDxfId="288" totalsRowDxfId="287"/>
    <tableColumn id="8" name="Estimação (horas)" totalsRowFunction="custom" dataDxfId="286" totalsRowDxfId="285">
      <calculatedColumnFormula>INDEX(Auxiliar!$D$5:$F$11,MATCH(Table1[[#This Row],[Tipologia_Testes]],Auxiliar!$B$5:$B$11,0),MATCH(Table1[[#This Row],[Complexidade]],Auxiliar!$D$4:$F$4,0))</calculatedColumnFormula>
      <totalsRowFormula>SUMIF(Table1[Estimação (horas)],"&gt;0")</totalsRowFormula>
    </tableColumn>
    <tableColumn id="7" name="Notas" dataDxfId="284" totalsRowDxfId="283"/>
    <tableColumn id="11" name="Owner" dataDxfId="282" totalsRowDxfId="281"/>
    <tableColumn id="21" name="Data alteração especificação" dataDxfId="280" totalsRowDxfId="279"/>
    <tableColumn id="13" name="Data de inicio testes" dataDxfId="278" totalsRowDxfId="277"/>
    <tableColumn id="14" name="Data de incidência / pedido esclarecimento" dataDxfId="276" totalsRowDxfId="275"/>
    <tableColumn id="15" name="Data de correção/resposta prevista" dataDxfId="274" totalsRowDxfId="273"/>
    <tableColumn id="22" name="Data de correção/resposta efetiva" dataDxfId="272" totalsRowDxfId="271"/>
    <tableColumn id="23" name="Horas efetivas" dataDxfId="270" totalsRowDxfId="269">
      <calculatedColumnFormula>VLOOKUP(Table1[[#This Row],[Status]],Auxiliar!$B$16:$D$24,3,0)*Table1[[#This Row],[Estimação (horas)]]</calculatedColumnFormula>
    </tableColumn>
    <tableColumn id="16" name="Query" dataDxfId="268" totalsRowDxfId="26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1. Concluído</v>
      </c>
      <c r="H368" s="65">
        <f>VLOOKUP(A368,'Aux - pivots1'!$A:$B,2,0)</f>
        <v>1</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1. Concluído</v>
      </c>
      <c r="H369" s="65">
        <f>VLOOKUP(A369,'Aux - pivots1'!$A:$B,2,0)</f>
        <v>1</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1. Concluído</v>
      </c>
      <c r="H370" s="65">
        <f>VLOOKUP(A370,'Aux - pivots1'!$A:$B,2,0)</f>
        <v>1</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1. Concluído</v>
      </c>
      <c r="H371" s="65">
        <f>VLOOKUP(A371,'Aux - pivots1'!$A:$B,2,0)</f>
        <v>1</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4. Validação EF</v>
      </c>
      <c r="H431" s="65">
        <f>VLOOKUP(A431,'Aux - pivots1'!$A:$B,2,0)</f>
        <v>5</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4. Validação EF</v>
      </c>
      <c r="H432" s="65">
        <f>VLOOKUP(A432,'Aux - pivots1'!$A:$B,2,0)</f>
        <v>5</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4. Validação EF</v>
      </c>
      <c r="H433" s="65">
        <f>VLOOKUP(A433,'Aux - pivots1'!$A:$B,2,0)</f>
        <v>5</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4. Validação EF</v>
      </c>
      <c r="H434" s="65">
        <f>VLOOKUP(A434,'Aux - pivots1'!$A:$B,2,0)</f>
        <v>5</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4. Validação EF</v>
      </c>
      <c r="H435" s="65">
        <f>VLOOKUP(A435,'Aux - pivots1'!$A:$B,2,0)</f>
        <v>5</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4. Validação EF</v>
      </c>
      <c r="H437" s="65">
        <f>VLOOKUP(A437,'Aux - pivots1'!$A:$B,2,0)</f>
        <v>5</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4. Validação EF</v>
      </c>
      <c r="H438" s="65">
        <f>VLOOKUP(A438,'Aux - pivots1'!$A:$B,2,0)</f>
        <v>5</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4. Validação EF</v>
      </c>
      <c r="H439" s="65">
        <f>VLOOKUP(A439,'Aux - pivots1'!$A:$B,2,0)</f>
        <v>5</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4. Validação EF</v>
      </c>
      <c r="H440" s="65">
        <f>VLOOKUP(A440,'Aux - pivots1'!$A:$B,2,0)</f>
        <v>5</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4. Validação EF</v>
      </c>
      <c r="H441" s="65">
        <f>VLOOKUP(A441,'Aux - pivots1'!$A:$B,2,0)</f>
        <v>5</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4. Validação EF</v>
      </c>
      <c r="H442" s="65">
        <f>VLOOKUP(A442,'Aux - pivots1'!$A:$B,2,0)</f>
        <v>5</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4. Validação EF</v>
      </c>
      <c r="H444" s="65">
        <f>VLOOKUP(A444,'Aux - pivots1'!$A:$B,2,0)</f>
        <v>5</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4. Validação EF</v>
      </c>
      <c r="H445" s="65">
        <f>VLOOKUP(A445,'Aux - pivots1'!$A:$B,2,0)</f>
        <v>5</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66" priority="11" operator="notEqual">
      <formula>0</formula>
    </cfRule>
  </conditionalFormatting>
  <conditionalFormatting sqref="L21:L23">
    <cfRule type="cellIs" dxfId="265" priority="3" operator="notEqual">
      <formula>0</formula>
    </cfRule>
  </conditionalFormatting>
  <conditionalFormatting sqref="L577:L579">
    <cfRule type="cellIs" dxfId="264" priority="2" operator="notEqual">
      <formula>0</formula>
    </cfRule>
  </conditionalFormatting>
  <conditionalFormatting sqref="L582:L636">
    <cfRule type="cellIs" dxfId="263" priority="1" operator="notEqual">
      <formula>0</formula>
    </cfRule>
  </conditionalFormatting>
  <conditionalFormatting sqref="M5:M6 N6:FK6">
    <cfRule type="cellIs" dxfId="262" priority="12" operator="notEqual">
      <formula>0</formula>
    </cfRule>
  </conditionalFormatting>
  <conditionalFormatting sqref="M15:FK18 M21:FK23 M577:FK579 M636:FK636">
    <cfRule type="cellIs" dxfId="261" priority="10" operator="greaterThan">
      <formula>0</formula>
    </cfRule>
  </conditionalFormatting>
  <conditionalFormatting sqref="M26:FK27">
    <cfRule type="cellIs" dxfId="260" priority="9" operator="greaterThan">
      <formula>0</formula>
    </cfRule>
  </conditionalFormatting>
  <conditionalFormatting sqref="M42:FK42">
    <cfRule type="cellIs" dxfId="259" priority="8" operator="greaterThan">
      <formula>0</formula>
    </cfRule>
  </conditionalFormatting>
  <conditionalFormatting sqref="M198:FK198">
    <cfRule type="cellIs" dxfId="258" priority="7" operator="greaterThan">
      <formula>0</formula>
    </cfRule>
  </conditionalFormatting>
  <conditionalFormatting sqref="M362:FK362">
    <cfRule type="cellIs" dxfId="257" priority="6" operator="greaterThan">
      <formula>0</formula>
    </cfRule>
  </conditionalFormatting>
  <conditionalFormatting sqref="M447:FK447">
    <cfRule type="cellIs" dxfId="256" priority="5" operator="greaterThan">
      <formula>0</formula>
    </cfRule>
  </conditionalFormatting>
  <conditionalFormatting sqref="M582:FK583">
    <cfRule type="cellIs" dxfId="25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44" zoomScale="70" zoomScaleNormal="70" workbookViewId="0">
      <selection activeCell="G57" sqref="G57"/>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3.898437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15" t="s">
        <v>2071</v>
      </c>
      <c r="C8" s="416"/>
      <c r="D8" s="416"/>
      <c r="E8" s="416"/>
      <c r="F8" s="416"/>
      <c r="G8" s="416"/>
      <c r="H8" s="416"/>
      <c r="I8" s="416"/>
      <c r="J8" s="416"/>
      <c r="K8" s="416"/>
      <c r="L8" s="416"/>
      <c r="M8" s="416"/>
      <c r="N8" s="416"/>
      <c r="O8" s="416"/>
      <c r="P8" s="416"/>
      <c r="Q8" s="416"/>
      <c r="R8" s="416"/>
      <c r="S8" s="416"/>
      <c r="T8" s="416"/>
      <c r="U8" s="416"/>
      <c r="V8" s="416"/>
      <c r="W8" s="416"/>
      <c r="X8" s="416"/>
      <c r="Y8" s="416"/>
      <c r="Z8" s="416"/>
      <c r="AA8" s="416"/>
      <c r="AB8" s="416"/>
      <c r="AC8" s="416"/>
      <c r="AD8" s="416"/>
      <c r="AE8" s="416"/>
      <c r="AF8" s="416"/>
      <c r="AG8" s="417"/>
      <c r="AH8" s="117"/>
    </row>
    <row r="9" spans="1:34" ht="17.7" customHeight="1">
      <c r="A9" s="117"/>
      <c r="B9" s="418"/>
      <c r="C9" s="419"/>
      <c r="D9" s="419"/>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20"/>
      <c r="AH9" s="117"/>
    </row>
    <row r="10" spans="1:34" ht="17.7" customHeight="1">
      <c r="A10" s="117"/>
      <c r="B10" s="418"/>
      <c r="C10" s="419"/>
      <c r="D10" s="419"/>
      <c r="E10" s="419"/>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20"/>
      <c r="AH10" s="117"/>
    </row>
    <row r="11" spans="1:34" ht="17.7" customHeight="1">
      <c r="A11" s="117"/>
      <c r="B11" s="421"/>
      <c r="C11" s="422"/>
      <c r="D11" s="422"/>
      <c r="E11" s="422"/>
      <c r="F11" s="422"/>
      <c r="G11" s="422"/>
      <c r="H11" s="422"/>
      <c r="I11" s="422"/>
      <c r="J11" s="422"/>
      <c r="K11" s="422"/>
      <c r="L11" s="422"/>
      <c r="M11" s="422"/>
      <c r="N11" s="422"/>
      <c r="O11" s="422"/>
      <c r="P11" s="422"/>
      <c r="Q11" s="422"/>
      <c r="R11" s="422"/>
      <c r="S11" s="422"/>
      <c r="T11" s="422"/>
      <c r="U11" s="422"/>
      <c r="V11" s="422"/>
      <c r="W11" s="422"/>
      <c r="X11" s="422"/>
      <c r="Y11" s="422"/>
      <c r="Z11" s="422"/>
      <c r="AA11" s="422"/>
      <c r="AB11" s="422"/>
      <c r="AC11" s="422"/>
      <c r="AD11" s="422"/>
      <c r="AE11" s="422"/>
      <c r="AF11" s="422"/>
      <c r="AG11" s="423"/>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2019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 FY24'!$H$7:$H$575,'1. Status Resumo FY24'!$P75,'2. Status Detalhe Campos FY24'!$C$7:$C$575,'1. Status Resumo FY24'!$G$71,'2. Status Detalhe Campos FY24'!$D$7:$D$575,"2. Campo")+COUNTIFS('2. Status Detalhe Campos FY24'!$H$7:$H$575,'1. Status Resumo FY24'!$P75,'2. Status Detalhe Campos FY24'!$C$7:$C$575,'1. Status Resumo FY24'!$H$71,'2. Status Detalhe Campos FY24'!$D$7:$D$575,"2. Campo")+COUNTIFS('2. Status Detalhe Campos FY24'!$H$7:$H$575,'1. Status Resumo FY24'!$P99,'2. Status Detalhe Campos FY24'!$C$7:$C$575,'1. Status Resumo FY24'!$G$95,'2. Status Detalhe Campos FY24'!$D$7:$D$575,"2. Campo")+COUNTIFS('2. Status Detalhe Campos FY24'!$H$7:$H$575,'1. Status Resumo FY24'!$P99,'2. Status Detalhe Campos FY24'!$C$7:$C$575,'1. Status Resumo FY24'!$H$95,'2. Status Detalhe Campos FY24'!$D$7:$D$575,"2. Campo")+COUNTIFS(Table4[Status Anterior],'1. Status Resumo FY24'!$P134,Table4[Sub-âmbito],'1. Status Resumo FY24'!$G$130,Table4[Tipo de teste],"2. Campo")</f>
        <v>24</v>
      </c>
      <c r="U17" s="26">
        <f>COUNTIFS('2. Status Detalhe Campos FY24'!$G$7:$G$575,'1. Status Resumo FY24'!$P75,'2. Status Detalhe Campos FY24'!$C$7:$C$575,'1. Status Resumo FY24'!$G$71,'2. Status Detalhe Campos FY24'!$D$7:$D$575,"2. Campo")+COUNTIFS('2. Status Detalhe Campos FY24'!$G$7:$G$575,'1. Status Resumo FY24'!$P75,'2. Status Detalhe Campos FY24'!$C$7:$C$575,'1. Status Resumo FY24'!$H$71,'2. Status Detalhe Campos FY24'!$D$7:$D$575,"2. Campo")+COUNTIFS('2. Status Detalhe Campos FY24'!$G$7:$G$575,'1. Status Resumo FY24'!$P99,'2. Status Detalhe Campos FY24'!$C$7:$C$575,'1. Status Resumo FY24'!$G$95,'2. Status Detalhe Campos FY24'!$D$7:$D$575,"2. Campo")+COUNTIFS('2. Status Detalhe Campos FY24'!$G$7:$G$575,'1. Status Resumo FY24'!$P99,'2. Status Detalhe Campos FY24'!$C$7:$C$575,'1. Status Resumo FY24'!$H$95,'2. Status Detalhe Campos FY24'!$D$7:$D$575,"2. Campo")+COUNTIFS(Table4[Status Atual],'1. Status Resumo FY24'!$P134,Table4[Sub-âmbito],'1. Status Resumo FY24'!$G$130,Table4[Tipo de teste],"2. Campo")</f>
        <v>28</v>
      </c>
      <c r="V17" s="26">
        <f>U17-T17</f>
        <v>4</v>
      </c>
      <c r="W17" s="339"/>
      <c r="X17" s="444"/>
      <c r="Y17" s="445"/>
      <c r="Z17" s="445"/>
      <c r="AA17" s="445"/>
      <c r="AB17" s="445"/>
      <c r="AC17" s="445"/>
      <c r="AD17" s="445"/>
      <c r="AE17" s="445"/>
      <c r="AF17" s="446"/>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 FY24'!$H$7:$H$575,'1. Status Resumo FY24'!$P76,'2. Status Detalhe Campos FY24'!$C$7:$C$575,'1. Status Resumo FY24'!$G$71,'2. Status Detalhe Campos FY24'!$D$7:$D$575,"2. Campo")+COUNTIFS('2. Status Detalhe Campos FY24'!$H$7:$H$575,'1. Status Resumo FY24'!$P76,'2. Status Detalhe Campos FY24'!$C$7:$C$575,'1. Status Resumo FY24'!$H$71,'2. Status Detalhe Campos FY24'!$D$7:$D$575,"2. Campo")+COUNTIFS('2. Status Detalhe Campos FY24'!$H$7:$H$575,'1. Status Resumo FY24'!$P100,'2. Status Detalhe Campos FY24'!$C$7:$C$575,'1. Status Resumo FY24'!$G$95,'2. Status Detalhe Campos FY24'!$D$7:$D$575,"2. Campo")+COUNTIFS('2. Status Detalhe Campos FY24'!$H$7:$H$575,'1. Status Resumo FY24'!$P100,'2. Status Detalhe Campos FY24'!$C$7:$C$575,'1. Status Resumo FY24'!$H$95,'2. Status Detalhe Campos FY24'!$D$7:$D$575,"2. Campo")+COUNTIFS(Table4[Status Anterior],'1. Status Resumo FY24'!$P135,Table4[Sub-âmbito],'1. Status Resumo FY24'!$G$130,Table4[Tipo de teste],"2. Campo")</f>
        <v>470</v>
      </c>
      <c r="U18" s="26">
        <f>COUNTIFS('2. Status Detalhe Campos FY24'!$G$7:$G$575,'1. Status Resumo FY24'!$P76,'2. Status Detalhe Campos FY24'!$C$7:$C$575,'1. Status Resumo FY24'!$G$71,'2. Status Detalhe Campos FY24'!$D$7:$D$575,"2. Campo")+COUNTIFS('2. Status Detalhe Campos FY24'!$G$7:$G$575,'1. Status Resumo FY24'!$P76,'2. Status Detalhe Campos FY24'!$C$7:$C$575,'1. Status Resumo FY24'!$H$71,'2. Status Detalhe Campos FY24'!$D$7:$D$575,"2. Campo")+COUNTIFS('2. Status Detalhe Campos FY24'!$G$7:$G$575,'1. Status Resumo FY24'!$P100,'2. Status Detalhe Campos FY24'!$C$7:$C$575,'1. Status Resumo FY24'!$G$95,'2. Status Detalhe Campos FY24'!$D$7:$D$575,"2. Campo")+COUNTIFS('2. Status Detalhe Campos FY24'!$G$7:$G$575,'1. Status Resumo FY24'!$P100,'2. Status Detalhe Campos FY24'!$C$7:$C$575,'1. Status Resumo FY24'!$H$95,'2. Status Detalhe Campos FY24'!$D$7:$D$575,"2. Campo")+COUNTIFS(Table4[Status Atual],'1. Status Resumo FY24'!$P135,Table4[Sub-âmbito],'1. Status Resumo FY24'!$G$130,Table4[Tipo de teste],"2. Campo")</f>
        <v>477</v>
      </c>
      <c r="V18" s="26">
        <f t="shared" ref="V18:V25" si="0">U18-T18</f>
        <v>7</v>
      </c>
      <c r="W18" s="339"/>
      <c r="X18" s="447"/>
      <c r="Y18" s="448"/>
      <c r="Z18" s="448"/>
      <c r="AA18" s="448"/>
      <c r="AB18" s="448"/>
      <c r="AC18" s="448"/>
      <c r="AD18" s="448"/>
      <c r="AE18" s="448"/>
      <c r="AF18" s="449"/>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 FY24'!$H$7:$H$575,'1. Status Resumo FY24'!$P77,'2. Status Detalhe Campos FY24'!$C$7:$C$575,'1. Status Resumo FY24'!$G$71,'2. Status Detalhe Campos FY24'!$D$7:$D$575,"2. Campo")+COUNTIFS('2. Status Detalhe Campos FY24'!$H$7:$H$575,'1. Status Resumo FY24'!$P77,'2. Status Detalhe Campos FY24'!$C$7:$C$575,'1. Status Resumo FY24'!$H$71,'2. Status Detalhe Campos FY24'!$D$7:$D$575,"2. Campo")+COUNTIFS('2. Status Detalhe Campos FY24'!$H$7:$H$575,'1. Status Resumo FY24'!$P101,'2. Status Detalhe Campos FY24'!$C$7:$C$575,'1. Status Resumo FY24'!$G$95,'2. Status Detalhe Campos FY24'!$D$7:$D$575,"2. Campo")+COUNTIFS('2. Status Detalhe Campos FY24'!$H$7:$H$575,'1. Status Resumo FY24'!$P101,'2. Status Detalhe Campos FY24'!$C$7:$C$575,'1. Status Resumo FY24'!$H$95,'2. Status Detalhe Campos FY24'!$D$7:$D$575,"2. Campo")+COUNTIFS(Table4[Status Anterior],'1. Status Resumo FY24'!$P136,Table4[Sub-âmbito],'1. Status Resumo FY24'!$G$130,Table4[Tipo de teste],"2. Campo")</f>
        <v>6</v>
      </c>
      <c r="U19" s="26">
        <f>COUNTIFS('2. Status Detalhe Campos FY24'!$G$7:$G$575,'1. Status Resumo FY24'!$P77,'2. Status Detalhe Campos FY24'!$C$7:$C$575,'1. Status Resumo FY24'!$G$71,'2. Status Detalhe Campos FY24'!$D$7:$D$575,"2. Campo")+COUNTIFS('2. Status Detalhe Campos FY24'!$G$7:$G$575,'1. Status Resumo FY24'!$P77,'2. Status Detalhe Campos FY24'!$C$7:$C$575,'1. Status Resumo FY24'!$H$71,'2. Status Detalhe Campos FY24'!$D$7:$D$575,"2. Campo")+COUNTIFS('2. Status Detalhe Campos FY24'!$G$7:$G$575,'1. Status Resumo FY24'!$P101,'2. Status Detalhe Campos FY24'!$C$7:$C$575,'1. Status Resumo FY24'!$G$95,'2. Status Detalhe Campos FY24'!$D$7:$D$575,"2. Campo")+COUNTIFS('2. Status Detalhe Campos FY24'!$G$7:$G$575,'1. Status Resumo FY24'!$P101,'2. Status Detalhe Campos FY24'!$C$7:$C$575,'1. Status Resumo FY24'!$H$95,'2. Status Detalhe Campos FY24'!$D$7:$D$575,"2. Campo")+COUNTIFS(Table4[Status Atual],'1. Status Resumo FY24'!$P136,Table4[Sub-âmbito],'1. Status Resumo FY24'!$G$130,Table4[Tipo de teste],"2. Campo")</f>
        <v>3</v>
      </c>
      <c r="V19" s="26">
        <f t="shared" si="0"/>
        <v>-3</v>
      </c>
      <c r="W19" s="339"/>
      <c r="X19" s="447"/>
      <c r="Y19" s="448"/>
      <c r="Z19" s="448"/>
      <c r="AA19" s="448"/>
      <c r="AB19" s="448"/>
      <c r="AC19" s="448"/>
      <c r="AD19" s="448"/>
      <c r="AE19" s="448"/>
      <c r="AF19" s="449"/>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 FY24'!$H$7:$H$575,'1. Status Resumo FY24'!$P78,'2. Status Detalhe Campos FY24'!$C$7:$C$575,'1. Status Resumo FY24'!$G$71,'2. Status Detalhe Campos FY24'!$D$7:$D$575,"2. Campo")+COUNTIFS('2. Status Detalhe Campos FY24'!$H$7:$H$575,'1. Status Resumo FY24'!$P78,'2. Status Detalhe Campos FY24'!$C$7:$C$575,'1. Status Resumo FY24'!$H$71,'2. Status Detalhe Campos FY24'!$D$7:$D$575,"2. Campo")+COUNTIFS('2. Status Detalhe Campos FY24'!$H$7:$H$575,'1. Status Resumo FY24'!$P102,'2. Status Detalhe Campos FY24'!$C$7:$C$575,'1. Status Resumo FY24'!$G$95,'2. Status Detalhe Campos FY24'!$D$7:$D$575,"2. Campo")+COUNTIFS('2. Status Detalhe Campos FY24'!$H$7:$H$575,'1. Status Resumo FY24'!$P102,'2. Status Detalhe Campos FY24'!$C$7:$C$575,'1. Status Resumo FY24'!$H$95,'2. Status Detalhe Campos FY24'!$D$7:$D$575,"2. Campo")+COUNTIFS(Table4[Status Anterior],'1. Status Resumo FY24'!$P137,Table4[Sub-âmbito],'1. Status Resumo FY24'!$G$130,Table4[Tipo de teste],"2. Campo")</f>
        <v>17</v>
      </c>
      <c r="U20" s="26">
        <f>COUNTIFS('2. Status Detalhe Campos FY24'!$G$7:$G$575,'1. Status Resumo FY24'!$P78,'2. Status Detalhe Campos FY24'!$C$7:$C$575,'1. Status Resumo FY24'!$G$71,'2. Status Detalhe Campos FY24'!$D$7:$D$575,"2. Campo")+COUNTIFS('2. Status Detalhe Campos FY24'!$G$7:$G$575,'1. Status Resumo FY24'!$P78,'2. Status Detalhe Campos FY24'!$C$7:$C$575,'1. Status Resumo FY24'!$H$71,'2. Status Detalhe Campos FY24'!$D$7:$D$575,"2. Campo")+COUNTIFS('2. Status Detalhe Campos FY24'!$G$7:$G$575,'1. Status Resumo FY24'!$P102,'2. Status Detalhe Campos FY24'!$C$7:$C$575,'1. Status Resumo FY24'!$G$95,'2. Status Detalhe Campos FY24'!$D$7:$D$575,"2. Campo")+COUNTIFS('2. Status Detalhe Campos FY24'!$G$7:$G$575,'1. Status Resumo FY24'!$P102,'2. Status Detalhe Campos FY24'!$C$7:$C$575,'1. Status Resumo FY24'!$H$95,'2. Status Detalhe Campos FY24'!$D$7:$D$575,"2. Campo")+COUNTIFS(Table4[Status Atual],'1. Status Resumo FY24'!$P137,Table4[Sub-âmbito],'1. Status Resumo FY24'!$G$130,Table4[Tipo de teste],"2. Campo")</f>
        <v>18</v>
      </c>
      <c r="V20" s="26">
        <f t="shared" si="0"/>
        <v>1</v>
      </c>
      <c r="W20" s="339"/>
      <c r="X20" s="447"/>
      <c r="Y20" s="448"/>
      <c r="Z20" s="448"/>
      <c r="AA20" s="448"/>
      <c r="AB20" s="448"/>
      <c r="AC20" s="448"/>
      <c r="AD20" s="448"/>
      <c r="AE20" s="448"/>
      <c r="AF20" s="449"/>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 FY24'!$H$7:$H$575,'1. Status Resumo FY24'!$P79,'2. Status Detalhe Campos FY24'!$C$7:$C$575,'1. Status Resumo FY24'!$G$71,'2. Status Detalhe Campos FY24'!$D$7:$D$575,"2. Campo")+COUNTIFS('2. Status Detalhe Campos FY24'!$H$7:$H$575,'1. Status Resumo FY24'!$P79,'2. Status Detalhe Campos FY24'!$C$7:$C$575,'1. Status Resumo FY24'!$H$71,'2. Status Detalhe Campos FY24'!$D$7:$D$575,"2. Campo")+COUNTIFS('2. Status Detalhe Campos FY24'!$H$7:$H$575,'1. Status Resumo FY24'!$P103,'2. Status Detalhe Campos FY24'!$C$7:$C$575,'1. Status Resumo FY24'!$G$95,'2. Status Detalhe Campos FY24'!$D$7:$D$575,"2. Campo")+COUNTIFS('2. Status Detalhe Campos FY24'!$H$7:$H$575,'1. Status Resumo FY24'!$P103,'2. Status Detalhe Campos FY24'!$C$7:$C$575,'1. Status Resumo FY24'!$H$95,'2. Status Detalhe Campos FY24'!$D$7:$D$575,"2. Campo")+COUNTIFS(Table4[Status Anterior],'1. Status Resumo FY24'!$P138,Table4[Sub-âmbito],'1. Status Resumo FY24'!$G$130,Table4[Tipo de teste],"2. Campo")</f>
        <v>10</v>
      </c>
      <c r="U21" s="26">
        <f>COUNTIFS('2. Status Detalhe Campos FY24'!$G$7:$G$575,'1. Status Resumo FY24'!$P79,'2. Status Detalhe Campos FY24'!$C$7:$C$575,'1. Status Resumo FY24'!$G$71,'2. Status Detalhe Campos FY24'!$D$7:$D$575,"2. Campo")+COUNTIFS('2. Status Detalhe Campos FY24'!$G$7:$G$575,'1. Status Resumo FY24'!$P79,'2. Status Detalhe Campos FY24'!$C$7:$C$575,'1. Status Resumo FY24'!$H$71,'2. Status Detalhe Campos FY24'!$D$7:$D$575,"2. Campo")+COUNTIFS('2. Status Detalhe Campos FY24'!$G$7:$G$575,'1. Status Resumo FY24'!$P103,'2. Status Detalhe Campos FY24'!$C$7:$C$575,'1. Status Resumo FY24'!$G$95,'2. Status Detalhe Campos FY24'!$D$7:$D$575,"2. Campo")+COUNTIFS('2. Status Detalhe Campos FY24'!$G$7:$G$575,'1. Status Resumo FY24'!$P103,'2. Status Detalhe Campos FY24'!$C$7:$C$575,'1. Status Resumo FY24'!$H$95,'2. Status Detalhe Campos FY24'!$D$7:$D$575,"2. Campo")+COUNTIFS(Table4[Status Atual],'1. Status Resumo FY24'!$P138,Table4[Sub-âmbito],'1. Status Resumo FY24'!$G$130,Table4[Tipo de teste],"2. Campo")</f>
        <v>3</v>
      </c>
      <c r="V21" s="26">
        <f t="shared" si="0"/>
        <v>-7</v>
      </c>
      <c r="W21" s="339"/>
      <c r="X21" s="447"/>
      <c r="Y21" s="448"/>
      <c r="Z21" s="448"/>
      <c r="AA21" s="448"/>
      <c r="AB21" s="448"/>
      <c r="AC21" s="448"/>
      <c r="AD21" s="448"/>
      <c r="AE21" s="448"/>
      <c r="AF21" s="449"/>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 FY24'!$H$7:$H$575,'1. Status Resumo FY24'!$P80,'2. Status Detalhe Campos FY24'!$C$7:$C$575,'1. Status Resumo FY24'!$G$71,'2. Status Detalhe Campos FY24'!$D$7:$D$575,"2. Campo")+COUNTIFS('2. Status Detalhe Campos FY24'!$H$7:$H$575,'1. Status Resumo FY24'!$P80,'2. Status Detalhe Campos FY24'!$C$7:$C$575,'1. Status Resumo FY24'!$H$71,'2. Status Detalhe Campos FY24'!$D$7:$D$575,"2. Campo")+COUNTIFS('2. Status Detalhe Campos FY24'!$H$7:$H$575,'1. Status Resumo FY24'!$P104,'2. Status Detalhe Campos FY24'!$C$7:$C$575,'1. Status Resumo FY24'!$G$95,'2. Status Detalhe Campos FY24'!$D$7:$D$575,"2. Campo")+COUNTIFS('2. Status Detalhe Campos FY24'!$H$7:$H$575,'1. Status Resumo FY24'!$P104,'2. Status Detalhe Campos FY24'!$C$7:$C$575,'1. Status Resumo FY24'!$H$95,'2. Status Detalhe Campos FY24'!$D$7:$D$575,"2. Campo")+COUNTIFS(Table4[Status Anterior],'1. Status Resumo FY24'!$P139,Table4[Sub-âmbito],'1. Status Resumo FY24'!$G$130,Table4[Tipo de teste],"2. Campo")</f>
        <v>15</v>
      </c>
      <c r="U22" s="26">
        <f>COUNTIFS('2. Status Detalhe Campos FY24'!$G$7:$G$575,'1. Status Resumo FY24'!$P80,'2. Status Detalhe Campos FY24'!$C$7:$C$575,'1. Status Resumo FY24'!$G$71,'2. Status Detalhe Campos FY24'!$D$7:$D$575,"2. Campo")+COUNTIFS('2. Status Detalhe Campos FY24'!$G$7:$G$575,'1. Status Resumo FY24'!$P80,'2. Status Detalhe Campos FY24'!$C$7:$C$575,'1. Status Resumo FY24'!$H$71,'2. Status Detalhe Campos FY24'!$D$7:$D$575,"2. Campo")+COUNTIFS('2. Status Detalhe Campos FY24'!$G$7:$G$575,'1. Status Resumo FY24'!$P104,'2. Status Detalhe Campos FY24'!$C$7:$C$575,'1. Status Resumo FY24'!$G$95,'2. Status Detalhe Campos FY24'!$D$7:$D$575,"2. Campo")+COUNTIFS('2. Status Detalhe Campos FY24'!$G$7:$G$575,'1. Status Resumo FY24'!$P104,'2. Status Detalhe Campos FY24'!$C$7:$C$575,'1. Status Resumo FY24'!$H$95,'2. Status Detalhe Campos FY24'!$D$7:$D$575,"2. Campo")+COUNTIFS(Table4[Status Atual],'1. Status Resumo FY24'!$P139,Table4[Sub-âmbito],'1. Status Resumo FY24'!$G$130,Table4[Tipo de teste],"2. Campo")</f>
        <v>15</v>
      </c>
      <c r="V22" s="26">
        <f t="shared" si="0"/>
        <v>0</v>
      </c>
      <c r="W22" s="339"/>
      <c r="X22" s="447"/>
      <c r="Y22" s="448"/>
      <c r="Z22" s="448"/>
      <c r="AA22" s="448"/>
      <c r="AB22" s="448"/>
      <c r="AC22" s="448"/>
      <c r="AD22" s="448"/>
      <c r="AE22" s="448"/>
      <c r="AF22" s="449"/>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 FY24'!$H$7:$H$575,'1. Status Resumo FY24'!$P81,'2. Status Detalhe Campos FY24'!$C$7:$C$575,'1. Status Resumo FY24'!$G$71,'2. Status Detalhe Campos FY24'!$D$7:$D$575,"2. Campo")+COUNTIFS('2. Status Detalhe Campos FY24'!$H$7:$H$575,'1. Status Resumo FY24'!$P81,'2. Status Detalhe Campos FY24'!$C$7:$C$575,'1. Status Resumo FY24'!$H$71,'2. Status Detalhe Campos FY24'!$D$7:$D$575,"2. Campo")+COUNTIFS('2. Status Detalhe Campos FY24'!$H$7:$H$575,'1. Status Resumo FY24'!$P105,'2. Status Detalhe Campos FY24'!$C$7:$C$575,'1. Status Resumo FY24'!$G$95,'2. Status Detalhe Campos FY24'!$D$7:$D$575,"2. Campo")+COUNTIFS('2. Status Detalhe Campos FY24'!$H$7:$H$575,'1. Status Resumo FY24'!$P105,'2. Status Detalhe Campos FY24'!$C$7:$C$575,'1. Status Resumo FY24'!$H$95,'2. Status Detalhe Campos FY24'!$D$7:$D$575,"2. Campo")+COUNTIFS(Table4[Status Anterior],'1. Status Resumo FY24'!$P140,Table4[Sub-âmbito],'1. Status Resumo FY24'!$G$130,Table4[Tipo de teste],"2. Campo")</f>
        <v>1</v>
      </c>
      <c r="U23" s="26">
        <f>COUNTIFS('2. Status Detalhe Campos FY24'!$G$7:$G$575,'1. Status Resumo FY24'!$P81,'2. Status Detalhe Campos FY24'!$C$7:$C$575,'1. Status Resumo FY24'!$G$71,'2. Status Detalhe Campos FY24'!$D$7:$D$575,"2. Campo")+COUNTIFS('2. Status Detalhe Campos FY24'!$G$7:$G$575,'1. Status Resumo FY24'!$P81,'2. Status Detalhe Campos FY24'!$C$7:$C$575,'1. Status Resumo FY24'!$H$71,'2. Status Detalhe Campos FY24'!$D$7:$D$575,"2. Campo")+COUNTIFS('2. Status Detalhe Campos FY24'!$G$7:$G$575,'1. Status Resumo FY24'!$P105,'2. Status Detalhe Campos FY24'!$C$7:$C$575,'1. Status Resumo FY24'!$G$95,'2. Status Detalhe Campos FY24'!$D$7:$D$575,"2. Campo")+COUNTIFS('2. Status Detalhe Campos FY24'!$G$7:$G$575,'1. Status Resumo FY24'!$P105,'2. Status Detalhe Campos FY24'!$C$7:$C$575,'1. Status Resumo FY24'!$H$95,'2. Status Detalhe Campos FY24'!$D$7:$D$575,"2. Campo")+COUNTIFS(Table4[Status Atual],'1. Status Resumo FY24'!$P140,Table4[Sub-âmbito],'1. Status Resumo FY24'!$G$130,Table4[Tipo de teste],"2. Campo")</f>
        <v>0</v>
      </c>
      <c r="V23" s="26">
        <f t="shared" si="0"/>
        <v>-1</v>
      </c>
      <c r="W23" s="339"/>
      <c r="X23" s="447"/>
      <c r="Y23" s="448"/>
      <c r="Z23" s="448"/>
      <c r="AA23" s="448"/>
      <c r="AB23" s="448"/>
      <c r="AC23" s="448"/>
      <c r="AD23" s="448"/>
      <c r="AE23" s="448"/>
      <c r="AF23" s="449"/>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 FY24'!$H$7:$H$575,'1. Status Resumo FY24'!$P82,'2. Status Detalhe Campos FY24'!$C$7:$C$575,'1. Status Resumo FY24'!$G$71,'2. Status Detalhe Campos FY24'!$D$7:$D$575,"2. Campo")+COUNTIFS('2. Status Detalhe Campos FY24'!$H$7:$H$575,'1. Status Resumo FY24'!$P82,'2. Status Detalhe Campos FY24'!$C$7:$C$575,'1. Status Resumo FY24'!$H$71,'2. Status Detalhe Campos FY24'!$D$7:$D$575,"2. Campo")+COUNTIFS('2. Status Detalhe Campos FY24'!$H$7:$H$575,'1. Status Resumo FY24'!$P106,'2. Status Detalhe Campos FY24'!$C$7:$C$575,'1. Status Resumo FY24'!$G$95,'2. Status Detalhe Campos FY24'!$D$7:$D$575,"2. Campo")+COUNTIFS('2. Status Detalhe Campos FY24'!$H$7:$H$575,'1. Status Resumo FY24'!$P106,'2. Status Detalhe Campos FY24'!$C$7:$C$575,'1. Status Resumo FY24'!$H$95,'2. Status Detalhe Campos FY24'!$D$7:$D$575,"2. Campo")+COUNTIFS(Table4[Status Anterior],'1. Status Resumo FY24'!$P141,Table4[Sub-âmbito],'1. Status Resumo FY24'!$G$130,Table4[Tipo de teste],"2. Campo")</f>
        <v>6</v>
      </c>
      <c r="U24" s="26">
        <f>COUNTIFS('2. Status Detalhe Campos FY24'!$G$7:$G$575,'1. Status Resumo FY24'!$P82,'2. Status Detalhe Campos FY24'!$C$7:$C$575,'1. Status Resumo FY24'!$G$71,'2. Status Detalhe Campos FY24'!$D$7:$D$575,"2. Campo")+COUNTIFS('2. Status Detalhe Campos FY24'!$G$7:$G$575,'1. Status Resumo FY24'!$P82,'2. Status Detalhe Campos FY24'!$C$7:$C$575,'1. Status Resumo FY24'!$H$71,'2. Status Detalhe Campos FY24'!$D$7:$D$575,"2. Campo")+COUNTIFS('2. Status Detalhe Campos FY24'!$G$7:$G$575,'1. Status Resumo FY24'!$P106,'2. Status Detalhe Campos FY24'!$C$7:$C$575,'1. Status Resumo FY24'!$G$95,'2. Status Detalhe Campos FY24'!$D$7:$D$575,"2. Campo")+COUNTIFS('2. Status Detalhe Campos FY24'!$G$7:$G$575,'1. Status Resumo FY24'!$P106,'2. Status Detalhe Campos FY24'!$C$7:$C$575,'1. Status Resumo FY24'!$H$95,'2. Status Detalhe Campos FY24'!$D$7:$D$575,"2. Campo")+COUNTIFS(Table4[Status Atual],'1. Status Resumo FY24'!$P141,Table4[Sub-âmbito],'1. Status Resumo FY24'!$G$130,Table4[Tipo de teste],"2. Campo")</f>
        <v>6</v>
      </c>
      <c r="V24" s="26">
        <f t="shared" si="0"/>
        <v>0</v>
      </c>
      <c r="W24" s="339"/>
      <c r="X24" s="447"/>
      <c r="Y24" s="448"/>
      <c r="Z24" s="448"/>
      <c r="AA24" s="448"/>
      <c r="AB24" s="448"/>
      <c r="AC24" s="448"/>
      <c r="AD24" s="448"/>
      <c r="AE24" s="448"/>
      <c r="AF24" s="449"/>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 FY24'!$H$7:$H$575,'1. Status Resumo FY24'!$P83,'2. Status Detalhe Campos FY24'!$C$7:$C$575,'1. Status Resumo FY24'!$G$71,'2. Status Detalhe Campos FY24'!$D$7:$D$575,"2. Campo")+COUNTIFS('2. Status Detalhe Campos FY24'!$H$7:$H$575,'1. Status Resumo FY24'!$P83,'2. Status Detalhe Campos FY24'!$C$7:$C$575,'1. Status Resumo FY24'!$H$71,'2. Status Detalhe Campos FY24'!$D$7:$D$575,"2. Campo")+COUNTIFS('2. Status Detalhe Campos FY24'!$H$7:$H$575,'1. Status Resumo FY24'!$P107,'2. Status Detalhe Campos FY24'!$C$7:$C$575,'1. Status Resumo FY24'!$G$95,'2. Status Detalhe Campos FY24'!$D$7:$D$575,"2. Campo")+COUNTIFS('2. Status Detalhe Campos FY24'!$H$7:$H$575,'1. Status Resumo FY24'!$P107,'2. Status Detalhe Campos FY24'!$C$7:$C$575,'1. Status Resumo FY24'!$H$95,'2. Status Detalhe Campos FY24'!$D$7:$D$575,"2. Campo")+COUNTIFS(Table4[Status Anterior],'1. Status Resumo FY24'!$P142,Table4[Sub-âmbito],'1. Status Resumo FY24'!$G$130,Table4[Tipo de teste],"2. Campo")</f>
        <v>0</v>
      </c>
      <c r="U25" s="26">
        <f>COUNTIFS('2. Status Detalhe Campos FY24'!$G$7:$G$575,'1. Status Resumo FY24'!$P83,'2. Status Detalhe Campos FY24'!$C$7:$C$575,'1. Status Resumo FY24'!$G$71,'2. Status Detalhe Campos FY24'!$D$7:$D$575,"2. Campo")+COUNTIFS('2. Status Detalhe Campos FY24'!$G$7:$G$575,'1. Status Resumo FY24'!$P83,'2. Status Detalhe Campos FY24'!$C$7:$C$575,'1. Status Resumo FY24'!$H$71,'2. Status Detalhe Campos FY24'!$D$7:$D$575,"2. Campo")+COUNTIFS('2. Status Detalhe Campos FY24'!$G$7:$G$575,'1. Status Resumo FY24'!$P107,'2. Status Detalhe Campos FY24'!$C$7:$C$575,'1. Status Resumo FY24'!$G$95,'2. Status Detalhe Campos FY24'!$D$7:$D$575,"2. Campo")+COUNTIFS('2. Status Detalhe Campos FY24'!$G$7:$G$575,'1. Status Resumo FY24'!$P107,'2. Status Detalhe Campos FY24'!$C$7:$C$575,'1. Status Resumo FY24'!$H$95,'2. Status Detalhe Campos FY24'!$D$7:$D$575,"2. Campo")+COUNTIFS(Table4[Status Atual],'1. Status Resumo FY24'!$P142,Table4[Sub-âmbito],'1. Status Resumo FY24'!$G$130,Table4[Tipo de teste],"2. Campo")</f>
        <v>0</v>
      </c>
      <c r="V25" s="26">
        <f t="shared" si="0"/>
        <v>0</v>
      </c>
      <c r="W25" s="339"/>
      <c r="X25" s="447"/>
      <c r="Y25" s="448"/>
      <c r="Z25" s="448"/>
      <c r="AA25" s="448"/>
      <c r="AB25" s="448"/>
      <c r="AC25" s="448"/>
      <c r="AD25" s="448"/>
      <c r="AE25" s="448"/>
      <c r="AF25" s="449"/>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550</v>
      </c>
      <c r="W26" s="339"/>
      <c r="X26" s="450"/>
      <c r="Y26" s="451"/>
      <c r="Z26" s="451"/>
      <c r="AA26" s="451"/>
      <c r="AB26" s="451"/>
      <c r="AC26" s="451"/>
      <c r="AD26" s="451"/>
      <c r="AE26" s="451"/>
      <c r="AF26" s="452"/>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2026</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39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2"/>
      <c r="AG34" s="353"/>
      <c r="AH34" s="396"/>
    </row>
    <row r="35" spans="1:34" s="348" customFormat="1" ht="17.399999999999999" customHeight="1">
      <c r="A35" s="117"/>
      <c r="B35" s="352"/>
      <c r="C35" s="358"/>
      <c r="D35" s="359" t="s">
        <v>2034</v>
      </c>
      <c r="E35" s="359" t="s">
        <v>2035</v>
      </c>
      <c r="F35" s="359" t="s">
        <v>2036</v>
      </c>
      <c r="G35" s="369" t="s">
        <v>2027</v>
      </c>
      <c r="H35" s="370">
        <v>45674</v>
      </c>
      <c r="I35" s="381">
        <v>45674</v>
      </c>
      <c r="J35" s="370">
        <v>45678</v>
      </c>
      <c r="K35" s="369" t="s">
        <v>2031</v>
      </c>
      <c r="L35" s="353"/>
      <c r="M35" s="353"/>
      <c r="N35" s="353"/>
      <c r="O35" s="353"/>
      <c r="P35" s="385"/>
      <c r="Q35" s="385"/>
      <c r="R35" s="401"/>
      <c r="S35" s="399"/>
      <c r="T35" s="399"/>
      <c r="U35" s="411" t="s">
        <v>633</v>
      </c>
      <c r="V35" s="411"/>
      <c r="W35" s="411"/>
      <c r="X35" s="411"/>
      <c r="Y35" s="411"/>
      <c r="Z35" s="411"/>
      <c r="AA35" s="411"/>
      <c r="AB35" s="411"/>
      <c r="AC35" s="411"/>
      <c r="AD35" s="398"/>
      <c r="AE35" s="398"/>
      <c r="AF35" s="398"/>
      <c r="AG35" s="382"/>
      <c r="AH35" s="396"/>
    </row>
    <row r="36" spans="1:34" s="348" customFormat="1">
      <c r="A36" s="117"/>
      <c r="B36" s="352"/>
      <c r="C36" s="359" t="s">
        <v>2029</v>
      </c>
      <c r="D36" s="360">
        <f>T84</f>
        <v>169</v>
      </c>
      <c r="E36" s="360">
        <f>T76</f>
        <v>147</v>
      </c>
      <c r="F36" s="360">
        <f>T75</f>
        <v>10</v>
      </c>
      <c r="G36" s="361">
        <f>D36-E36-F36</f>
        <v>12</v>
      </c>
      <c r="H36" s="360">
        <v>0</v>
      </c>
      <c r="I36" s="360">
        <v>0</v>
      </c>
      <c r="J36" s="360">
        <v>0</v>
      </c>
      <c r="K36" s="403">
        <f>SUM(H36:J36)</f>
        <v>0</v>
      </c>
      <c r="L36" s="353"/>
      <c r="M36" s="353"/>
      <c r="N36" s="353"/>
      <c r="O36" s="353"/>
      <c r="P36" s="385"/>
      <c r="Q36" s="385"/>
      <c r="R36" s="401"/>
      <c r="S36" s="399"/>
      <c r="T36" s="399"/>
      <c r="U36" s="411"/>
      <c r="V36" s="411"/>
      <c r="W36" s="411"/>
      <c r="X36" s="453" t="s">
        <v>2074</v>
      </c>
      <c r="Y36" s="454"/>
      <c r="Z36" s="454"/>
      <c r="AA36" s="454"/>
      <c r="AB36" s="454"/>
      <c r="AC36" s="454"/>
      <c r="AD36" s="454"/>
      <c r="AE36" s="454"/>
      <c r="AF36" s="455"/>
      <c r="AG36" s="382"/>
      <c r="AH36" s="396"/>
    </row>
    <row r="37" spans="1:34" s="348" customFormat="1">
      <c r="A37" s="117"/>
      <c r="B37" s="352"/>
      <c r="C37" s="359" t="s">
        <v>2030</v>
      </c>
      <c r="D37" s="360">
        <f>T108</f>
        <v>245</v>
      </c>
      <c r="E37" s="360">
        <f>T100</f>
        <v>204</v>
      </c>
      <c r="F37" s="360">
        <f>T99</f>
        <v>14</v>
      </c>
      <c r="G37" s="361">
        <f>D37-E37-F37</f>
        <v>27</v>
      </c>
      <c r="H37" s="360">
        <v>4</v>
      </c>
      <c r="I37" s="360">
        <v>7</v>
      </c>
      <c r="J37" s="360">
        <v>0</v>
      </c>
      <c r="K37" s="403">
        <f>SUM(I37:J37)</f>
        <v>7</v>
      </c>
      <c r="L37" s="353"/>
      <c r="M37" s="353"/>
      <c r="N37" s="353"/>
      <c r="O37" s="353"/>
      <c r="P37" s="385"/>
      <c r="Q37" s="385"/>
      <c r="R37" s="401"/>
      <c r="S37" s="399"/>
      <c r="T37" s="399"/>
      <c r="U37" s="411"/>
      <c r="V37" s="411"/>
      <c r="W37" s="411"/>
      <c r="X37" s="456"/>
      <c r="Y37" s="457"/>
      <c r="Z37" s="457"/>
      <c r="AA37" s="457"/>
      <c r="AB37" s="457"/>
      <c r="AC37" s="457"/>
      <c r="AD37" s="457"/>
      <c r="AE37" s="457"/>
      <c r="AF37" s="458"/>
      <c r="AG37" s="382"/>
      <c r="AH37" s="396"/>
    </row>
    <row r="38" spans="1:34" s="348" customFormat="1" ht="18" thickBot="1">
      <c r="A38" s="117"/>
      <c r="B38" s="352"/>
      <c r="C38" s="359" t="s">
        <v>26</v>
      </c>
      <c r="D38" s="360">
        <f>T143</f>
        <v>135</v>
      </c>
      <c r="E38" s="360">
        <f>T135</f>
        <v>119</v>
      </c>
      <c r="F38" s="360">
        <f>T134</f>
        <v>0</v>
      </c>
      <c r="G38" s="361">
        <f>D38-E38-F38</f>
        <v>16</v>
      </c>
      <c r="H38" s="360">
        <v>6</v>
      </c>
      <c r="I38" s="360">
        <v>8</v>
      </c>
      <c r="J38" s="360">
        <v>3</v>
      </c>
      <c r="K38" s="361">
        <f>SUM(I38:J38)</f>
        <v>11</v>
      </c>
      <c r="L38" s="353"/>
      <c r="M38" s="353"/>
      <c r="N38" s="353"/>
      <c r="O38" s="353"/>
      <c r="P38" s="385"/>
      <c r="Q38" s="385"/>
      <c r="R38" s="401"/>
      <c r="S38" s="399"/>
      <c r="T38" s="399"/>
      <c r="U38" s="411"/>
      <c r="V38" s="411"/>
      <c r="W38" s="411"/>
      <c r="X38" s="456"/>
      <c r="Y38" s="457"/>
      <c r="Z38" s="457"/>
      <c r="AA38" s="457"/>
      <c r="AB38" s="457"/>
      <c r="AC38" s="457"/>
      <c r="AD38" s="457"/>
      <c r="AE38" s="457"/>
      <c r="AF38" s="458"/>
      <c r="AG38" s="382"/>
      <c r="AH38" s="396"/>
    </row>
    <row r="39" spans="1:34" s="348" customFormat="1" ht="18" thickBot="1">
      <c r="A39" s="117"/>
      <c r="B39" s="352"/>
      <c r="C39" s="362" t="s">
        <v>2028</v>
      </c>
      <c r="D39" s="363">
        <f t="shared" ref="D39:I39" si="1">SUM(D36:D38)</f>
        <v>549</v>
      </c>
      <c r="E39" s="363">
        <f t="shared" si="1"/>
        <v>470</v>
      </c>
      <c r="F39" s="363">
        <f t="shared" si="1"/>
        <v>24</v>
      </c>
      <c r="G39" s="364">
        <f t="shared" si="1"/>
        <v>55</v>
      </c>
      <c r="H39" s="363">
        <f t="shared" si="1"/>
        <v>10</v>
      </c>
      <c r="I39" s="363">
        <f t="shared" si="1"/>
        <v>15</v>
      </c>
      <c r="J39" s="363">
        <v>0</v>
      </c>
      <c r="K39" s="364">
        <f>SUM(K36:K38)</f>
        <v>18</v>
      </c>
      <c r="L39" s="353"/>
      <c r="M39" s="353"/>
      <c r="N39" s="353"/>
      <c r="O39" s="353"/>
      <c r="P39" s="385"/>
      <c r="Q39" s="385"/>
      <c r="R39" s="401"/>
      <c r="S39" s="399"/>
      <c r="T39" s="399"/>
      <c r="U39" s="411"/>
      <c r="V39" s="411"/>
      <c r="W39" s="411"/>
      <c r="X39" s="456"/>
      <c r="Y39" s="457"/>
      <c r="Z39" s="457"/>
      <c r="AA39" s="457"/>
      <c r="AB39" s="457"/>
      <c r="AC39" s="457"/>
      <c r="AD39" s="457"/>
      <c r="AE39" s="457"/>
      <c r="AF39" s="458"/>
      <c r="AG39" s="382"/>
      <c r="AH39" s="396"/>
    </row>
    <row r="40" spans="1:34" s="348" customFormat="1">
      <c r="A40" s="117"/>
      <c r="B40" s="352"/>
      <c r="C40" s="353" t="s">
        <v>13</v>
      </c>
      <c r="D40" s="353"/>
      <c r="E40" s="365">
        <f>E39/$D$39</f>
        <v>0.85610200364298727</v>
      </c>
      <c r="F40" s="365">
        <f>F39/$D$39</f>
        <v>4.3715846994535519E-2</v>
      </c>
      <c r="G40" s="365">
        <f>G39/$D$39</f>
        <v>0.10018214936247723</v>
      </c>
      <c r="H40" s="353"/>
      <c r="I40" s="353"/>
      <c r="J40" s="353"/>
      <c r="K40" s="353"/>
      <c r="L40" s="353"/>
      <c r="M40" s="353"/>
      <c r="N40" s="353"/>
      <c r="O40" s="353"/>
      <c r="P40" s="353"/>
      <c r="Q40" s="353"/>
      <c r="R40" s="353"/>
      <c r="S40" s="353"/>
      <c r="T40" s="380"/>
      <c r="U40" s="380"/>
      <c r="V40" s="400"/>
      <c r="W40" s="400"/>
      <c r="X40" s="456"/>
      <c r="Y40" s="457"/>
      <c r="Z40" s="457"/>
      <c r="AA40" s="457"/>
      <c r="AB40" s="457"/>
      <c r="AC40" s="457"/>
      <c r="AD40" s="457"/>
      <c r="AE40" s="457"/>
      <c r="AF40" s="458"/>
      <c r="AG40" s="382"/>
      <c r="AH40" s="396"/>
    </row>
    <row r="41" spans="1:34">
      <c r="A41" s="117"/>
      <c r="B41" s="352"/>
      <c r="C41" s="366" t="s">
        <v>2032</v>
      </c>
      <c r="D41" s="353"/>
      <c r="E41" s="367">
        <f>E39/($D$39-$F$39)</f>
        <v>0.89523809523809528</v>
      </c>
      <c r="F41" s="368" t="s">
        <v>2033</v>
      </c>
      <c r="G41" s="367">
        <f>G39/($D$39-$F$39)</f>
        <v>0.10476190476190476</v>
      </c>
      <c r="H41" s="353"/>
      <c r="I41" s="353"/>
      <c r="J41" s="353"/>
      <c r="K41" s="353"/>
      <c r="L41" s="353"/>
      <c r="M41" s="353"/>
      <c r="N41" s="353"/>
      <c r="O41" s="353"/>
      <c r="P41" s="353"/>
      <c r="Q41" s="353"/>
      <c r="R41" s="353"/>
      <c r="S41" s="353"/>
      <c r="T41" s="380"/>
      <c r="U41" s="380"/>
      <c r="V41" s="400"/>
      <c r="W41" s="400"/>
      <c r="X41" s="456"/>
      <c r="Y41" s="457"/>
      <c r="Z41" s="457"/>
      <c r="AA41" s="457"/>
      <c r="AB41" s="457"/>
      <c r="AC41" s="457"/>
      <c r="AD41" s="457"/>
      <c r="AE41" s="457"/>
      <c r="AF41" s="458"/>
      <c r="AG41" s="382"/>
      <c r="AH41" s="396"/>
    </row>
    <row r="42" spans="1:34">
      <c r="A42" s="117"/>
      <c r="B42" s="352"/>
      <c r="C42" s="353"/>
      <c r="D42" s="353"/>
      <c r="E42" s="353"/>
      <c r="F42" s="353"/>
      <c r="G42" s="353"/>
      <c r="H42" s="353"/>
      <c r="I42" s="353"/>
      <c r="J42" s="353"/>
      <c r="K42" s="353"/>
      <c r="L42" s="353"/>
      <c r="M42" s="353"/>
      <c r="N42" s="353"/>
      <c r="O42" s="353"/>
      <c r="P42" s="353"/>
      <c r="Q42" s="353"/>
      <c r="R42" s="353"/>
      <c r="S42" s="353"/>
      <c r="T42" s="380"/>
      <c r="U42" s="380"/>
      <c r="V42" s="400"/>
      <c r="W42" s="400"/>
      <c r="X42" s="456"/>
      <c r="Y42" s="457"/>
      <c r="Z42" s="457"/>
      <c r="AA42" s="457"/>
      <c r="AB42" s="457"/>
      <c r="AC42" s="457"/>
      <c r="AD42" s="457"/>
      <c r="AE42" s="457"/>
      <c r="AF42" s="458"/>
      <c r="AG42" s="382"/>
      <c r="AH42" s="396"/>
    </row>
    <row r="43" spans="1:34">
      <c r="A43" s="117"/>
      <c r="B43" s="352"/>
      <c r="C43" s="353"/>
      <c r="D43" s="353"/>
      <c r="E43" s="353"/>
      <c r="F43" s="353"/>
      <c r="G43" s="353"/>
      <c r="H43" s="353"/>
      <c r="I43" s="353"/>
      <c r="J43" s="353"/>
      <c r="K43" s="353"/>
      <c r="L43" s="353"/>
      <c r="M43" s="353"/>
      <c r="N43" s="353"/>
      <c r="O43" s="353"/>
      <c r="P43" s="353"/>
      <c r="Q43" s="353"/>
      <c r="R43" s="353"/>
      <c r="S43" s="353"/>
      <c r="T43" s="380"/>
      <c r="U43" s="380"/>
      <c r="V43" s="400"/>
      <c r="W43" s="400"/>
      <c r="X43" s="456"/>
      <c r="Y43" s="457"/>
      <c r="Z43" s="457"/>
      <c r="AA43" s="457"/>
      <c r="AB43" s="457"/>
      <c r="AC43" s="457"/>
      <c r="AD43" s="457"/>
      <c r="AE43" s="457"/>
      <c r="AF43" s="458"/>
      <c r="AG43" s="382"/>
      <c r="AH43" s="396"/>
    </row>
    <row r="44" spans="1:34">
      <c r="A44" s="117"/>
      <c r="B44" s="352"/>
      <c r="C44" s="358"/>
      <c r="D44" s="359" t="s">
        <v>2034</v>
      </c>
      <c r="E44" s="359" t="s">
        <v>2035</v>
      </c>
      <c r="F44" s="359" t="s">
        <v>2036</v>
      </c>
      <c r="G44" s="369" t="s">
        <v>2027</v>
      </c>
      <c r="H44" s="370">
        <v>45674</v>
      </c>
      <c r="I44" s="370">
        <v>45678</v>
      </c>
      <c r="J44" s="369" t="s">
        <v>2068</v>
      </c>
      <c r="K44" s="369" t="s">
        <v>2054</v>
      </c>
      <c r="L44" s="353"/>
      <c r="M44" s="353"/>
      <c r="N44" s="353"/>
      <c r="O44" s="353"/>
      <c r="P44" s="380"/>
      <c r="Q44" s="380"/>
      <c r="R44" s="380"/>
      <c r="S44" s="385"/>
      <c r="T44" s="383"/>
      <c r="U44" s="401"/>
      <c r="V44" s="411"/>
      <c r="W44" s="411"/>
      <c r="X44" s="456"/>
      <c r="Y44" s="457"/>
      <c r="Z44" s="457"/>
      <c r="AA44" s="457"/>
      <c r="AB44" s="457"/>
      <c r="AC44" s="457"/>
      <c r="AD44" s="457"/>
      <c r="AE44" s="457"/>
      <c r="AF44" s="458"/>
      <c r="AH44" s="396"/>
    </row>
    <row r="45" spans="1:34">
      <c r="A45" s="117"/>
      <c r="B45" s="352"/>
      <c r="C45" s="359" t="s">
        <v>2029</v>
      </c>
      <c r="D45" s="360">
        <f>U84</f>
        <v>170</v>
      </c>
      <c r="E45" s="360">
        <f>U76</f>
        <v>143</v>
      </c>
      <c r="F45" s="360">
        <f>U75</f>
        <v>10</v>
      </c>
      <c r="G45" s="361">
        <f>D45-E45-F45</f>
        <v>17</v>
      </c>
      <c r="H45" s="360">
        <v>0</v>
      </c>
      <c r="I45" s="360">
        <v>0</v>
      </c>
      <c r="J45" s="403">
        <f>SUM(I45)</f>
        <v>0</v>
      </c>
      <c r="K45" s="402">
        <f>G45-J45</f>
        <v>17</v>
      </c>
      <c r="L45" s="404" t="s">
        <v>2069</v>
      </c>
      <c r="M45" s="353"/>
      <c r="N45" s="353"/>
      <c r="O45" s="353"/>
      <c r="P45" s="380"/>
      <c r="Q45" s="380"/>
      <c r="R45" s="380"/>
      <c r="S45" s="385"/>
      <c r="T45" s="383"/>
      <c r="U45" s="401"/>
      <c r="V45" s="411"/>
      <c r="W45" s="411"/>
      <c r="X45" s="456"/>
      <c r="Y45" s="457"/>
      <c r="Z45" s="457"/>
      <c r="AA45" s="457"/>
      <c r="AB45" s="457"/>
      <c r="AC45" s="457"/>
      <c r="AD45" s="457"/>
      <c r="AE45" s="457"/>
      <c r="AF45" s="458"/>
      <c r="AH45" s="396"/>
    </row>
    <row r="46" spans="1:34">
      <c r="A46" s="117"/>
      <c r="B46" s="352"/>
      <c r="C46" s="359" t="s">
        <v>2030</v>
      </c>
      <c r="D46" s="360">
        <f>U108</f>
        <v>245</v>
      </c>
      <c r="E46" s="360">
        <f>U100</f>
        <v>211</v>
      </c>
      <c r="F46" s="360">
        <f>U99</f>
        <v>14</v>
      </c>
      <c r="G46" s="361">
        <f>D46-E46-F46</f>
        <v>20</v>
      </c>
      <c r="H46" s="360">
        <v>7</v>
      </c>
      <c r="I46" s="360">
        <v>0</v>
      </c>
      <c r="J46" s="403">
        <f>SUM(I46)</f>
        <v>0</v>
      </c>
      <c r="K46" s="402">
        <f>G46-J46</f>
        <v>20</v>
      </c>
      <c r="L46" s="405" t="s">
        <v>2072</v>
      </c>
      <c r="M46" s="353"/>
      <c r="N46" s="353"/>
      <c r="O46" s="353"/>
      <c r="P46" s="380"/>
      <c r="Q46" s="380"/>
      <c r="R46" s="380"/>
      <c r="S46" s="385"/>
      <c r="T46" s="383"/>
      <c r="U46" s="401"/>
      <c r="V46" s="411"/>
      <c r="W46" s="411"/>
      <c r="X46" s="456"/>
      <c r="Y46" s="457"/>
      <c r="Z46" s="457"/>
      <c r="AA46" s="457"/>
      <c r="AB46" s="457"/>
      <c r="AC46" s="457"/>
      <c r="AD46" s="457"/>
      <c r="AE46" s="457"/>
      <c r="AF46" s="458"/>
      <c r="AH46" s="396"/>
    </row>
    <row r="47" spans="1:34" ht="18" thickBot="1">
      <c r="A47" s="117"/>
      <c r="B47" s="352"/>
      <c r="C47" s="359" t="s">
        <v>26</v>
      </c>
      <c r="D47" s="360">
        <f>U143</f>
        <v>135</v>
      </c>
      <c r="E47" s="360">
        <f>U135</f>
        <v>123</v>
      </c>
      <c r="F47" s="360">
        <f>U134</f>
        <v>4</v>
      </c>
      <c r="G47" s="361">
        <f>D47-E47-F47</f>
        <v>8</v>
      </c>
      <c r="H47" s="360">
        <v>8</v>
      </c>
      <c r="I47" s="360">
        <v>3</v>
      </c>
      <c r="J47" s="403">
        <f>SUM(I47)</f>
        <v>3</v>
      </c>
      <c r="K47" s="402">
        <f t="shared" ref="K47" si="2">G47-J47</f>
        <v>5</v>
      </c>
      <c r="L47" s="404" t="s">
        <v>2070</v>
      </c>
      <c r="M47" s="353"/>
      <c r="N47" s="353"/>
      <c r="O47" s="353"/>
      <c r="P47" s="380"/>
      <c r="Q47" s="380"/>
      <c r="R47" s="380"/>
      <c r="S47" s="385"/>
      <c r="T47" s="383"/>
      <c r="U47" s="401"/>
      <c r="V47" s="411"/>
      <c r="W47" s="411"/>
      <c r="X47" s="456"/>
      <c r="Y47" s="457"/>
      <c r="Z47" s="457"/>
      <c r="AA47" s="457"/>
      <c r="AB47" s="457"/>
      <c r="AC47" s="457"/>
      <c r="AD47" s="457"/>
      <c r="AE47" s="457"/>
      <c r="AF47" s="458"/>
      <c r="AH47" s="396"/>
    </row>
    <row r="48" spans="1:34" ht="18" thickBot="1">
      <c r="A48" s="117"/>
      <c r="B48" s="352"/>
      <c r="C48" s="362" t="s">
        <v>2028</v>
      </c>
      <c r="D48" s="363">
        <f t="shared" ref="D48:H48" si="3">SUM(D45:D47)</f>
        <v>550</v>
      </c>
      <c r="E48" s="363">
        <f t="shared" si="3"/>
        <v>477</v>
      </c>
      <c r="F48" s="363">
        <f t="shared" si="3"/>
        <v>28</v>
      </c>
      <c r="G48" s="364">
        <f t="shared" si="3"/>
        <v>45</v>
      </c>
      <c r="H48" s="363">
        <f t="shared" si="3"/>
        <v>15</v>
      </c>
      <c r="I48" s="363">
        <v>0</v>
      </c>
      <c r="J48" s="406">
        <f>SUM(J45:J47)</f>
        <v>3</v>
      </c>
      <c r="K48" s="406">
        <f>SUM(K45:K47)</f>
        <v>42</v>
      </c>
      <c r="L48" s="353"/>
      <c r="M48" s="353"/>
      <c r="N48" s="353"/>
      <c r="O48" s="353"/>
      <c r="P48" s="380"/>
      <c r="Q48" s="380"/>
      <c r="R48" s="380"/>
      <c r="S48" s="385"/>
      <c r="T48" s="383"/>
      <c r="U48" s="401"/>
      <c r="V48" s="411"/>
      <c r="W48" s="411"/>
      <c r="X48" s="456"/>
      <c r="Y48" s="457"/>
      <c r="Z48" s="457"/>
      <c r="AA48" s="457"/>
      <c r="AB48" s="457"/>
      <c r="AC48" s="457"/>
      <c r="AD48" s="457"/>
      <c r="AE48" s="457"/>
      <c r="AF48" s="458"/>
      <c r="AH48" s="396"/>
    </row>
    <row r="49" spans="1:34">
      <c r="A49" s="117"/>
      <c r="B49" s="352"/>
      <c r="C49" s="353" t="s">
        <v>13</v>
      </c>
      <c r="D49" s="353"/>
      <c r="E49" s="365">
        <f>E48/$D$48</f>
        <v>0.86727272727272731</v>
      </c>
      <c r="F49" s="365">
        <f>F48/$D$48</f>
        <v>5.0909090909090911E-2</v>
      </c>
      <c r="G49" s="365">
        <f>G48/$D$48</f>
        <v>8.1818181818181818E-2</v>
      </c>
      <c r="H49" s="353"/>
      <c r="I49" s="353"/>
      <c r="J49" s="353"/>
      <c r="K49" s="353"/>
      <c r="L49" s="353"/>
      <c r="M49" s="353"/>
      <c r="N49" s="353"/>
      <c r="O49" s="353"/>
      <c r="P49" s="353"/>
      <c r="Q49" s="353"/>
      <c r="R49" s="353"/>
      <c r="S49" s="353"/>
      <c r="T49" s="380"/>
      <c r="U49" s="380"/>
      <c r="V49" s="400"/>
      <c r="W49" s="400"/>
      <c r="X49" s="456"/>
      <c r="Y49" s="457"/>
      <c r="Z49" s="457"/>
      <c r="AA49" s="457"/>
      <c r="AB49" s="457"/>
      <c r="AC49" s="457"/>
      <c r="AD49" s="457"/>
      <c r="AE49" s="457"/>
      <c r="AF49" s="458"/>
      <c r="AG49" s="382"/>
      <c r="AH49" s="396"/>
    </row>
    <row r="50" spans="1:34">
      <c r="A50" s="117"/>
      <c r="B50" s="352"/>
      <c r="C50" s="366" t="s">
        <v>2032</v>
      </c>
      <c r="D50" s="366"/>
      <c r="E50" s="367">
        <f>E48/($D$48-F48)</f>
        <v>0.91379310344827591</v>
      </c>
      <c r="F50" s="368" t="s">
        <v>2033</v>
      </c>
      <c r="G50" s="367">
        <f>G48/($D$48-F48)</f>
        <v>8.6206896551724144E-2</v>
      </c>
      <c r="H50" s="353"/>
      <c r="I50" s="353"/>
      <c r="J50" s="353"/>
      <c r="K50" s="353"/>
      <c r="L50" s="353"/>
      <c r="M50" s="353"/>
      <c r="N50" s="353"/>
      <c r="O50" s="353"/>
      <c r="P50" s="353"/>
      <c r="Q50" s="353"/>
      <c r="R50" s="353"/>
      <c r="S50" s="353"/>
      <c r="T50" s="380"/>
      <c r="U50" s="380"/>
      <c r="V50" s="400"/>
      <c r="W50" s="400"/>
      <c r="X50" s="456"/>
      <c r="Y50" s="457"/>
      <c r="Z50" s="457"/>
      <c r="AA50" s="457"/>
      <c r="AB50" s="457"/>
      <c r="AC50" s="457"/>
      <c r="AD50" s="457"/>
      <c r="AE50" s="457"/>
      <c r="AF50" s="458"/>
      <c r="AG50" s="382"/>
      <c r="AH50" s="396"/>
    </row>
    <row r="51" spans="1:34">
      <c r="A51" s="117"/>
      <c r="B51" s="352"/>
      <c r="C51" s="366"/>
      <c r="D51" s="366"/>
      <c r="E51" s="367"/>
      <c r="F51" s="368"/>
      <c r="G51" s="367"/>
      <c r="H51" s="353"/>
      <c r="I51" s="353"/>
      <c r="J51" s="353"/>
      <c r="K51" s="353"/>
      <c r="L51" s="353"/>
      <c r="M51" s="353"/>
      <c r="N51" s="353"/>
      <c r="O51" s="353"/>
      <c r="P51" s="353"/>
      <c r="Q51" s="353"/>
      <c r="R51" s="353"/>
      <c r="S51" s="353"/>
      <c r="T51" s="380"/>
      <c r="U51" s="380"/>
      <c r="V51" s="400"/>
      <c r="W51" s="400"/>
      <c r="X51" s="456"/>
      <c r="Y51" s="457"/>
      <c r="Z51" s="457"/>
      <c r="AA51" s="457"/>
      <c r="AB51" s="457"/>
      <c r="AC51" s="457"/>
      <c r="AD51" s="457"/>
      <c r="AE51" s="457"/>
      <c r="AF51" s="458"/>
      <c r="AG51" s="384"/>
      <c r="AH51" s="348"/>
    </row>
    <row r="52" spans="1:34">
      <c r="A52" s="117"/>
      <c r="B52" s="352"/>
      <c r="C52" s="366"/>
      <c r="D52" s="366"/>
      <c r="E52" s="367"/>
      <c r="F52" s="368"/>
      <c r="G52" s="367"/>
      <c r="H52" s="353"/>
      <c r="I52" s="353"/>
      <c r="J52" s="353"/>
      <c r="K52" s="353"/>
      <c r="L52" s="353"/>
      <c r="M52" s="353"/>
      <c r="N52" s="353"/>
      <c r="O52" s="353"/>
      <c r="P52" s="353"/>
      <c r="Q52" s="353"/>
      <c r="R52" s="353"/>
      <c r="S52" s="353"/>
      <c r="T52" s="380"/>
      <c r="U52" s="380"/>
      <c r="V52" s="400"/>
      <c r="W52" s="400"/>
      <c r="X52" s="456"/>
      <c r="Y52" s="457"/>
      <c r="Z52" s="457"/>
      <c r="AA52" s="457"/>
      <c r="AB52" s="457"/>
      <c r="AC52" s="457"/>
      <c r="AD52" s="457"/>
      <c r="AE52" s="457"/>
      <c r="AF52" s="458"/>
      <c r="AG52" s="384"/>
      <c r="AH52" s="348"/>
    </row>
    <row r="53" spans="1:34">
      <c r="A53" s="117"/>
      <c r="B53" s="352"/>
      <c r="C53" s="366"/>
      <c r="D53" s="366"/>
      <c r="E53" s="367"/>
      <c r="F53" s="368"/>
      <c r="G53" s="367"/>
      <c r="H53" s="353"/>
      <c r="I53" s="353"/>
      <c r="J53" s="353"/>
      <c r="K53" s="353"/>
      <c r="L53" s="353"/>
      <c r="M53" s="353"/>
      <c r="N53" s="353"/>
      <c r="O53" s="353"/>
      <c r="P53" s="353"/>
      <c r="Q53" s="353"/>
      <c r="R53" s="353"/>
      <c r="S53" s="353"/>
      <c r="T53" s="380"/>
      <c r="U53" s="380"/>
      <c r="V53" s="400"/>
      <c r="W53" s="400"/>
      <c r="X53" s="456"/>
      <c r="Y53" s="457"/>
      <c r="Z53" s="457"/>
      <c r="AA53" s="457"/>
      <c r="AB53" s="457"/>
      <c r="AC53" s="457"/>
      <c r="AD53" s="457"/>
      <c r="AE53" s="457"/>
      <c r="AF53" s="458"/>
      <c r="AG53" s="384"/>
      <c r="AH53" s="348"/>
    </row>
    <row r="54" spans="1:34">
      <c r="A54" s="117"/>
      <c r="B54" s="352"/>
      <c r="C54" s="366"/>
      <c r="D54" s="366"/>
      <c r="E54" s="367"/>
      <c r="F54" s="368"/>
      <c r="G54" s="367"/>
      <c r="H54" s="353"/>
      <c r="I54" s="353"/>
      <c r="J54" s="353"/>
      <c r="K54" s="353"/>
      <c r="L54" s="353"/>
      <c r="M54" s="353"/>
      <c r="N54" s="353"/>
      <c r="O54" s="353"/>
      <c r="P54" s="353"/>
      <c r="Q54" s="353"/>
      <c r="R54" s="353"/>
      <c r="S54" s="353"/>
      <c r="T54" s="380"/>
      <c r="U54" s="380"/>
      <c r="V54" s="400"/>
      <c r="W54" s="400"/>
      <c r="X54" s="456"/>
      <c r="Y54" s="457"/>
      <c r="Z54" s="457"/>
      <c r="AA54" s="457"/>
      <c r="AB54" s="457"/>
      <c r="AC54" s="457"/>
      <c r="AD54" s="457"/>
      <c r="AE54" s="457"/>
      <c r="AF54" s="458"/>
      <c r="AG54" s="384"/>
      <c r="AH54" s="348"/>
    </row>
    <row r="55" spans="1:34">
      <c r="A55" s="117"/>
      <c r="B55" s="352"/>
      <c r="C55" s="366"/>
      <c r="D55" s="366"/>
      <c r="E55" s="367"/>
      <c r="F55" s="368"/>
      <c r="G55" s="367"/>
      <c r="H55" s="353"/>
      <c r="I55" s="353"/>
      <c r="J55" s="353"/>
      <c r="K55" s="353"/>
      <c r="L55" s="353"/>
      <c r="M55" s="353"/>
      <c r="N55" s="353"/>
      <c r="O55" s="353"/>
      <c r="P55" s="353"/>
      <c r="Q55" s="353"/>
      <c r="R55" s="353"/>
      <c r="S55" s="353"/>
      <c r="T55" s="380"/>
      <c r="U55" s="380"/>
      <c r="V55" s="400"/>
      <c r="W55" s="400"/>
      <c r="X55" s="456"/>
      <c r="Y55" s="457"/>
      <c r="Z55" s="457"/>
      <c r="AA55" s="457"/>
      <c r="AB55" s="457"/>
      <c r="AC55" s="457"/>
      <c r="AD55" s="457"/>
      <c r="AE55" s="457"/>
      <c r="AF55" s="458"/>
      <c r="AG55" s="384"/>
      <c r="AH55" s="348"/>
    </row>
    <row r="56" spans="1:34">
      <c r="A56" s="117"/>
      <c r="B56" s="352"/>
      <c r="C56" s="366"/>
      <c r="D56" s="366"/>
      <c r="E56" s="367"/>
      <c r="F56" s="368"/>
      <c r="G56" s="367"/>
      <c r="H56" s="353"/>
      <c r="I56" s="353"/>
      <c r="J56" s="353"/>
      <c r="K56" s="353"/>
      <c r="L56" s="353"/>
      <c r="M56" s="353"/>
      <c r="N56" s="353"/>
      <c r="O56" s="353"/>
      <c r="P56" s="353"/>
      <c r="Q56" s="353"/>
      <c r="R56" s="353"/>
      <c r="S56" s="353"/>
      <c r="T56" s="380"/>
      <c r="U56" s="380"/>
      <c r="V56" s="400"/>
      <c r="W56" s="400"/>
      <c r="X56" s="456"/>
      <c r="Y56" s="457"/>
      <c r="Z56" s="457"/>
      <c r="AA56" s="457"/>
      <c r="AB56" s="457"/>
      <c r="AC56" s="457"/>
      <c r="AD56" s="457"/>
      <c r="AE56" s="457"/>
      <c r="AF56" s="458"/>
      <c r="AG56" s="384"/>
      <c r="AH56" s="348"/>
    </row>
    <row r="57" spans="1:34">
      <c r="A57" s="117"/>
      <c r="B57" s="352"/>
      <c r="C57" s="366"/>
      <c r="D57" s="366"/>
      <c r="E57" s="367"/>
      <c r="F57" s="368"/>
      <c r="G57" s="367"/>
      <c r="H57" s="353"/>
      <c r="I57" s="353"/>
      <c r="J57" s="353"/>
      <c r="K57" s="353"/>
      <c r="L57" s="353"/>
      <c r="M57" s="353"/>
      <c r="N57" s="353"/>
      <c r="O57" s="353"/>
      <c r="P57" s="353"/>
      <c r="Q57" s="353"/>
      <c r="R57" s="353"/>
      <c r="S57" s="353"/>
      <c r="T57" s="380"/>
      <c r="U57" s="380"/>
      <c r="V57" s="400"/>
      <c r="W57" s="400"/>
      <c r="X57" s="456"/>
      <c r="Y57" s="457"/>
      <c r="Z57" s="457"/>
      <c r="AA57" s="457"/>
      <c r="AB57" s="457"/>
      <c r="AC57" s="457"/>
      <c r="AD57" s="457"/>
      <c r="AE57" s="457"/>
      <c r="AF57" s="458"/>
      <c r="AG57" s="384"/>
      <c r="AH57" s="348"/>
    </row>
    <row r="58" spans="1:34">
      <c r="A58" s="117"/>
      <c r="B58" s="352"/>
      <c r="C58" s="366"/>
      <c r="D58" s="366"/>
      <c r="E58" s="367"/>
      <c r="F58" s="368"/>
      <c r="G58" s="367"/>
      <c r="H58" s="353"/>
      <c r="I58" s="353"/>
      <c r="J58" s="353"/>
      <c r="K58" s="353"/>
      <c r="L58" s="353"/>
      <c r="M58" s="353"/>
      <c r="N58" s="353"/>
      <c r="O58" s="353"/>
      <c r="P58" s="353"/>
      <c r="Q58" s="353"/>
      <c r="R58" s="353"/>
      <c r="S58" s="353"/>
      <c r="T58" s="380"/>
      <c r="U58" s="380"/>
      <c r="V58" s="400"/>
      <c r="W58" s="400"/>
      <c r="X58" s="456"/>
      <c r="Y58" s="457"/>
      <c r="Z58" s="457"/>
      <c r="AA58" s="457"/>
      <c r="AB58" s="457"/>
      <c r="AC58" s="457"/>
      <c r="AD58" s="457"/>
      <c r="AE58" s="457"/>
      <c r="AF58" s="458"/>
      <c r="AG58" s="384"/>
      <c r="AH58" s="348"/>
    </row>
    <row r="59" spans="1:34">
      <c r="A59" s="117"/>
      <c r="B59" s="352"/>
      <c r="C59" s="366"/>
      <c r="D59" s="366"/>
      <c r="E59" s="367"/>
      <c r="F59" s="368"/>
      <c r="G59" s="367"/>
      <c r="H59" s="353"/>
      <c r="I59" s="353"/>
      <c r="J59" s="353"/>
      <c r="K59" s="353"/>
      <c r="L59" s="353"/>
      <c r="M59" s="353"/>
      <c r="N59" s="353"/>
      <c r="O59" s="353"/>
      <c r="P59" s="353"/>
      <c r="Q59" s="353"/>
      <c r="R59" s="353"/>
      <c r="S59" s="353"/>
      <c r="T59" s="380"/>
      <c r="U59" s="380"/>
      <c r="V59" s="400"/>
      <c r="W59" s="400"/>
      <c r="X59" s="456"/>
      <c r="Y59" s="457"/>
      <c r="Z59" s="457"/>
      <c r="AA59" s="457"/>
      <c r="AB59" s="457"/>
      <c r="AC59" s="457"/>
      <c r="AD59" s="457"/>
      <c r="AE59" s="457"/>
      <c r="AF59" s="458"/>
      <c r="AG59" s="384"/>
      <c r="AH59" s="348"/>
    </row>
    <row r="60" spans="1:34">
      <c r="A60" s="117"/>
      <c r="B60" s="352"/>
      <c r="C60" s="366"/>
      <c r="D60" s="366"/>
      <c r="E60" s="367"/>
      <c r="F60" s="368"/>
      <c r="G60" s="367"/>
      <c r="H60" s="353"/>
      <c r="I60" s="353"/>
      <c r="J60" s="353"/>
      <c r="K60" s="353"/>
      <c r="L60" s="353"/>
      <c r="M60" s="353"/>
      <c r="N60" s="353"/>
      <c r="O60" s="353"/>
      <c r="P60" s="353"/>
      <c r="Q60" s="353"/>
      <c r="R60" s="353"/>
      <c r="S60" s="353"/>
      <c r="T60" s="380"/>
      <c r="U60" s="380"/>
      <c r="V60" s="400"/>
      <c r="W60" s="400"/>
      <c r="X60" s="456"/>
      <c r="Y60" s="457"/>
      <c r="Z60" s="457"/>
      <c r="AA60" s="457"/>
      <c r="AB60" s="457"/>
      <c r="AC60" s="457"/>
      <c r="AD60" s="457"/>
      <c r="AE60" s="457"/>
      <c r="AF60" s="458"/>
      <c r="AG60" s="384"/>
      <c r="AH60" s="348"/>
    </row>
    <row r="61" spans="1:34">
      <c r="A61" s="117"/>
      <c r="B61" s="352"/>
      <c r="C61" s="366"/>
      <c r="D61" s="366"/>
      <c r="E61" s="367"/>
      <c r="F61" s="368"/>
      <c r="G61" s="367"/>
      <c r="H61" s="353"/>
      <c r="I61" s="353"/>
      <c r="J61" s="353"/>
      <c r="K61" s="353"/>
      <c r="L61" s="353"/>
      <c r="M61" s="353"/>
      <c r="N61" s="353"/>
      <c r="O61" s="353"/>
      <c r="P61" s="353"/>
      <c r="Q61" s="353"/>
      <c r="R61" s="353"/>
      <c r="S61" s="353"/>
      <c r="T61" s="380"/>
      <c r="U61" s="380"/>
      <c r="V61" s="400"/>
      <c r="W61" s="400"/>
      <c r="X61" s="456"/>
      <c r="Y61" s="457"/>
      <c r="Z61" s="457"/>
      <c r="AA61" s="457"/>
      <c r="AB61" s="457"/>
      <c r="AC61" s="457"/>
      <c r="AD61" s="457"/>
      <c r="AE61" s="457"/>
      <c r="AF61" s="458"/>
      <c r="AG61" s="384"/>
      <c r="AH61" s="348"/>
    </row>
    <row r="62" spans="1:34">
      <c r="A62" s="117"/>
      <c r="B62" s="352"/>
      <c r="C62" s="366"/>
      <c r="D62" s="366"/>
      <c r="E62" s="367"/>
      <c r="F62" s="368"/>
      <c r="G62" s="367"/>
      <c r="H62" s="353"/>
      <c r="I62" s="353"/>
      <c r="J62" s="353"/>
      <c r="K62" s="353"/>
      <c r="L62" s="353"/>
      <c r="M62" s="353"/>
      <c r="N62" s="353"/>
      <c r="O62" s="353"/>
      <c r="P62" s="353"/>
      <c r="Q62" s="353"/>
      <c r="R62" s="353"/>
      <c r="S62" s="353"/>
      <c r="T62" s="380"/>
      <c r="U62" s="380"/>
      <c r="V62" s="400"/>
      <c r="W62" s="400"/>
      <c r="X62" s="456"/>
      <c r="Y62" s="457"/>
      <c r="Z62" s="457"/>
      <c r="AA62" s="457"/>
      <c r="AB62" s="457"/>
      <c r="AC62" s="457"/>
      <c r="AD62" s="457"/>
      <c r="AE62" s="457"/>
      <c r="AF62" s="458"/>
      <c r="AG62" s="384"/>
      <c r="AH62" s="348"/>
    </row>
    <row r="63" spans="1:34">
      <c r="A63" s="117"/>
      <c r="B63" s="352"/>
      <c r="C63" s="366"/>
      <c r="D63" s="366"/>
      <c r="E63" s="367"/>
      <c r="F63" s="368"/>
      <c r="G63" s="367"/>
      <c r="H63" s="353"/>
      <c r="I63" s="353"/>
      <c r="J63" s="353"/>
      <c r="K63" s="353"/>
      <c r="L63" s="353"/>
      <c r="M63" s="353"/>
      <c r="N63" s="353"/>
      <c r="O63" s="353"/>
      <c r="P63" s="353"/>
      <c r="Q63" s="353"/>
      <c r="R63" s="353"/>
      <c r="S63" s="353"/>
      <c r="T63" s="380"/>
      <c r="U63" s="380"/>
      <c r="V63" s="400"/>
      <c r="W63" s="400"/>
      <c r="X63" s="456"/>
      <c r="Y63" s="457"/>
      <c r="Z63" s="457"/>
      <c r="AA63" s="457"/>
      <c r="AB63" s="457"/>
      <c r="AC63" s="457"/>
      <c r="AD63" s="457"/>
      <c r="AE63" s="457"/>
      <c r="AF63" s="458"/>
      <c r="AG63" s="384"/>
      <c r="AH63" s="348"/>
    </row>
    <row r="64" spans="1:34">
      <c r="A64" s="117"/>
      <c r="B64" s="352"/>
      <c r="C64" s="366"/>
      <c r="D64" s="366"/>
      <c r="E64" s="367"/>
      <c r="F64" s="368"/>
      <c r="G64" s="367"/>
      <c r="H64" s="353"/>
      <c r="I64" s="353"/>
      <c r="J64" s="353"/>
      <c r="K64" s="353"/>
      <c r="L64" s="353"/>
      <c r="M64" s="353"/>
      <c r="N64" s="353"/>
      <c r="O64" s="353"/>
      <c r="P64" s="353"/>
      <c r="Q64" s="353"/>
      <c r="R64" s="353"/>
      <c r="S64" s="353"/>
      <c r="T64" s="380"/>
      <c r="U64" s="380"/>
      <c r="V64" s="400"/>
      <c r="W64" s="400"/>
      <c r="X64" s="456"/>
      <c r="Y64" s="457"/>
      <c r="Z64" s="457"/>
      <c r="AA64" s="457"/>
      <c r="AB64" s="457"/>
      <c r="AC64" s="457"/>
      <c r="AD64" s="457"/>
      <c r="AE64" s="457"/>
      <c r="AF64" s="458"/>
      <c r="AG64" s="384"/>
      <c r="AH64" s="348"/>
    </row>
    <row r="65" spans="1:34">
      <c r="A65" s="117"/>
      <c r="B65" s="352"/>
      <c r="C65" s="353"/>
      <c r="D65" s="353"/>
      <c r="E65" s="353"/>
      <c r="F65" s="353"/>
      <c r="G65" s="353"/>
      <c r="H65" s="353"/>
      <c r="I65" s="353"/>
      <c r="J65" s="353"/>
      <c r="K65" s="353"/>
      <c r="L65" s="353"/>
      <c r="M65" s="353"/>
      <c r="N65" s="353"/>
      <c r="O65" s="353"/>
      <c r="P65" s="353"/>
      <c r="Q65" s="353"/>
      <c r="R65" s="353"/>
      <c r="S65" s="353"/>
      <c r="T65" s="380"/>
      <c r="U65" s="380"/>
      <c r="V65" s="380"/>
      <c r="W65" s="380"/>
      <c r="X65" s="459"/>
      <c r="Y65" s="460"/>
      <c r="Z65" s="460"/>
      <c r="AA65" s="460"/>
      <c r="AB65" s="460"/>
      <c r="AC65" s="460"/>
      <c r="AD65" s="460"/>
      <c r="AE65" s="460"/>
      <c r="AF65" s="461"/>
      <c r="AG65" s="354"/>
      <c r="AH65" s="117"/>
    </row>
    <row r="66" spans="1:34">
      <c r="A66" s="117"/>
      <c r="B66" s="355"/>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7"/>
      <c r="AH66" s="117"/>
    </row>
    <row r="67" spans="1:34">
      <c r="A67" s="117"/>
      <c r="B67" s="348"/>
      <c r="C67" s="117"/>
      <c r="D67" s="117"/>
      <c r="E67" s="348"/>
      <c r="F67" s="348"/>
      <c r="G67" s="117"/>
      <c r="H67" s="117"/>
      <c r="I67" s="117"/>
      <c r="J67" s="117"/>
      <c r="K67" s="117"/>
      <c r="L67" s="117"/>
      <c r="M67" s="117"/>
      <c r="N67" s="117"/>
      <c r="O67" s="117"/>
      <c r="P67" s="348"/>
      <c r="Q67" s="117"/>
      <c r="R67" s="117"/>
      <c r="S67" s="117"/>
      <c r="T67" s="117"/>
      <c r="U67" s="117"/>
      <c r="V67" s="117"/>
      <c r="W67" s="117"/>
      <c r="X67" s="117"/>
      <c r="Y67" s="117"/>
      <c r="Z67" s="117"/>
      <c r="AA67" s="117"/>
      <c r="AB67" s="348"/>
      <c r="AC67" s="117"/>
      <c r="AD67" s="117"/>
      <c r="AE67" s="117"/>
      <c r="AF67" s="117"/>
      <c r="AG67" s="348"/>
      <c r="AH67" s="117"/>
    </row>
    <row r="68" spans="1:34">
      <c r="A68" s="117"/>
      <c r="B68" s="348"/>
      <c r="C68" s="117"/>
      <c r="D68" s="117"/>
      <c r="E68" s="348"/>
      <c r="F68" s="348"/>
      <c r="G68" s="117"/>
      <c r="H68" s="117"/>
      <c r="I68" s="117"/>
      <c r="J68" s="117"/>
      <c r="K68" s="117"/>
      <c r="L68" s="117"/>
      <c r="M68" s="117"/>
      <c r="N68" s="117"/>
      <c r="O68" s="117"/>
      <c r="P68" s="348"/>
      <c r="Q68" s="117"/>
      <c r="R68" s="117"/>
      <c r="S68" s="117"/>
      <c r="T68" s="117"/>
      <c r="U68" s="117"/>
      <c r="V68" s="117"/>
      <c r="W68" s="117"/>
      <c r="X68" s="117"/>
      <c r="Y68" s="117"/>
      <c r="Z68" s="117"/>
      <c r="AA68" s="117"/>
      <c r="AB68" s="348"/>
      <c r="AC68" s="117"/>
      <c r="AD68" s="117"/>
      <c r="AE68" s="117"/>
      <c r="AF68" s="117"/>
      <c r="AG68" s="348"/>
      <c r="AH68" s="117"/>
    </row>
    <row r="69" spans="1:34">
      <c r="A69" s="117"/>
      <c r="B69" s="348"/>
      <c r="C69" s="117"/>
      <c r="D69" s="117"/>
      <c r="E69" s="348"/>
      <c r="F69" s="348"/>
      <c r="G69" s="117"/>
      <c r="H69" s="117"/>
      <c r="I69" s="117"/>
      <c r="J69" s="117"/>
      <c r="K69" s="117"/>
      <c r="L69" s="117"/>
      <c r="M69" s="117"/>
      <c r="N69" s="117"/>
      <c r="O69" s="117"/>
      <c r="P69" s="348"/>
      <c r="Q69" s="117"/>
      <c r="R69" s="117"/>
      <c r="S69" s="117"/>
      <c r="T69" s="117"/>
      <c r="U69" s="117"/>
      <c r="V69" s="117"/>
      <c r="W69" s="117"/>
      <c r="X69" s="117"/>
      <c r="Y69" s="117"/>
      <c r="Z69" s="117"/>
      <c r="AA69" s="117"/>
      <c r="AB69" s="348"/>
      <c r="AC69" s="117"/>
      <c r="AD69" s="117"/>
      <c r="AE69" s="117"/>
      <c r="AF69" s="117"/>
      <c r="AG69" s="348"/>
      <c r="AH69" s="117"/>
    </row>
    <row r="70" spans="1:34">
      <c r="A70" s="117"/>
      <c r="B70" s="348"/>
      <c r="C70" s="117"/>
      <c r="D70" s="117"/>
      <c r="E70" s="348"/>
      <c r="F70" s="348"/>
      <c r="G70" s="117"/>
      <c r="H70" s="117"/>
      <c r="I70" s="117"/>
      <c r="J70" s="117"/>
      <c r="K70" s="117"/>
      <c r="L70" s="117"/>
      <c r="M70" s="117"/>
      <c r="N70" s="117"/>
      <c r="O70" s="117"/>
      <c r="P70" s="348"/>
      <c r="Q70" s="117"/>
      <c r="R70" s="117"/>
      <c r="S70" s="117"/>
      <c r="T70" s="117"/>
      <c r="U70" s="117"/>
      <c r="V70" s="117"/>
      <c r="W70" s="117"/>
      <c r="X70" s="117"/>
      <c r="Y70" s="117"/>
      <c r="Z70" s="117"/>
      <c r="AA70" s="117"/>
      <c r="AB70" s="348"/>
      <c r="AC70" s="117"/>
      <c r="AD70" s="117"/>
      <c r="AE70" s="117"/>
      <c r="AF70" s="117"/>
      <c r="AG70" s="348"/>
      <c r="AH70" s="117"/>
    </row>
    <row r="71" spans="1:34" ht="22.2">
      <c r="A71" s="117"/>
      <c r="B71" s="127" t="s">
        <v>2023</v>
      </c>
      <c r="C71" s="117"/>
      <c r="D71" s="117"/>
      <c r="E71" s="117"/>
      <c r="F71" s="117"/>
      <c r="G71" s="129" t="s">
        <v>34</v>
      </c>
      <c r="H71" s="129" t="s">
        <v>54</v>
      </c>
      <c r="I71" s="129" t="s">
        <v>181</v>
      </c>
      <c r="J71" s="129" t="s">
        <v>311</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607</v>
      </c>
      <c r="G74" s="155" t="s">
        <v>608</v>
      </c>
      <c r="P74" s="130" t="s">
        <v>609</v>
      </c>
      <c r="Q74" s="131"/>
      <c r="R74" s="130"/>
      <c r="S74" s="131"/>
      <c r="T74" s="132">
        <v>45667</v>
      </c>
      <c r="U74" s="132">
        <f>T74+7</f>
        <v>45674</v>
      </c>
      <c r="V74" s="133" t="s">
        <v>610</v>
      </c>
      <c r="X74" s="156" t="s">
        <v>611</v>
      </c>
      <c r="AG74" s="123"/>
      <c r="AH74" s="117"/>
    </row>
    <row r="75" spans="1:34" ht="17.7" customHeight="1">
      <c r="A75" s="117"/>
      <c r="B75" s="122"/>
      <c r="P75" s="26" t="s">
        <v>612</v>
      </c>
      <c r="T75" s="26">
        <f>COUNTIFS('2. Status Detalhe Campos FY24'!$H$7:$H$575,'1. Status Resumo FY24'!$P75,'2. Status Detalhe Campos FY24'!$C$7:$C$575,'1. Status Resumo FY24'!$G$71,'2. Status Detalhe Campos FY24'!$D$7:$D$575,"2. Campo")+COUNTIFS('2. Status Detalhe Campos FY24'!$H$7:$H$575,'1. Status Resumo FY24'!$P75,'2. Status Detalhe Campos FY24'!$C$7:$C$575,'1. Status Resumo FY24'!$H$71,'2. Status Detalhe Campos FY24'!$D$7:$D$575,"2. Campo")</f>
        <v>10</v>
      </c>
      <c r="U75" s="26">
        <f>COUNTIFS('2. Status Detalhe Campos FY24'!$G$7:$G$575,'1. Status Resumo FY24'!$P75,'2. Status Detalhe Campos FY24'!$C$7:$C$575,'1. Status Resumo FY24'!$G$71,'2. Status Detalhe Campos FY24'!$D$7:$D$575,"2. Campo")+COUNTIFS('2. Status Detalhe Campos FY24'!$G$7:$G$575,'1. Status Resumo FY24'!$P75,'2. Status Detalhe Campos FY24'!$C$7:$C$575,'1. Status Resumo FY24'!$H$71,'2. Status Detalhe Campos FY24'!$D$7:$D$575,"2. Campo")</f>
        <v>10</v>
      </c>
      <c r="V75" s="26">
        <f>U75-T75</f>
        <v>0</v>
      </c>
      <c r="X75" s="433" t="s">
        <v>2075</v>
      </c>
      <c r="Y75" s="434"/>
      <c r="Z75" s="434"/>
      <c r="AA75" s="434"/>
      <c r="AB75" s="434"/>
      <c r="AC75" s="434"/>
      <c r="AD75" s="434"/>
      <c r="AE75" s="434"/>
      <c r="AF75" s="435"/>
      <c r="AG75" s="164"/>
      <c r="AH75" s="117"/>
    </row>
    <row r="76" spans="1:34">
      <c r="A76" s="117"/>
      <c r="B76" s="122"/>
      <c r="P76" s="26" t="s">
        <v>613</v>
      </c>
      <c r="T76" s="26">
        <f>COUNTIFS('2. Status Detalhe Campos FY24'!$H$7:$H$575,'1. Status Resumo FY24'!$P76,'2. Status Detalhe Campos FY24'!$C$7:$C$575,'1. Status Resumo FY24'!$G$71,'2. Status Detalhe Campos FY24'!$D$7:$D$575,"2. Campo")+COUNTIFS('2. Status Detalhe Campos FY24'!$H$7:$H$575,'1. Status Resumo FY24'!$P76,'2. Status Detalhe Campos FY24'!$C$7:$C$575,'1. Status Resumo FY24'!$H$71,'2. Status Detalhe Campos FY24'!$D$7:$D$575,"2. Campo")</f>
        <v>147</v>
      </c>
      <c r="U76" s="26">
        <f>COUNTIFS('2. Status Detalhe Campos FY24'!$G$7:$G$575,'1. Status Resumo FY24'!$P76,'2. Status Detalhe Campos FY24'!$C$7:$C$575,'1. Status Resumo FY24'!$G$71,'2. Status Detalhe Campos FY24'!$D$7:$D$575,"2. Campo")+COUNTIFS('2. Status Detalhe Campos FY24'!$G$7:$G$575,'1. Status Resumo FY24'!$P76,'2. Status Detalhe Campos FY24'!$C$7:$C$575,'1. Status Resumo FY24'!$H$71,'2. Status Detalhe Campos FY24'!$D$7:$D$575,"2. Campo")</f>
        <v>143</v>
      </c>
      <c r="V76" s="26">
        <f t="shared" ref="V76:V83" si="4">U76-T76</f>
        <v>-4</v>
      </c>
      <c r="X76" s="436"/>
      <c r="Y76" s="437"/>
      <c r="Z76" s="437"/>
      <c r="AA76" s="437"/>
      <c r="AB76" s="437"/>
      <c r="AC76" s="437"/>
      <c r="AD76" s="437"/>
      <c r="AE76" s="437"/>
      <c r="AF76" s="438"/>
      <c r="AG76" s="164"/>
      <c r="AH76" s="117"/>
    </row>
    <row r="77" spans="1:34">
      <c r="A77" s="117"/>
      <c r="B77" s="122"/>
      <c r="P77" s="26" t="s">
        <v>1921</v>
      </c>
      <c r="T77" s="26">
        <f>COUNTIFS('2. Status Detalhe Campos FY24'!$H$7:$H$575,'1. Status Resumo FY24'!$P77,'2. Status Detalhe Campos FY24'!$C$7:$C$575,'1. Status Resumo FY24'!$G$71,'2. Status Detalhe Campos FY24'!$D$7:$D$575,"2. Campo")+COUNTIFS('2. Status Detalhe Campos FY24'!$H$7:$H$575,'1. Status Resumo FY24'!$P77,'2. Status Detalhe Campos FY24'!$C$7:$C$575,'1. Status Resumo FY24'!$H$71,'2. Status Detalhe Campos FY24'!$D$7:$D$575,"2. Campo")</f>
        <v>0</v>
      </c>
      <c r="U77" s="26">
        <f>COUNTIFS('2. Status Detalhe Campos FY24'!$G$7:$G$575,'1. Status Resumo FY24'!$P77,'2. Status Detalhe Campos FY24'!$C$7:$C$575,'1. Status Resumo FY24'!$G$71,'2. Status Detalhe Campos FY24'!$D$7:$D$575,"2. Campo")+COUNTIFS('2. Status Detalhe Campos FY24'!$G$7:$G$575,'1. Status Resumo FY24'!$P77,'2. Status Detalhe Campos FY24'!$C$7:$C$575,'1. Status Resumo FY24'!$H$71,'2. Status Detalhe Campos FY24'!$D$7:$D$575,"2. Campo")</f>
        <v>0</v>
      </c>
      <c r="V77" s="26">
        <f t="shared" si="4"/>
        <v>0</v>
      </c>
      <c r="X77" s="436"/>
      <c r="Y77" s="437"/>
      <c r="Z77" s="437"/>
      <c r="AA77" s="437"/>
      <c r="AB77" s="437"/>
      <c r="AC77" s="437"/>
      <c r="AD77" s="437"/>
      <c r="AE77" s="437"/>
      <c r="AF77" s="438"/>
      <c r="AG77" s="164"/>
      <c r="AH77" s="117"/>
    </row>
    <row r="78" spans="1:34">
      <c r="A78" s="117"/>
      <c r="B78" s="122"/>
      <c r="D78" s="414" t="str">
        <f>"# "&amp;U84</f>
        <v># 170</v>
      </c>
      <c r="E78" s="414"/>
      <c r="P78" s="26" t="s">
        <v>1922</v>
      </c>
      <c r="T78" s="26">
        <f>COUNTIFS('2. Status Detalhe Campos FY24'!$H$7:$H$575,'1. Status Resumo FY24'!$P78,'2. Status Detalhe Campos FY24'!$C$7:$C$575,'1. Status Resumo FY24'!$G$71,'2. Status Detalhe Campos FY24'!$D$7:$D$575,"2. Campo")+COUNTIFS('2. Status Detalhe Campos FY24'!$H$7:$H$575,'1. Status Resumo FY24'!$P78,'2. Status Detalhe Campos FY24'!$C$7:$C$575,'1. Status Resumo FY24'!$H$71,'2. Status Detalhe Campos FY24'!$D$7:$D$575,"2. Campo")</f>
        <v>0</v>
      </c>
      <c r="U78" s="26">
        <f>COUNTIFS('2. Status Detalhe Campos FY24'!$G$7:$G$575,'1. Status Resumo FY24'!$P78,'2. Status Detalhe Campos FY24'!$C$7:$C$575,'1. Status Resumo FY24'!$G$71,'2. Status Detalhe Campos FY24'!$D$7:$D$575,"2. Campo")+COUNTIFS('2. Status Detalhe Campos FY24'!$G$7:$G$575,'1. Status Resumo FY24'!$P78,'2. Status Detalhe Campos FY24'!$C$7:$C$575,'1. Status Resumo FY24'!$H$71,'2. Status Detalhe Campos FY24'!$D$7:$D$575,"2. Campo")</f>
        <v>17</v>
      </c>
      <c r="V78" s="26">
        <f>U78-T78</f>
        <v>17</v>
      </c>
      <c r="X78" s="436"/>
      <c r="Y78" s="437"/>
      <c r="Z78" s="437"/>
      <c r="AA78" s="437"/>
      <c r="AB78" s="437"/>
      <c r="AC78" s="437"/>
      <c r="AD78" s="437"/>
      <c r="AE78" s="437"/>
      <c r="AF78" s="438"/>
      <c r="AG78" s="164"/>
      <c r="AH78" s="117"/>
    </row>
    <row r="79" spans="1:34" ht="17.7" customHeight="1">
      <c r="A79" s="117"/>
      <c r="B79" s="122"/>
      <c r="D79" s="414"/>
      <c r="E79" s="414"/>
      <c r="P79" s="26" t="s">
        <v>614</v>
      </c>
      <c r="T79" s="26">
        <f>COUNTIFS('2. Status Detalhe Campos FY24'!$H$7:$H$575,'1. Status Resumo FY24'!$P79,'2. Status Detalhe Campos FY24'!$C$7:$C$575,'1. Status Resumo FY24'!$G$71,'2. Status Detalhe Campos FY24'!$D$7:$D$575,"2. Campo")+COUNTIFS('2. Status Detalhe Campos FY24'!$H$7:$H$575,'1. Status Resumo FY24'!$P79,'2. Status Detalhe Campos FY24'!$C$7:$C$575,'1. Status Resumo FY24'!$H$71,'2. Status Detalhe Campos FY24'!$D$7:$D$575,"2. Campo")</f>
        <v>0</v>
      </c>
      <c r="U79" s="26">
        <f>COUNTIFS('2. Status Detalhe Campos FY24'!$G$7:$G$575,'1. Status Resumo FY24'!$P79,'2. Status Detalhe Campos FY24'!$C$7:$C$575,'1. Status Resumo FY24'!$G$71,'2. Status Detalhe Campos FY24'!$D$7:$D$575,"2. Campo")+COUNTIFS('2. Status Detalhe Campos FY24'!$G$7:$G$575,'1. Status Resumo FY24'!$P79,'2. Status Detalhe Campos FY24'!$C$7:$C$575,'1. Status Resumo FY24'!$H$71,'2. Status Detalhe Campos FY24'!$D$7:$D$575,"2. Campo")</f>
        <v>0</v>
      </c>
      <c r="V79" s="26">
        <f t="shared" si="4"/>
        <v>0</v>
      </c>
      <c r="X79" s="436"/>
      <c r="Y79" s="437"/>
      <c r="Z79" s="437"/>
      <c r="AA79" s="437"/>
      <c r="AB79" s="437"/>
      <c r="AC79" s="437"/>
      <c r="AD79" s="437"/>
      <c r="AE79" s="437"/>
      <c r="AF79" s="438"/>
      <c r="AG79" s="164"/>
      <c r="AH79" s="117"/>
    </row>
    <row r="80" spans="1:34" ht="17.7" customHeight="1">
      <c r="A80" s="117"/>
      <c r="B80" s="122"/>
      <c r="D80" s="414"/>
      <c r="E80" s="414"/>
      <c r="P80" s="26" t="s">
        <v>615</v>
      </c>
      <c r="T80" s="26">
        <f>COUNTIFS('2. Status Detalhe Campos FY24'!$H$7:$H$575,'1. Status Resumo FY24'!$P80,'2. Status Detalhe Campos FY24'!$C$7:$C$575,'1. Status Resumo FY24'!$G$71,'2. Status Detalhe Campos FY24'!$D$7:$D$575,"2. Campo")+COUNTIFS('2. Status Detalhe Campos FY24'!$H$7:$H$575,'1. Status Resumo FY24'!$P80,'2. Status Detalhe Campos FY24'!$C$7:$C$575,'1. Status Resumo FY24'!$H$71,'2. Status Detalhe Campos FY24'!$D$7:$D$575,"2. Campo")</f>
        <v>12</v>
      </c>
      <c r="U80" s="26">
        <f>COUNTIFS('2. Status Detalhe Campos FY24'!$G$7:$G$575,'1. Status Resumo FY24'!$P80,'2. Status Detalhe Campos FY24'!$C$7:$C$575,'1. Status Resumo FY24'!$G$71,'2. Status Detalhe Campos FY24'!$D$7:$D$575,"2. Campo")+COUNTIFS('2. Status Detalhe Campos FY24'!$G$7:$G$575,'1. Status Resumo FY24'!$P80,'2. Status Detalhe Campos FY24'!$C$7:$C$575,'1. Status Resumo FY24'!$H$71,'2. Status Detalhe Campos FY24'!$D$7:$D$575,"2. Campo")</f>
        <v>0</v>
      </c>
      <c r="V80" s="26">
        <f t="shared" si="4"/>
        <v>-12</v>
      </c>
      <c r="X80" s="436"/>
      <c r="Y80" s="437"/>
      <c r="Z80" s="437"/>
      <c r="AA80" s="437"/>
      <c r="AB80" s="437"/>
      <c r="AC80" s="437"/>
      <c r="AD80" s="437"/>
      <c r="AE80" s="437"/>
      <c r="AF80" s="438"/>
      <c r="AG80" s="164"/>
      <c r="AH80" s="117"/>
    </row>
    <row r="81" spans="1:34">
      <c r="A81" s="117"/>
      <c r="B81" s="122"/>
      <c r="P81" s="26" t="s">
        <v>616</v>
      </c>
      <c r="R81" s="26" t="s">
        <v>617</v>
      </c>
      <c r="T81" s="26">
        <f>COUNTIFS('2. Status Detalhe Campos FY24'!$H$7:$H$575,'1. Status Resumo FY24'!$P81,'2. Status Detalhe Campos FY24'!$C$7:$C$575,'1. Status Resumo FY24'!$G$71,'2. Status Detalhe Campos FY24'!$D$7:$D$575,"2. Campo")+COUNTIFS('2. Status Detalhe Campos FY24'!$H$7:$H$575,'1. Status Resumo FY24'!$P81,'2. Status Detalhe Campos FY24'!$C$7:$C$575,'1. Status Resumo FY24'!$H$71,'2. Status Detalhe Campos FY24'!$D$7:$D$575,"2. Campo")</f>
        <v>0</v>
      </c>
      <c r="U81" s="26">
        <f>COUNTIFS('2. Status Detalhe Campos FY24'!$G$7:$G$575,'1. Status Resumo FY24'!$P81,'2. Status Detalhe Campos FY24'!$C$7:$C$575,'1. Status Resumo FY24'!$G$71,'2. Status Detalhe Campos FY24'!$D$7:$D$575,"2. Campo")+COUNTIFS('2. Status Detalhe Campos FY24'!$G$7:$G$575,'1. Status Resumo FY24'!$P81,'2. Status Detalhe Campos FY24'!$C$7:$C$575,'1. Status Resumo FY24'!$H$71,'2. Status Detalhe Campos FY24'!$D$7:$D$575,"2. Campo")</f>
        <v>0</v>
      </c>
      <c r="V81" s="26">
        <f t="shared" si="4"/>
        <v>0</v>
      </c>
      <c r="X81" s="436"/>
      <c r="Y81" s="437"/>
      <c r="Z81" s="437"/>
      <c r="AA81" s="437"/>
      <c r="AB81" s="437"/>
      <c r="AC81" s="437"/>
      <c r="AD81" s="437"/>
      <c r="AE81" s="437"/>
      <c r="AF81" s="438"/>
      <c r="AG81" s="164"/>
      <c r="AH81" s="117"/>
    </row>
    <row r="82" spans="1:34">
      <c r="A82" s="117"/>
      <c r="B82" s="122"/>
      <c r="P82" s="26" t="s">
        <v>618</v>
      </c>
      <c r="T82" s="26">
        <f>COUNTIFS('2. Status Detalhe Campos FY24'!$H$7:$H$575,'1. Status Resumo FY24'!$P82,'2. Status Detalhe Campos FY24'!$C$7:$C$575,'1. Status Resumo FY24'!$G$71,'2. Status Detalhe Campos FY24'!$D$7:$D$575,"2. Campo")+COUNTIFS('2. Status Detalhe Campos FY24'!$H$7:$H$575,'1. Status Resumo FY24'!$P82,'2. Status Detalhe Campos FY24'!$C$7:$C$575,'1. Status Resumo FY24'!$H$71,'2. Status Detalhe Campos FY24'!$D$7:$D$575,"2. Campo")</f>
        <v>0</v>
      </c>
      <c r="U82" s="26">
        <f>COUNTIFS('2. Status Detalhe Campos FY24'!$G$7:$G$575,'1. Status Resumo FY24'!$P82,'2. Status Detalhe Campos FY24'!$C$7:$C$575,'1. Status Resumo FY24'!$G$71,'2. Status Detalhe Campos FY24'!$D$7:$D$575,"2. Campo")+COUNTIFS('2. Status Detalhe Campos FY24'!$G$7:$G$575,'1. Status Resumo FY24'!$P82,'2. Status Detalhe Campos FY24'!$C$7:$C$575,'1. Status Resumo FY24'!$H$71,'2. Status Detalhe Campos FY24'!$D$7:$D$575,"2. Campo")</f>
        <v>0</v>
      </c>
      <c r="V82" s="26">
        <f t="shared" si="4"/>
        <v>0</v>
      </c>
      <c r="X82" s="436"/>
      <c r="Y82" s="437"/>
      <c r="Z82" s="437"/>
      <c r="AA82" s="437"/>
      <c r="AB82" s="437"/>
      <c r="AC82" s="437"/>
      <c r="AD82" s="437"/>
      <c r="AE82" s="437"/>
      <c r="AF82" s="438"/>
      <c r="AG82" s="164"/>
      <c r="AH82" s="117"/>
    </row>
    <row r="83" spans="1:34">
      <c r="A83" s="117"/>
      <c r="B83" s="122"/>
      <c r="P83" s="26" t="s">
        <v>28</v>
      </c>
      <c r="T83" s="26">
        <f>COUNTIFS('2. Status Detalhe Campos FY24'!$H$7:$H$575,'1. Status Resumo FY24'!$P83,'2. Status Detalhe Campos FY24'!$C$7:$C$575,'1. Status Resumo FY24'!$G$71,'2. Status Detalhe Campos FY24'!$D$7:$D$575,"2. Campo")+COUNTIFS('2. Status Detalhe Campos FY24'!$H$7:$H$575,'1. Status Resumo FY24'!$P83,'2. Status Detalhe Campos FY24'!$C$7:$C$575,'1. Status Resumo FY24'!$H$71,'2. Status Detalhe Campos FY24'!$D$7:$D$575,"2. Campo")</f>
        <v>0</v>
      </c>
      <c r="U83" s="26">
        <f>COUNTIFS('2. Status Detalhe Campos FY24'!$G$7:$G$575,'1. Status Resumo FY24'!$P83,'2. Status Detalhe Campos FY24'!$C$7:$C$575,'1. Status Resumo FY24'!$G$71,'2. Status Detalhe Campos FY24'!$D$7:$D$575,"2. Campo")+COUNTIFS('2. Status Detalhe Campos FY24'!$G$7:$G$575,'1. Status Resumo FY24'!$P83,'2. Status Detalhe Campos FY24'!$C$7:$C$575,'1. Status Resumo FY24'!$H$71,'2. Status Detalhe Campos FY24'!$D$7:$D$575,"2. Campo")</f>
        <v>0</v>
      </c>
      <c r="V83" s="26">
        <f t="shared" si="4"/>
        <v>0</v>
      </c>
      <c r="X83" s="436"/>
      <c r="Y83" s="437"/>
      <c r="Z83" s="437"/>
      <c r="AA83" s="437"/>
      <c r="AB83" s="437"/>
      <c r="AC83" s="437"/>
      <c r="AD83" s="437"/>
      <c r="AE83" s="437"/>
      <c r="AF83" s="438"/>
      <c r="AG83" s="164"/>
      <c r="AH83" s="117"/>
    </row>
    <row r="84" spans="1:34">
      <c r="A84" s="117"/>
      <c r="B84" s="122"/>
      <c r="T84" s="128">
        <f>SUM(T75:T83)</f>
        <v>169</v>
      </c>
      <c r="U84" s="128">
        <f>SUM(U75:U83)</f>
        <v>170</v>
      </c>
      <c r="X84" s="436"/>
      <c r="Y84" s="437"/>
      <c r="Z84" s="437"/>
      <c r="AA84" s="437"/>
      <c r="AB84" s="437"/>
      <c r="AC84" s="437"/>
      <c r="AD84" s="437"/>
      <c r="AE84" s="437"/>
      <c r="AF84" s="438"/>
      <c r="AG84" s="164"/>
      <c r="AH84" s="117"/>
    </row>
    <row r="85" spans="1:34">
      <c r="A85" s="117"/>
      <c r="B85" s="122"/>
      <c r="G85" s="130" t="s">
        <v>619</v>
      </c>
      <c r="H85" s="131"/>
      <c r="I85" s="131"/>
      <c r="J85" s="131"/>
      <c r="K85" s="131"/>
      <c r="L85" s="131"/>
      <c r="M85" s="131"/>
      <c r="P85" s="130" t="s">
        <v>620</v>
      </c>
      <c r="Q85" s="131"/>
      <c r="R85" s="131"/>
      <c r="S85" s="131"/>
      <c r="T85" s="131"/>
      <c r="U85" s="131"/>
      <c r="V85" s="131"/>
      <c r="X85" s="436"/>
      <c r="Y85" s="437"/>
      <c r="Z85" s="437"/>
      <c r="AA85" s="437"/>
      <c r="AB85" s="437"/>
      <c r="AC85" s="437"/>
      <c r="AD85" s="437"/>
      <c r="AE85" s="437"/>
      <c r="AF85" s="438"/>
      <c r="AG85" s="164"/>
      <c r="AH85" s="117"/>
    </row>
    <row r="86" spans="1:34">
      <c r="A86" s="117"/>
      <c r="B86" s="122"/>
      <c r="F86" s="160" t="s">
        <v>621</v>
      </c>
      <c r="G86" s="26" t="s">
        <v>622</v>
      </c>
      <c r="L86" s="162" t="s">
        <v>623</v>
      </c>
      <c r="O86" s="160" t="s">
        <v>621</v>
      </c>
      <c r="P86" s="26" t="s">
        <v>624</v>
      </c>
      <c r="T86" s="162" t="s">
        <v>623</v>
      </c>
      <c r="X86" s="436"/>
      <c r="Y86" s="437"/>
      <c r="Z86" s="437"/>
      <c r="AA86" s="437"/>
      <c r="AB86" s="437"/>
      <c r="AC86" s="437"/>
      <c r="AD86" s="437"/>
      <c r="AE86" s="437"/>
      <c r="AF86" s="438"/>
      <c r="AG86" s="164"/>
      <c r="AH86" s="117"/>
    </row>
    <row r="87" spans="1:34">
      <c r="A87" s="117"/>
      <c r="B87" s="122"/>
      <c r="F87" s="160" t="s">
        <v>621</v>
      </c>
      <c r="G87" s="26" t="s">
        <v>625</v>
      </c>
      <c r="L87" s="162" t="s">
        <v>623</v>
      </c>
      <c r="O87" s="160" t="s">
        <v>621</v>
      </c>
      <c r="P87" s="26" t="s">
        <v>626</v>
      </c>
      <c r="T87" s="162" t="s">
        <v>623</v>
      </c>
      <c r="X87" s="436"/>
      <c r="Y87" s="437"/>
      <c r="Z87" s="437"/>
      <c r="AA87" s="437"/>
      <c r="AB87" s="437"/>
      <c r="AC87" s="437"/>
      <c r="AD87" s="437"/>
      <c r="AE87" s="437"/>
      <c r="AF87" s="438"/>
      <c r="AG87" s="164"/>
      <c r="AH87" s="117"/>
    </row>
    <row r="88" spans="1:34">
      <c r="A88" s="117"/>
      <c r="B88" s="122"/>
      <c r="F88" s="160" t="s">
        <v>621</v>
      </c>
      <c r="G88" s="26" t="s">
        <v>627</v>
      </c>
      <c r="L88" s="162" t="s">
        <v>623</v>
      </c>
      <c r="O88" s="160" t="s">
        <v>621</v>
      </c>
      <c r="P88" s="26" t="s">
        <v>628</v>
      </c>
      <c r="T88" s="165" t="s">
        <v>629</v>
      </c>
      <c r="X88" s="436"/>
      <c r="Y88" s="437"/>
      <c r="Z88" s="437"/>
      <c r="AA88" s="437"/>
      <c r="AB88" s="437"/>
      <c r="AC88" s="437"/>
      <c r="AD88" s="437"/>
      <c r="AE88" s="437"/>
      <c r="AF88" s="438"/>
      <c r="AG88" s="164"/>
      <c r="AH88" s="117"/>
    </row>
    <row r="89" spans="1:34">
      <c r="A89" s="117"/>
      <c r="B89" s="122"/>
      <c r="F89" s="160" t="s">
        <v>621</v>
      </c>
      <c r="G89" s="26" t="s">
        <v>630</v>
      </c>
      <c r="L89" s="162" t="s">
        <v>623</v>
      </c>
      <c r="O89" s="160"/>
      <c r="T89" s="165"/>
      <c r="X89" s="436"/>
      <c r="Y89" s="437"/>
      <c r="Z89" s="437"/>
      <c r="AA89" s="437"/>
      <c r="AB89" s="437"/>
      <c r="AC89" s="437"/>
      <c r="AD89" s="437"/>
      <c r="AE89" s="437"/>
      <c r="AF89" s="438"/>
      <c r="AG89" s="164"/>
      <c r="AH89" s="117"/>
    </row>
    <row r="90" spans="1:34">
      <c r="A90" s="117"/>
      <c r="B90" s="122"/>
      <c r="F90" s="160" t="s">
        <v>621</v>
      </c>
      <c r="G90" s="26" t="s">
        <v>631</v>
      </c>
      <c r="L90" s="387" t="s">
        <v>2053</v>
      </c>
      <c r="O90" s="160"/>
      <c r="T90" s="165"/>
      <c r="X90" s="436"/>
      <c r="Y90" s="437"/>
      <c r="Z90" s="437"/>
      <c r="AA90" s="437"/>
      <c r="AB90" s="437"/>
      <c r="AC90" s="437"/>
      <c r="AD90" s="437"/>
      <c r="AE90" s="437"/>
      <c r="AF90" s="438"/>
      <c r="AG90" s="164"/>
      <c r="AH90" s="117"/>
    </row>
    <row r="91" spans="1:34">
      <c r="A91" s="117"/>
      <c r="B91" s="122"/>
      <c r="F91" s="160" t="s">
        <v>621</v>
      </c>
      <c r="G91" s="26" t="s">
        <v>632</v>
      </c>
      <c r="L91" s="387" t="s">
        <v>2053</v>
      </c>
      <c r="O91" s="160"/>
      <c r="T91" s="162"/>
      <c r="X91" s="436"/>
      <c r="Y91" s="437"/>
      <c r="Z91" s="437"/>
      <c r="AA91" s="437"/>
      <c r="AB91" s="437"/>
      <c r="AC91" s="437"/>
      <c r="AD91" s="437"/>
      <c r="AE91" s="437"/>
      <c r="AF91" s="438"/>
      <c r="AG91" s="164"/>
      <c r="AH91" s="117"/>
    </row>
    <row r="92" spans="1:34">
      <c r="A92" s="117"/>
      <c r="B92" s="122"/>
      <c r="O92" s="160"/>
      <c r="X92" s="439"/>
      <c r="Y92" s="440"/>
      <c r="Z92" s="440"/>
      <c r="AA92" s="440"/>
      <c r="AB92" s="440"/>
      <c r="AC92" s="440"/>
      <c r="AD92" s="440"/>
      <c r="AE92" s="440"/>
      <c r="AF92" s="441"/>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2.2">
      <c r="A95" s="117"/>
      <c r="B95" s="127" t="s">
        <v>2021</v>
      </c>
      <c r="C95" s="117"/>
      <c r="D95" s="117"/>
      <c r="E95" s="117"/>
      <c r="F95" s="117"/>
      <c r="G95" s="129" t="s">
        <v>181</v>
      </c>
      <c r="H95" s="129" t="s">
        <v>311</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607</v>
      </c>
      <c r="G98" s="155" t="s">
        <v>608</v>
      </c>
      <c r="P98" s="130" t="s">
        <v>609</v>
      </c>
      <c r="Q98" s="131"/>
      <c r="R98" s="130"/>
      <c r="S98" s="131"/>
      <c r="T98" s="132">
        <f>T74</f>
        <v>45667</v>
      </c>
      <c r="U98" s="132">
        <f>U74</f>
        <v>45674</v>
      </c>
      <c r="V98" s="133" t="s">
        <v>610</v>
      </c>
      <c r="X98" s="156" t="s">
        <v>611</v>
      </c>
      <c r="AG98" s="123"/>
      <c r="AH98" s="117"/>
    </row>
    <row r="99" spans="1:34" ht="17.7" customHeight="1">
      <c r="A99" s="117"/>
      <c r="B99" s="122"/>
      <c r="P99" s="26" t="s">
        <v>612</v>
      </c>
      <c r="T99" s="26">
        <f>COUNTIFS('2. Status Detalhe Campos FY24'!$H$7:$H$575,'1. Status Resumo FY24'!$P99,'2. Status Detalhe Campos FY24'!$C$7:$C$575,'1. Status Resumo FY24'!$G$95,'2. Status Detalhe Campos FY24'!$D$7:$D$575,"2. Campo")+COUNTIFS('2. Status Detalhe Campos FY24'!$H$7:$H$575,'1. Status Resumo FY24'!$P99,'2. Status Detalhe Campos FY24'!$C$7:$C$575,'1. Status Resumo FY24'!$H$95,'2. Status Detalhe Campos FY24'!$D$7:$D$575,"2. Campo")</f>
        <v>14</v>
      </c>
      <c r="U99" s="26">
        <f>COUNTIFS('2. Status Detalhe Campos FY24'!$G$7:$G$575,'1. Status Resumo FY24'!$P99,'2. Status Detalhe Campos FY24'!$C$7:$C$575,'1. Status Resumo FY24'!$G$95,'2. Status Detalhe Campos FY24'!$D$7:$D$575,"2. Campo")+COUNTIFS('2. Status Detalhe Campos FY24'!$G$7:$G$575,'1. Status Resumo FY24'!$P99,'2. Status Detalhe Campos FY24'!$C$7:$C$575,'1. Status Resumo FY24'!$H$95,'2. Status Detalhe Campos FY24'!$D$7:$D$575,"2. Campo")</f>
        <v>14</v>
      </c>
      <c r="V99" s="26">
        <f>U99-T99</f>
        <v>0</v>
      </c>
      <c r="W99" s="157"/>
      <c r="X99" s="424" t="s">
        <v>2073</v>
      </c>
      <c r="Y99" s="425"/>
      <c r="Z99" s="425"/>
      <c r="AA99" s="425"/>
      <c r="AB99" s="425"/>
      <c r="AC99" s="425"/>
      <c r="AD99" s="425"/>
      <c r="AE99" s="425"/>
      <c r="AF99" s="426"/>
      <c r="AG99" s="158" t="s">
        <v>633</v>
      </c>
      <c r="AH99" s="117"/>
    </row>
    <row r="100" spans="1:34">
      <c r="A100" s="117"/>
      <c r="B100" s="122"/>
      <c r="P100" s="26" t="s">
        <v>613</v>
      </c>
      <c r="T100" s="26">
        <f>COUNTIFS('2. Status Detalhe Campos FY24'!$H$7:$H$575,'1. Status Resumo FY24'!$P100,'2. Status Detalhe Campos FY24'!$C$7:$C$575,'1. Status Resumo FY24'!$G$95,'2. Status Detalhe Campos FY24'!$D$7:$D$575,"2. Campo")+COUNTIFS('2. Status Detalhe Campos FY24'!$H$7:$H$575,'1. Status Resumo FY24'!$P100,'2. Status Detalhe Campos FY24'!$C$7:$C$575,'1. Status Resumo FY24'!$H$95,'2. Status Detalhe Campos FY24'!$D$7:$D$575,"2. Campo")</f>
        <v>204</v>
      </c>
      <c r="U100" s="26">
        <f>COUNTIFS('2. Status Detalhe Campos FY24'!$G$7:$G$575,'1. Status Resumo FY24'!$P100,'2. Status Detalhe Campos FY24'!$C$7:$C$575,'1. Status Resumo FY24'!$G$95,'2. Status Detalhe Campos FY24'!$D$7:$D$575,"2. Campo")+COUNTIFS('2. Status Detalhe Campos FY24'!$G$7:$G$575,'1. Status Resumo FY24'!$P100,'2. Status Detalhe Campos FY24'!$C$7:$C$575,'1. Status Resumo FY24'!$H$95,'2. Status Detalhe Campos FY24'!$D$7:$D$575,"2. Campo")</f>
        <v>211</v>
      </c>
      <c r="V100" s="26">
        <f t="shared" ref="V100:V107" si="5">U100-T100</f>
        <v>7</v>
      </c>
      <c r="W100" s="157"/>
      <c r="X100" s="427"/>
      <c r="Y100" s="428"/>
      <c r="Z100" s="428"/>
      <c r="AA100" s="428"/>
      <c r="AB100" s="428"/>
      <c r="AC100" s="428"/>
      <c r="AD100" s="428"/>
      <c r="AE100" s="428"/>
      <c r="AF100" s="429"/>
      <c r="AG100" s="158"/>
      <c r="AH100" s="117"/>
    </row>
    <row r="101" spans="1:34">
      <c r="A101" s="117"/>
      <c r="B101" s="122"/>
      <c r="P101" s="26" t="s">
        <v>1921</v>
      </c>
      <c r="T101" s="26">
        <f>COUNTIFS('2. Status Detalhe Campos FY24'!$H$7:$H$575,'1. Status Resumo FY24'!$P101,'2. Status Detalhe Campos FY24'!$C$7:$C$575,'1. Status Resumo FY24'!$G$95,'2. Status Detalhe Campos FY24'!$D$7:$D$575,"2. Campo")+COUNTIFS('2. Status Detalhe Campos FY24'!$H$7:$H$575,'1. Status Resumo FY24'!$P101,'2. Status Detalhe Campos FY24'!$C$7:$C$575,'1. Status Resumo FY24'!$H$95,'2. Status Detalhe Campos FY24'!$D$7:$D$575,"2. Campo")</f>
        <v>3</v>
      </c>
      <c r="U101" s="26">
        <f>COUNTIFS('2. Status Detalhe Campos FY24'!$G$7:$G$575,'1. Status Resumo FY24'!$P101,'2. Status Detalhe Campos FY24'!$C$7:$C$575,'1. Status Resumo FY24'!$G$95,'2. Status Detalhe Campos FY24'!$D$7:$D$575,"2. Campo")+COUNTIFS('2. Status Detalhe Campos FY24'!$G$7:$G$575,'1. Status Resumo FY24'!$P101,'2. Status Detalhe Campos FY24'!$C$7:$C$575,'1. Status Resumo FY24'!$H$95,'2. Status Detalhe Campos FY24'!$D$7:$D$575,"2. Campo")</f>
        <v>0</v>
      </c>
      <c r="V101" s="26">
        <f t="shared" si="5"/>
        <v>-3</v>
      </c>
      <c r="W101" s="157"/>
      <c r="X101" s="427"/>
      <c r="Y101" s="428"/>
      <c r="Z101" s="428"/>
      <c r="AA101" s="428"/>
      <c r="AB101" s="428"/>
      <c r="AC101" s="428"/>
      <c r="AD101" s="428"/>
      <c r="AE101" s="428"/>
      <c r="AF101" s="429"/>
      <c r="AG101" s="158"/>
      <c r="AH101" s="117"/>
    </row>
    <row r="102" spans="1:34">
      <c r="A102" s="117"/>
      <c r="B102" s="122"/>
      <c r="D102" s="414" t="str">
        <f>"# "&amp;U108</f>
        <v># 245</v>
      </c>
      <c r="E102" s="414"/>
      <c r="P102" s="26" t="s">
        <v>1922</v>
      </c>
      <c r="T102" s="26">
        <f>COUNTIFS('2. Status Detalhe Campos FY24'!$H$7:$H$575,'1. Status Resumo FY24'!$P102,'2. Status Detalhe Campos FY24'!$C$7:$C$575,'1. Status Resumo FY24'!$G$95,'2. Status Detalhe Campos FY24'!$D$7:$D$575,"2. Campo")+COUNTIFS('2. Status Detalhe Campos FY24'!$H$7:$H$575,'1. Status Resumo FY24'!$P102,'2. Status Detalhe Campos FY24'!$C$7:$C$575,'1. Status Resumo FY24'!$H$95,'2. Status Detalhe Campos FY24'!$D$7:$D$575,"2. Campo")</f>
        <v>17</v>
      </c>
      <c r="U102" s="26">
        <f>COUNTIFS('2. Status Detalhe Campos FY24'!$G$7:$G$575,'1. Status Resumo FY24'!$P102,'2. Status Detalhe Campos FY24'!$C$7:$C$575,'1. Status Resumo FY24'!$G$95,'2. Status Detalhe Campos FY24'!$D$7:$D$575,"2. Campo")+COUNTIFS('2. Status Detalhe Campos FY24'!$G$7:$G$575,'1. Status Resumo FY24'!$P102,'2. Status Detalhe Campos FY24'!$C$7:$C$575,'1. Status Resumo FY24'!$H$95,'2. Status Detalhe Campos FY24'!$D$7:$D$575,"2. Campo")</f>
        <v>1</v>
      </c>
      <c r="V102" s="26">
        <f>U102-T102</f>
        <v>-16</v>
      </c>
      <c r="W102" s="157"/>
      <c r="X102" s="427"/>
      <c r="Y102" s="428"/>
      <c r="Z102" s="428"/>
      <c r="AA102" s="428"/>
      <c r="AB102" s="428"/>
      <c r="AC102" s="428"/>
      <c r="AD102" s="428"/>
      <c r="AE102" s="428"/>
      <c r="AF102" s="429"/>
      <c r="AG102" s="158"/>
      <c r="AH102" s="117"/>
    </row>
    <row r="103" spans="1:34" ht="17.7" customHeight="1">
      <c r="A103" s="117"/>
      <c r="B103" s="122"/>
      <c r="D103" s="414"/>
      <c r="E103" s="414"/>
      <c r="P103" s="26" t="s">
        <v>614</v>
      </c>
      <c r="T103" s="26">
        <f>COUNTIFS('2. Status Detalhe Campos FY24'!$H$7:$H$575,'1. Status Resumo FY24'!$P103,'2. Status Detalhe Campos FY24'!$C$7:$C$575,'1. Status Resumo FY24'!$G$95,'2. Status Detalhe Campos FY24'!$D$7:$D$575,"2. Campo")+COUNTIFS('2. Status Detalhe Campos FY24'!$H$7:$H$575,'1. Status Resumo FY24'!$P103,'2. Status Detalhe Campos FY24'!$C$7:$C$575,'1. Status Resumo FY24'!$H$95,'2. Status Detalhe Campos FY24'!$D$7:$D$575,"2. Campo")</f>
        <v>0</v>
      </c>
      <c r="U103" s="26">
        <f>COUNTIFS('2. Status Detalhe Campos FY24'!$G$7:$G$575,'1. Status Resumo FY24'!$P103,'2. Status Detalhe Campos FY24'!$C$7:$C$575,'1. Status Resumo FY24'!$G$95,'2. Status Detalhe Campos FY24'!$D$7:$D$575,"2. Campo")+COUNTIFS('2. Status Detalhe Campos FY24'!$G$7:$G$575,'1. Status Resumo FY24'!$P103,'2. Status Detalhe Campos FY24'!$C$7:$C$575,'1. Status Resumo FY24'!$H$95,'2. Status Detalhe Campos FY24'!$D$7:$D$575,"2. Campo")</f>
        <v>0</v>
      </c>
      <c r="V103" s="26">
        <f t="shared" si="5"/>
        <v>0</v>
      </c>
      <c r="W103" s="157"/>
      <c r="X103" s="427"/>
      <c r="Y103" s="428"/>
      <c r="Z103" s="428"/>
      <c r="AA103" s="428"/>
      <c r="AB103" s="428"/>
      <c r="AC103" s="428"/>
      <c r="AD103" s="428"/>
      <c r="AE103" s="428"/>
      <c r="AF103" s="429"/>
      <c r="AG103" s="158"/>
      <c r="AH103" s="117"/>
    </row>
    <row r="104" spans="1:34" ht="17.7" customHeight="1">
      <c r="A104" s="117"/>
      <c r="B104" s="122"/>
      <c r="D104" s="414"/>
      <c r="E104" s="414"/>
      <c r="P104" s="26" t="s">
        <v>615</v>
      </c>
      <c r="T104" s="26">
        <f>COUNTIFS('2. Status Detalhe Campos FY24'!$H$7:$H$575,'1. Status Resumo FY24'!$P104,'2. Status Detalhe Campos FY24'!$C$7:$C$575,'1. Status Resumo FY24'!$G$95,'2. Status Detalhe Campos FY24'!$D$7:$D$575,"2. Campo")+COUNTIFS('2. Status Detalhe Campos FY24'!$H$7:$H$575,'1. Status Resumo FY24'!$P104,'2. Status Detalhe Campos FY24'!$C$7:$C$575,'1. Status Resumo FY24'!$H$95,'2. Status Detalhe Campos FY24'!$D$7:$D$575,"2. Campo")</f>
        <v>1</v>
      </c>
      <c r="U104" s="26">
        <f>COUNTIFS('2. Status Detalhe Campos FY24'!$G$7:$G$575,'1. Status Resumo FY24'!$P104,'2. Status Detalhe Campos FY24'!$C$7:$C$575,'1. Status Resumo FY24'!$G$95,'2. Status Detalhe Campos FY24'!$D$7:$D$575,"2. Campo")+COUNTIFS('2. Status Detalhe Campos FY24'!$G$7:$G$575,'1. Status Resumo FY24'!$P104,'2. Status Detalhe Campos FY24'!$C$7:$C$575,'1. Status Resumo FY24'!$H$95,'2. Status Detalhe Campos FY24'!$D$7:$D$575,"2. Campo")</f>
        <v>13</v>
      </c>
      <c r="V104" s="26">
        <f t="shared" si="5"/>
        <v>12</v>
      </c>
      <c r="W104" s="157"/>
      <c r="X104" s="427"/>
      <c r="Y104" s="428"/>
      <c r="Z104" s="428"/>
      <c r="AA104" s="428"/>
      <c r="AB104" s="428"/>
      <c r="AC104" s="428"/>
      <c r="AD104" s="428"/>
      <c r="AE104" s="428"/>
      <c r="AF104" s="429"/>
      <c r="AG104" s="158"/>
      <c r="AH104" s="117"/>
    </row>
    <row r="105" spans="1:34" ht="17.7" customHeight="1">
      <c r="A105" s="117"/>
      <c r="B105" s="122"/>
      <c r="P105" s="26" t="s">
        <v>616</v>
      </c>
      <c r="R105" s="26" t="s">
        <v>617</v>
      </c>
      <c r="T105" s="26">
        <f>COUNTIFS('2. Status Detalhe Campos FY24'!$H$7:$H$575,'1. Status Resumo FY24'!$P105,'2. Status Detalhe Campos FY24'!$C$7:$C$575,'1. Status Resumo FY24'!$G$95,'2. Status Detalhe Campos FY24'!$D$7:$D$575,"2. Campo")+COUNTIFS('2. Status Detalhe Campos FY24'!$H$7:$H$575,'1. Status Resumo FY24'!$P105,'2. Status Detalhe Campos FY24'!$C$7:$C$575,'1. Status Resumo FY24'!$H$95,'2. Status Detalhe Campos FY24'!$D$7:$D$575,"2. Campo")</f>
        <v>0</v>
      </c>
      <c r="U105" s="26">
        <f>COUNTIFS('2. Status Detalhe Campos FY24'!$G$7:$G$575,'1. Status Resumo FY24'!$P105,'2. Status Detalhe Campos FY24'!$C$7:$C$575,'1. Status Resumo FY24'!$G$95,'2. Status Detalhe Campos FY24'!$D$7:$D$575,"2. Campo")+COUNTIFS('2. Status Detalhe Campos FY24'!$G$7:$G$575,'1. Status Resumo FY24'!$P105,'2. Status Detalhe Campos FY24'!$C$7:$C$575,'1. Status Resumo FY24'!$H$95,'2. Status Detalhe Campos FY24'!$D$7:$D$575,"2. Campo")</f>
        <v>0</v>
      </c>
      <c r="V105" s="26">
        <f t="shared" si="5"/>
        <v>0</v>
      </c>
      <c r="W105" s="157"/>
      <c r="X105" s="427"/>
      <c r="Y105" s="428"/>
      <c r="Z105" s="428"/>
      <c r="AA105" s="428"/>
      <c r="AB105" s="428"/>
      <c r="AC105" s="428"/>
      <c r="AD105" s="428"/>
      <c r="AE105" s="428"/>
      <c r="AF105" s="429"/>
      <c r="AG105" s="158"/>
      <c r="AH105" s="117"/>
    </row>
    <row r="106" spans="1:34">
      <c r="A106" s="117"/>
      <c r="B106" s="122"/>
      <c r="P106" s="26" t="s">
        <v>618</v>
      </c>
      <c r="T106" s="26">
        <f>COUNTIFS('2. Status Detalhe Campos FY24'!$H$7:$H$575,'1. Status Resumo FY24'!$P106,'2. Status Detalhe Campos FY24'!$C$7:$C$575,'1. Status Resumo FY24'!$G$95,'2. Status Detalhe Campos FY24'!$D$7:$D$575,"2. Campo")+COUNTIFS('2. Status Detalhe Campos FY24'!$H$7:$H$575,'1. Status Resumo FY24'!$P106,'2. Status Detalhe Campos FY24'!$C$7:$C$575,'1. Status Resumo FY24'!$H$95,'2. Status Detalhe Campos FY24'!$D$7:$D$575,"2. Campo")</f>
        <v>6</v>
      </c>
      <c r="U106" s="26">
        <f>COUNTIFS('2. Status Detalhe Campos FY24'!$G$7:$G$575,'1. Status Resumo FY24'!$P106,'2. Status Detalhe Campos FY24'!$C$7:$C$575,'1. Status Resumo FY24'!$G$95,'2. Status Detalhe Campos FY24'!$D$7:$D$575,"2. Campo")+COUNTIFS('2. Status Detalhe Campos FY24'!$G$7:$G$575,'1. Status Resumo FY24'!$P106,'2. Status Detalhe Campos FY24'!$C$7:$C$575,'1. Status Resumo FY24'!$H$95,'2. Status Detalhe Campos FY24'!$D$7:$D$575,"2. Campo")</f>
        <v>6</v>
      </c>
      <c r="V106" s="26">
        <f t="shared" si="5"/>
        <v>0</v>
      </c>
      <c r="X106" s="427"/>
      <c r="Y106" s="428"/>
      <c r="Z106" s="428"/>
      <c r="AA106" s="428"/>
      <c r="AB106" s="428"/>
      <c r="AC106" s="428"/>
      <c r="AD106" s="428"/>
      <c r="AE106" s="428"/>
      <c r="AF106" s="429"/>
      <c r="AG106" s="158"/>
      <c r="AH106" s="117"/>
    </row>
    <row r="107" spans="1:34">
      <c r="A107" s="117"/>
      <c r="B107" s="122"/>
      <c r="P107" s="26" t="s">
        <v>28</v>
      </c>
      <c r="T107" s="26">
        <f>COUNTIFS('2. Status Detalhe Campos FY24'!$H$7:$H$575,'1. Status Resumo FY24'!$P107,'2. Status Detalhe Campos FY24'!$C$7:$C$575,'1. Status Resumo FY24'!$G$95,'2. Status Detalhe Campos FY24'!$D$7:$D$575,"2. Campo")+COUNTIFS('2. Status Detalhe Campos FY24'!$H$7:$H$575,'1. Status Resumo FY24'!$P107,'2. Status Detalhe Campos FY24'!$C$7:$C$575,'1. Status Resumo FY24'!$H$95,'2. Status Detalhe Campos FY24'!$D$7:$D$575,"2. Campo")</f>
        <v>0</v>
      </c>
      <c r="U107" s="26">
        <f>COUNTIFS('2. Status Detalhe Campos FY24'!$G$7:$G$575,'1. Status Resumo FY24'!$P107,'2. Status Detalhe Campos FY24'!$C$7:$C$575,'1. Status Resumo FY24'!$G$95,'2. Status Detalhe Campos FY24'!$D$7:$D$575,"2. Campo")+COUNTIFS('2. Status Detalhe Campos FY24'!$G$7:$G$575,'1. Status Resumo FY24'!$P107,'2. Status Detalhe Campos FY24'!$C$7:$C$575,'1. Status Resumo FY24'!$H$95,'2. Status Detalhe Campos FY24'!$D$7:$D$575,"2. Campo")</f>
        <v>0</v>
      </c>
      <c r="V107" s="26">
        <f t="shared" si="5"/>
        <v>0</v>
      </c>
      <c r="X107" s="427"/>
      <c r="Y107" s="428"/>
      <c r="Z107" s="428"/>
      <c r="AA107" s="428"/>
      <c r="AB107" s="428"/>
      <c r="AC107" s="428"/>
      <c r="AD107" s="428"/>
      <c r="AE107" s="428"/>
      <c r="AF107" s="429"/>
      <c r="AG107" s="158"/>
      <c r="AH107" s="117"/>
    </row>
    <row r="108" spans="1:34">
      <c r="A108" s="117"/>
      <c r="B108" s="122"/>
      <c r="T108" s="128">
        <f>SUM(T99:T107)</f>
        <v>245</v>
      </c>
      <c r="U108" s="128">
        <f>SUM(U99:U107)</f>
        <v>245</v>
      </c>
      <c r="X108" s="427"/>
      <c r="Y108" s="428"/>
      <c r="Z108" s="428"/>
      <c r="AA108" s="428"/>
      <c r="AB108" s="428"/>
      <c r="AC108" s="428"/>
      <c r="AD108" s="428"/>
      <c r="AE108" s="428"/>
      <c r="AF108" s="429"/>
      <c r="AG108" s="158"/>
      <c r="AH108" s="117"/>
    </row>
    <row r="109" spans="1:34">
      <c r="A109" s="117"/>
      <c r="B109" s="122"/>
      <c r="X109" s="427"/>
      <c r="Y109" s="428"/>
      <c r="Z109" s="428"/>
      <c r="AA109" s="428"/>
      <c r="AB109" s="428"/>
      <c r="AC109" s="428"/>
      <c r="AD109" s="428"/>
      <c r="AE109" s="428"/>
      <c r="AF109" s="429"/>
      <c r="AG109" s="158"/>
      <c r="AH109" s="117"/>
    </row>
    <row r="110" spans="1:34">
      <c r="A110" s="117"/>
      <c r="B110" s="122"/>
      <c r="P110" s="130" t="s">
        <v>634</v>
      </c>
      <c r="Q110" s="131"/>
      <c r="R110" s="131"/>
      <c r="S110" s="131"/>
      <c r="T110" s="131"/>
      <c r="U110" s="131"/>
      <c r="V110" s="131"/>
      <c r="X110" s="427"/>
      <c r="Y110" s="428"/>
      <c r="Z110" s="428"/>
      <c r="AA110" s="428"/>
      <c r="AB110" s="428"/>
      <c r="AC110" s="428"/>
      <c r="AD110" s="428"/>
      <c r="AE110" s="428"/>
      <c r="AF110" s="429"/>
      <c r="AG110" s="158"/>
      <c r="AH110" s="117"/>
    </row>
    <row r="111" spans="1:34">
      <c r="A111" s="117"/>
      <c r="B111" s="122"/>
      <c r="O111" s="160" t="s">
        <v>621</v>
      </c>
      <c r="P111" s="26" t="s">
        <v>217</v>
      </c>
      <c r="T111" s="162" t="s">
        <v>623</v>
      </c>
      <c r="X111" s="427"/>
      <c r="Y111" s="428"/>
      <c r="Z111" s="428"/>
      <c r="AA111" s="428"/>
      <c r="AB111" s="428"/>
      <c r="AC111" s="428"/>
      <c r="AD111" s="428"/>
      <c r="AE111" s="428"/>
      <c r="AF111" s="429"/>
      <c r="AG111" s="158"/>
      <c r="AH111" s="117"/>
    </row>
    <row r="112" spans="1:34">
      <c r="A112" s="117"/>
      <c r="B112" s="122"/>
      <c r="O112" s="160" t="s">
        <v>621</v>
      </c>
      <c r="P112" s="26" t="s">
        <v>216</v>
      </c>
      <c r="T112" s="162" t="s">
        <v>623</v>
      </c>
      <c r="X112" s="427"/>
      <c r="Y112" s="428"/>
      <c r="Z112" s="428"/>
      <c r="AA112" s="428"/>
      <c r="AB112" s="428"/>
      <c r="AC112" s="428"/>
      <c r="AD112" s="428"/>
      <c r="AE112" s="428"/>
      <c r="AF112" s="429"/>
      <c r="AG112" s="158"/>
      <c r="AH112" s="117"/>
    </row>
    <row r="113" spans="1:34">
      <c r="A113" s="117"/>
      <c r="B113" s="122"/>
      <c r="O113" s="160" t="s">
        <v>621</v>
      </c>
      <c r="P113" s="26" t="s">
        <v>214</v>
      </c>
      <c r="T113" s="162" t="s">
        <v>623</v>
      </c>
      <c r="X113" s="427"/>
      <c r="Y113" s="428"/>
      <c r="Z113" s="428"/>
      <c r="AA113" s="428"/>
      <c r="AB113" s="428"/>
      <c r="AC113" s="428"/>
      <c r="AD113" s="428"/>
      <c r="AE113" s="428"/>
      <c r="AF113" s="429"/>
      <c r="AG113" s="158"/>
      <c r="AH113" s="117"/>
    </row>
    <row r="114" spans="1:34">
      <c r="A114" s="117"/>
      <c r="B114" s="122"/>
      <c r="O114" s="160" t="s">
        <v>621</v>
      </c>
      <c r="P114" s="26" t="s">
        <v>213</v>
      </c>
      <c r="T114" s="162" t="s">
        <v>623</v>
      </c>
      <c r="X114" s="427"/>
      <c r="Y114" s="428"/>
      <c r="Z114" s="428"/>
      <c r="AA114" s="428"/>
      <c r="AB114" s="428"/>
      <c r="AC114" s="428"/>
      <c r="AD114" s="428"/>
      <c r="AE114" s="428"/>
      <c r="AF114" s="429"/>
      <c r="AG114" s="158"/>
      <c r="AH114" s="117"/>
    </row>
    <row r="115" spans="1:34">
      <c r="A115" s="117"/>
      <c r="B115" s="122"/>
      <c r="O115" s="160" t="s">
        <v>621</v>
      </c>
      <c r="P115" s="26" t="s">
        <v>218</v>
      </c>
      <c r="T115" s="162" t="s">
        <v>623</v>
      </c>
      <c r="X115" s="427"/>
      <c r="Y115" s="428"/>
      <c r="Z115" s="428"/>
      <c r="AA115" s="428"/>
      <c r="AB115" s="428"/>
      <c r="AC115" s="428"/>
      <c r="AD115" s="428"/>
      <c r="AE115" s="428"/>
      <c r="AF115" s="429"/>
      <c r="AG115" s="158"/>
      <c r="AH115" s="117"/>
    </row>
    <row r="116" spans="1:34">
      <c r="A116" s="117"/>
      <c r="B116" s="122"/>
      <c r="O116" s="160" t="s">
        <v>621</v>
      </c>
      <c r="P116" s="26" t="s">
        <v>219</v>
      </c>
      <c r="T116" s="162" t="s">
        <v>623</v>
      </c>
      <c r="X116" s="427"/>
      <c r="Y116" s="428"/>
      <c r="Z116" s="428"/>
      <c r="AA116" s="428"/>
      <c r="AB116" s="428"/>
      <c r="AC116" s="428"/>
      <c r="AD116" s="428"/>
      <c r="AE116" s="428"/>
      <c r="AF116" s="429"/>
      <c r="AG116" s="158"/>
      <c r="AH116" s="117"/>
    </row>
    <row r="117" spans="1:34">
      <c r="A117" s="117"/>
      <c r="B117" s="122"/>
      <c r="O117" s="160" t="s">
        <v>621</v>
      </c>
      <c r="P117" s="26" t="s">
        <v>220</v>
      </c>
      <c r="T117" s="162" t="s">
        <v>623</v>
      </c>
      <c r="X117" s="427"/>
      <c r="Y117" s="428"/>
      <c r="Z117" s="428"/>
      <c r="AA117" s="428"/>
      <c r="AB117" s="428"/>
      <c r="AC117" s="428"/>
      <c r="AD117" s="428"/>
      <c r="AE117" s="428"/>
      <c r="AF117" s="429"/>
      <c r="AG117" s="158"/>
      <c r="AH117" s="117"/>
    </row>
    <row r="118" spans="1:34">
      <c r="A118" s="117"/>
      <c r="B118" s="122"/>
      <c r="O118" s="160" t="s">
        <v>621</v>
      </c>
      <c r="P118" s="26" t="s">
        <v>215</v>
      </c>
      <c r="T118" s="162" t="s">
        <v>623</v>
      </c>
      <c r="X118" s="427"/>
      <c r="Y118" s="428"/>
      <c r="Z118" s="428"/>
      <c r="AA118" s="428"/>
      <c r="AB118" s="428"/>
      <c r="AC118" s="428"/>
      <c r="AD118" s="428"/>
      <c r="AE118" s="428"/>
      <c r="AF118" s="429"/>
      <c r="AG118" s="158"/>
      <c r="AH118" s="117"/>
    </row>
    <row r="119" spans="1:34">
      <c r="A119" s="117"/>
      <c r="B119" s="122"/>
      <c r="O119" s="160" t="s">
        <v>621</v>
      </c>
      <c r="P119" s="26" t="s">
        <v>182</v>
      </c>
      <c r="T119" s="254" t="s">
        <v>2003</v>
      </c>
      <c r="X119" s="427"/>
      <c r="Y119" s="428"/>
      <c r="Z119" s="428"/>
      <c r="AA119" s="428"/>
      <c r="AB119" s="428"/>
      <c r="AC119" s="428"/>
      <c r="AD119" s="428"/>
      <c r="AE119" s="428"/>
      <c r="AF119" s="429"/>
      <c r="AG119" s="158"/>
      <c r="AH119" s="117"/>
    </row>
    <row r="120" spans="1:34">
      <c r="A120" s="117"/>
      <c r="B120" s="122"/>
      <c r="O120" s="160" t="s">
        <v>621</v>
      </c>
      <c r="P120" s="177" t="s">
        <v>635</v>
      </c>
      <c r="T120" s="166" t="s">
        <v>636</v>
      </c>
      <c r="X120" s="427"/>
      <c r="Y120" s="428"/>
      <c r="Z120" s="428"/>
      <c r="AA120" s="428"/>
      <c r="AB120" s="428"/>
      <c r="AC120" s="428"/>
      <c r="AD120" s="428"/>
      <c r="AE120" s="428"/>
      <c r="AF120" s="429"/>
      <c r="AG120" s="158"/>
      <c r="AH120" s="117"/>
    </row>
    <row r="121" spans="1:34">
      <c r="A121" s="117"/>
      <c r="B121" s="122"/>
      <c r="P121" s="159"/>
      <c r="X121" s="427"/>
      <c r="Y121" s="428"/>
      <c r="Z121" s="428"/>
      <c r="AA121" s="428"/>
      <c r="AB121" s="428"/>
      <c r="AC121" s="428"/>
      <c r="AD121" s="428"/>
      <c r="AE121" s="428"/>
      <c r="AF121" s="429"/>
      <c r="AG121" s="158"/>
      <c r="AH121" s="117"/>
    </row>
    <row r="122" spans="1:34">
      <c r="A122" s="117"/>
      <c r="B122" s="122"/>
      <c r="P122" s="130" t="s">
        <v>637</v>
      </c>
      <c r="Q122" s="131"/>
      <c r="R122" s="131"/>
      <c r="S122" s="131"/>
      <c r="T122" s="131"/>
      <c r="U122" s="131"/>
      <c r="V122" s="131"/>
      <c r="X122" s="427"/>
      <c r="Y122" s="428"/>
      <c r="Z122" s="428"/>
      <c r="AA122" s="428"/>
      <c r="AB122" s="428"/>
      <c r="AC122" s="428"/>
      <c r="AD122" s="428"/>
      <c r="AE122" s="428"/>
      <c r="AF122" s="429"/>
      <c r="AG122" s="158"/>
      <c r="AH122" s="117"/>
    </row>
    <row r="123" spans="1:34">
      <c r="A123" s="117"/>
      <c r="B123" s="122"/>
      <c r="O123" s="160" t="s">
        <v>621</v>
      </c>
      <c r="P123" s="26" t="s">
        <v>638</v>
      </c>
      <c r="T123" s="162" t="s">
        <v>623</v>
      </c>
      <c r="X123" s="427"/>
      <c r="Y123" s="428"/>
      <c r="Z123" s="428"/>
      <c r="AA123" s="428"/>
      <c r="AB123" s="428"/>
      <c r="AC123" s="428"/>
      <c r="AD123" s="428"/>
      <c r="AE123" s="428"/>
      <c r="AF123" s="429"/>
      <c r="AG123" s="158"/>
      <c r="AH123" s="117"/>
    </row>
    <row r="124" spans="1:34">
      <c r="A124" s="117"/>
      <c r="B124" s="122"/>
      <c r="O124" s="160" t="s">
        <v>621</v>
      </c>
      <c r="P124" s="26" t="s">
        <v>312</v>
      </c>
      <c r="T124" s="162" t="s">
        <v>639</v>
      </c>
      <c r="X124" s="427"/>
      <c r="Y124" s="428"/>
      <c r="Z124" s="428"/>
      <c r="AA124" s="428"/>
      <c r="AB124" s="428"/>
      <c r="AC124" s="428"/>
      <c r="AD124" s="428"/>
      <c r="AE124" s="428"/>
      <c r="AF124" s="429"/>
      <c r="AG124" s="158"/>
      <c r="AH124" s="117"/>
    </row>
    <row r="125" spans="1:34">
      <c r="A125" s="117"/>
      <c r="B125" s="122"/>
      <c r="O125" s="160" t="s">
        <v>621</v>
      </c>
      <c r="P125" s="26" t="s">
        <v>326</v>
      </c>
      <c r="T125" s="162" t="s">
        <v>623</v>
      </c>
      <c r="X125" s="427"/>
      <c r="Y125" s="428"/>
      <c r="Z125" s="428"/>
      <c r="AA125" s="428"/>
      <c r="AB125" s="428"/>
      <c r="AC125" s="428"/>
      <c r="AD125" s="428"/>
      <c r="AE125" s="428"/>
      <c r="AF125" s="429"/>
      <c r="AG125" s="158"/>
      <c r="AH125" s="117"/>
    </row>
    <row r="126" spans="1:34">
      <c r="A126" s="117"/>
      <c r="B126" s="122"/>
      <c r="O126" s="160" t="s">
        <v>621</v>
      </c>
      <c r="P126" s="26" t="s">
        <v>334</v>
      </c>
      <c r="T126" s="254" t="s">
        <v>2003</v>
      </c>
      <c r="X126" s="427"/>
      <c r="Y126" s="428"/>
      <c r="Z126" s="428"/>
      <c r="AA126" s="428"/>
      <c r="AB126" s="428"/>
      <c r="AC126" s="428"/>
      <c r="AD126" s="428"/>
      <c r="AE126" s="428"/>
      <c r="AF126" s="429"/>
      <c r="AG126" s="158"/>
      <c r="AH126" s="117"/>
    </row>
    <row r="127" spans="1:34">
      <c r="A127" s="117"/>
      <c r="B127" s="122"/>
      <c r="O127" s="160"/>
      <c r="T127" s="161"/>
      <c r="X127" s="430"/>
      <c r="Y127" s="431"/>
      <c r="Z127" s="431"/>
      <c r="AA127" s="431"/>
      <c r="AB127" s="431"/>
      <c r="AC127" s="431"/>
      <c r="AD127" s="431"/>
      <c r="AE127" s="431"/>
      <c r="AF127" s="432"/>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2.2">
      <c r="A130" s="117"/>
      <c r="B130" s="127" t="s">
        <v>2022</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607</v>
      </c>
      <c r="G133" s="155" t="s">
        <v>608</v>
      </c>
      <c r="P133" s="130" t="s">
        <v>609</v>
      </c>
      <c r="Q133" s="131"/>
      <c r="R133" s="130"/>
      <c r="S133" s="131"/>
      <c r="T133" s="132">
        <f>T74</f>
        <v>45667</v>
      </c>
      <c r="U133" s="132">
        <f>U74</f>
        <v>45674</v>
      </c>
      <c r="V133" s="133" t="s">
        <v>610</v>
      </c>
      <c r="X133" s="156" t="s">
        <v>611</v>
      </c>
      <c r="AG133" s="123"/>
      <c r="AH133" s="117"/>
    </row>
    <row r="134" spans="1:34" ht="18" customHeight="1">
      <c r="A134" s="117"/>
      <c r="B134" s="122"/>
      <c r="P134" s="26" t="s">
        <v>612</v>
      </c>
      <c r="T134" s="26">
        <f>COUNTIFS(Table4[Status Anterior],'1. Status Resumo FY24'!$P134,Table4[Sub-âmbito],'1. Status Resumo FY24'!$G$130,Table4[Tipo de teste],"2. Campo")</f>
        <v>0</v>
      </c>
      <c r="U134" s="26">
        <f>COUNTIFS(Table4[Status Atual],'1. Status Resumo FY24'!$P134,Table4[Sub-âmbito],'1. Status Resumo FY24'!$G$130,Table4[Tipo de teste],"2. Campo")</f>
        <v>4</v>
      </c>
      <c r="V134" s="26">
        <f>U134-T134</f>
        <v>4</v>
      </c>
      <c r="X134" s="442" t="s">
        <v>2067</v>
      </c>
      <c r="Y134" s="443"/>
      <c r="Z134" s="443"/>
      <c r="AA134" s="443"/>
      <c r="AB134" s="443"/>
      <c r="AC134" s="443"/>
      <c r="AD134" s="443"/>
      <c r="AE134" s="443"/>
      <c r="AF134" s="443"/>
      <c r="AG134" s="163"/>
      <c r="AH134" s="117"/>
    </row>
    <row r="135" spans="1:34">
      <c r="A135" s="117"/>
      <c r="B135" s="122"/>
      <c r="P135" s="26" t="s">
        <v>613</v>
      </c>
      <c r="T135" s="26">
        <f>COUNTIFS(Table4[Status Anterior],'1. Status Resumo FY24'!$P135,Table4[Sub-âmbito],'1. Status Resumo FY24'!$G$130,Table4[Tipo de teste],"2. Campo")</f>
        <v>119</v>
      </c>
      <c r="U135" s="26">
        <f>COUNTIFS(Table4[Status Atual],'1. Status Resumo FY24'!$P135,Table4[Sub-âmbito],'1. Status Resumo FY24'!$G$130,Table4[Tipo de teste],"2. Campo")</f>
        <v>123</v>
      </c>
      <c r="V135" s="26">
        <f t="shared" ref="V135:V142" si="6">U135-T135</f>
        <v>4</v>
      </c>
      <c r="X135" s="443"/>
      <c r="Y135" s="443"/>
      <c r="Z135" s="443"/>
      <c r="AA135" s="443"/>
      <c r="AB135" s="443"/>
      <c r="AC135" s="443"/>
      <c r="AD135" s="443"/>
      <c r="AE135" s="443"/>
      <c r="AF135" s="443"/>
      <c r="AG135" s="163"/>
      <c r="AH135" s="117"/>
    </row>
    <row r="136" spans="1:34">
      <c r="A136" s="117"/>
      <c r="B136" s="122"/>
      <c r="P136" s="26" t="s">
        <v>1921</v>
      </c>
      <c r="T136" s="26">
        <f>COUNTIFS(Table4[Status Anterior],'1. Status Resumo FY24'!$P136,Table4[Sub-âmbito],'1. Status Resumo FY24'!$G$130,Table4[Tipo de teste],"2. Campo")</f>
        <v>3</v>
      </c>
      <c r="U136" s="26">
        <f>COUNTIFS(Table4[Status Atual],'1. Status Resumo FY24'!$P136,Table4[Sub-âmbito],'1. Status Resumo FY24'!$G$130,Table4[Tipo de teste],"2. Campo")</f>
        <v>3</v>
      </c>
      <c r="V136" s="26">
        <f t="shared" si="6"/>
        <v>0</v>
      </c>
      <c r="X136" s="443"/>
      <c r="Y136" s="443"/>
      <c r="Z136" s="443"/>
      <c r="AA136" s="443"/>
      <c r="AB136" s="443"/>
      <c r="AC136" s="443"/>
      <c r="AD136" s="443"/>
      <c r="AE136" s="443"/>
      <c r="AF136" s="443"/>
      <c r="AG136" s="163"/>
      <c r="AH136" s="117"/>
    </row>
    <row r="137" spans="1:34" ht="17.7" customHeight="1">
      <c r="A137" s="117"/>
      <c r="B137" s="122"/>
      <c r="D137" s="414" t="str">
        <f>"# "&amp;U143</f>
        <v># 135</v>
      </c>
      <c r="E137" s="414"/>
      <c r="P137" s="26" t="s">
        <v>1922</v>
      </c>
      <c r="T137" s="26">
        <f>COUNTIFS(Table4[Status Anterior],'1. Status Resumo FY24'!$P137,Table4[Sub-âmbito],'1. Status Resumo FY24'!$G$130,Table4[Tipo de teste],"2. Campo")</f>
        <v>0</v>
      </c>
      <c r="U137" s="26">
        <f>COUNTIFS(Table4[Status Atual],'1. Status Resumo FY24'!$P137,Table4[Sub-âmbito],'1. Status Resumo FY24'!$G$130,Table4[Tipo de teste],"2. Campo")</f>
        <v>0</v>
      </c>
      <c r="V137" s="26">
        <f>U137-T137</f>
        <v>0</v>
      </c>
      <c r="X137" s="443"/>
      <c r="Y137" s="443"/>
      <c r="Z137" s="443"/>
      <c r="AA137" s="443"/>
      <c r="AB137" s="443"/>
      <c r="AC137" s="443"/>
      <c r="AD137" s="443"/>
      <c r="AE137" s="443"/>
      <c r="AF137" s="443"/>
      <c r="AG137" s="163"/>
      <c r="AH137" s="117"/>
    </row>
    <row r="138" spans="1:34" ht="17.7" customHeight="1">
      <c r="A138" s="117"/>
      <c r="B138" s="122"/>
      <c r="D138" s="414"/>
      <c r="E138" s="414"/>
      <c r="P138" s="26" t="s">
        <v>614</v>
      </c>
      <c r="T138" s="26">
        <f>COUNTIFS(Table4[Status Anterior],'1. Status Resumo FY24'!$P138,Table4[Sub-âmbito],'1. Status Resumo FY24'!$G$130,Table4[Tipo de teste],"2. Campo")</f>
        <v>10</v>
      </c>
      <c r="U138" s="26">
        <f>COUNTIFS(Table4[Status Atual],'1. Status Resumo FY24'!$P138,Table4[Sub-âmbito],'1. Status Resumo FY24'!$G$130,Table4[Tipo de teste],"2. Campo")</f>
        <v>3</v>
      </c>
      <c r="V138" s="26">
        <f t="shared" si="6"/>
        <v>-7</v>
      </c>
      <c r="X138" s="443"/>
      <c r="Y138" s="443"/>
      <c r="Z138" s="443"/>
      <c r="AA138" s="443"/>
      <c r="AB138" s="443"/>
      <c r="AC138" s="443"/>
      <c r="AD138" s="443"/>
      <c r="AE138" s="443"/>
      <c r="AF138" s="443"/>
      <c r="AG138" s="163"/>
      <c r="AH138" s="117"/>
    </row>
    <row r="139" spans="1:34" ht="17.7" customHeight="1">
      <c r="A139" s="117"/>
      <c r="B139" s="122"/>
      <c r="D139" s="414"/>
      <c r="E139" s="414"/>
      <c r="P139" s="26" t="s">
        <v>615</v>
      </c>
      <c r="T139" s="26">
        <f>COUNTIFS(Table4[Status Anterior],'1. Status Resumo FY24'!$P139,Table4[Sub-âmbito],'1. Status Resumo FY24'!$G$130,Table4[Tipo de teste],"2. Campo")</f>
        <v>2</v>
      </c>
      <c r="U139" s="26">
        <f>COUNTIFS(Table4[Status Atual],'1. Status Resumo FY24'!$P139,Table4[Sub-âmbito],'1. Status Resumo FY24'!$G$130,Table4[Tipo de teste],"2. Campo")</f>
        <v>2</v>
      </c>
      <c r="V139" s="26">
        <f t="shared" si="6"/>
        <v>0</v>
      </c>
      <c r="X139" s="443"/>
      <c r="Y139" s="443"/>
      <c r="Z139" s="443"/>
      <c r="AA139" s="443"/>
      <c r="AB139" s="443"/>
      <c r="AC139" s="443"/>
      <c r="AD139" s="443"/>
      <c r="AE139" s="443"/>
      <c r="AF139" s="443"/>
      <c r="AG139" s="163"/>
      <c r="AH139" s="117"/>
    </row>
    <row r="140" spans="1:34">
      <c r="A140" s="117"/>
      <c r="B140" s="122"/>
      <c r="D140" s="414"/>
      <c r="E140" s="414"/>
      <c r="P140" s="26" t="s">
        <v>616</v>
      </c>
      <c r="R140" s="26" t="s">
        <v>617</v>
      </c>
      <c r="T140" s="26">
        <f>COUNTIFS(Table4[Status Anterior],'1. Status Resumo FY24'!$P140,Table4[Sub-âmbito],'1. Status Resumo FY24'!$G$130,Table4[Tipo de teste],"2. Campo")</f>
        <v>1</v>
      </c>
      <c r="U140" s="26">
        <f>COUNTIFS(Table4[Status Atual],'1. Status Resumo FY24'!$P140,Table4[Sub-âmbito],'1. Status Resumo FY24'!$G$130,Table4[Tipo de teste],"2. Campo")</f>
        <v>0</v>
      </c>
      <c r="V140" s="26">
        <f t="shared" si="6"/>
        <v>-1</v>
      </c>
      <c r="X140" s="443"/>
      <c r="Y140" s="443"/>
      <c r="Z140" s="443"/>
      <c r="AA140" s="443"/>
      <c r="AB140" s="443"/>
      <c r="AC140" s="443"/>
      <c r="AD140" s="443"/>
      <c r="AE140" s="443"/>
      <c r="AF140" s="443"/>
      <c r="AG140" s="163"/>
      <c r="AH140" s="117"/>
    </row>
    <row r="141" spans="1:34">
      <c r="A141" s="117"/>
      <c r="B141" s="122"/>
      <c r="D141" s="414"/>
      <c r="E141" s="414"/>
      <c r="P141" s="26" t="s">
        <v>618</v>
      </c>
      <c r="T141" s="26">
        <f>COUNTIFS(Table4[Status Anterior],'1. Status Resumo FY24'!$P141,Table4[Sub-âmbito],'1. Status Resumo FY24'!$G$130,Table4[Tipo de teste],"2. Campo")</f>
        <v>0</v>
      </c>
      <c r="U141" s="26">
        <f>COUNTIFS(Table4[Status Atual],'1. Status Resumo FY24'!$P141,Table4[Sub-âmbito],'1. Status Resumo FY24'!$G$130,Table4[Tipo de teste],"2. Campo")</f>
        <v>0</v>
      </c>
      <c r="V141" s="26">
        <f>U141-T141</f>
        <v>0</v>
      </c>
      <c r="X141" s="443"/>
      <c r="Y141" s="443"/>
      <c r="Z141" s="443"/>
      <c r="AA141" s="443"/>
      <c r="AB141" s="443"/>
      <c r="AC141" s="443"/>
      <c r="AD141" s="443"/>
      <c r="AE141" s="443"/>
      <c r="AF141" s="443"/>
      <c r="AG141" s="163"/>
      <c r="AH141" s="117"/>
    </row>
    <row r="142" spans="1:34">
      <c r="A142" s="117"/>
      <c r="B142" s="122"/>
      <c r="P142" s="26" t="s">
        <v>28</v>
      </c>
      <c r="T142" s="26">
        <f>COUNTIFS(Table4[Status Anterior],'1. Status Resumo FY24'!$P142,Table4[Sub-âmbito],'1. Status Resumo FY24'!$G$130,Table4[Tipo de teste],"2. Campo")</f>
        <v>0</v>
      </c>
      <c r="U142" s="26">
        <f>COUNTIFS(Table4[Status Atual],'1. Status Resumo FY24'!$P142,Table4[Sub-âmbito],'1. Status Resumo FY24'!$G$130,Table4[Tipo de teste],"2. Campo")</f>
        <v>0</v>
      </c>
      <c r="V142" s="26">
        <f t="shared" si="6"/>
        <v>0</v>
      </c>
      <c r="X142" s="443"/>
      <c r="Y142" s="443"/>
      <c r="Z142" s="443"/>
      <c r="AA142" s="443"/>
      <c r="AB142" s="443"/>
      <c r="AC142" s="443"/>
      <c r="AD142" s="443"/>
      <c r="AE142" s="443"/>
      <c r="AF142" s="443"/>
      <c r="AG142" s="163"/>
      <c r="AH142" s="117"/>
    </row>
    <row r="143" spans="1:34">
      <c r="A143" s="117"/>
      <c r="B143" s="122"/>
      <c r="T143" s="128">
        <f>SUM(T134:T142)</f>
        <v>135</v>
      </c>
      <c r="U143" s="128">
        <f>SUM(U134:U142)</f>
        <v>135</v>
      </c>
      <c r="X143" s="443"/>
      <c r="Y143" s="443"/>
      <c r="Z143" s="443"/>
      <c r="AA143" s="443"/>
      <c r="AB143" s="443"/>
      <c r="AC143" s="443"/>
      <c r="AD143" s="443"/>
      <c r="AE143" s="443"/>
      <c r="AF143" s="443"/>
      <c r="AG143" s="163"/>
      <c r="AH143" s="117"/>
    </row>
    <row r="144" spans="1:34">
      <c r="A144" s="117"/>
      <c r="B144" s="122"/>
      <c r="T144" s="128"/>
      <c r="U144" s="128"/>
      <c r="X144" s="443"/>
      <c r="Y144" s="443"/>
      <c r="Z144" s="443"/>
      <c r="AA144" s="443"/>
      <c r="AB144" s="443"/>
      <c r="AC144" s="443"/>
      <c r="AD144" s="443"/>
      <c r="AE144" s="443"/>
      <c r="AF144" s="443"/>
      <c r="AG144" s="163"/>
      <c r="AH144" s="117"/>
    </row>
    <row r="145" spans="1:34">
      <c r="A145" s="117"/>
      <c r="B145" s="122"/>
      <c r="P145" s="130" t="s">
        <v>619</v>
      </c>
      <c r="Q145" s="131"/>
      <c r="R145" s="131"/>
      <c r="S145" s="131"/>
      <c r="T145" s="131"/>
      <c r="U145" s="131"/>
      <c r="V145" s="131"/>
      <c r="X145" s="443"/>
      <c r="Y145" s="443"/>
      <c r="Z145" s="443"/>
      <c r="AA145" s="443"/>
      <c r="AB145" s="443"/>
      <c r="AC145" s="443"/>
      <c r="AD145" s="443"/>
      <c r="AE145" s="443"/>
      <c r="AF145" s="443"/>
      <c r="AG145" s="163"/>
      <c r="AH145" s="117"/>
    </row>
    <row r="146" spans="1:34">
      <c r="A146" s="117"/>
      <c r="B146" s="122"/>
      <c r="O146" s="160" t="s">
        <v>621</v>
      </c>
      <c r="P146" s="26" t="s">
        <v>380</v>
      </c>
      <c r="T146" s="206" t="s">
        <v>1923</v>
      </c>
      <c r="X146" s="443"/>
      <c r="Y146" s="443"/>
      <c r="Z146" s="443"/>
      <c r="AA146" s="443"/>
      <c r="AB146" s="443"/>
      <c r="AC146" s="443"/>
      <c r="AD146" s="443"/>
      <c r="AE146" s="443"/>
      <c r="AF146" s="443"/>
      <c r="AG146" s="163"/>
      <c r="AH146" s="117"/>
    </row>
    <row r="147" spans="1:34">
      <c r="A147" s="117"/>
      <c r="B147" s="122"/>
      <c r="O147" s="160" t="s">
        <v>621</v>
      </c>
      <c r="P147" s="26" t="s">
        <v>336</v>
      </c>
      <c r="T147" s="162" t="s">
        <v>2044</v>
      </c>
      <c r="X147" s="443"/>
      <c r="Y147" s="443"/>
      <c r="Z147" s="443"/>
      <c r="AA147" s="443"/>
      <c r="AB147" s="443"/>
      <c r="AC147" s="443"/>
      <c r="AD147" s="443"/>
      <c r="AE147" s="443"/>
      <c r="AF147" s="443"/>
      <c r="AG147" s="163"/>
      <c r="AH147" s="117"/>
    </row>
    <row r="148" spans="1:34">
      <c r="A148" s="117"/>
      <c r="B148" s="122"/>
      <c r="O148" s="160" t="s">
        <v>621</v>
      </c>
      <c r="P148" s="26" t="s">
        <v>369</v>
      </c>
      <c r="T148" s="162" t="s">
        <v>623</v>
      </c>
      <c r="X148" s="443"/>
      <c r="Y148" s="443"/>
      <c r="Z148" s="443"/>
      <c r="AA148" s="443"/>
      <c r="AB148" s="443"/>
      <c r="AC148" s="443"/>
      <c r="AD148" s="443"/>
      <c r="AE148" s="443"/>
      <c r="AF148" s="443"/>
      <c r="AG148" s="163"/>
      <c r="AH148" s="117"/>
    </row>
    <row r="149" spans="1:34">
      <c r="A149" s="117"/>
      <c r="B149" s="122"/>
      <c r="O149" s="160" t="s">
        <v>621</v>
      </c>
      <c r="P149" s="26" t="s">
        <v>440</v>
      </c>
      <c r="T149" s="162" t="s">
        <v>623</v>
      </c>
      <c r="X149" s="443"/>
      <c r="Y149" s="443"/>
      <c r="Z149" s="443"/>
      <c r="AA149" s="443"/>
      <c r="AB149" s="443"/>
      <c r="AC149" s="443"/>
      <c r="AD149" s="443"/>
      <c r="AE149" s="443"/>
      <c r="AF149" s="443"/>
      <c r="AG149" s="163"/>
      <c r="AH149" s="117"/>
    </row>
    <row r="150" spans="1:34">
      <c r="A150" s="117"/>
      <c r="B150" s="122"/>
      <c r="O150" s="160" t="s">
        <v>621</v>
      </c>
      <c r="P150" s="26" t="s">
        <v>442</v>
      </c>
      <c r="T150" s="162" t="s">
        <v>623</v>
      </c>
      <c r="X150" s="443"/>
      <c r="Y150" s="443"/>
      <c r="Z150" s="443"/>
      <c r="AA150" s="443"/>
      <c r="AB150" s="443"/>
      <c r="AC150" s="443"/>
      <c r="AD150" s="443"/>
      <c r="AE150" s="443"/>
      <c r="AF150" s="443"/>
      <c r="AG150" s="163"/>
      <c r="AH150" s="117"/>
    </row>
    <row r="151" spans="1:34">
      <c r="A151" s="117"/>
      <c r="B151" s="122"/>
      <c r="O151" s="160" t="s">
        <v>621</v>
      </c>
      <c r="P151" s="26" t="s">
        <v>1948</v>
      </c>
      <c r="T151" s="254" t="s">
        <v>2003</v>
      </c>
      <c r="X151" s="443"/>
      <c r="Y151" s="443"/>
      <c r="Z151" s="443"/>
      <c r="AA151" s="443"/>
      <c r="AB151" s="443"/>
      <c r="AC151" s="443"/>
      <c r="AD151" s="443"/>
      <c r="AE151" s="443"/>
      <c r="AF151" s="443"/>
      <c r="AG151" s="163"/>
      <c r="AH151" s="117"/>
    </row>
    <row r="152" spans="1:34">
      <c r="A152" s="117"/>
      <c r="B152" s="122"/>
      <c r="O152" s="160" t="s">
        <v>621</v>
      </c>
      <c r="P152" s="26" t="s">
        <v>1949</v>
      </c>
      <c r="T152" s="162" t="s">
        <v>623</v>
      </c>
      <c r="X152" s="443"/>
      <c r="Y152" s="443"/>
      <c r="Z152" s="443"/>
      <c r="AA152" s="443"/>
      <c r="AB152" s="443"/>
      <c r="AC152" s="443"/>
      <c r="AD152" s="443"/>
      <c r="AE152" s="443"/>
      <c r="AF152" s="443"/>
      <c r="AG152" s="163"/>
      <c r="AH152" s="117"/>
    </row>
    <row r="153" spans="1:34">
      <c r="A153" s="117"/>
      <c r="B153" s="122"/>
      <c r="O153" s="160" t="s">
        <v>621</v>
      </c>
      <c r="P153" s="26" t="s">
        <v>393</v>
      </c>
      <c r="T153" s="162" t="s">
        <v>623</v>
      </c>
      <c r="X153" s="443"/>
      <c r="Y153" s="443"/>
      <c r="Z153" s="443"/>
      <c r="AA153" s="443"/>
      <c r="AB153" s="443"/>
      <c r="AC153" s="443"/>
      <c r="AD153" s="443"/>
      <c r="AE153" s="443"/>
      <c r="AF153" s="443"/>
      <c r="AG153" s="163"/>
      <c r="AH153" s="117"/>
    </row>
    <row r="154" spans="1:34">
      <c r="A154" s="117"/>
      <c r="B154" s="122"/>
      <c r="O154" s="160"/>
      <c r="T154" s="162"/>
      <c r="X154" s="443"/>
      <c r="Y154" s="443"/>
      <c r="Z154" s="443"/>
      <c r="AA154" s="443"/>
      <c r="AB154" s="443"/>
      <c r="AC154" s="443"/>
      <c r="AD154" s="443"/>
      <c r="AE154" s="443"/>
      <c r="AF154" s="443"/>
      <c r="AG154" s="163"/>
      <c r="AH154" s="117"/>
    </row>
    <row r="155" spans="1:34">
      <c r="A155" s="117"/>
      <c r="B155" s="122"/>
      <c r="X155" s="443"/>
      <c r="Y155" s="443"/>
      <c r="Z155" s="443"/>
      <c r="AA155" s="443"/>
      <c r="AB155" s="443"/>
      <c r="AC155" s="443"/>
      <c r="AD155" s="443"/>
      <c r="AE155" s="443"/>
      <c r="AF155" s="443"/>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2"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5"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7"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7"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7"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4"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4" customFormat="1" hidden="1"/>
    <row r="188" spans="1:34" s="204" customFormat="1" hidden="1"/>
    <row r="189" spans="1:34" s="204" customFormat="1" hidden="1"/>
    <row r="190" spans="1:34" s="204"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5"/>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H9" sqref="H9"/>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2025</v>
      </c>
    </row>
    <row r="7" spans="1:15" ht="16.2" customHeight="1">
      <c r="A7" s="30" t="str">
        <f>E7&amp;F7</f>
        <v>ENERGY_CERTIFICATE_EST_INPUTn.a.</v>
      </c>
      <c r="B7" s="142" t="s">
        <v>26</v>
      </c>
      <c r="C7" s="138" t="s">
        <v>34</v>
      </c>
      <c r="D7" s="134" t="s">
        <v>36</v>
      </c>
      <c r="E7" s="135" t="s">
        <v>37</v>
      </c>
      <c r="F7" s="134" t="s">
        <v>38</v>
      </c>
      <c r="G7" s="136" t="str">
        <f>VLOOKUP(A7,Plano_V3!$A$26:$G$593,7,0)</f>
        <v>2.2 Em Re-especificação</v>
      </c>
      <c r="H7" s="136" t="s">
        <v>615</v>
      </c>
      <c r="I7" s="143" t="s">
        <v>2052</v>
      </c>
      <c r="J7" s="462">
        <f>IF(VLOOKUP(A7,'Aux - pivots1'!$A:$E,3,0)=0, "",VLOOKUP(A7,'Aux - pivots1'!$A:$E,3,0))</f>
        <v>45510</v>
      </c>
      <c r="K7" s="462">
        <f>IF(VLOOKUP(A7,'Aux - pivots1'!$A:$E,4,0)=0, "",VLOOKUP(A7,'Aux - pivots1'!$A:$E,4,0))</f>
        <v>45624</v>
      </c>
      <c r="L7" s="153" t="str">
        <f>IF(VLOOKUP(A7,'Aux - pivots1'!$A:$E,5,0)=0, "",VLOOKUP(A7,'Aux - pivots1'!$A:$E,5,0))</f>
        <v/>
      </c>
      <c r="M7" s="209"/>
      <c r="N7" s="209"/>
      <c r="O7" s="343"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VLOOKUP(A8,Plano_V3!$A$26:$G$593,7,0)</f>
        <v>2.2 Em Re-especificação</v>
      </c>
      <c r="H8" s="136" t="s">
        <v>615</v>
      </c>
      <c r="I8" s="143" t="s">
        <v>2052</v>
      </c>
      <c r="J8" s="462">
        <f>IF(VLOOKUP(A8,'Aux - pivots1'!$A:$E,3,0)=0, "",VLOOKUP(A8,'Aux - pivots1'!$A:$E,3,0))</f>
        <v>45510</v>
      </c>
      <c r="K8" s="462">
        <f>IF(VLOOKUP(A8,'Aux - pivots1'!$A:$E,4,0)=0, "",VLOOKUP(A8,'Aux - pivots1'!$A:$E,4,0))</f>
        <v>45624</v>
      </c>
      <c r="L8" s="153" t="str">
        <f>IF(VLOOKUP(A8,'Aux - pivots1'!$A:$E,5,0)=0, "",VLOOKUP(A8,'Aux - pivots1'!$A:$E,5,0))</f>
        <v/>
      </c>
      <c r="M8" s="208"/>
      <c r="N8" s="208"/>
      <c r="O8" s="343" t="s">
        <v>27</v>
      </c>
    </row>
    <row r="9" spans="1:15" ht="16.2" customHeight="1">
      <c r="A9" s="30" t="str">
        <f t="shared" si="0"/>
        <v>ENERGY_CERTIFICATE_EST_INPUTENCRYPTED_KEY</v>
      </c>
      <c r="B9" s="142" t="s">
        <v>26</v>
      </c>
      <c r="C9" s="138" t="s">
        <v>34</v>
      </c>
      <c r="D9" s="134" t="s">
        <v>40</v>
      </c>
      <c r="E9" s="135" t="s">
        <v>37</v>
      </c>
      <c r="F9" s="134" t="s">
        <v>42</v>
      </c>
      <c r="G9" s="136" t="str">
        <f>VLOOKUP(A9,Plano_V3!$A$26:$G$593,7,0)</f>
        <v>2.2 Em Re-especificação</v>
      </c>
      <c r="H9" s="136" t="s">
        <v>615</v>
      </c>
      <c r="I9" s="143" t="s">
        <v>2052</v>
      </c>
      <c r="J9" s="462">
        <f>IF(VLOOKUP(A9,'Aux - pivots1'!$A:$E,3,0)=0, "",VLOOKUP(A9,'Aux - pivots1'!$A:$E,3,0))</f>
        <v>45510</v>
      </c>
      <c r="K9" s="462">
        <f>IF(VLOOKUP(A9,'Aux - pivots1'!$A:$E,4,0)=0, "",VLOOKUP(A9,'Aux - pivots1'!$A:$E,4,0))</f>
        <v>45624</v>
      </c>
      <c r="L9" s="153" t="str">
        <f>IF(VLOOKUP(A9,'Aux - pivots1'!$A:$E,5,0)=0, "",VLOOKUP(A9,'Aux - pivots1'!$A:$E,5,0))</f>
        <v/>
      </c>
      <c r="M9" s="208"/>
      <c r="N9" s="208"/>
      <c r="O9" s="343"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VLOOKUP(A10,Plano_V3!$A$26:$G$593,7,0)</f>
        <v>2.2 Em Re-especificação</v>
      </c>
      <c r="H10" s="136" t="s">
        <v>615</v>
      </c>
      <c r="I10" s="143" t="s">
        <v>2052</v>
      </c>
      <c r="J10" s="462">
        <f>IF(VLOOKUP(A10,'Aux - pivots1'!$A:$E,3,0)=0, "",VLOOKUP(A10,'Aux - pivots1'!$A:$E,3,0))</f>
        <v>45510</v>
      </c>
      <c r="K10" s="462">
        <f>IF(VLOOKUP(A10,'Aux - pivots1'!$A:$E,4,0)=0, "",VLOOKUP(A10,'Aux - pivots1'!$A:$E,4,0))</f>
        <v>45624</v>
      </c>
      <c r="L10" s="153" t="str">
        <f>IF(VLOOKUP(A10,'Aux - pivots1'!$A:$E,5,0)=0, "",VLOOKUP(A10,'Aux - pivots1'!$A:$E,5,0))</f>
        <v/>
      </c>
      <c r="M10" s="208"/>
      <c r="N10" s="208"/>
      <c r="O10" s="343"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VLOOKUP(A11,Plano_V3!$A$26:$G$593,7,0)</f>
        <v>2.2 Em Re-especificação</v>
      </c>
      <c r="H11" s="136" t="s">
        <v>615</v>
      </c>
      <c r="I11" s="143" t="s">
        <v>2052</v>
      </c>
      <c r="J11" s="462">
        <f>IF(VLOOKUP(A11,'Aux - pivots1'!$A:$E,3,0)=0, "",VLOOKUP(A11,'Aux - pivots1'!$A:$E,3,0))</f>
        <v>45510</v>
      </c>
      <c r="K11" s="462">
        <f>IF(VLOOKUP(A11,'Aux - pivots1'!$A:$E,4,0)=0, "",VLOOKUP(A11,'Aux - pivots1'!$A:$E,4,0))</f>
        <v>45624</v>
      </c>
      <c r="L11" s="153" t="str">
        <f>IF(VLOOKUP(A11,'Aux - pivots1'!$A:$E,5,0)=0, "",VLOOKUP(A11,'Aux - pivots1'!$A:$E,5,0))</f>
        <v/>
      </c>
      <c r="M11" s="208"/>
      <c r="N11" s="208"/>
      <c r="O11" s="343"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VLOOKUP(A12,Plano_V3!$A$26:$G$593,7,0)</f>
        <v>2.2 Em Re-especificação</v>
      </c>
      <c r="H12" s="136" t="s">
        <v>615</v>
      </c>
      <c r="I12" s="143" t="s">
        <v>2052</v>
      </c>
      <c r="J12" s="462">
        <f>IF(VLOOKUP(A12,'Aux - pivots1'!$A:$E,3,0)=0, "",VLOOKUP(A12,'Aux - pivots1'!$A:$E,3,0))</f>
        <v>45510</v>
      </c>
      <c r="K12" s="462">
        <f>IF(VLOOKUP(A12,'Aux - pivots1'!$A:$E,4,0)=0, "",VLOOKUP(A12,'Aux - pivots1'!$A:$E,4,0))</f>
        <v>45624</v>
      </c>
      <c r="L12" s="153" t="str">
        <f>IF(VLOOKUP(A12,'Aux - pivots1'!$A:$E,5,0)=0, "",VLOOKUP(A12,'Aux - pivots1'!$A:$E,5,0))</f>
        <v/>
      </c>
      <c r="M12" s="208"/>
      <c r="N12" s="208"/>
      <c r="O12" s="343"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VLOOKUP(A13,Plano_V3!$A$26:$G$593,7,0)</f>
        <v>2.2 Em Re-especificação</v>
      </c>
      <c r="H13" s="136" t="s">
        <v>615</v>
      </c>
      <c r="I13" s="143" t="s">
        <v>2052</v>
      </c>
      <c r="J13" s="462">
        <f>IF(VLOOKUP(A13,'Aux - pivots1'!$A:$E,3,0)=0, "",VLOOKUP(A13,'Aux - pivots1'!$A:$E,3,0))</f>
        <v>45510</v>
      </c>
      <c r="K13" s="462">
        <f>IF(VLOOKUP(A13,'Aux - pivots1'!$A:$E,4,0)=0, "",VLOOKUP(A13,'Aux - pivots1'!$A:$E,4,0))</f>
        <v>45624</v>
      </c>
      <c r="L13" s="153" t="str">
        <f>IF(VLOOKUP(A13,'Aux - pivots1'!$A:$E,5,0)=0, "",VLOOKUP(A13,'Aux - pivots1'!$A:$E,5,0))</f>
        <v/>
      </c>
      <c r="M13" s="208"/>
      <c r="N13" s="208"/>
      <c r="O13" s="343" t="s">
        <v>27</v>
      </c>
    </row>
    <row r="14" spans="1:15" ht="16.2" customHeight="1">
      <c r="A14" s="30" t="str">
        <f t="shared" si="0"/>
        <v>ENERGY_CERTIFICATE_EST_INPUTEPC</v>
      </c>
      <c r="B14" s="142" t="s">
        <v>26</v>
      </c>
      <c r="C14" s="138" t="s">
        <v>34</v>
      </c>
      <c r="D14" s="134" t="s">
        <v>40</v>
      </c>
      <c r="E14" s="135" t="s">
        <v>37</v>
      </c>
      <c r="F14" s="134" t="s">
        <v>47</v>
      </c>
      <c r="G14" s="136" t="str">
        <f>VLOOKUP(A14,Plano_V3!$A$26:$G$593,7,0)</f>
        <v>2.2 Em Re-especificação</v>
      </c>
      <c r="H14" s="136" t="s">
        <v>615</v>
      </c>
      <c r="I14" s="143" t="s">
        <v>2052</v>
      </c>
      <c r="J14" s="462">
        <f>IF(VLOOKUP(A14,'Aux - pivots1'!$A:$E,3,0)=0, "",VLOOKUP(A14,'Aux - pivots1'!$A:$E,3,0))</f>
        <v>45510</v>
      </c>
      <c r="K14" s="462">
        <f>IF(VLOOKUP(A14,'Aux - pivots1'!$A:$E,4,0)=0, "",VLOOKUP(A14,'Aux - pivots1'!$A:$E,4,0))</f>
        <v>45624</v>
      </c>
      <c r="L14" s="153" t="str">
        <f>IF(VLOOKUP(A14,'Aux - pivots1'!$A:$E,5,0)=0, "",VLOOKUP(A14,'Aux - pivots1'!$A:$E,5,0))</f>
        <v/>
      </c>
      <c r="M14" s="208"/>
      <c r="N14" s="208"/>
      <c r="O14" s="343"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VLOOKUP(A15,Plano_V3!$A$26:$G$593,7,0)</f>
        <v>2.2 Em Re-especificação</v>
      </c>
      <c r="H15" s="136" t="s">
        <v>615</v>
      </c>
      <c r="I15" s="143" t="s">
        <v>2052</v>
      </c>
      <c r="J15" s="462">
        <f>IF(VLOOKUP(A15,'Aux - pivots1'!$A:$E,3,0)=0, "",VLOOKUP(A15,'Aux - pivots1'!$A:$E,3,0))</f>
        <v>45510</v>
      </c>
      <c r="K15" s="462">
        <f>IF(VLOOKUP(A15,'Aux - pivots1'!$A:$E,4,0)=0, "",VLOOKUP(A15,'Aux - pivots1'!$A:$E,4,0))</f>
        <v>45624</v>
      </c>
      <c r="L15" s="153" t="str">
        <f>IF(VLOOKUP(A15,'Aux - pivots1'!$A:$E,5,0)=0, "",VLOOKUP(A15,'Aux - pivots1'!$A:$E,5,0))</f>
        <v/>
      </c>
      <c r="M15" s="208"/>
      <c r="N15" s="208"/>
      <c r="O15" s="343"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VLOOKUP(A16,Plano_V3!$A$26:$G$593,7,0)</f>
        <v>2.2 Em Re-especificação</v>
      </c>
      <c r="H16" s="136" t="s">
        <v>615</v>
      </c>
      <c r="I16" s="143" t="s">
        <v>2052</v>
      </c>
      <c r="J16" s="462">
        <f>IF(VLOOKUP(A16,'Aux - pivots1'!$A:$E,3,0)=0, "",VLOOKUP(A16,'Aux - pivots1'!$A:$E,3,0))</f>
        <v>45510</v>
      </c>
      <c r="K16" s="462">
        <f>IF(VLOOKUP(A16,'Aux - pivots1'!$A:$E,4,0)=0, "",VLOOKUP(A16,'Aux - pivots1'!$A:$E,4,0))</f>
        <v>45624</v>
      </c>
      <c r="L16" s="153" t="str">
        <f>IF(VLOOKUP(A16,'Aux - pivots1'!$A:$E,5,0)=0, "",VLOOKUP(A16,'Aux - pivots1'!$A:$E,5,0))</f>
        <v/>
      </c>
      <c r="M16" s="208"/>
      <c r="N16" s="208"/>
      <c r="O16" s="343"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VLOOKUP(A17,Plano_V3!$A$26:$G$593,7,0)</f>
        <v>2.2 Em Re-especificação</v>
      </c>
      <c r="H17" s="136" t="s">
        <v>615</v>
      </c>
      <c r="I17" s="143" t="s">
        <v>2052</v>
      </c>
      <c r="J17" s="462">
        <f>IF(VLOOKUP(A17,'Aux - pivots1'!$A:$E,3,0)=0, "",VLOOKUP(A17,'Aux - pivots1'!$A:$E,3,0))</f>
        <v>45510</v>
      </c>
      <c r="K17" s="462">
        <f>IF(VLOOKUP(A17,'Aux - pivots1'!$A:$E,4,0)=0, "",VLOOKUP(A17,'Aux - pivots1'!$A:$E,4,0))</f>
        <v>45624</v>
      </c>
      <c r="L17" s="153" t="str">
        <f>IF(VLOOKUP(A17,'Aux - pivots1'!$A:$E,5,0)=0, "",VLOOKUP(A17,'Aux - pivots1'!$A:$E,5,0))</f>
        <v/>
      </c>
      <c r="M17" s="208"/>
      <c r="N17" s="208"/>
      <c r="O17" s="343"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VLOOKUP(A18,Plano_V3!$A$26:$G$593,7,0)</f>
        <v>2.2 Em Re-especificação</v>
      </c>
      <c r="H18" s="136" t="s">
        <v>615</v>
      </c>
      <c r="I18" s="143" t="s">
        <v>2052</v>
      </c>
      <c r="J18" s="462">
        <f>IF(VLOOKUP(A18,'Aux - pivots1'!$A:$E,3,0)=0, "",VLOOKUP(A18,'Aux - pivots1'!$A:$E,3,0))</f>
        <v>45510</v>
      </c>
      <c r="K18" s="462">
        <f>IF(VLOOKUP(A18,'Aux - pivots1'!$A:$E,4,0)=0, "",VLOOKUP(A18,'Aux - pivots1'!$A:$E,4,0))</f>
        <v>45624</v>
      </c>
      <c r="L18" s="153" t="str">
        <f>IF(VLOOKUP(A18,'Aux - pivots1'!$A:$E,5,0)=0, "",VLOOKUP(A18,'Aux - pivots1'!$A:$E,5,0))</f>
        <v/>
      </c>
      <c r="M18" s="208"/>
      <c r="N18" s="208"/>
      <c r="O18" s="343"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VLOOKUP(A19,Plano_V3!$A$26:$G$593,7,0)</f>
        <v>2.2 Em Re-especificação</v>
      </c>
      <c r="H19" s="136" t="s">
        <v>615</v>
      </c>
      <c r="I19" s="143" t="s">
        <v>2052</v>
      </c>
      <c r="J19" s="462">
        <f>IF(VLOOKUP(A19,'Aux - pivots1'!$A:$E,3,0)=0, "",VLOOKUP(A19,'Aux - pivots1'!$A:$E,3,0))</f>
        <v>45510</v>
      </c>
      <c r="K19" s="462">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VLOOKUP(A20,Plano_V3!$A$26:$G$593,7,0)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VLOOKUP(A21,Plano_V3!$A$26:$G$593,7,0)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VLOOKUP(A22,Plano_V3!$A$26:$G$593,7,0)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VLOOKUP(A23,Plano_V3!$A$26:$G$593,7,0)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VLOOKUP(A24,Plano_V3!$A$26:$G$593,7,0)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VLOOKUP(A25,Plano_V3!$A$26:$G$593,7,0)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VLOOKUP(A26,Plano_V3!$A$26:$G$593,7,0)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VLOOKUP(A27,Plano_V3!$A$26:$G$593,7,0)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VLOOKUP(A28,Plano_V3!$A$26:$G$593,7,0)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VLOOKUP(A29,Plano_V3!$A$26:$G$593,7,0)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VLOOKUP(A30,Plano_V3!$A$26:$G$593,7,0)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VLOOKUP(A31,Plano_V3!$A$26:$G$593,7,0)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VLOOKUP(A32,Plano_V3!$A$26:$G$593,7,0)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VLOOKUP(A33,Plano_V3!$A$26:$G$593,7,0)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VLOOKUP(A34,Plano_V3!$A$26:$G$593,7,0)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VLOOKUP(A35,Plano_V3!$A$26:$G$593,7,0)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VLOOKUP(A36,Plano_V3!$A$26:$G$593,7,0)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VLOOKUP(A37,Plano_V3!$A$26:$G$593,7,0)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VLOOKUP(A38,Plano_V3!$A$26:$G$593,7,0)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VLOOKUP(A39,Plano_V3!$A$26:$G$593,7,0)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VLOOKUP(A40,Plano_V3!$A$26:$G$593,7,0)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VLOOKUP(A41,Plano_V3!$A$26:$G$593,7,0)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VLOOKUP(A42,Plano_V3!$A$26:$G$593,7,0)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VLOOKUP(A43,Plano_V3!$A$26:$G$593,7,0)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VLOOKUP(A44,Plano_V3!$A$26:$G$593,7,0)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VLOOKUP(A45,Plano_V3!$A$26:$G$593,7,0)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VLOOKUP(A46,Plano_V3!$A$26:$G$593,7,0)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VLOOKUP(A47,Plano_V3!$A$26:$G$593,7,0)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VLOOKUP(A48,Plano_V3!$A$26:$G$593,7,0)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VLOOKUP(A49,Plano_V3!$A$26:$G$593,7,0)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VLOOKUP(A50,Plano_V3!$A$26:$G$593,7,0)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VLOOKUP(A51,Plano_V3!$A$26:$G$593,7,0)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VLOOKUP(A52,Plano_V3!$A$26:$G$593,7,0)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VLOOKUP(A53,Plano_V3!$A$26:$G$593,7,0)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VLOOKUP(A54,Plano_V3!$A$26:$G$593,7,0)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VLOOKUP(A55,Plano_V3!$A$26:$G$593,7,0)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VLOOKUP(A56,Plano_V3!$A$26:$G$593,7,0)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VLOOKUP(A57,Plano_V3!$A$26:$G$593,7,0)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VLOOKUP(A58,Plano_V3!$A$26:$G$593,7,0)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VLOOKUP(A59,Plano_V3!$A$26:$G$593,7,0)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VLOOKUP(A60,Plano_V3!$A$26:$G$593,7,0)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VLOOKUP(A61,Plano_V3!$A$26:$G$593,7,0)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VLOOKUP(A62,Plano_V3!$A$26:$G$593,7,0)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VLOOKUP(A63,Plano_V3!$A$26:$G$593,7,0)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VLOOKUP(A64,Plano_V3!$A$26:$G$593,7,0)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VLOOKUP(A65,Plano_V3!$A$26:$G$593,7,0)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VLOOKUP(A66,Plano_V3!$A$26:$G$593,7,0)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VLOOKUP(A67,Plano_V3!$A$26:$G$593,7,0)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VLOOKUP(A68,Plano_V3!$A$26:$G$593,7,0)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VLOOKUP(A69,Plano_V3!$A$26:$G$593,7,0)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VLOOKUP(A70,Plano_V3!$A$26:$G$593,7,0)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VLOOKUP(A71,Plano_V3!$A$26:$G$593,7,0)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VLOOKUP(A72,Plano_V3!$A$26:$G$593,7,0)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VLOOKUP(A73,Plano_V3!$A$26:$G$593,7,0)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VLOOKUP(A74,Plano_V3!$A$26:$G$593,7,0)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VLOOKUP(A75,Plano_V3!$A$26:$G$593,7,0)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VLOOKUP(A76,Plano_V3!$A$26:$G$593,7,0)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VLOOKUP(A77,Plano_V3!$A$26:$G$593,7,0)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VLOOKUP(A78,Plano_V3!$A$26:$G$593,7,0)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VLOOKUP(A79,Plano_V3!$A$26:$G$593,7,0)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VLOOKUP(A80,Plano_V3!$A$26:$G$593,7,0)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VLOOKUP(A81,Plano_V3!$A$26:$G$593,7,0)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VLOOKUP(A82,Plano_V3!$A$26:$G$593,7,0)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VLOOKUP(A83,Plano_V3!$A$26:$G$593,7,0)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VLOOKUP(A84,Plano_V3!$A$26:$G$593,7,0)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VLOOKUP(A85,Plano_V3!$A$26:$G$593,7,0)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VLOOKUP(A86,Plano_V3!$A$26:$G$593,7,0)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VLOOKUP(A87,Plano_V3!$A$26:$G$593,7,0)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VLOOKUP(A88,Plano_V3!$A$26:$G$593,7,0)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VLOOKUP(A89,Plano_V3!$A$26:$G$593,7,0)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VLOOKUP(A90,Plano_V3!$A$26:$G$593,7,0)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VLOOKUP(A91,Plano_V3!$A$26:$G$593,7,0)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VLOOKUP(A92,Plano_V3!$A$26:$G$593,7,0)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VLOOKUP(A93,Plano_V3!$A$26:$G$593,7,0)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VLOOKUP(A94,Plano_V3!$A$26:$G$593,7,0)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VLOOKUP(A95,Plano_V3!$A$26:$G$593,7,0)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VLOOKUP(A96,Plano_V3!$A$26:$G$593,7,0)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VLOOKUP(A97,Plano_V3!$A$26:$G$593,7,0)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VLOOKUP(A98,Plano_V3!$A$26:$G$593,7,0)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VLOOKUP(A99,Plano_V3!$A$26:$G$593,7,0)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VLOOKUP(A100,Plano_V3!$A$26:$G$593,7,0)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VLOOKUP(A101,Plano_V3!$A$26:$G$593,7,0)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VLOOKUP(A102,Plano_V3!$A$26:$G$593,7,0)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VLOOKUP(A103,Plano_V3!$A$26:$G$593,7,0)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VLOOKUP(A104,Plano_V3!$A$26:$G$593,7,0)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VLOOKUP(A105,Plano_V3!$A$26:$G$593,7,0)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VLOOKUP(A106,Plano_V3!$A$26:$G$593,7,0)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VLOOKUP(A107,Plano_V3!$A$26:$G$593,7,0)</f>
        <v>1. Concluído</v>
      </c>
      <c r="H107" s="136" t="s">
        <v>613</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VLOOKUP(A108,Plano_V3!$A$26:$G$593,7,0)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VLOOKUP(A109,Plano_V3!$A$26:$G$593,7,0)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VLOOKUP(A110,Plano_V3!$A$26:$G$593,7,0)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VLOOKUP(A111,Plano_V3!$A$26:$G$593,7,0)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VLOOKUP(A112,Plano_V3!$A$26:$G$593,7,0)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VLOOKUP(A113,Plano_V3!$A$26:$G$593,7,0)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VLOOKUP(A114,Plano_V3!$A$26:$G$593,7,0)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VLOOKUP(A115,Plano_V3!$A$26:$G$593,7,0)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VLOOKUP(A116,Plano_V3!$A$26:$G$593,7,0)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VLOOKUP(A117,Plano_V3!$A$26:$G$593,7,0)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VLOOKUP(A118,Plano_V3!$A$26:$G$593,7,0)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VLOOKUP(A119,Plano_V3!$A$26:$G$593,7,0)</f>
        <v>2.2 Em Re-especificação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VLOOKUP(A120,Plano_V3!$A$26:$G$593,7,0)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VLOOKUP(A121,Plano_V3!$A$26:$G$593,7,0)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VLOOKUP(A122,Plano_V3!$A$26:$G$593,7,0)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VLOOKUP(A123,Plano_V3!$A$26:$G$593,7,0)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VLOOKUP(A124,Plano_V3!$A$26:$G$593,7,0)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VLOOKUP(A125,Plano_V3!$A$26:$G$593,7,0)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VLOOKUP(A126,Plano_V3!$A$26:$G$593,7,0)</f>
        <v>2.2 Em Re-especificação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VLOOKUP(A127,Plano_V3!$A$26:$G$593,7,0)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VLOOKUP(A128,Plano_V3!$A$26:$G$593,7,0)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VLOOKUP(A129,Plano_V3!$A$26:$G$593,7,0)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VLOOKUP(A130,Plano_V3!$A$26:$G$593,7,0)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VLOOKUP(A131,Plano_V3!$A$26:$G$593,7,0)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VLOOKUP(A132,Plano_V3!$A$26:$G$593,7,0)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VLOOKUP(A133,Plano_V3!$A$26:$G$593,7,0)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VLOOKUP(A134,Plano_V3!$A$26:$G$593,7,0)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VLOOKUP(A135,Plano_V3!$A$26:$G$593,7,0)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VLOOKUP(A136,Plano_V3!$A$26:$G$593,7,0)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8" si="2">E137&amp;F137</f>
        <v>PROPERTY_ENERGY_CERTIFICATEBUILDING_SPACE_COOLING_VALUE</v>
      </c>
      <c r="B137" s="142" t="s">
        <v>26</v>
      </c>
      <c r="C137" s="138" t="s">
        <v>54</v>
      </c>
      <c r="D137" s="134" t="s">
        <v>40</v>
      </c>
      <c r="E137" s="135" t="s">
        <v>123</v>
      </c>
      <c r="F137" s="134" t="s">
        <v>144</v>
      </c>
      <c r="G137" s="136" t="str">
        <f>VLOOKUP(A137,Plano_V3!$A$26:$G$593,7,0)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VLOOKUP(A138,Plano_V3!$A$26:$G$593,7,0)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VLOOKUP(A139,Plano_V3!$A$26:$G$593,7,0)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VLOOKUP(A140,Plano_V3!$A$26:$G$593,7,0)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VLOOKUP(A141,Plano_V3!$A$26:$G$593,7,0)</f>
        <v>2.2 Em Re-especificação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VLOOKUP(A142,Plano_V3!$A$26:$G$593,7,0)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VLOOKUP(A143,Plano_V3!$A$26:$G$593,7,0)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VLOOKUP(A144,Plano_V3!$A$26:$G$593,7,0)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VLOOKUP(A145,Plano_V3!$A$26:$G$593,7,0)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VLOOKUP(A146,Plano_V3!$A$26:$G$593,7,0)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VLOOKUP(A147,Plano_V3!$A$26:$G$593,7,0)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VLOOKUP(A148,Plano_V3!$A$26:$G$593,7,0)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VLOOKUP(A149,Plano_V3!$A$26:$G$593,7,0)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VLOOKUP(A150,Plano_V3!$A$26:$G$593,7,0)</f>
        <v>2.2 Em Re-especificação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VLOOKUP(A151,Plano_V3!$A$26:$G$593,7,0)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VLOOKUP(A152,Plano_V3!$A$26:$G$593,7,0)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VLOOKUP(A153,Plano_V3!$A$26:$G$593,7,0)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VLOOKUP(A154,Plano_V3!$A$26:$G$593,7,0)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VLOOKUP(A155,Plano_V3!$A$26:$G$593,7,0)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VLOOKUP(A156,Plano_V3!$A$26:$G$593,7,0)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VLOOKUP(A157,Plano_V3!$A$26:$G$593,7,0)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VLOOKUP(A158,Plano_V3!$A$26:$G$593,7,0)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VLOOKUP(A159,Plano_V3!$A$26:$G$593,7,0)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VLOOKUP(A160,Plano_V3!$A$26:$G$593,7,0)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VLOOKUP(A161,Plano_V3!$A$26:$G$593,7,0)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VLOOKUP(A162,Plano_V3!$A$26:$G$593,7,0)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VLOOKUP(A163,Plano_V3!$A$26:$G$593,7,0)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VLOOKUP(A164,Plano_V3!$A$26:$G$593,7,0)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VLOOKUP(A165,Plano_V3!$A$26:$G$593,7,0)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VLOOKUP(A166,Plano_V3!$A$26:$G$593,7,0)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VLOOKUP(A167,Plano_V3!$A$26:$G$593,7,0)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VLOOKUP(A168,Plano_V3!$A$26:$G$593,7,0)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VLOOKUP(A169,Plano_V3!$A$26:$G$593,7,0)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VLOOKUP(A170,Plano_V3!$A$26:$G$593,7,0)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VLOOKUP(A171,Plano_V3!$A$26:$G$593,7,0)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VLOOKUP(A172,Plano_V3!$A$26:$G$593,7,0)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VLOOKUP(A173,Plano_V3!$A$26:$G$593,7,0)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VLOOKUP(A174,Plano_V3!$A$26:$G$593,7,0)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VLOOKUP(A175,Plano_V3!$A$26:$G$593,7,0)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VLOOKUP(A176,Plano_V3!$A$26:$G$593,7,0)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VLOOKUP(A177,Plano_V3!$A$26:$G$593,7,0)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VLOOKUP(A178,Plano_V3!$A$26:$G$593,7,0)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VLOOKUP(A179,Plano_V3!$A$26:$G$593,7,0)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VLOOKUP(A180,Plano_V3!$A$26:$G$593,7,0)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VLOOKUP(A181,Plano_V3!$A$26:$G$593,7,0)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PROPERTY_ENERGY_CERTIFICATECURRENT_ENERGY_RATING_PERCENTAGE</v>
      </c>
      <c r="B182" s="142" t="s">
        <v>26</v>
      </c>
      <c r="C182" s="138" t="s">
        <v>54</v>
      </c>
      <c r="D182" s="134" t="s">
        <v>40</v>
      </c>
      <c r="E182" s="135" t="s">
        <v>123</v>
      </c>
      <c r="F182" s="134" t="s">
        <v>2064</v>
      </c>
      <c r="G182" s="136" t="str">
        <f>VLOOKUP(A182,Plano_V3!$A$26:$G$593,7,0)</f>
        <v>2.2 Em Re-especificação</v>
      </c>
      <c r="H182" s="136"/>
      <c r="I182" s="143" t="s">
        <v>2066</v>
      </c>
      <c r="J182" s="153" t="str">
        <f>IF(VLOOKUP(A182,'Aux - pivots1'!$A:$E,3,0)=0, "",VLOOKUP(A182,'Aux - pivots1'!$A:$E,3,0))</f>
        <v/>
      </c>
      <c r="K182" s="153" t="str">
        <f>IF(VLOOKUP(A182,'Aux - pivots1'!$A:$E,4,0)=0, "",VLOOKUP(A182,'Aux - pivots1'!$A:$E,4,0))</f>
        <v/>
      </c>
      <c r="L182" s="153" t="str">
        <f>IF(VLOOKUP(A182,'Aux - pivots1'!$A:$E,5,0)=0, "",VLOOKUP(A182,'Aux - pivots1'!$A:$E,5,0))</f>
        <v/>
      </c>
      <c r="M182" s="208"/>
      <c r="N182" s="208"/>
      <c r="O182" s="343" t="s">
        <v>27</v>
      </c>
    </row>
    <row r="183" spans="1:15" ht="16.2" hidden="1" customHeight="1">
      <c r="A183" s="30" t="str">
        <f t="shared" si="2"/>
        <v>modesg_param_sfcs_taxon_europeian.a.</v>
      </c>
      <c r="B183" s="142" t="s">
        <v>26</v>
      </c>
      <c r="C183" s="138" t="s">
        <v>181</v>
      </c>
      <c r="D183" s="134" t="s">
        <v>36</v>
      </c>
      <c r="E183" s="135" t="s">
        <v>182</v>
      </c>
      <c r="F183" s="134" t="s">
        <v>38</v>
      </c>
      <c r="G183" s="136" t="str">
        <f>VLOOKUP(A183,Plano_V3!$A$26:$G$593,7,0)</f>
        <v>1. Concluído</v>
      </c>
      <c r="H183" s="136" t="s">
        <v>613</v>
      </c>
      <c r="I183" s="143"/>
      <c r="J183" s="153">
        <f>IF(VLOOKUP(A183,'Aux - pivots1'!$A:$E,3,0)=0, "",VLOOKUP(A183,'Aux - pivots1'!$A:$E,3,0))</f>
        <v>45563</v>
      </c>
      <c r="K183" s="153">
        <f>IF(VLOOKUP(A183,'Aux - pivots1'!$A:$E,4,0)=0, "",VLOOKUP(A183,'Aux - pivots1'!$A:$E,4,0))</f>
        <v>45603</v>
      </c>
      <c r="L183" s="153">
        <f>IF(VLOOKUP(A183,'Aux - pivots1'!$A:$E,5,0)=0, "",VLOOKUP(A183,'Aux - pivots1'!$A:$E,5,0))</f>
        <v>45604</v>
      </c>
      <c r="M183" s="208"/>
      <c r="N183" s="208"/>
      <c r="O183" s="342" t="s">
        <v>29</v>
      </c>
    </row>
    <row r="184" spans="1:15" ht="16.2" hidden="1" customHeight="1">
      <c r="A184" s="30" t="str">
        <f t="shared" si="2"/>
        <v>modesg_param_sfcs_taxon_europeiacbalcao</v>
      </c>
      <c r="B184" s="142" t="s">
        <v>26</v>
      </c>
      <c r="C184" s="138" t="s">
        <v>181</v>
      </c>
      <c r="D184" s="134" t="s">
        <v>40</v>
      </c>
      <c r="E184" s="135" t="s">
        <v>182</v>
      </c>
      <c r="F184" s="134" t="s">
        <v>183</v>
      </c>
      <c r="G184" s="136" t="str">
        <f>VLOOKUP(A184,Plano_V3!$A$26:$G$593,7,0)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modesg_param_sfcs_taxon_europeiacempresa</v>
      </c>
      <c r="B185" s="142" t="s">
        <v>26</v>
      </c>
      <c r="C185" s="138" t="s">
        <v>181</v>
      </c>
      <c r="D185" s="134" t="s">
        <v>40</v>
      </c>
      <c r="E185" s="135" t="s">
        <v>182</v>
      </c>
      <c r="F185" s="134" t="s">
        <v>184</v>
      </c>
      <c r="G185" s="136" t="str">
        <f>VLOOKUP(A185,Plano_V3!$A$26:$G$593,7,0)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modesg_param_sfcs_taxon_europeiackmetamis</v>
      </c>
      <c r="B186" s="142" t="s">
        <v>26</v>
      </c>
      <c r="C186" s="138" t="s">
        <v>181</v>
      </c>
      <c r="D186" s="134" t="s">
        <v>40</v>
      </c>
      <c r="E186" s="135" t="s">
        <v>182</v>
      </c>
      <c r="F186" s="134" t="s">
        <v>185</v>
      </c>
      <c r="G186" s="136" t="str">
        <f>VLOOKUP(A186,Plano_V3!$A$26:$G$593,7,0)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modesg_param_sfcs_taxon_europeiackprodmi</v>
      </c>
      <c r="B187" s="142" t="s">
        <v>26</v>
      </c>
      <c r="C187" s="138" t="s">
        <v>181</v>
      </c>
      <c r="D187" s="134" t="s">
        <v>40</v>
      </c>
      <c r="E187" s="135" t="s">
        <v>182</v>
      </c>
      <c r="F187" s="134" t="s">
        <v>186</v>
      </c>
      <c r="G187" s="136" t="str">
        <f>VLOOKUP(A187,Plano_V3!$A$26:$G$593,7,0)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modesg_param_sfcs_taxon_europeiacmetanseg</v>
      </c>
      <c r="B188" s="142" t="s">
        <v>26</v>
      </c>
      <c r="C188" s="138" t="s">
        <v>181</v>
      </c>
      <c r="D188" s="134" t="s">
        <v>40</v>
      </c>
      <c r="E188" s="135" t="s">
        <v>182</v>
      </c>
      <c r="F188" s="134" t="s">
        <v>187</v>
      </c>
      <c r="G188" s="136" t="str">
        <f>VLOOKUP(A188,Plano_V3!$A$26:$G$593,7,0)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modesg_param_sfcs_taxon_europeiacnsm_co2</v>
      </c>
      <c r="B189" s="142" t="s">
        <v>26</v>
      </c>
      <c r="C189" s="138" t="s">
        <v>181</v>
      </c>
      <c r="D189" s="134" t="s">
        <v>40</v>
      </c>
      <c r="E189" s="135" t="s">
        <v>182</v>
      </c>
      <c r="F189" s="134" t="s">
        <v>188</v>
      </c>
      <c r="G189" s="136" t="str">
        <f>VLOOKUP(A189,Plano_V3!$A$26:$G$593,7,0)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modesg_param_sfcs_taxon_europeiacnumecta</v>
      </c>
      <c r="B190" s="142" t="s">
        <v>26</v>
      </c>
      <c r="C190" s="138" t="s">
        <v>181</v>
      </c>
      <c r="D190" s="134" t="s">
        <v>40</v>
      </c>
      <c r="E190" s="135" t="s">
        <v>182</v>
      </c>
      <c r="F190" s="134" t="s">
        <v>189</v>
      </c>
      <c r="G190" s="136" t="str">
        <f>VLOOKUP(A190,Plano_V3!$A$26:$G$593,7,0)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modesg_param_sfcs_taxon_europeiacod_lease</v>
      </c>
      <c r="B191" s="142" t="s">
        <v>26</v>
      </c>
      <c r="C191" s="138" t="s">
        <v>181</v>
      </c>
      <c r="D191" s="134" t="s">
        <v>40</v>
      </c>
      <c r="E191" s="135" t="s">
        <v>182</v>
      </c>
      <c r="F191" s="134" t="s">
        <v>190</v>
      </c>
      <c r="G191" s="136" t="str">
        <f>VLOOKUP(A191,Plano_V3!$A$26:$G$593,7,0)</f>
        <v>1. Concluído</v>
      </c>
      <c r="H191" s="136" t="s">
        <v>613</v>
      </c>
      <c r="I191" s="154"/>
      <c r="J191" s="153" t="str">
        <f>IF(VLOOKUP(A191,'Aux - pivots1'!$A:$E,3,0)=0, "",VLOOKUP(A191,'Aux - pivots1'!$A:$E,3,0))</f>
        <v/>
      </c>
      <c r="K191" s="153">
        <f>IF(VLOOKUP(A191,'Aux - pivots1'!$A:$E,4,0)=0, "",VLOOKUP(A191,'Aux - pivots1'!$A:$E,4,0))</f>
        <v>45603</v>
      </c>
      <c r="L191" s="153" t="str">
        <f>IF(VLOOKUP(A191,'Aux - pivots1'!$A:$E,5,0)=0, "",VLOOKUP(A191,'Aux - pivots1'!$A:$E,5,0))</f>
        <v/>
      </c>
      <c r="M191" s="208"/>
      <c r="N191" s="208"/>
      <c r="O191" s="342" t="s">
        <v>29</v>
      </c>
    </row>
    <row r="192" spans="1:15" ht="16.2" hidden="1" customHeight="1">
      <c r="A192" s="30" t="str">
        <f t="shared" si="2"/>
        <v>modesg_param_sfcs_taxon_europeiacod_regra</v>
      </c>
      <c r="B192" s="142" t="s">
        <v>26</v>
      </c>
      <c r="C192" s="138" t="s">
        <v>181</v>
      </c>
      <c r="D192" s="134" t="s">
        <v>40</v>
      </c>
      <c r="E192" s="135" t="s">
        <v>182</v>
      </c>
      <c r="F192" s="134" t="s">
        <v>191</v>
      </c>
      <c r="G192" s="136" t="str">
        <f>VLOOKUP(A192,Plano_V3!$A$26:$G$593,7,0)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modesg_param_sfcs_taxon_europeiacomite</v>
      </c>
      <c r="B193" s="142" t="s">
        <v>26</v>
      </c>
      <c r="C193" s="138" t="s">
        <v>181</v>
      </c>
      <c r="D193" s="134" t="s">
        <v>40</v>
      </c>
      <c r="E193" s="135" t="s">
        <v>182</v>
      </c>
      <c r="F193" s="134" t="s">
        <v>192</v>
      </c>
      <c r="G193" s="136" t="str">
        <f>VLOOKUP(A193,Plano_V3!$A$26:$G$593,7,0)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modesg_param_sfcs_taxon_europeiadata_aprvc</v>
      </c>
      <c r="B194" s="142" t="s">
        <v>26</v>
      </c>
      <c r="C194" s="138" t="s">
        <v>181</v>
      </c>
      <c r="D194" s="134" t="s">
        <v>40</v>
      </c>
      <c r="E194" s="135" t="s">
        <v>182</v>
      </c>
      <c r="F194" s="134" t="s">
        <v>193</v>
      </c>
      <c r="G194" s="136" t="str">
        <f>VLOOKUP(A194,Plano_V3!$A$26:$G$593,7,0)</f>
        <v>1. Concluído</v>
      </c>
      <c r="H194" s="136" t="s">
        <v>613</v>
      </c>
      <c r="I194" s="143"/>
      <c r="J194" s="153">
        <f>IF(VLOOKUP(A194,'Aux - pivots1'!$A:$E,3,0)=0, "",VLOOKUP(A194,'Aux - pivots1'!$A:$E,3,0))</f>
        <v>45563</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modesg_param_sfcs_taxon_europeiadata_final</v>
      </c>
      <c r="B195" s="142" t="s">
        <v>26</v>
      </c>
      <c r="C195" s="138" t="s">
        <v>181</v>
      </c>
      <c r="D195" s="134" t="s">
        <v>40</v>
      </c>
      <c r="E195" s="135" t="s">
        <v>182</v>
      </c>
      <c r="F195" s="134" t="s">
        <v>194</v>
      </c>
      <c r="G195" s="136" t="str">
        <f>VLOOKUP(A195,Plano_V3!$A$26:$G$593,7,0)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modesg_param_sfcs_taxon_europeiadata_inicial</v>
      </c>
      <c r="B196" s="142" t="s">
        <v>26</v>
      </c>
      <c r="C196" s="138" t="s">
        <v>181</v>
      </c>
      <c r="D196" s="134" t="s">
        <v>40</v>
      </c>
      <c r="E196" s="135" t="s">
        <v>182</v>
      </c>
      <c r="F196" s="134" t="s">
        <v>195</v>
      </c>
      <c r="G196" s="136" t="str">
        <f>VLOOKUP(A196,Plano_V3!$A$26:$G$593,7,0)</f>
        <v>1. Concluído</v>
      </c>
      <c r="H196" s="136" t="s">
        <v>613</v>
      </c>
      <c r="I196" s="143"/>
      <c r="J196" s="153">
        <f>IF(VLOOKUP(A196,'Aux - pivots1'!$A:$E,3,0)=0, "",VLOOKUP(A196,'Aux - pivots1'!$A:$E,3,0))</f>
        <v>45561</v>
      </c>
      <c r="K196" s="153">
        <f>IF(VLOOKUP(A196,'Aux - pivots1'!$A:$E,4,0)=0, "",VLOOKUP(A196,'Aux - pivots1'!$A:$E,4,0))</f>
        <v>45603</v>
      </c>
      <c r="L196" s="153">
        <f>IF(VLOOKUP(A196,'Aux - pivots1'!$A:$E,5,0)=0, "",VLOOKUP(A196,'Aux - pivots1'!$A:$E,5,0))</f>
        <v>45604</v>
      </c>
      <c r="M196" s="208"/>
      <c r="N196" s="208"/>
      <c r="O196" s="342" t="s">
        <v>29</v>
      </c>
    </row>
    <row r="197" spans="1:15" ht="16.2" hidden="1" customHeight="1">
      <c r="A197" s="30" t="str">
        <f t="shared" si="2"/>
        <v>modesg_param_sfcs_taxon_europeiadominio</v>
      </c>
      <c r="B197" s="142" t="s">
        <v>26</v>
      </c>
      <c r="C197" s="138" t="s">
        <v>181</v>
      </c>
      <c r="D197" s="134" t="s">
        <v>40</v>
      </c>
      <c r="E197" s="135" t="s">
        <v>182</v>
      </c>
      <c r="F197" s="134" t="s">
        <v>196</v>
      </c>
      <c r="G197" s="136" t="str">
        <f>VLOOKUP(A197,Plano_V3!$A$26:$G$593,7,0)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modesg_param_sfcs_taxon_europeiadscrc</v>
      </c>
      <c r="B198" s="142" t="s">
        <v>26</v>
      </c>
      <c r="C198" s="138" t="s">
        <v>181</v>
      </c>
      <c r="D198" s="134" t="s">
        <v>40</v>
      </c>
      <c r="E198" s="135" t="s">
        <v>182</v>
      </c>
      <c r="F198" s="134" t="s">
        <v>197</v>
      </c>
      <c r="G198" s="136" t="str">
        <f>VLOOKUP(A198,Plano_V3!$A$26:$G$593,7,0)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modesg_param_sfcs_taxon_europeiaepc</v>
      </c>
      <c r="B199" s="142" t="s">
        <v>26</v>
      </c>
      <c r="C199" s="138" t="s">
        <v>181</v>
      </c>
      <c r="D199" s="134" t="s">
        <v>40</v>
      </c>
      <c r="E199" s="135" t="s">
        <v>182</v>
      </c>
      <c r="F199" s="134" t="s">
        <v>198</v>
      </c>
      <c r="G199" s="136" t="str">
        <f>VLOOKUP(A199,Plano_V3!$A$26:$G$593,7,0)</f>
        <v>1. Concluído</v>
      </c>
      <c r="H199" s="136" t="s">
        <v>613</v>
      </c>
      <c r="I199" s="154"/>
      <c r="J199" s="153" t="str">
        <f>IF(VLOOKUP(A199,'Aux - pivots1'!$A:$E,3,0)=0, "",VLOOKUP(A199,'Aux - pivots1'!$A:$E,3,0))</f>
        <v/>
      </c>
      <c r="K199" s="153">
        <f>IF(VLOOKUP(A199,'Aux - pivots1'!$A:$E,4,0)=0, "",VLOOKUP(A199,'Aux - pivots1'!$A:$E,4,0))</f>
        <v>45603</v>
      </c>
      <c r="L199" s="153" t="str">
        <f>IF(VLOOKUP(A199,'Aux - pivots1'!$A:$E,5,0)=0, "",VLOOKUP(A199,'Aux - pivots1'!$A:$E,5,0))</f>
        <v/>
      </c>
      <c r="M199" s="208"/>
      <c r="N199" s="208"/>
      <c r="O199" s="342" t="s">
        <v>29</v>
      </c>
    </row>
    <row r="200" spans="1:15" ht="16.2" hidden="1" customHeight="1">
      <c r="A200" s="30" t="str">
        <f t="shared" si="2"/>
        <v>modesg_param_sfcs_taxon_europeiaflag_project_finance</v>
      </c>
      <c r="B200" s="142" t="s">
        <v>26</v>
      </c>
      <c r="C200" s="138" t="s">
        <v>181</v>
      </c>
      <c r="D200" s="134" t="s">
        <v>40</v>
      </c>
      <c r="E200" s="135" t="s">
        <v>182</v>
      </c>
      <c r="F200" s="134" t="s">
        <v>199</v>
      </c>
      <c r="G200" s="136" t="str">
        <f>VLOOKUP(A200,Plano_V3!$A$26:$G$593,7,0)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modesg_param_sfcs_taxon_europeiacfinalidad</v>
      </c>
      <c r="B201" s="142" t="s">
        <v>26</v>
      </c>
      <c r="C201" s="138" t="s">
        <v>181</v>
      </c>
      <c r="D201" s="134" t="s">
        <v>40</v>
      </c>
      <c r="E201" s="135" t="s">
        <v>182</v>
      </c>
      <c r="F201" s="134" t="s">
        <v>200</v>
      </c>
      <c r="G201" s="136" t="str">
        <f>VLOOKUP(A201,Plano_V3!$A$26:$G$593,7,0)</f>
        <v>1. Concluído</v>
      </c>
      <c r="H201" s="136" t="s">
        <v>613</v>
      </c>
      <c r="I201" s="144" t="s">
        <v>649</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modesg_param_sfcs_taxon_europeiatipo_combust</v>
      </c>
      <c r="B202" s="142" t="s">
        <v>26</v>
      </c>
      <c r="C202" s="138" t="s">
        <v>181</v>
      </c>
      <c r="D202" s="134" t="s">
        <v>40</v>
      </c>
      <c r="E202" s="135" t="s">
        <v>182</v>
      </c>
      <c r="F202" s="134" t="s">
        <v>201</v>
      </c>
      <c r="G202" s="136" t="str">
        <f>VLOOKUP(A202,Plano_V3!$A$26:$G$593,7,0)</f>
        <v>1. Concluído</v>
      </c>
      <c r="H202" s="136" t="s">
        <v>613</v>
      </c>
      <c r="I202" s="144" t="s">
        <v>650</v>
      </c>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modesg_param_sfcs_taxon_europeiamontante_pndrc</v>
      </c>
      <c r="B203" s="142" t="s">
        <v>26</v>
      </c>
      <c r="C203" s="138" t="s">
        <v>181</v>
      </c>
      <c r="D203" s="134" t="s">
        <v>40</v>
      </c>
      <c r="E203" s="135" t="s">
        <v>182</v>
      </c>
      <c r="F203" s="134" t="s">
        <v>202</v>
      </c>
      <c r="G203" s="136" t="str">
        <f>VLOOKUP(A203,Plano_V3!$A$26:$G$593,7,0)</f>
        <v>1. Concluído</v>
      </c>
      <c r="H203" s="136" t="s">
        <v>613</v>
      </c>
      <c r="I203" s="143"/>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modesg_param_sfcs_taxon_europeianome_ctgr_sfcs</v>
      </c>
      <c r="B204" s="142" t="s">
        <v>26</v>
      </c>
      <c r="C204" s="138" t="s">
        <v>181</v>
      </c>
      <c r="D204" s="134" t="s">
        <v>40</v>
      </c>
      <c r="E204" s="135" t="s">
        <v>182</v>
      </c>
      <c r="F204" s="134" t="s">
        <v>203</v>
      </c>
      <c r="G204" s="136" t="str">
        <f>VLOOKUP(A204,Plano_V3!$A$26:$G$593,7,0)</f>
        <v>4. Validação EF</v>
      </c>
      <c r="H204" s="136" t="s">
        <v>615</v>
      </c>
      <c r="I204" s="143" t="s">
        <v>651</v>
      </c>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modesg_param_sfcs_taxon_europeianome_general_specific_purpose</v>
      </c>
      <c r="B205" s="142" t="s">
        <v>26</v>
      </c>
      <c r="C205" s="138" t="s">
        <v>181</v>
      </c>
      <c r="D205" s="134" t="s">
        <v>40</v>
      </c>
      <c r="E205" s="135" t="s">
        <v>182</v>
      </c>
      <c r="F205" s="134" t="s">
        <v>204</v>
      </c>
      <c r="G205" s="136" t="str">
        <f>VLOOKUP(A205,Plano_V3!$A$26:$G$593,7,0)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modesg_param_sfcs_taxon_europeianome_purpose_esg</v>
      </c>
      <c r="B206" s="142" t="s">
        <v>26</v>
      </c>
      <c r="C206" s="138" t="s">
        <v>181</v>
      </c>
      <c r="D206" s="134" t="s">
        <v>40</v>
      </c>
      <c r="E206" s="135" t="s">
        <v>182</v>
      </c>
      <c r="F206" s="134" t="s">
        <v>205</v>
      </c>
      <c r="G206" s="136" t="str">
        <f>VLOOKUP(A206,Plano_V3!$A$26:$G$593,7,0)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modesg_param_sfcs_taxon_europeianome_specific_eligible</v>
      </c>
      <c r="B207" s="142" t="s">
        <v>26</v>
      </c>
      <c r="C207" s="138" t="s">
        <v>181</v>
      </c>
      <c r="D207" s="134" t="s">
        <v>40</v>
      </c>
      <c r="E207" s="135" t="s">
        <v>182</v>
      </c>
      <c r="F207" s="134" t="s">
        <v>206</v>
      </c>
      <c r="G207" s="136" t="str">
        <f>VLOOKUP(A207,Plano_V3!$A$26:$G$593,7,0)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si="2"/>
        <v>modesg_param_sfcs_taxon_europeianome_specific_sustainable</v>
      </c>
      <c r="B208" s="142" t="s">
        <v>26</v>
      </c>
      <c r="C208" s="138" t="s">
        <v>181</v>
      </c>
      <c r="D208" s="134" t="s">
        <v>40</v>
      </c>
      <c r="E208" s="135" t="s">
        <v>182</v>
      </c>
      <c r="F208" s="134" t="s">
        <v>207</v>
      </c>
      <c r="G208" s="136" t="str">
        <f>VLOOKUP(A208,Plano_V3!$A$26:$G$593,7,0)</f>
        <v>1. Concluído</v>
      </c>
      <c r="H208" s="136" t="s">
        <v>613</v>
      </c>
      <c r="I208" s="154"/>
      <c r="J208" s="153">
        <f>IF(VLOOKUP(A208,'Aux - pivots1'!$A:$E,3,0)=0, "",VLOOKUP(A208,'Aux - pivots1'!$A:$E,3,0))</f>
        <v>45563</v>
      </c>
      <c r="K208" s="153">
        <f>IF(VLOOKUP(A208,'Aux - pivots1'!$A:$E,4,0)=0, "",VLOOKUP(A208,'Aux - pivots1'!$A:$E,4,0))</f>
        <v>45603</v>
      </c>
      <c r="L208" s="153">
        <f>IF(VLOOKUP(A208,'Aux - pivots1'!$A:$E,5,0)=0, "",VLOOKUP(A208,'Aux - pivots1'!$A:$E,5,0))</f>
        <v>45604</v>
      </c>
      <c r="M208" s="208"/>
      <c r="N208" s="208"/>
      <c r="O208" s="342" t="s">
        <v>29</v>
      </c>
    </row>
    <row r="209" spans="1:15" ht="16.2" hidden="1" customHeight="1">
      <c r="A209" s="30" t="str">
        <f>E209&amp;F209</f>
        <v>modesg_param_sfcs_taxon_europeiaref_date</v>
      </c>
      <c r="B209" s="142" t="s">
        <v>26</v>
      </c>
      <c r="C209" s="138" t="s">
        <v>181</v>
      </c>
      <c r="D209" s="134" t="s">
        <v>40</v>
      </c>
      <c r="E209" s="135" t="s">
        <v>182</v>
      </c>
      <c r="F209" s="134" t="s">
        <v>208</v>
      </c>
      <c r="G209" s="136" t="str">
        <f>VLOOKUP(A209,Plano_V3!$A$26:$G$593,7,0)</f>
        <v>1. Concluído</v>
      </c>
      <c r="H209" s="136" t="s">
        <v>613</v>
      </c>
      <c r="I209" s="154"/>
      <c r="J209" s="153" t="str">
        <f>IF(VLOOKUP(A209,'Aux - pivots1'!$A:$E,3,0)=0, "",VLOOKUP(A209,'Aux - pivots1'!$A:$E,3,0))</f>
        <v/>
      </c>
      <c r="K209" s="153">
        <f>IF(VLOOKUP(A209,'Aux - pivots1'!$A:$E,4,0)=0, "",VLOOKUP(A209,'Aux - pivots1'!$A:$E,4,0))</f>
        <v>45603</v>
      </c>
      <c r="L209" s="153" t="str">
        <f>IF(VLOOKUP(A209,'Aux - pivots1'!$A:$E,5,0)=0, "",VLOOKUP(A209,'Aux - pivots1'!$A:$E,5,0))</f>
        <v/>
      </c>
      <c r="M209" s="208"/>
      <c r="N209" s="208"/>
      <c r="O209" s="342" t="s">
        <v>29</v>
      </c>
    </row>
    <row r="210" spans="1:15" ht="16.2" hidden="1" customHeight="1">
      <c r="A210" s="30" t="str">
        <f>E210&amp;F210</f>
        <v>modesg_param_sfcs_taxon_europeiazcliente</v>
      </c>
      <c r="B210" s="142" t="s">
        <v>26</v>
      </c>
      <c r="C210" s="138" t="s">
        <v>181</v>
      </c>
      <c r="D210" s="134" t="s">
        <v>40</v>
      </c>
      <c r="E210" s="135" t="s">
        <v>182</v>
      </c>
      <c r="F210" s="134" t="s">
        <v>209</v>
      </c>
      <c r="G210" s="136" t="str">
        <f>VLOOKUP(A210,Plano_V3!$A$26:$G$593,7,0)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modesg_param_sfcs_taxon_europeiazdeposit</v>
      </c>
      <c r="B211" s="142" t="s">
        <v>26</v>
      </c>
      <c r="C211" s="138" t="s">
        <v>181</v>
      </c>
      <c r="D211" s="134" t="s">
        <v>40</v>
      </c>
      <c r="E211" s="135" t="s">
        <v>182</v>
      </c>
      <c r="F211" s="134" t="s">
        <v>210</v>
      </c>
      <c r="G211" s="136" t="str">
        <f>VLOOKUP(A211,Plano_V3!$A$26:$G$593,7,0)</f>
        <v>1. Concluído</v>
      </c>
      <c r="H211" s="136" t="s">
        <v>613</v>
      </c>
      <c r="I211" s="154"/>
      <c r="J211" s="153">
        <f>IF(VLOOKUP(A211,'Aux - pivots1'!$A:$E,3,0)=0, "",VLOOKUP(A211,'Aux - pivots1'!$A:$E,3,0))</f>
        <v>45563</v>
      </c>
      <c r="K211" s="153">
        <f>IF(VLOOKUP(A211,'Aux - pivots1'!$A:$E,4,0)=0, "",VLOOKUP(A211,'Aux - pivots1'!$A:$E,4,0))</f>
        <v>45603</v>
      </c>
      <c r="L211" s="153">
        <f>IF(VLOOKUP(A211,'Aux - pivots1'!$A:$E,5,0)=0, "",VLOOKUP(A211,'Aux - pivots1'!$A:$E,5,0))</f>
        <v>45604</v>
      </c>
      <c r="M211" s="208"/>
      <c r="N211" s="208"/>
      <c r="O211" s="342" t="s">
        <v>29</v>
      </c>
    </row>
    <row r="212" spans="1:15" ht="16.2" hidden="1" customHeight="1">
      <c r="A212" s="30" t="str">
        <f>E212&amp;F212</f>
        <v>modesg_param_sfcs_taxon_europeiaordem</v>
      </c>
      <c r="B212" s="142" t="s">
        <v>26</v>
      </c>
      <c r="C212" s="138" t="s">
        <v>181</v>
      </c>
      <c r="D212" s="134" t="s">
        <v>40</v>
      </c>
      <c r="E212" s="135" t="s">
        <v>182</v>
      </c>
      <c r="F212" s="134" t="s">
        <v>211</v>
      </c>
      <c r="G212" s="136" t="str">
        <f>VLOOKUP(A212,Plano_V3!$A$26:$G$593,7,0)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E213&amp;F213</f>
        <v>modesg_param_sfcs_taxon_europeianivel_mrc</v>
      </c>
      <c r="B213" s="142" t="s">
        <v>26</v>
      </c>
      <c r="C213" s="138" t="s">
        <v>181</v>
      </c>
      <c r="D213" s="134" t="s">
        <v>40</v>
      </c>
      <c r="E213" s="135" t="s">
        <v>182</v>
      </c>
      <c r="F213" s="134" t="s">
        <v>212</v>
      </c>
      <c r="G213" s="136" t="str">
        <f>VLOOKUP(A213,Plano_V3!$A$26:$G$593,7,0)</f>
        <v>0. Cancelado</v>
      </c>
      <c r="H213" s="136" t="s">
        <v>612</v>
      </c>
      <c r="I213" s="154" t="s">
        <v>652</v>
      </c>
      <c r="J213" s="153">
        <f>IF(VLOOKUP(A213,'Aux - pivots1'!$A:$E,3,0)=0, "",VLOOKUP(A213,'Aux - pivots1'!$A:$E,3,0))</f>
        <v>45561</v>
      </c>
      <c r="K213" s="153" t="str">
        <f>IF(VLOOKUP(A213,'Aux - pivots1'!$A:$E,4,0)=0, "",VLOOKUP(A213,'Aux - pivots1'!$A:$E,4,0))</f>
        <v/>
      </c>
      <c r="L213" s="153" t="str">
        <f>IF(VLOOKUP(A213,'Aux - pivots1'!$A:$E,5,0)=0, "",VLOOKUP(A213,'Aux - pivots1'!$A:$E,5,0))</f>
        <v/>
      </c>
      <c r="M213" s="208"/>
      <c r="N213" s="208"/>
      <c r="O213" s="342" t="s">
        <v>29</v>
      </c>
    </row>
    <row r="214" spans="1:15" ht="16.2" hidden="1" customHeight="1">
      <c r="A214" s="30" t="str">
        <f t="shared" ref="A214:A245" si="3">E214&amp;F214</f>
        <v>modesg_inp_emss_vclsn.a.</v>
      </c>
      <c r="B214" s="142" t="s">
        <v>26</v>
      </c>
      <c r="C214" s="138" t="s">
        <v>181</v>
      </c>
      <c r="D214" s="134" t="s">
        <v>36</v>
      </c>
      <c r="E214" s="135" t="s">
        <v>213</v>
      </c>
      <c r="F214" s="134" t="s">
        <v>38</v>
      </c>
      <c r="G214" s="136" t="str">
        <f>VLOOKUP(A214,Plano_V3!$A$26:$G$593,7,0)</f>
        <v>1. Concluído</v>
      </c>
      <c r="H214" s="136" t="s">
        <v>613</v>
      </c>
      <c r="I214" s="143"/>
      <c r="J214" s="153">
        <f>IF(VLOOKUP(A214,'Aux - pivots1'!$A:$E,3,0)=0, "",VLOOKUP(A214,'Aux - pivots1'!$A:$E,3,0))</f>
        <v>45471</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modesg_inp_km_medios_emss_vclsn.a.</v>
      </c>
      <c r="B215" s="142" t="s">
        <v>26</v>
      </c>
      <c r="C215" s="138" t="s">
        <v>181</v>
      </c>
      <c r="D215" s="134" t="s">
        <v>36</v>
      </c>
      <c r="E215" s="135" t="s">
        <v>214</v>
      </c>
      <c r="F215" s="134" t="s">
        <v>38</v>
      </c>
      <c r="G215" s="136" t="str">
        <f>VLOOKUP(A215,Plano_V3!$A$26:$G$593,7,0)</f>
        <v>1. Concluído</v>
      </c>
      <c r="H215" s="136" t="s">
        <v>613</v>
      </c>
      <c r="I215" s="143"/>
      <c r="J215" s="153" t="str">
        <f>IF(VLOOKUP(A215,'Aux - pivots1'!$A:$E,3,0)=0, "",VLOOKUP(A215,'Aux - pivots1'!$A:$E,3,0))</f>
        <v/>
      </c>
      <c r="K215" s="153">
        <f>IF(VLOOKUP(A215,'Aux - pivots1'!$A:$E,4,0)=0, "",VLOOKUP(A215,'Aux - pivots1'!$A:$E,4,0))</f>
        <v>45603</v>
      </c>
      <c r="L215" s="153">
        <f>IF(VLOOKUP(A215,'Aux - pivots1'!$A:$E,5,0)=0, "",VLOOKUP(A215,'Aux - pivots1'!$A:$E,5,0))</f>
        <v>45534</v>
      </c>
      <c r="M215" s="208"/>
      <c r="N215" s="208"/>
      <c r="O215" s="342" t="s">
        <v>29</v>
      </c>
    </row>
    <row r="216" spans="1:15" ht="16.2" hidden="1" customHeight="1">
      <c r="A216" s="30" t="str">
        <f t="shared" si="3"/>
        <v>modesg_inp_empr_excl_parisn.a.</v>
      </c>
      <c r="B216" s="142" t="s">
        <v>26</v>
      </c>
      <c r="C216" s="138" t="s">
        <v>181</v>
      </c>
      <c r="D216" s="134" t="s">
        <v>36</v>
      </c>
      <c r="E216" s="135" t="s">
        <v>215</v>
      </c>
      <c r="F216" s="134" t="s">
        <v>38</v>
      </c>
      <c r="G216" s="136" t="str">
        <f>VLOOKUP(A216,Plano_V3!$A$26:$G$593,7,0)</f>
        <v>1. Concluído</v>
      </c>
      <c r="H216" s="136" t="s">
        <v>613</v>
      </c>
      <c r="I216" s="154"/>
      <c r="J216" s="153" t="str">
        <f>IF(VLOOKUP(A216,'Aux - pivots1'!$A:$E,3,0)=0, "",VLOOKUP(A216,'Aux - pivots1'!$A:$E,3,0))</f>
        <v/>
      </c>
      <c r="K216" s="153">
        <f>IF(VLOOKUP(A216,'Aux - pivots1'!$A:$E,4,0)=0, "",VLOOKUP(A216,'Aux - pivots1'!$A:$E,4,0))</f>
        <v>45603</v>
      </c>
      <c r="L216" s="153" t="str">
        <f>IF(VLOOKUP(A216,'Aux - pivots1'!$A:$E,5,0)=0, "",VLOOKUP(A216,'Aux - pivots1'!$A:$E,5,0))</f>
        <v/>
      </c>
      <c r="M216" s="208"/>
      <c r="N216" s="208"/>
      <c r="O216" s="342" t="s">
        <v>29</v>
      </c>
    </row>
    <row r="217" spans="1:15" ht="16.2" hidden="1" customHeight="1">
      <c r="A217" s="30" t="str">
        <f t="shared" si="3"/>
        <v>modesg_inp_nfrd_alinhamento_taxn.a.</v>
      </c>
      <c r="B217" s="142" t="s">
        <v>26</v>
      </c>
      <c r="C217" s="138" t="s">
        <v>181</v>
      </c>
      <c r="D217" s="134" t="s">
        <v>36</v>
      </c>
      <c r="E217" s="135" t="s">
        <v>216</v>
      </c>
      <c r="F217" s="134" t="s">
        <v>38</v>
      </c>
      <c r="G217" s="136" t="str">
        <f>VLOOKUP(A217,Plano_V3!$A$26:$G$593,7,0)</f>
        <v>1. Concluído</v>
      </c>
      <c r="H217" s="136" t="s">
        <v>613</v>
      </c>
      <c r="I217" s="143"/>
      <c r="J217" s="153" t="str">
        <f>IF(VLOOKUP(A217,'Aux - pivots1'!$A:$E,3,0)=0, "",VLOOKUP(A217,'Aux - pivots1'!$A:$E,3,0))</f>
        <v/>
      </c>
      <c r="K217" s="153">
        <f>IF(VLOOKUP(A217,'Aux - pivots1'!$A:$E,4,0)=0, "",VLOOKUP(A217,'Aux - pivots1'!$A:$E,4,0))</f>
        <v>45603</v>
      </c>
      <c r="L217" s="153">
        <f>IF(VLOOKUP(A217,'Aux - pivots1'!$A:$E,5,0)=0, "",VLOOKUP(A217,'Aux - pivots1'!$A:$E,5,0))</f>
        <v>45534</v>
      </c>
      <c r="M217" s="208"/>
      <c r="N217" s="208"/>
      <c r="O217" s="342" t="s">
        <v>29</v>
      </c>
    </row>
    <row r="218" spans="1:15" ht="16.2" hidden="1" customHeight="1">
      <c r="A218" s="30" t="str">
        <f t="shared" si="3"/>
        <v>modesg_inp_risco_fisicon.a.</v>
      </c>
      <c r="B218" s="142" t="s">
        <v>26</v>
      </c>
      <c r="C218" s="138" t="s">
        <v>181</v>
      </c>
      <c r="D218" s="134" t="s">
        <v>36</v>
      </c>
      <c r="E218" s="135" t="s">
        <v>217</v>
      </c>
      <c r="F218" s="134" t="s">
        <v>38</v>
      </c>
      <c r="G218" s="136" t="str">
        <f>VLOOKUP(A218,Plano_V3!$A$26:$G$593,7,0)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modesg_inp_emss_scibn.a.</v>
      </c>
      <c r="B219" s="142" t="s">
        <v>26</v>
      </c>
      <c r="C219" s="138" t="s">
        <v>181</v>
      </c>
      <c r="D219" s="134" t="s">
        <v>36</v>
      </c>
      <c r="E219" s="135" t="s">
        <v>218</v>
      </c>
      <c r="F219" s="134" t="s">
        <v>38</v>
      </c>
      <c r="G219" s="136" t="str">
        <f>VLOOKUP(A219,Plano_V3!$A$26:$G$593,7,0)</f>
        <v>1. Concluído</v>
      </c>
      <c r="H219" s="136" t="s">
        <v>613</v>
      </c>
      <c r="I219" s="154"/>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modesg_inp_emss_nacen.a.</v>
      </c>
      <c r="B220" s="142" t="s">
        <v>26</v>
      </c>
      <c r="C220" s="138" t="s">
        <v>181</v>
      </c>
      <c r="D220" s="134" t="s">
        <v>36</v>
      </c>
      <c r="E220" s="135" t="s">
        <v>219</v>
      </c>
      <c r="F220" s="134" t="s">
        <v>38</v>
      </c>
      <c r="G220" s="136" t="str">
        <f>VLOOKUP(A220,Plano_V3!$A$26:$G$593,7,0)</f>
        <v>1. Concluído</v>
      </c>
      <c r="H220" s="136" t="s">
        <v>613</v>
      </c>
      <c r="I220" s="143"/>
      <c r="J220" s="153" t="str">
        <f>IF(VLOOKUP(A220,'Aux - pivots1'!$A:$E,3,0)=0, "",VLOOKUP(A220,'Aux - pivots1'!$A:$E,3,0))</f>
        <v/>
      </c>
      <c r="K220" s="153">
        <f>IF(VLOOKUP(A220,'Aux - pivots1'!$A:$E,4,0)=0, "",VLOOKUP(A220,'Aux - pivots1'!$A:$E,4,0))</f>
        <v>45603</v>
      </c>
      <c r="L220" s="153" t="str">
        <f>IF(VLOOKUP(A220,'Aux - pivots1'!$A:$E,5,0)=0, "",VLOOKUP(A220,'Aux - pivots1'!$A:$E,5,0))</f>
        <v/>
      </c>
      <c r="M220" s="208"/>
      <c r="N220" s="208"/>
      <c r="O220" s="342" t="s">
        <v>29</v>
      </c>
    </row>
    <row r="221" spans="1:15" ht="16.2" hidden="1" customHeight="1">
      <c r="A221" s="30" t="str">
        <f t="shared" si="3"/>
        <v>modesg_inp_emss_bens_imoveisn.a.</v>
      </c>
      <c r="B221" s="142" t="s">
        <v>26</v>
      </c>
      <c r="C221" s="138" t="s">
        <v>181</v>
      </c>
      <c r="D221" s="134" t="s">
        <v>36</v>
      </c>
      <c r="E221" s="135" t="s">
        <v>220</v>
      </c>
      <c r="F221" s="134" t="s">
        <v>38</v>
      </c>
      <c r="G221" s="136" t="str">
        <f>VLOOKUP(A221,Plano_V3!$A$26:$G$593,7,0)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modesg_inp_emss_vclsref_date</v>
      </c>
      <c r="B222" s="142" t="s">
        <v>26</v>
      </c>
      <c r="C222" s="138" t="s">
        <v>181</v>
      </c>
      <c r="D222" s="134" t="s">
        <v>40</v>
      </c>
      <c r="E222" s="135" t="s">
        <v>213</v>
      </c>
      <c r="F222" s="134" t="s">
        <v>208</v>
      </c>
      <c r="G222" s="136" t="str">
        <f>VLOOKUP(A222,Plano_V3!$A$26:$G$593,7,0)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modesg_inp_emss_vclsnome_regiao</v>
      </c>
      <c r="B223" s="142" t="s">
        <v>26</v>
      </c>
      <c r="C223" s="138" t="s">
        <v>181</v>
      </c>
      <c r="D223" s="134" t="s">
        <v>40</v>
      </c>
      <c r="E223" s="135" t="s">
        <v>213</v>
      </c>
      <c r="F223" s="134" t="s">
        <v>221</v>
      </c>
      <c r="G223" s="136" t="str">
        <f>VLOOKUP(A223,Plano_V3!$A$26:$G$593,7,0)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modesg_inp_emss_vclsnome_pais</v>
      </c>
      <c r="B224" s="142" t="s">
        <v>26</v>
      </c>
      <c r="C224" s="138" t="s">
        <v>181</v>
      </c>
      <c r="D224" s="134" t="s">
        <v>40</v>
      </c>
      <c r="E224" s="135" t="s">
        <v>213</v>
      </c>
      <c r="F224" s="134" t="s">
        <v>222</v>
      </c>
      <c r="G224" s="136" t="str">
        <f>VLOOKUP(A224,Plano_V3!$A$26:$G$593,7,0)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modesg_inp_emss_vclsnome_estado</v>
      </c>
      <c r="B225" s="142" t="s">
        <v>26</v>
      </c>
      <c r="C225" s="138" t="s">
        <v>181</v>
      </c>
      <c r="D225" s="134" t="s">
        <v>40</v>
      </c>
      <c r="E225" s="135" t="s">
        <v>213</v>
      </c>
      <c r="F225" s="134" t="s">
        <v>223</v>
      </c>
      <c r="G225" s="136" t="str">
        <f>VLOOKUP(A225,Plano_V3!$A$26:$G$593,7,0)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modesg_inp_emss_vclstipo_veiculo</v>
      </c>
      <c r="B226" s="142" t="s">
        <v>26</v>
      </c>
      <c r="C226" s="138" t="s">
        <v>181</v>
      </c>
      <c r="D226" s="134" t="s">
        <v>40</v>
      </c>
      <c r="E226" s="135" t="s">
        <v>213</v>
      </c>
      <c r="F226" s="134" t="s">
        <v>224</v>
      </c>
      <c r="G226" s="136" t="str">
        <f>VLOOKUP(A226,Plano_V3!$A$26:$G$593,7,0)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modesg_inp_emss_vclstipo_motor</v>
      </c>
      <c r="B227" s="142" t="s">
        <v>26</v>
      </c>
      <c r="C227" s="138" t="s">
        <v>181</v>
      </c>
      <c r="D227" s="134" t="s">
        <v>40</v>
      </c>
      <c r="E227" s="135" t="s">
        <v>213</v>
      </c>
      <c r="F227" s="134" t="s">
        <v>225</v>
      </c>
      <c r="G227" s="136" t="str">
        <f>VLOOKUP(A227,Plano_V3!$A$26:$G$593,7,0)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modesg_inp_emss_vclsmarca</v>
      </c>
      <c r="B228" s="142" t="s">
        <v>26</v>
      </c>
      <c r="C228" s="138" t="s">
        <v>181</v>
      </c>
      <c r="D228" s="134" t="s">
        <v>40</v>
      </c>
      <c r="E228" s="135" t="s">
        <v>213</v>
      </c>
      <c r="F228" s="134" t="s">
        <v>226</v>
      </c>
      <c r="G228" s="136" t="str">
        <f>VLOOKUP(A228,Plano_V3!$A$26:$G$593,7,0)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modesg_inp_emss_vclsmodelo</v>
      </c>
      <c r="B229" s="142" t="s">
        <v>26</v>
      </c>
      <c r="C229" s="138" t="s">
        <v>181</v>
      </c>
      <c r="D229" s="134" t="s">
        <v>40</v>
      </c>
      <c r="E229" s="135" t="s">
        <v>213</v>
      </c>
      <c r="F229" s="134" t="s">
        <v>227</v>
      </c>
      <c r="G229" s="136" t="str">
        <f>VLOOKUP(A229,Plano_V3!$A$26:$G$593,7,0)</f>
        <v>1. Concluído</v>
      </c>
      <c r="H229" s="136" t="s">
        <v>613</v>
      </c>
      <c r="I229" s="143"/>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modesg_inp_emss_vclssubgrupo</v>
      </c>
      <c r="B230" s="142" t="s">
        <v>26</v>
      </c>
      <c r="C230" s="138" t="s">
        <v>181</v>
      </c>
      <c r="D230" s="134" t="s">
        <v>40</v>
      </c>
      <c r="E230" s="135" t="s">
        <v>213</v>
      </c>
      <c r="F230" s="134" t="s">
        <v>228</v>
      </c>
      <c r="G230" s="136" t="str">
        <f>VLOOKUP(A230,Plano_V3!$A$26:$G$593,7,0)</f>
        <v>1. Concluído</v>
      </c>
      <c r="H230" s="136" t="s">
        <v>613</v>
      </c>
      <c r="I230" s="144" t="s">
        <v>653</v>
      </c>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modesg_inp_emss_vclsnome_unidade_funcional</v>
      </c>
      <c r="B231" s="142" t="s">
        <v>26</v>
      </c>
      <c r="C231" s="138" t="s">
        <v>181</v>
      </c>
      <c r="D231" s="134" t="s">
        <v>40</v>
      </c>
      <c r="E231" s="135" t="s">
        <v>213</v>
      </c>
      <c r="F231" s="134" t="s">
        <v>229</v>
      </c>
      <c r="G231" s="136" t="str">
        <f>VLOOKUP(A231,Plano_V3!$A$26:$G$593,7,0)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modesg_inp_emss_vclsunidade_funcional</v>
      </c>
      <c r="B232" s="142" t="s">
        <v>26</v>
      </c>
      <c r="C232" s="138" t="s">
        <v>181</v>
      </c>
      <c r="D232" s="134" t="s">
        <v>40</v>
      </c>
      <c r="E232" s="135" t="s">
        <v>213</v>
      </c>
      <c r="F232" s="134" t="s">
        <v>230</v>
      </c>
      <c r="G232" s="136" t="str">
        <f>VLOOKUP(A232,Plano_V3!$A$26:$G$593,7,0)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modesg_inp_emss_vclsnome_fator_emissao</v>
      </c>
      <c r="B233" s="142" t="s">
        <v>26</v>
      </c>
      <c r="C233" s="138" t="s">
        <v>181</v>
      </c>
      <c r="D233" s="134" t="s">
        <v>40</v>
      </c>
      <c r="E233" s="135" t="s">
        <v>213</v>
      </c>
      <c r="F233" s="134" t="s">
        <v>231</v>
      </c>
      <c r="G233" s="136" t="str">
        <f>VLOOKUP(A233,Plano_V3!$A$26:$G$593,7,0)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modesg_inp_emss_vclsunidade_fator_de_emissao</v>
      </c>
      <c r="B234" s="142" t="s">
        <v>26</v>
      </c>
      <c r="C234" s="138" t="s">
        <v>181</v>
      </c>
      <c r="D234" s="134" t="s">
        <v>40</v>
      </c>
      <c r="E234" s="135" t="s">
        <v>213</v>
      </c>
      <c r="F234" s="134" t="s">
        <v>232</v>
      </c>
      <c r="G234" s="136" t="str">
        <f>VLOOKUP(A234,Plano_V3!$A$26:$G$593,7,0)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modesg_inp_emss_vclsscore_qualidade</v>
      </c>
      <c r="B235" s="142" t="s">
        <v>26</v>
      </c>
      <c r="C235" s="138" t="s">
        <v>181</v>
      </c>
      <c r="D235" s="134" t="s">
        <v>40</v>
      </c>
      <c r="E235" s="135" t="s">
        <v>213</v>
      </c>
      <c r="F235" s="134" t="s">
        <v>233</v>
      </c>
      <c r="G235" s="136" t="str">
        <f>VLOOKUP(A235,Plano_V3!$A$26:$G$593,7,0)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modesg_inp_emss_vclsscp1_ftr_emss</v>
      </c>
      <c r="B236" s="142" t="s">
        <v>26</v>
      </c>
      <c r="C236" s="138" t="s">
        <v>181</v>
      </c>
      <c r="D236" s="134" t="s">
        <v>40</v>
      </c>
      <c r="E236" s="135" t="s">
        <v>213</v>
      </c>
      <c r="F236" s="134" t="s">
        <v>234</v>
      </c>
      <c r="G236" s="136" t="str">
        <f>VLOOKUP(A236,Plano_V3!$A$26:$G$593,7,0)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modesg_inp_emss_vclsscp2_ftr_emss</v>
      </c>
      <c r="B237" s="142" t="s">
        <v>26</v>
      </c>
      <c r="C237" s="138" t="s">
        <v>181</v>
      </c>
      <c r="D237" s="134" t="s">
        <v>40</v>
      </c>
      <c r="E237" s="135" t="s">
        <v>213</v>
      </c>
      <c r="F237" s="134" t="s">
        <v>235</v>
      </c>
      <c r="G237" s="136" t="str">
        <f>VLOOKUP(A237,Plano_V3!$A$26:$G$593,7,0)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modesg_inp_emss_vclsscp3_ftr_emss</v>
      </c>
      <c r="B238" s="142" t="s">
        <v>26</v>
      </c>
      <c r="C238" s="138" t="s">
        <v>181</v>
      </c>
      <c r="D238" s="134" t="s">
        <v>40</v>
      </c>
      <c r="E238" s="135" t="s">
        <v>213</v>
      </c>
      <c r="F238" s="134" t="s">
        <v>236</v>
      </c>
      <c r="G238" s="136" t="str">
        <f>VLOOKUP(A238,Plano_V3!$A$26:$G$593,7,0)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modesg_inp_km_medios_emss_vclsref_date</v>
      </c>
      <c r="B239" s="142" t="s">
        <v>26</v>
      </c>
      <c r="C239" s="138" t="s">
        <v>181</v>
      </c>
      <c r="D239" s="134" t="s">
        <v>40</v>
      </c>
      <c r="E239" s="135" t="s">
        <v>214</v>
      </c>
      <c r="F239" s="134" t="s">
        <v>208</v>
      </c>
      <c r="G239" s="136" t="str">
        <f>VLOOKUP(A239,Plano_V3!$A$26:$G$593,7,0)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modesg_inp_km_medios_emss_vclsnome_pais</v>
      </c>
      <c r="B240" s="142" t="s">
        <v>26</v>
      </c>
      <c r="C240" s="138" t="s">
        <v>181</v>
      </c>
      <c r="D240" s="134" t="s">
        <v>40</v>
      </c>
      <c r="E240" s="135" t="s">
        <v>214</v>
      </c>
      <c r="F240" s="134" t="s">
        <v>222</v>
      </c>
      <c r="G240" s="136" t="str">
        <f>VLOOKUP(A240,Plano_V3!$A$26:$G$593,7,0)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modesg_inp_km_medios_emss_vclstipo_vcl</v>
      </c>
      <c r="B241" s="142" t="s">
        <v>26</v>
      </c>
      <c r="C241" s="138" t="s">
        <v>181</v>
      </c>
      <c r="D241" s="134" t="s">
        <v>40</v>
      </c>
      <c r="E241" s="135" t="s">
        <v>214</v>
      </c>
      <c r="F241" s="134" t="s">
        <v>237</v>
      </c>
      <c r="G241" s="136" t="str">
        <f>VLOOKUP(A241,Plano_V3!$A$26:$G$593,7,0)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modesg_inp_km_medios_emss_vclstipo_motor</v>
      </c>
      <c r="B242" s="142" t="s">
        <v>26</v>
      </c>
      <c r="C242" s="138" t="s">
        <v>181</v>
      </c>
      <c r="D242" s="134" t="s">
        <v>40</v>
      </c>
      <c r="E242" s="135" t="s">
        <v>214</v>
      </c>
      <c r="F242" s="134" t="s">
        <v>225</v>
      </c>
      <c r="G242" s="136" t="str">
        <f>VLOOKUP(A242,Plano_V3!$A$26:$G$593,7,0)</f>
        <v>1. Concluído</v>
      </c>
      <c r="H242" s="136" t="s">
        <v>613</v>
      </c>
      <c r="I242" s="143"/>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modesg_inp_km_medios_emss_vclssubgrupo</v>
      </c>
      <c r="B243" s="142" t="s">
        <v>26</v>
      </c>
      <c r="C243" s="138" t="s">
        <v>181</v>
      </c>
      <c r="D243" s="134" t="s">
        <v>40</v>
      </c>
      <c r="E243" s="135" t="s">
        <v>214</v>
      </c>
      <c r="F243" s="134" t="s">
        <v>228</v>
      </c>
      <c r="G243" s="136" t="str">
        <f>VLOOKUP(A243,Plano_V3!$A$26:$G$593,7,0)</f>
        <v>1. Concluído</v>
      </c>
      <c r="H243" s="136" t="s">
        <v>613</v>
      </c>
      <c r="I243" s="144" t="s">
        <v>653</v>
      </c>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modesg_inp_km_medios_emss_vclsmedia_km</v>
      </c>
      <c r="B244" s="142" t="s">
        <v>26</v>
      </c>
      <c r="C244" s="138" t="s">
        <v>181</v>
      </c>
      <c r="D244" s="134" t="s">
        <v>40</v>
      </c>
      <c r="E244" s="135" t="s">
        <v>214</v>
      </c>
      <c r="F244" s="134" t="s">
        <v>238</v>
      </c>
      <c r="G244" s="136" t="str">
        <f>VLOOKUP(A244,Plano_V3!$A$26:$G$593,7,0)</f>
        <v>1. Concluído</v>
      </c>
      <c r="H244" s="136" t="s">
        <v>613</v>
      </c>
      <c r="I244" s="143"/>
      <c r="J244" s="153" t="str">
        <f>IF(VLOOKUP(A244,'Aux - pivots1'!$A:$E,3,0)=0, "",VLOOKUP(A244,'Aux - pivots1'!$A:$E,3,0))</f>
        <v/>
      </c>
      <c r="K244" s="153">
        <f>IF(VLOOKUP(A244,'Aux - pivots1'!$A:$E,4,0)=0, "",VLOOKUP(A244,'Aux - pivots1'!$A:$E,4,0))</f>
        <v>45603</v>
      </c>
      <c r="L244" s="153">
        <f>IF(VLOOKUP(A244,'Aux - pivots1'!$A:$E,5,0)=0, "",VLOOKUP(A244,'Aux - pivots1'!$A:$E,5,0))</f>
        <v>45534</v>
      </c>
      <c r="M244" s="208"/>
      <c r="N244" s="208"/>
      <c r="O244" s="342" t="s">
        <v>29</v>
      </c>
    </row>
    <row r="245" spans="1:15" ht="16.2" hidden="1" customHeight="1">
      <c r="A245" s="30" t="str">
        <f t="shared" si="3"/>
        <v>modesg_inp_empr_excl_parisref_date</v>
      </c>
      <c r="B245" s="142" t="s">
        <v>26</v>
      </c>
      <c r="C245" s="138" t="s">
        <v>181</v>
      </c>
      <c r="D245" s="134" t="s">
        <v>40</v>
      </c>
      <c r="E245" s="135" t="s">
        <v>215</v>
      </c>
      <c r="F245" s="134" t="s">
        <v>208</v>
      </c>
      <c r="G245" s="136" t="str">
        <f>VLOOKUP(A245,Plano_V3!$A$26:$G$593,7,0)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ref="A246:A275" si="4">E246&amp;F246</f>
        <v>modesg_inp_empr_excl_parisisin</v>
      </c>
      <c r="B246" s="142" t="s">
        <v>26</v>
      </c>
      <c r="C246" s="138" t="s">
        <v>181</v>
      </c>
      <c r="D246" s="134" t="s">
        <v>40</v>
      </c>
      <c r="E246" s="135" t="s">
        <v>215</v>
      </c>
      <c r="F246" s="134" t="s">
        <v>239</v>
      </c>
      <c r="G246" s="136" t="str">
        <f>VLOOKUP(A246,Plano_V3!$A$26:$G$593,7,0)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modesg_inp_empr_excl_parisclei</v>
      </c>
      <c r="B247" s="142" t="s">
        <v>26</v>
      </c>
      <c r="C247" s="138" t="s">
        <v>181</v>
      </c>
      <c r="D247" s="134" t="s">
        <v>40</v>
      </c>
      <c r="E247" s="135" t="s">
        <v>215</v>
      </c>
      <c r="F247" s="134" t="s">
        <v>240</v>
      </c>
      <c r="G247" s="136" t="str">
        <f>VLOOKUP(A247,Plano_V3!$A$26:$G$593,7,0)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modesg_inp_empr_excl_parisccli_kgl</v>
      </c>
      <c r="B248" s="142" t="s">
        <v>26</v>
      </c>
      <c r="C248" s="138" t="s">
        <v>181</v>
      </c>
      <c r="D248" s="134" t="s">
        <v>40</v>
      </c>
      <c r="E248" s="135" t="s">
        <v>215</v>
      </c>
      <c r="F248" s="134" t="s">
        <v>241</v>
      </c>
      <c r="G248" s="136" t="str">
        <f>VLOOKUP(A248,Plano_V3!$A$26:$G$593,7,0)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modesg_inp_empr_excl_parisnome_entidade</v>
      </c>
      <c r="B249" s="142" t="s">
        <v>26</v>
      </c>
      <c r="C249" s="138" t="s">
        <v>181</v>
      </c>
      <c r="D249" s="134" t="s">
        <v>40</v>
      </c>
      <c r="E249" s="135" t="s">
        <v>215</v>
      </c>
      <c r="F249" s="134" t="s">
        <v>242</v>
      </c>
      <c r="G249" s="136" t="str">
        <f>VLOOKUP(A249,Plano_V3!$A$26:$G$593,7,0)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modesg_inp_empr_excl_parisflg_scib</v>
      </c>
      <c r="B250" s="142" t="s">
        <v>26</v>
      </c>
      <c r="C250" s="138" t="s">
        <v>181</v>
      </c>
      <c r="D250" s="134" t="s">
        <v>40</v>
      </c>
      <c r="E250" s="135" t="s">
        <v>215</v>
      </c>
      <c r="F250" s="134" t="s">
        <v>243</v>
      </c>
      <c r="G250" s="136" t="str">
        <f>VLOOKUP(A250,Plano_V3!$A$26:$G$593,7,0)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modesg_inp_empr_excl_parisnome_pais</v>
      </c>
      <c r="B251" s="142" t="s">
        <v>26</v>
      </c>
      <c r="C251" s="138" t="s">
        <v>181</v>
      </c>
      <c r="D251" s="134" t="s">
        <v>40</v>
      </c>
      <c r="E251" s="135" t="s">
        <v>215</v>
      </c>
      <c r="F251" s="134" t="s">
        <v>222</v>
      </c>
      <c r="G251" s="136" t="str">
        <f>VLOOKUP(A251,Plano_V3!$A$26:$G$593,7,0)</f>
        <v>1. Concluído</v>
      </c>
      <c r="H251" s="136" t="s">
        <v>613</v>
      </c>
      <c r="I251" s="154"/>
      <c r="J251" s="153" t="str">
        <f>IF(VLOOKUP(A251,'Aux - pivots1'!$A:$E,3,0)=0, "",VLOOKUP(A251,'Aux - pivots1'!$A:$E,3,0))</f>
        <v/>
      </c>
      <c r="K251" s="153">
        <f>IF(VLOOKUP(A251,'Aux - pivots1'!$A:$E,4,0)=0, "",VLOOKUP(A251,'Aux - pivots1'!$A:$E,4,0))</f>
        <v>45603</v>
      </c>
      <c r="L251" s="153" t="str">
        <f>IF(VLOOKUP(A251,'Aux - pivots1'!$A:$E,5,0)=0, "",VLOOKUP(A251,'Aux - pivots1'!$A:$E,5,0))</f>
        <v/>
      </c>
      <c r="M251" s="208"/>
      <c r="N251" s="208"/>
      <c r="O251" s="342" t="s">
        <v>29</v>
      </c>
    </row>
    <row r="252" spans="1:15" ht="16.2" hidden="1" customHeight="1">
      <c r="A252" s="30" t="str">
        <f t="shared" si="4"/>
        <v>modesg_inp_nfrd_alinhamento_taxref_date</v>
      </c>
      <c r="B252" s="142" t="s">
        <v>26</v>
      </c>
      <c r="C252" s="138" t="s">
        <v>181</v>
      </c>
      <c r="D252" s="134" t="s">
        <v>40</v>
      </c>
      <c r="E252" s="135" t="s">
        <v>216</v>
      </c>
      <c r="F252" s="134" t="s">
        <v>208</v>
      </c>
      <c r="G252" s="136" t="str">
        <f>VLOOKUP(A252,Plano_V3!$A$26:$G$593,7,0)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modesg_inp_nfrd_alinhamento_taxccli_kgl</v>
      </c>
      <c r="B253" s="142" t="s">
        <v>26</v>
      </c>
      <c r="C253" s="138" t="s">
        <v>181</v>
      </c>
      <c r="D253" s="134" t="s">
        <v>40</v>
      </c>
      <c r="E253" s="135" t="s">
        <v>216</v>
      </c>
      <c r="F253" s="134" t="s">
        <v>241</v>
      </c>
      <c r="G253" s="136" t="str">
        <f>VLOOKUP(A253,Plano_V3!$A$26:$G$593,7,0)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modesg_inp_nfrd_alinhamento_taxclei</v>
      </c>
      <c r="B254" s="142" t="s">
        <v>26</v>
      </c>
      <c r="C254" s="138" t="s">
        <v>181</v>
      </c>
      <c r="D254" s="134" t="s">
        <v>40</v>
      </c>
      <c r="E254" s="135" t="s">
        <v>216</v>
      </c>
      <c r="F254" s="134" t="s">
        <v>240</v>
      </c>
      <c r="G254" s="136" t="str">
        <f>VLOOKUP(A254,Plano_V3!$A$26:$G$593,7,0)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modesg_inp_nfrd_alinhamento_taxperm_id</v>
      </c>
      <c r="B255" s="142" t="s">
        <v>26</v>
      </c>
      <c r="C255" s="138" t="s">
        <v>181</v>
      </c>
      <c r="D255" s="134" t="s">
        <v>40</v>
      </c>
      <c r="E255" s="135" t="s">
        <v>216</v>
      </c>
      <c r="F255" s="134" t="s">
        <v>244</v>
      </c>
      <c r="G255" s="136" t="str">
        <f>VLOOKUP(A255,Plano_V3!$A$26:$G$593,7,0)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modesg_inp_nfrd_alinhamento_taxnome_entidade</v>
      </c>
      <c r="B256" s="142" t="s">
        <v>26</v>
      </c>
      <c r="C256" s="138" t="s">
        <v>181</v>
      </c>
      <c r="D256" s="134" t="s">
        <v>40</v>
      </c>
      <c r="E256" s="135" t="s">
        <v>216</v>
      </c>
      <c r="F256" s="134" t="s">
        <v>242</v>
      </c>
      <c r="G256" s="136" t="str">
        <f>VLOOKUP(A256,Plano_V3!$A$26:$G$593,7,0)</f>
        <v>1. Concluído</v>
      </c>
      <c r="H256" s="136" t="s">
        <v>613</v>
      </c>
      <c r="I256" s="143"/>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modesg_inp_nfrd_alinhamento_taxnome_pais</v>
      </c>
      <c r="B257" s="142" t="s">
        <v>26</v>
      </c>
      <c r="C257" s="138" t="s">
        <v>181</v>
      </c>
      <c r="D257" s="134" t="s">
        <v>40</v>
      </c>
      <c r="E257" s="135" t="s">
        <v>216</v>
      </c>
      <c r="F257" s="134" t="s">
        <v>222</v>
      </c>
      <c r="G257" s="136" t="str">
        <f>VLOOKUP(A257,Plano_V3!$A$26:$G$593,7,0)</f>
        <v>1. Concluído</v>
      </c>
      <c r="H257" s="136" t="s">
        <v>613</v>
      </c>
      <c r="I257" s="144" t="s">
        <v>653</v>
      </c>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modesg_inp_nfrd_alinhamento_taxflg_nfrd</v>
      </c>
      <c r="B258" s="142" t="s">
        <v>26</v>
      </c>
      <c r="C258" s="138" t="s">
        <v>181</v>
      </c>
      <c r="D258" s="134" t="s">
        <v>40</v>
      </c>
      <c r="E258" s="135" t="s">
        <v>216</v>
      </c>
      <c r="F258" s="134" t="s">
        <v>245</v>
      </c>
      <c r="G258" s="136" t="str">
        <f>VLOOKUP(A258,Plano_V3!$A$26:$G$593,7,0)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modesg_inp_nfrd_alinhamento_taxcca_trnvr_ttl_elgbl</v>
      </c>
      <c r="B259" s="142" t="s">
        <v>26</v>
      </c>
      <c r="C259" s="138" t="s">
        <v>181</v>
      </c>
      <c r="D259" s="134" t="s">
        <v>40</v>
      </c>
      <c r="E259" s="135" t="s">
        <v>216</v>
      </c>
      <c r="F259" s="134" t="s">
        <v>246</v>
      </c>
      <c r="G259" s="136" t="str">
        <f>VLOOKUP(A259,Plano_V3!$A$26:$G$593,7,0)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modesg_inp_nfrd_alinhamento_taxcca_trnvr_enblng_alignd</v>
      </c>
      <c r="B260" s="142" t="s">
        <v>26</v>
      </c>
      <c r="C260" s="138" t="s">
        <v>181</v>
      </c>
      <c r="D260" s="134" t="s">
        <v>40</v>
      </c>
      <c r="E260" s="135" t="s">
        <v>216</v>
      </c>
      <c r="F260" s="134" t="s">
        <v>247</v>
      </c>
      <c r="G260" s="136" t="str">
        <f>VLOOKUP(A260,Plano_V3!$A$26:$G$593,7,0)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modesg_inp_nfrd_alinhamento_taxcca_turnover_own_prfrmnce_algnd</v>
      </c>
      <c r="B261" s="142" t="s">
        <v>26</v>
      </c>
      <c r="C261" s="138" t="s">
        <v>181</v>
      </c>
      <c r="D261" s="134" t="s">
        <v>40</v>
      </c>
      <c r="E261" s="135" t="s">
        <v>216</v>
      </c>
      <c r="F261" s="134" t="s">
        <v>248</v>
      </c>
      <c r="G261" s="136" t="str">
        <f>VLOOKUP(A261,Plano_V3!$A$26:$G$593,7,0)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modesg_inp_nfrd_alinhamento_taxcca_capex_ttl_elgbl</v>
      </c>
      <c r="B262" s="142" t="s">
        <v>26</v>
      </c>
      <c r="C262" s="138" t="s">
        <v>181</v>
      </c>
      <c r="D262" s="134" t="s">
        <v>40</v>
      </c>
      <c r="E262" s="135" t="s">
        <v>216</v>
      </c>
      <c r="F262" s="134" t="s">
        <v>249</v>
      </c>
      <c r="G262" s="136" t="str">
        <f>VLOOKUP(A262,Plano_V3!$A$26:$G$593,7,0)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modesg_inp_nfrd_alinhamento_taxcca_capex_enblng_algnd</v>
      </c>
      <c r="B263" s="142" t="s">
        <v>26</v>
      </c>
      <c r="C263" s="138" t="s">
        <v>181</v>
      </c>
      <c r="D263" s="134" t="s">
        <v>40</v>
      </c>
      <c r="E263" s="135" t="s">
        <v>216</v>
      </c>
      <c r="F263" s="134" t="s">
        <v>250</v>
      </c>
      <c r="G263" s="136" t="str">
        <f>VLOOKUP(A263,Plano_V3!$A$26:$G$593,7,0)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modesg_inp_nfrd_alinhamento_taxcca_capex_own_prfrmnce_algnd</v>
      </c>
      <c r="B264" s="142" t="s">
        <v>26</v>
      </c>
      <c r="C264" s="138" t="s">
        <v>181</v>
      </c>
      <c r="D264" s="134" t="s">
        <v>40</v>
      </c>
      <c r="E264" s="135" t="s">
        <v>216</v>
      </c>
      <c r="F264" s="134" t="s">
        <v>251</v>
      </c>
      <c r="G264" s="136" t="str">
        <f>VLOOKUP(A264,Plano_V3!$A$26:$G$593,7,0)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modesg_inp_nfrd_alinhamento_taxccm_trnvr_ttl_elgbl</v>
      </c>
      <c r="B265" s="142" t="s">
        <v>26</v>
      </c>
      <c r="C265" s="138" t="s">
        <v>181</v>
      </c>
      <c r="D265" s="134" t="s">
        <v>40</v>
      </c>
      <c r="E265" s="135" t="s">
        <v>216</v>
      </c>
      <c r="F265" s="134" t="s">
        <v>252</v>
      </c>
      <c r="G265" s="136" t="str">
        <f>VLOOKUP(A265,Plano_V3!$A$26:$G$593,7,0)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modesg_inp_nfrd_alinhamento_taxccm_trnvr_enblng_algnd</v>
      </c>
      <c r="B266" s="142" t="s">
        <v>26</v>
      </c>
      <c r="C266" s="138" t="s">
        <v>181</v>
      </c>
      <c r="D266" s="134" t="s">
        <v>40</v>
      </c>
      <c r="E266" s="135" t="s">
        <v>216</v>
      </c>
      <c r="F266" s="134" t="s">
        <v>253</v>
      </c>
      <c r="G266" s="136" t="str">
        <f>VLOOKUP(A266,Plano_V3!$A$26:$G$593,7,0)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modesg_inp_nfrd_alinhamento_taxccm_trnvr_trnstn_alignd</v>
      </c>
      <c r="B267" s="142" t="s">
        <v>26</v>
      </c>
      <c r="C267" s="138" t="s">
        <v>181</v>
      </c>
      <c r="D267" s="134" t="s">
        <v>40</v>
      </c>
      <c r="E267" s="135" t="s">
        <v>216</v>
      </c>
      <c r="F267" s="134" t="s">
        <v>254</v>
      </c>
      <c r="G267" s="136" t="str">
        <f>VLOOKUP(A267,Plano_V3!$A$26:$G$593,7,0)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modesg_inp_nfrd_alinhamento_taxccm_trnvr_own_prfrmnce_algnd</v>
      </c>
      <c r="B268" s="142" t="s">
        <v>26</v>
      </c>
      <c r="C268" s="138" t="s">
        <v>181</v>
      </c>
      <c r="D268" s="134" t="s">
        <v>40</v>
      </c>
      <c r="E268" s="135" t="s">
        <v>216</v>
      </c>
      <c r="F268" s="134" t="s">
        <v>255</v>
      </c>
      <c r="G268" s="136" t="str">
        <f>VLOOKUP(A268,Plano_V3!$A$26:$G$593,7,0)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modesg_inp_nfrd_alinhamento_taxccm_capex_ttl_elgbl</v>
      </c>
      <c r="B269" s="142" t="s">
        <v>26</v>
      </c>
      <c r="C269" s="138" t="s">
        <v>181</v>
      </c>
      <c r="D269" s="134" t="s">
        <v>40</v>
      </c>
      <c r="E269" s="135" t="s">
        <v>216</v>
      </c>
      <c r="F269" s="134" t="s">
        <v>256</v>
      </c>
      <c r="G269" s="136" t="str">
        <f>VLOOKUP(A269,Plano_V3!$A$26:$G$593,7,0)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modesg_inp_nfrd_alinhamento_taxccm_capex_enblng_algnd</v>
      </c>
      <c r="B270" s="142" t="s">
        <v>26</v>
      </c>
      <c r="C270" s="138" t="s">
        <v>181</v>
      </c>
      <c r="D270" s="134" t="s">
        <v>40</v>
      </c>
      <c r="E270" s="135" t="s">
        <v>216</v>
      </c>
      <c r="F270" s="134" t="s">
        <v>257</v>
      </c>
      <c r="G270" s="136" t="str">
        <f>VLOOKUP(A270,Plano_V3!$A$26:$G$593,7,0)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modesg_inp_nfrd_alinhamento_taxccm_capex_trnstn_algnd</v>
      </c>
      <c r="B271" s="142" t="s">
        <v>26</v>
      </c>
      <c r="C271" s="138" t="s">
        <v>181</v>
      </c>
      <c r="D271" s="134" t="s">
        <v>40</v>
      </c>
      <c r="E271" s="135" t="s">
        <v>216</v>
      </c>
      <c r="F271" s="134" t="s">
        <v>258</v>
      </c>
      <c r="G271" s="136" t="str">
        <f>VLOOKUP(A271,Plano_V3!$A$26:$G$593,7,0)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modesg_inp_nfrd_alinhamento_taxccm_capex_own_prfrmnce_algnd</v>
      </c>
      <c r="B272" s="142" t="s">
        <v>26</v>
      </c>
      <c r="C272" s="138" t="s">
        <v>181</v>
      </c>
      <c r="D272" s="134" t="s">
        <v>40</v>
      </c>
      <c r="E272" s="135" t="s">
        <v>216</v>
      </c>
      <c r="F272" s="134" t="s">
        <v>259</v>
      </c>
      <c r="G272" s="136" t="str">
        <f>VLOOKUP(A272,Plano_V3!$A$26:$G$593,7,0)</f>
        <v>1. Concluído</v>
      </c>
      <c r="H272" s="136" t="s">
        <v>613</v>
      </c>
      <c r="I272" s="143"/>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modesg_inp_nfrd_alinhamento_taxppc_trnvr_ttl_elgbl</v>
      </c>
      <c r="B273" s="142" t="s">
        <v>26</v>
      </c>
      <c r="C273" s="138" t="s">
        <v>181</v>
      </c>
      <c r="D273" s="134" t="s">
        <v>40</v>
      </c>
      <c r="E273" s="135" t="s">
        <v>216</v>
      </c>
      <c r="F273" s="134" t="s">
        <v>260</v>
      </c>
      <c r="G273" s="136" t="str">
        <f>VLOOKUP(A273,Plano_V3!$A$26:$G$593,7,0)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modesg_inp_nfrd_alinhamento_taxppc_turnover_own_prfrmnce_algnd</v>
      </c>
      <c r="B274" s="142" t="s">
        <v>26</v>
      </c>
      <c r="C274" s="138" t="s">
        <v>181</v>
      </c>
      <c r="D274" s="134" t="s">
        <v>40</v>
      </c>
      <c r="E274" s="135" t="s">
        <v>216</v>
      </c>
      <c r="F274" s="134" t="s">
        <v>261</v>
      </c>
      <c r="G274" s="136" t="str">
        <f>VLOOKUP(A274,Plano_V3!$A$26:$G$593,7,0)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si="4"/>
        <v>modesg_inp_nfrd_alinhamento_taxppc_capex_ttl_elgbl</v>
      </c>
      <c r="B275" s="142" t="s">
        <v>26</v>
      </c>
      <c r="C275" s="138" t="s">
        <v>181</v>
      </c>
      <c r="D275" s="134" t="s">
        <v>40</v>
      </c>
      <c r="E275" s="135" t="s">
        <v>216</v>
      </c>
      <c r="F275" s="134" t="s">
        <v>262</v>
      </c>
      <c r="G275" s="136" t="str">
        <f>VLOOKUP(A275,Plano_V3!$A$26:$G$593,7,0)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ref="A276:A339" si="5">E276&amp;F276</f>
        <v>modesg_inp_nfrd_alinhamento_taxppc_capex_own_prfrmnce_algnd</v>
      </c>
      <c r="B276" s="142" t="s">
        <v>26</v>
      </c>
      <c r="C276" s="138" t="s">
        <v>181</v>
      </c>
      <c r="D276" s="134" t="s">
        <v>40</v>
      </c>
      <c r="E276" s="135" t="s">
        <v>216</v>
      </c>
      <c r="F276" s="134" t="s">
        <v>263</v>
      </c>
      <c r="G276" s="136" t="str">
        <f>VLOOKUP(A276,Plano_V3!$A$26:$G$593,7,0)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modesg_inp_nfrd_alinhamento_taxbio_trnvr_ttl_elgbl</v>
      </c>
      <c r="B277" s="142" t="s">
        <v>26</v>
      </c>
      <c r="C277" s="138" t="s">
        <v>181</v>
      </c>
      <c r="D277" s="134" t="s">
        <v>40</v>
      </c>
      <c r="E277" s="135" t="s">
        <v>216</v>
      </c>
      <c r="F277" s="134" t="s">
        <v>264</v>
      </c>
      <c r="G277" s="136" t="str">
        <f>VLOOKUP(A277,Plano_V3!$A$26:$G$593,7,0)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modesg_inp_nfrd_alinhamento_taxbio_turnover_own_prfrmnce_algnd</v>
      </c>
      <c r="B278" s="142" t="s">
        <v>26</v>
      </c>
      <c r="C278" s="138" t="s">
        <v>181</v>
      </c>
      <c r="D278" s="134" t="s">
        <v>40</v>
      </c>
      <c r="E278" s="135" t="s">
        <v>216</v>
      </c>
      <c r="F278" s="134" t="s">
        <v>265</v>
      </c>
      <c r="G278" s="136" t="str">
        <f>VLOOKUP(A278,Plano_V3!$A$26:$G$593,7,0)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modesg_inp_nfrd_alinhamento_taxbio_capex_ttl_elgbl</v>
      </c>
      <c r="B279" s="142" t="s">
        <v>26</v>
      </c>
      <c r="C279" s="138" t="s">
        <v>181</v>
      </c>
      <c r="D279" s="134" t="s">
        <v>40</v>
      </c>
      <c r="E279" s="135" t="s">
        <v>216</v>
      </c>
      <c r="F279" s="134" t="s">
        <v>266</v>
      </c>
      <c r="G279" s="136" t="str">
        <f>VLOOKUP(A279,Plano_V3!$A$26:$G$593,7,0)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modesg_inp_nfrd_alinhamento_taxbio_capex_own_prfrmnce_algnd</v>
      </c>
      <c r="B280" s="142" t="s">
        <v>26</v>
      </c>
      <c r="C280" s="138" t="s">
        <v>181</v>
      </c>
      <c r="D280" s="134" t="s">
        <v>40</v>
      </c>
      <c r="E280" s="135" t="s">
        <v>216</v>
      </c>
      <c r="F280" s="134" t="s">
        <v>267</v>
      </c>
      <c r="G280" s="136" t="str">
        <f>VLOOKUP(A280,Plano_V3!$A$26:$G$593,7,0)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modesg_inp_nfrd_alinhamento_taxwtr_trnvr_ttl_elgbl</v>
      </c>
      <c r="B281" s="142" t="s">
        <v>26</v>
      </c>
      <c r="C281" s="138" t="s">
        <v>181</v>
      </c>
      <c r="D281" s="134" t="s">
        <v>40</v>
      </c>
      <c r="E281" s="135" t="s">
        <v>216</v>
      </c>
      <c r="F281" s="134" t="s">
        <v>268</v>
      </c>
      <c r="G281" s="136" t="str">
        <f>VLOOKUP(A281,Plano_V3!$A$26:$G$593,7,0)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modesg_inp_nfrd_alinhamento_taxwtr_trnvr_enblng_alignd</v>
      </c>
      <c r="B282" s="142" t="s">
        <v>26</v>
      </c>
      <c r="C282" s="138" t="s">
        <v>181</v>
      </c>
      <c r="D282" s="134" t="s">
        <v>40</v>
      </c>
      <c r="E282" s="135" t="s">
        <v>216</v>
      </c>
      <c r="F282" s="134" t="s">
        <v>269</v>
      </c>
      <c r="G282" s="136" t="str">
        <f>VLOOKUP(A282,Plano_V3!$A$26:$G$593,7,0)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modesg_inp_nfrd_alinhamento_taxwtr_turnover_own_prfrmnce_algnd</v>
      </c>
      <c r="B283" s="142" t="s">
        <v>26</v>
      </c>
      <c r="C283" s="138" t="s">
        <v>181</v>
      </c>
      <c r="D283" s="134" t="s">
        <v>40</v>
      </c>
      <c r="E283" s="135" t="s">
        <v>216</v>
      </c>
      <c r="F283" s="134" t="s">
        <v>270</v>
      </c>
      <c r="G283" s="136" t="str">
        <f>VLOOKUP(A283,Plano_V3!$A$26:$G$593,7,0)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modesg_inp_nfrd_alinhamento_taxwtr_capex_ttl_elgbl</v>
      </c>
      <c r="B284" s="142" t="s">
        <v>26</v>
      </c>
      <c r="C284" s="138" t="s">
        <v>181</v>
      </c>
      <c r="D284" s="134" t="s">
        <v>40</v>
      </c>
      <c r="E284" s="135" t="s">
        <v>216</v>
      </c>
      <c r="F284" s="134" t="s">
        <v>271</v>
      </c>
      <c r="G284" s="136" t="str">
        <f>VLOOKUP(A284,Plano_V3!$A$26:$G$593,7,0)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modesg_inp_nfrd_alinhamento_taxwtr_capex_enblng_algnd</v>
      </c>
      <c r="B285" s="142" t="s">
        <v>26</v>
      </c>
      <c r="C285" s="138" t="s">
        <v>181</v>
      </c>
      <c r="D285" s="134" t="s">
        <v>40</v>
      </c>
      <c r="E285" s="135" t="s">
        <v>216</v>
      </c>
      <c r="F285" s="134" t="s">
        <v>272</v>
      </c>
      <c r="G285" s="136" t="str">
        <f>VLOOKUP(A285,Plano_V3!$A$26:$G$593,7,0)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modesg_inp_nfrd_alinhamento_taxwtr_capex_own_prfrmnce_algnd</v>
      </c>
      <c r="B286" s="142" t="s">
        <v>26</v>
      </c>
      <c r="C286" s="138" t="s">
        <v>181</v>
      </c>
      <c r="D286" s="134" t="s">
        <v>40</v>
      </c>
      <c r="E286" s="135" t="s">
        <v>216</v>
      </c>
      <c r="F286" s="134" t="s">
        <v>273</v>
      </c>
      <c r="G286" s="136" t="str">
        <f>VLOOKUP(A286,Plano_V3!$A$26:$G$593,7,0)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modesg_inp_nfrd_alinhamento_taxce_trnvr_ttl_elgbl</v>
      </c>
      <c r="B287" s="142" t="s">
        <v>26</v>
      </c>
      <c r="C287" s="138" t="s">
        <v>181</v>
      </c>
      <c r="D287" s="134" t="s">
        <v>40</v>
      </c>
      <c r="E287" s="135" t="s">
        <v>216</v>
      </c>
      <c r="F287" s="134" t="s">
        <v>274</v>
      </c>
      <c r="G287" s="136" t="str">
        <f>VLOOKUP(A287,Plano_V3!$A$26:$G$593,7,0)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modesg_inp_nfrd_alinhamento_taxce_trnvr_enblng_alignd</v>
      </c>
      <c r="B288" s="142" t="s">
        <v>26</v>
      </c>
      <c r="C288" s="138" t="s">
        <v>181</v>
      </c>
      <c r="D288" s="134" t="s">
        <v>40</v>
      </c>
      <c r="E288" s="135" t="s">
        <v>216</v>
      </c>
      <c r="F288" s="134" t="s">
        <v>275</v>
      </c>
      <c r="G288" s="136" t="str">
        <f>VLOOKUP(A288,Plano_V3!$A$26:$G$593,7,0)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modesg_inp_nfrd_alinhamento_taxce_turnover_own_prfrmnce_algnd</v>
      </c>
      <c r="B289" s="142" t="s">
        <v>26</v>
      </c>
      <c r="C289" s="138" t="s">
        <v>181</v>
      </c>
      <c r="D289" s="134" t="s">
        <v>40</v>
      </c>
      <c r="E289" s="135" t="s">
        <v>216</v>
      </c>
      <c r="F289" s="134" t="s">
        <v>276</v>
      </c>
      <c r="G289" s="136" t="str">
        <f>VLOOKUP(A289,Plano_V3!$A$26:$G$593,7,0)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modesg_inp_nfrd_alinhamento_taxce_capex_ttl_elgbl</v>
      </c>
      <c r="B290" s="142" t="s">
        <v>26</v>
      </c>
      <c r="C290" s="138" t="s">
        <v>181</v>
      </c>
      <c r="D290" s="134" t="s">
        <v>40</v>
      </c>
      <c r="E290" s="135" t="s">
        <v>216</v>
      </c>
      <c r="F290" s="134" t="s">
        <v>277</v>
      </c>
      <c r="G290" s="136" t="str">
        <f>VLOOKUP(A290,Plano_V3!$A$26:$G$593,7,0)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modesg_inp_nfrd_alinhamento_taxce_capex_enblng_algnd</v>
      </c>
      <c r="B291" s="142" t="s">
        <v>26</v>
      </c>
      <c r="C291" s="138" t="s">
        <v>181</v>
      </c>
      <c r="D291" s="134" t="s">
        <v>40</v>
      </c>
      <c r="E291" s="135" t="s">
        <v>216</v>
      </c>
      <c r="F291" s="134" t="s">
        <v>278</v>
      </c>
      <c r="G291" s="136" t="str">
        <f>VLOOKUP(A291,Plano_V3!$A$26:$G$593,7,0)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modesg_inp_nfrd_alinhamento_taxce_capex_own_prfrmnce_algnd</v>
      </c>
      <c r="B292" s="142" t="s">
        <v>26</v>
      </c>
      <c r="C292" s="138" t="s">
        <v>181</v>
      </c>
      <c r="D292" s="134" t="s">
        <v>40</v>
      </c>
      <c r="E292" s="135" t="s">
        <v>216</v>
      </c>
      <c r="F292" s="134" t="s">
        <v>279</v>
      </c>
      <c r="G292" s="136" t="str">
        <f>VLOOKUP(A292,Plano_V3!$A$26:$G$593,7,0)</f>
        <v>1. Concluído</v>
      </c>
      <c r="H292" s="136" t="s">
        <v>613</v>
      </c>
      <c r="I292" s="144" t="s">
        <v>653</v>
      </c>
      <c r="J292" s="153" t="str">
        <f>IF(VLOOKUP(A292,'Aux - pivots1'!$A:$E,3,0)=0, "",VLOOKUP(A292,'Aux - pivots1'!$A:$E,3,0))</f>
        <v/>
      </c>
      <c r="K292" s="153">
        <f>IF(VLOOKUP(A292,'Aux - pivots1'!$A:$E,4,0)=0, "",VLOOKUP(A292,'Aux - pivots1'!$A:$E,4,0))</f>
        <v>45603</v>
      </c>
      <c r="L292" s="153">
        <f>IF(VLOOKUP(A292,'Aux - pivots1'!$A:$E,5,0)=0, "",VLOOKUP(A292,'Aux - pivots1'!$A:$E,5,0))</f>
        <v>45534</v>
      </c>
      <c r="M292" s="208"/>
      <c r="N292" s="208"/>
      <c r="O292" s="342" t="s">
        <v>29</v>
      </c>
    </row>
    <row r="293" spans="1:15" ht="16.2" hidden="1" customHeight="1">
      <c r="A293" s="30" t="str">
        <f t="shared" si="5"/>
        <v>modesg_inp_risco_fisicoref_date</v>
      </c>
      <c r="B293" s="142" t="s">
        <v>26</v>
      </c>
      <c r="C293" s="138" t="s">
        <v>181</v>
      </c>
      <c r="D293" s="134" t="s">
        <v>40</v>
      </c>
      <c r="E293" s="135" t="s">
        <v>217</v>
      </c>
      <c r="F293" s="134" t="s">
        <v>208</v>
      </c>
      <c r="G293" s="136" t="str">
        <f>VLOOKUP(A293,Plano_V3!$A$26:$G$593,7,0)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modesg_inp_risco_fisicocod_pais</v>
      </c>
      <c r="B294" s="142" t="s">
        <v>26</v>
      </c>
      <c r="C294" s="138" t="s">
        <v>181</v>
      </c>
      <c r="D294" s="134" t="s">
        <v>40</v>
      </c>
      <c r="E294" s="135" t="s">
        <v>217</v>
      </c>
      <c r="F294" s="134" t="s">
        <v>280</v>
      </c>
      <c r="G294" s="136" t="str">
        <f>VLOOKUP(A294,Plano_V3!$A$26:$G$593,7,0)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modesg_inp_risco_fisicocod_nutiii</v>
      </c>
      <c r="B295" s="142" t="s">
        <v>26</v>
      </c>
      <c r="C295" s="138" t="s">
        <v>181</v>
      </c>
      <c r="D295" s="134" t="s">
        <v>40</v>
      </c>
      <c r="E295" s="135" t="s">
        <v>217</v>
      </c>
      <c r="F295" s="134" t="s">
        <v>281</v>
      </c>
      <c r="G295" s="136" t="str">
        <f>VLOOKUP(A295,Plano_V3!$A$26:$G$593,7,0)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modesg_inp_risco_fisicocod_nace_esg</v>
      </c>
      <c r="B296" s="142" t="s">
        <v>26</v>
      </c>
      <c r="C296" s="138" t="s">
        <v>181</v>
      </c>
      <c r="D296" s="134" t="s">
        <v>40</v>
      </c>
      <c r="E296" s="135" t="s">
        <v>217</v>
      </c>
      <c r="F296" s="134" t="s">
        <v>282</v>
      </c>
      <c r="G296" s="136" t="str">
        <f>VLOOKUP(A296,Plano_V3!$A$26:$G$593,7,0)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modesg_inp_risco_fisicoflg_rsc_fsc_agd</v>
      </c>
      <c r="B297" s="142" t="s">
        <v>26</v>
      </c>
      <c r="C297" s="138" t="s">
        <v>181</v>
      </c>
      <c r="D297" s="134" t="s">
        <v>40</v>
      </c>
      <c r="E297" s="135" t="s">
        <v>217</v>
      </c>
      <c r="F297" s="134" t="s">
        <v>283</v>
      </c>
      <c r="G297" s="136" t="str">
        <f>VLOOKUP(A297,Plano_V3!$A$26:$G$593,7,0)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modesg_inp_risco_fisicoflg_rsc_fsc_crnc</v>
      </c>
      <c r="B298" s="142" t="s">
        <v>26</v>
      </c>
      <c r="C298" s="138" t="s">
        <v>181</v>
      </c>
      <c r="D298" s="134" t="s">
        <v>40</v>
      </c>
      <c r="E298" s="135" t="s">
        <v>217</v>
      </c>
      <c r="F298" s="134" t="s">
        <v>284</v>
      </c>
      <c r="G298" s="136" t="str">
        <f>VLOOKUP(A298,Plano_V3!$A$26:$G$593,7,0)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modesg_inp_emss_scibref_date</v>
      </c>
      <c r="B299" s="142" t="s">
        <v>26</v>
      </c>
      <c r="C299" s="138" t="s">
        <v>181</v>
      </c>
      <c r="D299" s="134" t="s">
        <v>40</v>
      </c>
      <c r="E299" s="135" t="s">
        <v>218</v>
      </c>
      <c r="F299" s="134" t="s">
        <v>208</v>
      </c>
      <c r="G299" s="136" t="str">
        <f>VLOOKUP(A299,Plano_V3!$A$26:$G$593,7,0)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modesg_inp_emss_scibccli_kgl</v>
      </c>
      <c r="B300" s="142" t="s">
        <v>26</v>
      </c>
      <c r="C300" s="138" t="s">
        <v>181</v>
      </c>
      <c r="D300" s="134" t="s">
        <v>40</v>
      </c>
      <c r="E300" s="135" t="s">
        <v>218</v>
      </c>
      <c r="F300" s="134" t="s">
        <v>241</v>
      </c>
      <c r="G300" s="136" t="str">
        <f>VLOOKUP(A300,Plano_V3!$A$26:$G$593,7,0)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modesg_inp_emss_scibnome_grupo</v>
      </c>
      <c r="B301" s="142" t="s">
        <v>26</v>
      </c>
      <c r="C301" s="138" t="s">
        <v>181</v>
      </c>
      <c r="D301" s="134" t="s">
        <v>40</v>
      </c>
      <c r="E301" s="135" t="s">
        <v>218</v>
      </c>
      <c r="F301" s="134" t="s">
        <v>285</v>
      </c>
      <c r="G301" s="136" t="str">
        <f>VLOOKUP(A301,Plano_V3!$A$26:$G$593,7,0)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modesg_inp_emss_scibisin</v>
      </c>
      <c r="B302" s="142" t="s">
        <v>26</v>
      </c>
      <c r="C302" s="138" t="s">
        <v>181</v>
      </c>
      <c r="D302" s="134" t="s">
        <v>40</v>
      </c>
      <c r="E302" s="135" t="s">
        <v>218</v>
      </c>
      <c r="F302" s="134" t="s">
        <v>239</v>
      </c>
      <c r="G302" s="136" t="str">
        <f>VLOOKUP(A302,Plano_V3!$A$26:$G$593,7,0)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modesg_inp_emss_scibclei</v>
      </c>
      <c r="B303" s="142" t="s">
        <v>26</v>
      </c>
      <c r="C303" s="138" t="s">
        <v>181</v>
      </c>
      <c r="D303" s="134" t="s">
        <v>40</v>
      </c>
      <c r="E303" s="135" t="s">
        <v>218</v>
      </c>
      <c r="F303" s="134" t="s">
        <v>240</v>
      </c>
      <c r="G303" s="136" t="str">
        <f>VLOOKUP(A303,Plano_V3!$A$26:$G$593,7,0)</f>
        <v>1. Concluído</v>
      </c>
      <c r="H303" s="136" t="s">
        <v>613</v>
      </c>
      <c r="I303" s="154"/>
      <c r="J303" s="153" t="str">
        <f>IF(VLOOKUP(A303,'Aux - pivots1'!$A:$E,3,0)=0, "",VLOOKUP(A303,'Aux - pivots1'!$A:$E,3,0))</f>
        <v/>
      </c>
      <c r="K303" s="153">
        <f>IF(VLOOKUP(A303,'Aux - pivots1'!$A:$E,4,0)=0, "",VLOOKUP(A303,'Aux - pivots1'!$A:$E,4,0))</f>
        <v>45603</v>
      </c>
      <c r="L303" s="153" t="str">
        <f>IF(VLOOKUP(A303,'Aux - pivots1'!$A:$E,5,0)=0, "",VLOOKUP(A303,'Aux - pivots1'!$A:$E,5,0))</f>
        <v/>
      </c>
      <c r="M303" s="208"/>
      <c r="N303" s="208"/>
      <c r="O303" s="342" t="s">
        <v>29</v>
      </c>
    </row>
    <row r="304" spans="1:15" ht="16.2" hidden="1" customHeight="1">
      <c r="A304" s="30" t="str">
        <f t="shared" si="5"/>
        <v>modesg_inp_emss_scibscp1_emss</v>
      </c>
      <c r="B304" s="142" t="s">
        <v>26</v>
      </c>
      <c r="C304" s="138" t="s">
        <v>181</v>
      </c>
      <c r="D304" s="134" t="s">
        <v>40</v>
      </c>
      <c r="E304" s="135" t="s">
        <v>218</v>
      </c>
      <c r="F304" s="134" t="s">
        <v>286</v>
      </c>
      <c r="G304" s="136" t="str">
        <f>VLOOKUP(A304,Plano_V3!$A$26:$G$593,7,0)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modesg_inp_emss_scibscp2_emss</v>
      </c>
      <c r="B305" s="142" t="s">
        <v>26</v>
      </c>
      <c r="C305" s="138" t="s">
        <v>181</v>
      </c>
      <c r="D305" s="134" t="s">
        <v>40</v>
      </c>
      <c r="E305" s="135" t="s">
        <v>218</v>
      </c>
      <c r="F305" s="134" t="s">
        <v>287</v>
      </c>
      <c r="G305" s="136" t="str">
        <f>VLOOKUP(A305,Plano_V3!$A$26:$G$593,7,0)</f>
        <v>1. Concluído</v>
      </c>
      <c r="H305" s="136" t="s">
        <v>613</v>
      </c>
      <c r="I305" s="143" t="s">
        <v>654</v>
      </c>
      <c r="J305" s="153">
        <f>IF(VLOOKUP(A305,'Aux - pivots1'!$A:$E,3,0)=0, "",VLOOKUP(A305,'Aux - pivots1'!$A:$E,3,0))</f>
        <v>45491</v>
      </c>
      <c r="K305" s="153">
        <f>IF(VLOOKUP(A305,'Aux - pivots1'!$A:$E,4,0)=0, "",VLOOKUP(A305,'Aux - pivots1'!$A:$E,4,0))</f>
        <v>45603</v>
      </c>
      <c r="L305" s="153">
        <f>IF(VLOOKUP(A305,'Aux - pivots1'!$A:$E,5,0)=0, "",VLOOKUP(A305,'Aux - pivots1'!$A:$E,5,0))</f>
        <v>45499</v>
      </c>
      <c r="M305" s="208"/>
      <c r="N305" s="208"/>
      <c r="O305" s="342" t="s">
        <v>29</v>
      </c>
    </row>
    <row r="306" spans="1:15" ht="16.2" hidden="1" customHeight="1">
      <c r="A306" s="30" t="str">
        <f t="shared" si="5"/>
        <v>modesg_inp_emss_scibscp3_emss</v>
      </c>
      <c r="B306" s="142" t="s">
        <v>26</v>
      </c>
      <c r="C306" s="138" t="s">
        <v>181</v>
      </c>
      <c r="D306" s="134" t="s">
        <v>40</v>
      </c>
      <c r="E306" s="135" t="s">
        <v>218</v>
      </c>
      <c r="F306" s="134" t="s">
        <v>288</v>
      </c>
      <c r="G306" s="136" t="str">
        <f>VLOOKUP(A306,Plano_V3!$A$26:$G$593,7,0)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modesg_inp_emss_scibscore_scp1</v>
      </c>
      <c r="B307" s="142" t="s">
        <v>26</v>
      </c>
      <c r="C307" s="138" t="s">
        <v>181</v>
      </c>
      <c r="D307" s="134" t="s">
        <v>40</v>
      </c>
      <c r="E307" s="135" t="s">
        <v>218</v>
      </c>
      <c r="F307" s="134" t="s">
        <v>289</v>
      </c>
      <c r="G307" s="136" t="str">
        <f>VLOOKUP(A307,Plano_V3!$A$26:$G$593,7,0)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modesg_inp_emss_scibscore_scp2</v>
      </c>
      <c r="B308" s="142" t="s">
        <v>26</v>
      </c>
      <c r="C308" s="138" t="s">
        <v>181</v>
      </c>
      <c r="D308" s="134" t="s">
        <v>40</v>
      </c>
      <c r="E308" s="135" t="s">
        <v>218</v>
      </c>
      <c r="F308" s="134" t="s">
        <v>290</v>
      </c>
      <c r="G308" s="136" t="str">
        <f>VLOOKUP(A308,Plano_V3!$A$26:$G$593,7,0)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modesg_inp_emss_scibscore_scp3</v>
      </c>
      <c r="B309" s="142" t="s">
        <v>26</v>
      </c>
      <c r="C309" s="138" t="s">
        <v>181</v>
      </c>
      <c r="D309" s="134" t="s">
        <v>40</v>
      </c>
      <c r="E309" s="135" t="s">
        <v>218</v>
      </c>
      <c r="F309" s="134" t="s">
        <v>291</v>
      </c>
      <c r="G309" s="136" t="str">
        <f>VLOOKUP(A309,Plano_V3!$A$26:$G$593,7,0)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modesg_inp_emss_sciborigem_scp1</v>
      </c>
      <c r="B310" s="142" t="s">
        <v>26</v>
      </c>
      <c r="C310" s="138" t="s">
        <v>181</v>
      </c>
      <c r="D310" s="134" t="s">
        <v>40</v>
      </c>
      <c r="E310" s="135" t="s">
        <v>218</v>
      </c>
      <c r="F310" s="134" t="s">
        <v>292</v>
      </c>
      <c r="G310" s="136" t="str">
        <f>VLOOKUP(A310,Plano_V3!$A$26:$G$593,7,0)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modesg_inp_emss_sciborigem_scp2</v>
      </c>
      <c r="B311" s="142" t="s">
        <v>26</v>
      </c>
      <c r="C311" s="138" t="s">
        <v>181</v>
      </c>
      <c r="D311" s="134" t="s">
        <v>40</v>
      </c>
      <c r="E311" s="135" t="s">
        <v>218</v>
      </c>
      <c r="F311" s="134" t="s">
        <v>293</v>
      </c>
      <c r="G311" s="136" t="str">
        <f>VLOOKUP(A311,Plano_V3!$A$26:$G$593,7,0)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modesg_inp_emss_sciborigem_scp3</v>
      </c>
      <c r="B312" s="142" t="s">
        <v>26</v>
      </c>
      <c r="C312" s="138" t="s">
        <v>181</v>
      </c>
      <c r="D312" s="134" t="s">
        <v>40</v>
      </c>
      <c r="E312" s="135" t="s">
        <v>218</v>
      </c>
      <c r="F312" s="134" t="s">
        <v>294</v>
      </c>
      <c r="G312" s="136" t="str">
        <f>VLOOKUP(A312,Plano_V3!$A$26:$G$593,7,0)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modesg_inp_emss_scibano_info</v>
      </c>
      <c r="B313" s="142" t="s">
        <v>26</v>
      </c>
      <c r="C313" s="138" t="s">
        <v>181</v>
      </c>
      <c r="D313" s="134" t="s">
        <v>40</v>
      </c>
      <c r="E313" s="135" t="s">
        <v>218</v>
      </c>
      <c r="F313" s="134" t="s">
        <v>295</v>
      </c>
      <c r="G313" s="136" t="str">
        <f>VLOOKUP(A313,Plano_V3!$A$26:$G$593,7,0)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modesg_inp_emss_scibdivida_total</v>
      </c>
      <c r="B314" s="142" t="s">
        <v>26</v>
      </c>
      <c r="C314" s="138" t="s">
        <v>181</v>
      </c>
      <c r="D314" s="134" t="s">
        <v>40</v>
      </c>
      <c r="E314" s="135" t="s">
        <v>218</v>
      </c>
      <c r="F314" s="134" t="s">
        <v>296</v>
      </c>
      <c r="G314" s="136" t="str">
        <f>VLOOKUP(A314,Plano_V3!$A$26:$G$593,7,0)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modesg_inp_emss_scibcapital_proprio</v>
      </c>
      <c r="B315" s="142" t="s">
        <v>26</v>
      </c>
      <c r="C315" s="138" t="s">
        <v>181</v>
      </c>
      <c r="D315" s="134" t="s">
        <v>40</v>
      </c>
      <c r="E315" s="135" t="s">
        <v>218</v>
      </c>
      <c r="F315" s="134" t="s">
        <v>297</v>
      </c>
      <c r="G315" s="136" t="str">
        <f>VLOOKUP(A315,Plano_V3!$A$26:$G$593,7,0)</f>
        <v>1. Concluído</v>
      </c>
      <c r="H315" s="136" t="s">
        <v>613</v>
      </c>
      <c r="I315" s="154"/>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modesg_inp_emss_naceref_date</v>
      </c>
      <c r="B316" s="142" t="s">
        <v>26</v>
      </c>
      <c r="C316" s="138" t="s">
        <v>181</v>
      </c>
      <c r="D316" s="134" t="s">
        <v>40</v>
      </c>
      <c r="E316" s="135" t="s">
        <v>219</v>
      </c>
      <c r="F316" s="134" t="s">
        <v>208</v>
      </c>
      <c r="G316" s="136" t="str">
        <f>VLOOKUP(A316,Plano_V3!$A$26:$G$593,7,0)</f>
        <v>1. Concluído</v>
      </c>
      <c r="H316" s="136" t="s">
        <v>613</v>
      </c>
      <c r="I316" s="143"/>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modesg_inp_emss_naceano</v>
      </c>
      <c r="B317" s="142" t="s">
        <v>26</v>
      </c>
      <c r="C317" s="138" t="s">
        <v>181</v>
      </c>
      <c r="D317" s="134" t="s">
        <v>40</v>
      </c>
      <c r="E317" s="135" t="s">
        <v>219</v>
      </c>
      <c r="F317" s="134" t="s">
        <v>298</v>
      </c>
      <c r="G317" s="136" t="str">
        <f>VLOOKUP(A317,Plano_V3!$A$26:$G$593,7,0)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modesg_inp_emss_nacenome_pais</v>
      </c>
      <c r="B318" s="142" t="s">
        <v>26</v>
      </c>
      <c r="C318" s="138" t="s">
        <v>181</v>
      </c>
      <c r="D318" s="134" t="s">
        <v>40</v>
      </c>
      <c r="E318" s="135" t="s">
        <v>219</v>
      </c>
      <c r="F318" s="134" t="s">
        <v>222</v>
      </c>
      <c r="G318" s="136" t="str">
        <f>VLOOKUP(A318,Plano_V3!$A$26:$G$593,7,0)</f>
        <v>1. Concluído</v>
      </c>
      <c r="H318" s="136" t="s">
        <v>613</v>
      </c>
      <c r="I318" s="144" t="s">
        <v>653</v>
      </c>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modesg_inp_emss_nacecod_nace_esg</v>
      </c>
      <c r="B319" s="142" t="s">
        <v>26</v>
      </c>
      <c r="C319" s="138" t="s">
        <v>181</v>
      </c>
      <c r="D319" s="134" t="s">
        <v>40</v>
      </c>
      <c r="E319" s="135" t="s">
        <v>219</v>
      </c>
      <c r="F319" s="134" t="s">
        <v>282</v>
      </c>
      <c r="G319" s="136" t="str">
        <f>VLOOKUP(A319,Plano_V3!$A$26:$G$593,7,0)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modesg_inp_emss_nacecod_class_indust</v>
      </c>
      <c r="B320" s="142" t="s">
        <v>26</v>
      </c>
      <c r="C320" s="138" t="s">
        <v>181</v>
      </c>
      <c r="D320" s="134" t="s">
        <v>40</v>
      </c>
      <c r="E320" s="135" t="s">
        <v>219</v>
      </c>
      <c r="F320" s="134" t="s">
        <v>299</v>
      </c>
      <c r="G320" s="136" t="str">
        <f>VLOOKUP(A320,Plano_V3!$A$26:$G$593,7,0)</f>
        <v>1. Concluído</v>
      </c>
      <c r="H320" s="136" t="s">
        <v>613</v>
      </c>
      <c r="I320" s="143"/>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modesg_inp_emss_nacenivel_classificacao_1</v>
      </c>
      <c r="B321" s="142" t="s">
        <v>26</v>
      </c>
      <c r="C321" s="138" t="s">
        <v>181</v>
      </c>
      <c r="D321" s="134" t="s">
        <v>40</v>
      </c>
      <c r="E321" s="135" t="s">
        <v>219</v>
      </c>
      <c r="F321" s="134" t="s">
        <v>300</v>
      </c>
      <c r="G321" s="136" t="str">
        <f>VLOOKUP(A321,Plano_V3!$A$26:$G$593,7,0)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modesg_inp_emss_naceclasse_ativo</v>
      </c>
      <c r="B322" s="142" t="s">
        <v>26</v>
      </c>
      <c r="C322" s="138" t="s">
        <v>181</v>
      </c>
      <c r="D322" s="134" t="s">
        <v>40</v>
      </c>
      <c r="E322" s="135" t="s">
        <v>219</v>
      </c>
      <c r="F322" s="134" t="s">
        <v>301</v>
      </c>
      <c r="G322" s="136" t="str">
        <f>VLOOKUP(A322,Plano_V3!$A$26:$G$593,7,0)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modesg_inp_emss_naceopcao_metodologia</v>
      </c>
      <c r="B323" s="142" t="s">
        <v>26</v>
      </c>
      <c r="C323" s="138" t="s">
        <v>181</v>
      </c>
      <c r="D323" s="134" t="s">
        <v>40</v>
      </c>
      <c r="E323" s="135" t="s">
        <v>219</v>
      </c>
      <c r="F323" s="134" t="s">
        <v>302</v>
      </c>
      <c r="G323" s="136" t="str">
        <f>VLOOKUP(A323,Plano_V3!$A$26:$G$593,7,0)</f>
        <v>1. Concluído</v>
      </c>
      <c r="H323" s="136" t="s">
        <v>613</v>
      </c>
      <c r="I323" s="144" t="s">
        <v>653</v>
      </c>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modesg_inp_emss_naceunidade_funcional</v>
      </c>
      <c r="B324" s="142" t="s">
        <v>26</v>
      </c>
      <c r="C324" s="138" t="s">
        <v>181</v>
      </c>
      <c r="D324" s="134" t="s">
        <v>40</v>
      </c>
      <c r="E324" s="135" t="s">
        <v>219</v>
      </c>
      <c r="F324" s="134" t="s">
        <v>230</v>
      </c>
      <c r="G324" s="136" t="str">
        <f>VLOOKUP(A324,Plano_V3!$A$26:$G$593,7,0)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modesg_inp_emss_naceunidades_fator_de_emissao</v>
      </c>
      <c r="B325" s="142" t="s">
        <v>26</v>
      </c>
      <c r="C325" s="138" t="s">
        <v>181</v>
      </c>
      <c r="D325" s="134" t="s">
        <v>40</v>
      </c>
      <c r="E325" s="135" t="s">
        <v>219</v>
      </c>
      <c r="F325" s="134" t="s">
        <v>303</v>
      </c>
      <c r="G325" s="136" t="str">
        <f>VLOOKUP(A325,Plano_V3!$A$26:$G$593,7,0)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modesg_inp_emss_nacescore_qualidade</v>
      </c>
      <c r="B326" s="142" t="s">
        <v>26</v>
      </c>
      <c r="C326" s="138" t="s">
        <v>181</v>
      </c>
      <c r="D326" s="134" t="s">
        <v>40</v>
      </c>
      <c r="E326" s="135" t="s">
        <v>219</v>
      </c>
      <c r="F326" s="134" t="s">
        <v>233</v>
      </c>
      <c r="G326" s="136" t="str">
        <f>VLOOKUP(A326,Plano_V3!$A$26:$G$593,7,0)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modesg_inp_emss_nacescp1_ftr_emss</v>
      </c>
      <c r="B327" s="142" t="s">
        <v>26</v>
      </c>
      <c r="C327" s="138" t="s">
        <v>181</v>
      </c>
      <c r="D327" s="134" t="s">
        <v>40</v>
      </c>
      <c r="E327" s="135" t="s">
        <v>219</v>
      </c>
      <c r="F327" s="134" t="s">
        <v>234</v>
      </c>
      <c r="G327" s="136" t="str">
        <f>VLOOKUP(A327,Plano_V3!$A$26:$G$593,7,0)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modesg_inp_emss_nacescp2_ftr_emss</v>
      </c>
      <c r="B328" s="142" t="s">
        <v>26</v>
      </c>
      <c r="C328" s="138" t="s">
        <v>181</v>
      </c>
      <c r="D328" s="134" t="s">
        <v>40</v>
      </c>
      <c r="E328" s="135" t="s">
        <v>219</v>
      </c>
      <c r="F328" s="134" t="s">
        <v>235</v>
      </c>
      <c r="G328" s="136" t="str">
        <f>VLOOKUP(A328,Plano_V3!$A$26:$G$593,7,0)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modesg_inp_emss_nacescp3_ftr_emss</v>
      </c>
      <c r="B329" s="142" t="s">
        <v>26</v>
      </c>
      <c r="C329" s="138" t="s">
        <v>181</v>
      </c>
      <c r="D329" s="134" t="s">
        <v>40</v>
      </c>
      <c r="E329" s="135" t="s">
        <v>219</v>
      </c>
      <c r="F329" s="134" t="s">
        <v>236</v>
      </c>
      <c r="G329" s="136" t="str">
        <f>VLOOKUP(A329,Plano_V3!$A$26:$G$593,7,0)</f>
        <v>1. Concluído</v>
      </c>
      <c r="H329" s="136" t="s">
        <v>613</v>
      </c>
      <c r="I329" s="143"/>
      <c r="J329" s="153" t="str">
        <f>IF(VLOOKUP(A329,'Aux - pivots1'!$A:$E,3,0)=0, "",VLOOKUP(A329,'Aux - pivots1'!$A:$E,3,0))</f>
        <v/>
      </c>
      <c r="K329" s="153">
        <f>IF(VLOOKUP(A329,'Aux - pivots1'!$A:$E,4,0)=0, "",VLOOKUP(A329,'Aux - pivots1'!$A:$E,4,0))</f>
        <v>45603</v>
      </c>
      <c r="L329" s="153" t="str">
        <f>IF(VLOOKUP(A329,'Aux - pivots1'!$A:$E,5,0)=0, "",VLOOKUP(A329,'Aux - pivots1'!$A:$E,5,0))</f>
        <v/>
      </c>
      <c r="M329" s="208"/>
      <c r="N329" s="208"/>
      <c r="O329" s="342" t="s">
        <v>29</v>
      </c>
    </row>
    <row r="330" spans="1:15" ht="16.2" hidden="1" customHeight="1">
      <c r="A330" s="30" t="str">
        <f t="shared" si="5"/>
        <v>modesg_inp_emss_bens_imoveisref_date</v>
      </c>
      <c r="B330" s="142" t="s">
        <v>26</v>
      </c>
      <c r="C330" s="138" t="s">
        <v>181</v>
      </c>
      <c r="D330" s="134" t="s">
        <v>40</v>
      </c>
      <c r="E330" s="135" t="s">
        <v>220</v>
      </c>
      <c r="F330" s="134" t="s">
        <v>208</v>
      </c>
      <c r="G330" s="136" t="str">
        <f>VLOOKUP(A330,Plano_V3!$A$26:$G$593,7,0)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modesg_inp_emss_bens_imoveisnome_pais</v>
      </c>
      <c r="B331" s="142" t="s">
        <v>26</v>
      </c>
      <c r="C331" s="138" t="s">
        <v>181</v>
      </c>
      <c r="D331" s="134" t="s">
        <v>40</v>
      </c>
      <c r="E331" s="135" t="s">
        <v>220</v>
      </c>
      <c r="F331" s="134" t="s">
        <v>222</v>
      </c>
      <c r="G331" s="136" t="str">
        <f>VLOOKUP(A331,Plano_V3!$A$26:$G$593,7,0)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modesg_inp_emss_bens_imoveisnome_estado</v>
      </c>
      <c r="B332" s="142" t="s">
        <v>26</v>
      </c>
      <c r="C332" s="138" t="s">
        <v>181</v>
      </c>
      <c r="D332" s="134" t="s">
        <v>40</v>
      </c>
      <c r="E332" s="135" t="s">
        <v>220</v>
      </c>
      <c r="F332" s="134" t="s">
        <v>223</v>
      </c>
      <c r="G332" s="136" t="str">
        <f>VLOOKUP(A332,Plano_V3!$A$26:$G$593,7,0)</f>
        <v>1. Concluído</v>
      </c>
      <c r="H332" s="136" t="s">
        <v>613</v>
      </c>
      <c r="I332" s="143"/>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modesg_inp_emss_bens_imoveisclasse_ativo</v>
      </c>
      <c r="B333" s="142" t="s">
        <v>26</v>
      </c>
      <c r="C333" s="138" t="s">
        <v>181</v>
      </c>
      <c r="D333" s="134" t="s">
        <v>40</v>
      </c>
      <c r="E333" s="135" t="s">
        <v>220</v>
      </c>
      <c r="F333" s="134" t="s">
        <v>301</v>
      </c>
      <c r="G333" s="136" t="str">
        <f>VLOOKUP(A333,Plano_V3!$A$26:$G$593,7,0)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modesg_inp_emss_bens_imoveistipo_fator_emissao</v>
      </c>
      <c r="B334" s="142" t="s">
        <v>26</v>
      </c>
      <c r="C334" s="138" t="s">
        <v>181</v>
      </c>
      <c r="D334" s="134" t="s">
        <v>40</v>
      </c>
      <c r="E334" s="135" t="s">
        <v>220</v>
      </c>
      <c r="F334" s="134" t="s">
        <v>304</v>
      </c>
      <c r="G334" s="136" t="str">
        <f>VLOOKUP(A334,Plano_V3!$A$26:$G$593,7,0)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modesg_inp_emss_bens_imoveisregiao</v>
      </c>
      <c r="B335" s="142" t="s">
        <v>26</v>
      </c>
      <c r="C335" s="138" t="s">
        <v>181</v>
      </c>
      <c r="D335" s="134" t="s">
        <v>40</v>
      </c>
      <c r="E335" s="135" t="s">
        <v>220</v>
      </c>
      <c r="F335" s="134" t="s">
        <v>305</v>
      </c>
      <c r="G335" s="136" t="str">
        <f>VLOOKUP(A335,Plano_V3!$A$26:$G$593,7,0)</f>
        <v>1. Concluído</v>
      </c>
      <c r="H335" s="136" t="s">
        <v>613</v>
      </c>
      <c r="I335" s="144" t="s">
        <v>653</v>
      </c>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modesg_inp_emss_bens_imoveistipo_bem</v>
      </c>
      <c r="B336" s="142" t="s">
        <v>26</v>
      </c>
      <c r="C336" s="138" t="s">
        <v>181</v>
      </c>
      <c r="D336" s="134" t="s">
        <v>40</v>
      </c>
      <c r="E336" s="135" t="s">
        <v>220</v>
      </c>
      <c r="F336" s="134" t="s">
        <v>306</v>
      </c>
      <c r="G336" s="136" t="str">
        <f>VLOOKUP(A336,Plano_V3!$A$26:$G$593,7,0)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modesg_inp_emss_bens_imoveistipo_finalidade_bem</v>
      </c>
      <c r="B337" s="142" t="s">
        <v>26</v>
      </c>
      <c r="C337" s="138" t="s">
        <v>181</v>
      </c>
      <c r="D337" s="134" t="s">
        <v>40</v>
      </c>
      <c r="E337" s="135" t="s">
        <v>220</v>
      </c>
      <c r="F337" s="134" t="s">
        <v>307</v>
      </c>
      <c r="G337" s="136" t="str">
        <f>VLOOKUP(A337,Plano_V3!$A$26:$G$593,7,0)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modesg_inp_emss_bens_imoveisepc</v>
      </c>
      <c r="B338" s="142" t="s">
        <v>26</v>
      </c>
      <c r="C338" s="138" t="s">
        <v>181</v>
      </c>
      <c r="D338" s="134" t="s">
        <v>40</v>
      </c>
      <c r="E338" s="135" t="s">
        <v>220</v>
      </c>
      <c r="F338" s="134" t="s">
        <v>198</v>
      </c>
      <c r="G338" s="136" t="str">
        <f>VLOOKUP(A338,Plano_V3!$A$26:$G$593,7,0)</f>
        <v>1. Concluído</v>
      </c>
      <c r="H338" s="136" t="s">
        <v>613</v>
      </c>
      <c r="I338" s="143"/>
      <c r="J338" s="153" t="str">
        <f>IF(VLOOKUP(A338,'Aux - pivots1'!$A:$E,3,0)=0, "",VLOOKUP(A338,'Aux - pivots1'!$A:$E,3,0))</f>
        <v/>
      </c>
      <c r="K338" s="153">
        <f>IF(VLOOKUP(A338,'Aux - pivots1'!$A:$E,4,0)=0, "",VLOOKUP(A338,'Aux - pivots1'!$A:$E,4,0))</f>
        <v>45603</v>
      </c>
      <c r="L338" s="153">
        <f>IF(VLOOKUP(A338,'Aux - pivots1'!$A:$E,5,0)=0, "",VLOOKUP(A338,'Aux - pivots1'!$A:$E,5,0))</f>
        <v>45534</v>
      </c>
      <c r="M338" s="208"/>
      <c r="N338" s="208"/>
      <c r="O338" s="342" t="s">
        <v>29</v>
      </c>
    </row>
    <row r="339" spans="1:15" ht="16.2" hidden="1" customHeight="1">
      <c r="A339" s="30" t="str">
        <f t="shared" si="5"/>
        <v>modesg_inp_emss_bens_imoveisflg_ftr_emss_area</v>
      </c>
      <c r="B339" s="142" t="s">
        <v>26</v>
      </c>
      <c r="C339" s="138" t="s">
        <v>181</v>
      </c>
      <c r="D339" s="134" t="s">
        <v>40</v>
      </c>
      <c r="E339" s="135" t="s">
        <v>220</v>
      </c>
      <c r="F339" s="134" t="s">
        <v>308</v>
      </c>
      <c r="G339" s="136" t="str">
        <f>VLOOKUP(A339,Plano_V3!$A$26:$G$593,7,0)</f>
        <v>0. Cancelado</v>
      </c>
      <c r="H339" s="136" t="s">
        <v>612</v>
      </c>
      <c r="I339" s="145" t="s">
        <v>655</v>
      </c>
      <c r="J339" s="153" t="str">
        <f>IF(VLOOKUP(A339,'Aux - pivots1'!$A:$E,3,0)=0, "",VLOOKUP(A339,'Aux - pivots1'!$A:$E,3,0))</f>
        <v/>
      </c>
      <c r="K339" s="153">
        <f>IF(VLOOKUP(A339,'Aux - pivots1'!$A:$E,4,0)=0, "",VLOOKUP(A339,'Aux - pivots1'!$A:$E,4,0))</f>
        <v>45534</v>
      </c>
      <c r="L339" s="153">
        <f>IF(VLOOKUP(A339,'Aux - pivots1'!$A:$E,5,0)=0, "",VLOOKUP(A339,'Aux - pivots1'!$A:$E,5,0))</f>
        <v>45534</v>
      </c>
      <c r="M339" s="208"/>
      <c r="N339" s="208"/>
      <c r="O339" s="342" t="s">
        <v>29</v>
      </c>
    </row>
    <row r="340" spans="1:15" ht="16.2" hidden="1" customHeight="1">
      <c r="A340" s="30" t="str">
        <f t="shared" ref="A340:A403" si="6">E340&amp;F340</f>
        <v>modesg_inp_emss_bens_imoveisnome_unidade_funcional</v>
      </c>
      <c r="B340" s="142" t="s">
        <v>26</v>
      </c>
      <c r="C340" s="138" t="s">
        <v>181</v>
      </c>
      <c r="D340" s="134" t="s">
        <v>40</v>
      </c>
      <c r="E340" s="135" t="s">
        <v>220</v>
      </c>
      <c r="F340" s="134" t="s">
        <v>229</v>
      </c>
      <c r="G340" s="136" t="str">
        <f>VLOOKUP(A340,Plano_V3!$A$26:$G$593,7,0)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modesg_inp_emss_bens_imoveisunidade_funcional</v>
      </c>
      <c r="B341" s="142" t="s">
        <v>26</v>
      </c>
      <c r="C341" s="138" t="s">
        <v>181</v>
      </c>
      <c r="D341" s="134" t="s">
        <v>40</v>
      </c>
      <c r="E341" s="135" t="s">
        <v>220</v>
      </c>
      <c r="F341" s="134" t="s">
        <v>230</v>
      </c>
      <c r="G341" s="136" t="str">
        <f>VLOOKUP(A341,Plano_V3!$A$26:$G$593,7,0)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modesg_inp_emss_bens_imoveisnome_fator_emissao</v>
      </c>
      <c r="B342" s="142" t="s">
        <v>26</v>
      </c>
      <c r="C342" s="138" t="s">
        <v>181</v>
      </c>
      <c r="D342" s="134" t="s">
        <v>40</v>
      </c>
      <c r="E342" s="135" t="s">
        <v>220</v>
      </c>
      <c r="F342" s="134" t="s">
        <v>231</v>
      </c>
      <c r="G342" s="136" t="str">
        <f>VLOOKUP(A342,Plano_V3!$A$26:$G$593,7,0)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modesg_inp_emss_bens_imoveisunidade_fator_de_emissao</v>
      </c>
      <c r="B343" s="142" t="s">
        <v>26</v>
      </c>
      <c r="C343" s="138" t="s">
        <v>181</v>
      </c>
      <c r="D343" s="134" t="s">
        <v>40</v>
      </c>
      <c r="E343" s="135" t="s">
        <v>220</v>
      </c>
      <c r="F343" s="134" t="s">
        <v>232</v>
      </c>
      <c r="G343" s="136" t="str">
        <f>VLOOKUP(A343,Plano_V3!$A$26:$G$593,7,0)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modesg_inp_emss_bens_imoveisscore_qualidade</v>
      </c>
      <c r="B344" s="142" t="s">
        <v>26</v>
      </c>
      <c r="C344" s="138" t="s">
        <v>181</v>
      </c>
      <c r="D344" s="134" t="s">
        <v>40</v>
      </c>
      <c r="E344" s="135" t="s">
        <v>220</v>
      </c>
      <c r="F344" s="134" t="s">
        <v>233</v>
      </c>
      <c r="G344" s="136" t="str">
        <f>VLOOKUP(A344,Plano_V3!$A$26:$G$593,7,0)</f>
        <v>1. Concluído</v>
      </c>
      <c r="H344" s="136" t="s">
        <v>613</v>
      </c>
      <c r="I344" s="143"/>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modesg_inp_emss_bens_imoveisano_fator_emissao</v>
      </c>
      <c r="B345" s="142" t="s">
        <v>26</v>
      </c>
      <c r="C345" s="138" t="s">
        <v>181</v>
      </c>
      <c r="D345" s="134" t="s">
        <v>40</v>
      </c>
      <c r="E345" s="135" t="s">
        <v>220</v>
      </c>
      <c r="F345" s="134" t="s">
        <v>309</v>
      </c>
      <c r="G345" s="136" t="str">
        <f>VLOOKUP(A345,Plano_V3!$A$26:$G$593,7,0)</f>
        <v>1. Concluído</v>
      </c>
      <c r="H345" s="136" t="s">
        <v>613</v>
      </c>
      <c r="I345" s="144" t="s">
        <v>653</v>
      </c>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modesg_inp_emss_bens_imoveisscp1_ftr_emss</v>
      </c>
      <c r="B346" s="142" t="s">
        <v>26</v>
      </c>
      <c r="C346" s="138" t="s">
        <v>181</v>
      </c>
      <c r="D346" s="134" t="s">
        <v>40</v>
      </c>
      <c r="E346" s="135" t="s">
        <v>220</v>
      </c>
      <c r="F346" s="134" t="s">
        <v>234</v>
      </c>
      <c r="G346" s="136" t="str">
        <f>VLOOKUP(A346,Plano_V3!$A$26:$G$593,7,0)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modesg_inp_emss_bens_imoveisscp2_ftr_emss</v>
      </c>
      <c r="B347" s="142" t="s">
        <v>26</v>
      </c>
      <c r="C347" s="138" t="s">
        <v>181</v>
      </c>
      <c r="D347" s="134" t="s">
        <v>40</v>
      </c>
      <c r="E347" s="135" t="s">
        <v>220</v>
      </c>
      <c r="F347" s="134" t="s">
        <v>235</v>
      </c>
      <c r="G347" s="136" t="str">
        <f>VLOOKUP(A347,Plano_V3!$A$26:$G$593,7,0)</f>
        <v>1. Concluído</v>
      </c>
      <c r="H347" s="136" t="s">
        <v>613</v>
      </c>
      <c r="I347" s="143"/>
      <c r="J347" s="153" t="str">
        <f>IF(VLOOKUP(A347,'Aux - pivots1'!$A:$E,3,0)=0, "",VLOOKUP(A347,'Aux - pivots1'!$A:$E,3,0))</f>
        <v/>
      </c>
      <c r="K347" s="153">
        <f>IF(VLOOKUP(A347,'Aux - pivots1'!$A:$E,4,0)=0, "",VLOOKUP(A347,'Aux - pivots1'!$A:$E,4,0))</f>
        <v>45603</v>
      </c>
      <c r="L347" s="153">
        <f>IF(VLOOKUP(A347,'Aux - pivots1'!$A:$E,5,0)=0, "",VLOOKUP(A347,'Aux - pivots1'!$A:$E,5,0))</f>
        <v>45534</v>
      </c>
      <c r="M347" s="208"/>
      <c r="N347" s="208"/>
      <c r="O347" s="342" t="s">
        <v>29</v>
      </c>
    </row>
    <row r="348" spans="1:15" ht="16.2" hidden="1" customHeight="1">
      <c r="A348" s="30" t="str">
        <f t="shared" si="6"/>
        <v>modesg_out_bens_imoveisn.a.</v>
      </c>
      <c r="B348" s="142" t="s">
        <v>26</v>
      </c>
      <c r="C348" s="138" t="s">
        <v>311</v>
      </c>
      <c r="D348" s="134" t="s">
        <v>36</v>
      </c>
      <c r="E348" s="135" t="s">
        <v>312</v>
      </c>
      <c r="F348" s="134" t="s">
        <v>38</v>
      </c>
      <c r="G348" s="136" t="str">
        <f>VLOOKUP(A348,Plano_V3!$A$26:$G$593,7,0)</f>
        <v>1. Concluído</v>
      </c>
      <c r="H348" s="136" t="s">
        <v>613</v>
      </c>
      <c r="I348" s="143"/>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modesg_out_bens_imoveiscempbem</v>
      </c>
      <c r="B349" s="142" t="s">
        <v>26</v>
      </c>
      <c r="C349" s="138" t="s">
        <v>311</v>
      </c>
      <c r="D349" s="134" t="s">
        <v>40</v>
      </c>
      <c r="E349" s="135" t="s">
        <v>312</v>
      </c>
      <c r="F349" s="134" t="s">
        <v>314</v>
      </c>
      <c r="G349" s="136" t="str">
        <f>VLOOKUP(A349,Plano_V3!$A$26:$G$593,7,0)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modesg_out_bens_imoveisckbalbem</v>
      </c>
      <c r="B350" s="142" t="s">
        <v>26</v>
      </c>
      <c r="C350" s="138" t="s">
        <v>311</v>
      </c>
      <c r="D350" s="134" t="s">
        <v>40</v>
      </c>
      <c r="E350" s="135" t="s">
        <v>312</v>
      </c>
      <c r="F350" s="134" t="s">
        <v>315</v>
      </c>
      <c r="G350" s="136" t="str">
        <f>VLOOKUP(A350,Plano_V3!$A$26:$G$593,7,0)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modesg_out_bens_imoveisckctabem</v>
      </c>
      <c r="B351" s="142" t="s">
        <v>26</v>
      </c>
      <c r="C351" s="138" t="s">
        <v>311</v>
      </c>
      <c r="D351" s="134" t="s">
        <v>40</v>
      </c>
      <c r="E351" s="135" t="s">
        <v>312</v>
      </c>
      <c r="F351" s="134" t="s">
        <v>316</v>
      </c>
      <c r="G351" s="136" t="str">
        <f>VLOOKUP(A351,Plano_V3!$A$26:$G$593,7,0)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modesg_out_bens_imoveisckrefbem</v>
      </c>
      <c r="B352" s="142" t="s">
        <v>26</v>
      </c>
      <c r="C352" s="138" t="s">
        <v>311</v>
      </c>
      <c r="D352" s="134" t="s">
        <v>40</v>
      </c>
      <c r="E352" s="135" t="s">
        <v>312</v>
      </c>
      <c r="F352" s="134" t="s">
        <v>317</v>
      </c>
      <c r="G352" s="136" t="str">
        <f>VLOOKUP(A352,Plano_V3!$A$26:$G$593,7,0)</f>
        <v>1. Concluído</v>
      </c>
      <c r="H352" s="136" t="s">
        <v>613</v>
      </c>
      <c r="I352" s="154"/>
      <c r="J352" s="153" t="str">
        <f>IF(VLOOKUP(A352,'Aux - pivots1'!$A:$E,3,0)=0, "",VLOOKUP(A352,'Aux - pivots1'!$A:$E,3,0))</f>
        <v/>
      </c>
      <c r="K352" s="153" t="str">
        <f>IF(VLOOKUP(A352,'Aux - pivots1'!$A:$E,4,0)=0, "",VLOOKUP(A352,'Aux - pivots1'!$A:$E,4,0))</f>
        <v/>
      </c>
      <c r="L352" s="153" t="str">
        <f>IF(VLOOKUP(A352,'Aux - pivots1'!$A:$E,5,0)=0, "",VLOOKUP(A352,'Aux - pivots1'!$A:$E,5,0))</f>
        <v/>
      </c>
      <c r="M352" s="208"/>
      <c r="N352" s="208"/>
      <c r="O352" s="342" t="s">
        <v>29</v>
      </c>
    </row>
    <row r="353" spans="1:15" ht="16.2" hidden="1" customHeight="1">
      <c r="A353" s="30" t="str">
        <f t="shared" si="6"/>
        <v>modesg_out_bens_imoveisflg_rsc_fsc_agd</v>
      </c>
      <c r="B353" s="142" t="s">
        <v>26</v>
      </c>
      <c r="C353" s="138" t="s">
        <v>311</v>
      </c>
      <c r="D353" s="134" t="s">
        <v>40</v>
      </c>
      <c r="E353" s="135" t="s">
        <v>312</v>
      </c>
      <c r="F353" s="134" t="s">
        <v>283</v>
      </c>
      <c r="G353" s="136" t="str">
        <f>VLOOKUP(A353,Plano_V3!$A$26:$G$593,7,0)</f>
        <v>1. Concluído</v>
      </c>
      <c r="H353" s="136" t="s">
        <v>1922</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modesg_out_bens_imoveisflg_rsc_fsc_crnc</v>
      </c>
      <c r="B354" s="142" t="s">
        <v>26</v>
      </c>
      <c r="C354" s="138" t="s">
        <v>311</v>
      </c>
      <c r="D354" s="134" t="s">
        <v>40</v>
      </c>
      <c r="E354" s="135" t="s">
        <v>312</v>
      </c>
      <c r="F354" s="134" t="s">
        <v>284</v>
      </c>
      <c r="G354" s="136" t="str">
        <f>VLOOKUP(A354,Plano_V3!$A$26:$G$593,7,0)</f>
        <v>1. Concluído</v>
      </c>
      <c r="H354" s="136" t="s">
        <v>1922</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modesg_out_bens_imoveisorigem_flg_rsc_fsc_agd</v>
      </c>
      <c r="B355" s="142" t="s">
        <v>26</v>
      </c>
      <c r="C355" s="138" t="s">
        <v>311</v>
      </c>
      <c r="D355" s="134" t="s">
        <v>40</v>
      </c>
      <c r="E355" s="135" t="s">
        <v>312</v>
      </c>
      <c r="F355" s="134" t="s">
        <v>318</v>
      </c>
      <c r="G355" s="136" t="str">
        <f>VLOOKUP(A355,Plano_V3!$A$26:$G$593,7,0)</f>
        <v>1. Concluído</v>
      </c>
      <c r="H355" s="136" t="s">
        <v>1922</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modesg_out_bens_imoveisorigem_flg_rsc_fsc_crnc</v>
      </c>
      <c r="B356" s="142" t="s">
        <v>26</v>
      </c>
      <c r="C356" s="138" t="s">
        <v>311</v>
      </c>
      <c r="D356" s="134" t="s">
        <v>40</v>
      </c>
      <c r="E356" s="135" t="s">
        <v>312</v>
      </c>
      <c r="F356" s="134" t="s">
        <v>319</v>
      </c>
      <c r="G356" s="136" t="str">
        <f>VLOOKUP(A356,Plano_V3!$A$26:$G$593,7,0)</f>
        <v>1. Concluído</v>
      </c>
      <c r="H356" s="136" t="s">
        <v>1922</v>
      </c>
      <c r="I356" s="143" t="s">
        <v>656</v>
      </c>
      <c r="J356" s="153">
        <f>IF(VLOOKUP(A356,'Aux - pivots1'!$A:$E,3,0)=0, "",VLOOKUP(A356,'Aux - pivots1'!$A:$E,3,0))</f>
        <v>45569</v>
      </c>
      <c r="K356" s="153">
        <f>IF(VLOOKUP(A356,'Aux - pivots1'!$A:$E,4,0)=0, "",VLOOKUP(A356,'Aux - pivots1'!$A:$E,4,0))</f>
        <v>45621</v>
      </c>
      <c r="L356" s="153">
        <f>IF(VLOOKUP(A356,'Aux - pivots1'!$A:$E,5,0)=0, "",VLOOKUP(A356,'Aux - pivots1'!$A:$E,5,0))</f>
        <v>45631</v>
      </c>
      <c r="M356" s="208"/>
      <c r="N356" s="208"/>
      <c r="O356" s="342" t="s">
        <v>29</v>
      </c>
    </row>
    <row r="357" spans="1:15" ht="16.2" hidden="1" customHeight="1">
      <c r="A357" s="30" t="str">
        <f t="shared" si="6"/>
        <v>modesg_out_bens_imoveisorigem_scp1_emss</v>
      </c>
      <c r="B357" s="142" t="s">
        <v>26</v>
      </c>
      <c r="C357" s="138" t="s">
        <v>311</v>
      </c>
      <c r="D357" s="134" t="s">
        <v>40</v>
      </c>
      <c r="E357" s="135" t="s">
        <v>312</v>
      </c>
      <c r="F357" s="134" t="s">
        <v>320</v>
      </c>
      <c r="G357" s="136" t="str">
        <f>VLOOKUP(A357,Plano_V3!$A$26:$G$593,7,0)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modesg_out_bens_imoveisorigem_scp2_emss</v>
      </c>
      <c r="B358" s="142" t="s">
        <v>26</v>
      </c>
      <c r="C358" s="138" t="s">
        <v>311</v>
      </c>
      <c r="D358" s="134" t="s">
        <v>40</v>
      </c>
      <c r="E358" s="135" t="s">
        <v>312</v>
      </c>
      <c r="F358" s="134" t="s">
        <v>321</v>
      </c>
      <c r="G358" s="136" t="str">
        <f>VLOOKUP(A358,Plano_V3!$A$26:$G$593,7,0)</f>
        <v>1. Concluído</v>
      </c>
      <c r="H358" s="136" t="s">
        <v>613</v>
      </c>
      <c r="I358" s="143"/>
      <c r="J358" s="153">
        <f>IF(VLOOKUP(A358,'Aux - pivots1'!$A:$E,3,0)=0, "",VLOOKUP(A358,'Aux - pivots1'!$A:$E,3,0))</f>
        <v>45604</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modesg_out_bens_imoveisorigem_scp3_emss</v>
      </c>
      <c r="B359" s="142" t="s">
        <v>26</v>
      </c>
      <c r="C359" s="138" t="s">
        <v>311</v>
      </c>
      <c r="D359" s="134" t="s">
        <v>40</v>
      </c>
      <c r="E359" s="135" t="s">
        <v>312</v>
      </c>
      <c r="F359" s="134" t="s">
        <v>322</v>
      </c>
      <c r="G359" s="136" t="str">
        <f>VLOOKUP(A359,Plano_V3!$A$26:$G$593,7,0)</f>
        <v>1. Concluído</v>
      </c>
      <c r="H359" s="136" t="s">
        <v>613</v>
      </c>
      <c r="I359" s="143"/>
      <c r="J359" s="153">
        <f>IF(VLOOKUP(A359,'Aux - pivots1'!$A:$E,3,0)=0, "",VLOOKUP(A359,'Aux - pivots1'!$A:$E,3,0))</f>
        <v>45569</v>
      </c>
      <c r="K359" s="153">
        <f>IF(VLOOKUP(A359,'Aux - pivots1'!$A:$E,4,0)=0, "",VLOOKUP(A359,'Aux - pivots1'!$A:$E,4,0))</f>
        <v>45600</v>
      </c>
      <c r="L359" s="153">
        <f>IF(VLOOKUP(A359,'Aux - pivots1'!$A:$E,5,0)=0, "",VLOOKUP(A359,'Aux - pivots1'!$A:$E,5,0))</f>
        <v>45601</v>
      </c>
      <c r="M359" s="208"/>
      <c r="N359" s="208"/>
      <c r="O359" s="342" t="s">
        <v>29</v>
      </c>
    </row>
    <row r="360" spans="1:15" ht="16.2" hidden="1" customHeight="1">
      <c r="A360" s="30" t="str">
        <f t="shared" si="6"/>
        <v>modesg_out_bens_imoveisref_date</v>
      </c>
      <c r="B360" s="142" t="s">
        <v>26</v>
      </c>
      <c r="C360" s="138" t="s">
        <v>311</v>
      </c>
      <c r="D360" s="134" t="s">
        <v>40</v>
      </c>
      <c r="E360" s="135" t="s">
        <v>312</v>
      </c>
      <c r="F360" s="134" t="s">
        <v>208</v>
      </c>
      <c r="G360" s="136" t="str">
        <f>VLOOKUP(A360,Plano_V3!$A$26:$G$593,7,0)</f>
        <v>1. Concluído</v>
      </c>
      <c r="H360" s="136" t="s">
        <v>613</v>
      </c>
      <c r="I360" s="154"/>
      <c r="J360" s="153" t="str">
        <f>IF(VLOOKUP(A360,'Aux - pivots1'!$A:$E,3,0)=0, "",VLOOKUP(A360,'Aux - pivots1'!$A:$E,3,0))</f>
        <v/>
      </c>
      <c r="K360" s="153" t="str">
        <f>IF(VLOOKUP(A360,'Aux - pivots1'!$A:$E,4,0)=0, "",VLOOKUP(A360,'Aux - pivots1'!$A:$E,4,0))</f>
        <v/>
      </c>
      <c r="L360" s="153" t="str">
        <f>IF(VLOOKUP(A360,'Aux - pivots1'!$A:$E,5,0)=0, "",VLOOKUP(A360,'Aux - pivots1'!$A:$E,5,0))</f>
        <v/>
      </c>
      <c r="M360" s="208"/>
      <c r="N360" s="208"/>
      <c r="O360" s="342" t="s">
        <v>29</v>
      </c>
    </row>
    <row r="361" spans="1:15" ht="16.2" hidden="1" customHeight="1">
      <c r="A361" s="30" t="str">
        <f t="shared" si="6"/>
        <v>modesg_out_bens_imoveisscp1_emss</v>
      </c>
      <c r="B361" s="142" t="s">
        <v>26</v>
      </c>
      <c r="C361" s="138" t="s">
        <v>311</v>
      </c>
      <c r="D361" s="134" t="s">
        <v>40</v>
      </c>
      <c r="E361" s="135" t="s">
        <v>312</v>
      </c>
      <c r="F361" s="134" t="s">
        <v>286</v>
      </c>
      <c r="G361" s="136" t="str">
        <f>VLOOKUP(A361,Plano_V3!$A$26:$G$593,7,0)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modesg_out_bens_imoveisscp2_emss</v>
      </c>
      <c r="B362" s="142" t="s">
        <v>26</v>
      </c>
      <c r="C362" s="138" t="s">
        <v>311</v>
      </c>
      <c r="D362" s="134" t="s">
        <v>40</v>
      </c>
      <c r="E362" s="135" t="s">
        <v>312</v>
      </c>
      <c r="F362" s="134" t="s">
        <v>287</v>
      </c>
      <c r="G362" s="136" t="str">
        <f>VLOOKUP(A362,Plano_V3!$A$26:$G$593,7,0)</f>
        <v>1. Concluído</v>
      </c>
      <c r="H362" s="136" t="s">
        <v>613</v>
      </c>
      <c r="I362" s="143"/>
      <c r="J362" s="153">
        <f>IF(VLOOKUP(A362,'Aux - pivots1'!$A:$E,3,0)=0, "",VLOOKUP(A362,'Aux - pivots1'!$A:$E,3,0))</f>
        <v>45604</v>
      </c>
      <c r="K362" s="153">
        <f>IF(VLOOKUP(A362,'Aux - pivots1'!$A:$E,4,0)=0, "",VLOOKUP(A362,'Aux - pivots1'!$A:$E,4,0))</f>
        <v>45600</v>
      </c>
      <c r="L362" s="153">
        <f>IF(VLOOKUP(A362,'Aux - pivots1'!$A:$E,5,0)=0, "",VLOOKUP(A362,'Aux - pivots1'!$A:$E,5,0))</f>
        <v>45601</v>
      </c>
      <c r="M362" s="208"/>
      <c r="N362" s="208"/>
      <c r="O362" s="342" t="s">
        <v>29</v>
      </c>
    </row>
    <row r="363" spans="1:15" ht="16.2" hidden="1" customHeight="1">
      <c r="A363" s="30" t="str">
        <f t="shared" si="6"/>
        <v>modesg_out_bens_imoveisscp3_emss</v>
      </c>
      <c r="B363" s="142" t="s">
        <v>26</v>
      </c>
      <c r="C363" s="138" t="s">
        <v>311</v>
      </c>
      <c r="D363" s="134" t="s">
        <v>40</v>
      </c>
      <c r="E363" s="135" t="s">
        <v>312</v>
      </c>
      <c r="F363" s="134" t="s">
        <v>288</v>
      </c>
      <c r="G363" s="136" t="str">
        <f>VLOOKUP(A363,Plano_V3!$A$26:$G$593,7,0)</f>
        <v>1. Concluído</v>
      </c>
      <c r="H363" s="136" t="s">
        <v>613</v>
      </c>
      <c r="I363" s="154"/>
      <c r="J363" s="153" t="str">
        <f>IF(VLOOKUP(A363,'Aux - pivots1'!$A:$E,3,0)=0, "",VLOOKUP(A363,'Aux - pivots1'!$A:$E,3,0))</f>
        <v/>
      </c>
      <c r="K363" s="153" t="str">
        <f>IF(VLOOKUP(A363,'Aux - pivots1'!$A:$E,4,0)=0, "",VLOOKUP(A363,'Aux - pivots1'!$A:$E,4,0))</f>
        <v/>
      </c>
      <c r="L363" s="153" t="str">
        <f>IF(VLOOKUP(A363,'Aux - pivots1'!$A:$E,5,0)=0, "",VLOOKUP(A363,'Aux - pivots1'!$A:$E,5,0))</f>
        <v/>
      </c>
      <c r="M363" s="208"/>
      <c r="N363" s="208"/>
      <c r="O363" s="342" t="s">
        <v>29</v>
      </c>
    </row>
    <row r="364" spans="1:15" ht="16.2" hidden="1" customHeight="1">
      <c r="A364" s="30" t="str">
        <f t="shared" si="6"/>
        <v>modesg_out_bens_imoveisunidade_funcional_scp1_emss</v>
      </c>
      <c r="B364" s="142" t="s">
        <v>26</v>
      </c>
      <c r="C364" s="138" t="s">
        <v>311</v>
      </c>
      <c r="D364" s="134" t="s">
        <v>40</v>
      </c>
      <c r="E364" s="135" t="s">
        <v>312</v>
      </c>
      <c r="F364" s="134" t="s">
        <v>323</v>
      </c>
      <c r="G364" s="136" t="str">
        <f>VLOOKUP(A364,Plano_V3!$A$26:$G$593,7,0)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modesg_out_bens_imoveisunidade_funcional_scp2_emss</v>
      </c>
      <c r="B365" s="142" t="s">
        <v>26</v>
      </c>
      <c r="C365" s="138" t="s">
        <v>311</v>
      </c>
      <c r="D365" s="134" t="s">
        <v>40</v>
      </c>
      <c r="E365" s="135" t="s">
        <v>312</v>
      </c>
      <c r="F365" s="134" t="s">
        <v>324</v>
      </c>
      <c r="G365" s="136" t="str">
        <f>VLOOKUP(A365,Plano_V3!$A$26:$G$593,7,0)</f>
        <v>1. Concluído</v>
      </c>
      <c r="H365" s="136" t="s">
        <v>613</v>
      </c>
      <c r="I365" s="143"/>
      <c r="J365" s="153">
        <f>IF(VLOOKUP(A365,'Aux - pivots1'!$A:$E,3,0)=0, "",VLOOKUP(A365,'Aux - pivots1'!$A:$E,3,0))</f>
        <v>45604</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modesg_out_bens_imoveisunidade_funcional_scp3_emss</v>
      </c>
      <c r="B366" s="142" t="s">
        <v>26</v>
      </c>
      <c r="C366" s="138" t="s">
        <v>311</v>
      </c>
      <c r="D366" s="134" t="s">
        <v>40</v>
      </c>
      <c r="E366" s="135" t="s">
        <v>312</v>
      </c>
      <c r="F366" s="134" t="s">
        <v>325</v>
      </c>
      <c r="G366" s="136" t="str">
        <f>VLOOKUP(A366,Plano_V3!$A$26:$G$593,7,0)</f>
        <v>1. Concluído</v>
      </c>
      <c r="H366" s="136" t="s">
        <v>613</v>
      </c>
      <c r="I366" s="143"/>
      <c r="J366" s="153">
        <f>IF(VLOOKUP(A366,'Aux - pivots1'!$A:$E,3,0)=0, "",VLOOKUP(A366,'Aux - pivots1'!$A:$E,3,0))</f>
        <v>45569</v>
      </c>
      <c r="K366" s="153">
        <f>IF(VLOOKUP(A366,'Aux - pivots1'!$A:$E,4,0)=0, "",VLOOKUP(A366,'Aux - pivots1'!$A:$E,4,0))</f>
        <v>45600</v>
      </c>
      <c r="L366" s="153">
        <f>IF(VLOOKUP(A366,'Aux - pivots1'!$A:$E,5,0)=0, "",VLOOKUP(A366,'Aux - pivots1'!$A:$E,5,0))</f>
        <v>45601</v>
      </c>
      <c r="M366" s="208"/>
      <c r="N366" s="208"/>
      <c r="O366" s="342" t="s">
        <v>29</v>
      </c>
    </row>
    <row r="367" spans="1:15" ht="16.2" hidden="1" customHeight="1">
      <c r="A367" s="30" t="str">
        <f t="shared" si="6"/>
        <v>modesg_out_empr_info_nfinn.a.</v>
      </c>
      <c r="B367" s="142" t="s">
        <v>26</v>
      </c>
      <c r="C367" s="138" t="s">
        <v>311</v>
      </c>
      <c r="D367" s="134" t="s">
        <v>36</v>
      </c>
      <c r="E367" s="135" t="s">
        <v>326</v>
      </c>
      <c r="F367" s="134" t="s">
        <v>38</v>
      </c>
      <c r="G367" s="136" t="str">
        <f>VLOOKUP(A367,Plano_V3!$A$26:$G$593,7,0)</f>
        <v>1. Concluído</v>
      </c>
      <c r="H367" s="136" t="s">
        <v>613</v>
      </c>
      <c r="I367" s="154"/>
      <c r="J367" s="153">
        <f>IF(VLOOKUP(A367,'Aux - pivots1'!$A:$E,3,0)=0, "",VLOOKUP(A367,'Aux - pivots1'!$A:$E,3,0))</f>
        <v>45512</v>
      </c>
      <c r="K367" s="153" t="str">
        <f>IF(VLOOKUP(A367,'Aux - pivots1'!$A:$E,4,0)=0, "",VLOOKUP(A367,'Aux - pivots1'!$A:$E,4,0))</f>
        <v/>
      </c>
      <c r="L367" s="153" t="str">
        <f>IF(VLOOKUP(A367,'Aux - pivots1'!$A:$E,5,0)=0, "",VLOOKUP(A367,'Aux - pivots1'!$A:$E,5,0))</f>
        <v/>
      </c>
      <c r="M367" s="208"/>
      <c r="N367" s="208"/>
      <c r="O367" s="342" t="s">
        <v>29</v>
      </c>
    </row>
    <row r="368" spans="1:15" ht="16.2" hidden="1" customHeight="1">
      <c r="A368" s="30" t="str">
        <f t="shared" si="6"/>
        <v>modesg_out_empr_info_nfincca_capex_enblng_algnd</v>
      </c>
      <c r="B368" s="142" t="s">
        <v>26</v>
      </c>
      <c r="C368" s="138" t="s">
        <v>311</v>
      </c>
      <c r="D368" s="134" t="s">
        <v>40</v>
      </c>
      <c r="E368" s="135" t="s">
        <v>326</v>
      </c>
      <c r="F368" s="134" t="s">
        <v>250</v>
      </c>
      <c r="G368" s="136" t="str">
        <f>VLOOKUP(A368,Plano_V3!$A$26:$G$593,7,0)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modesg_out_empr_info_nfincca_capex_own_prfrmnce_algnd</v>
      </c>
      <c r="B369" s="142" t="s">
        <v>26</v>
      </c>
      <c r="C369" s="138" t="s">
        <v>311</v>
      </c>
      <c r="D369" s="134" t="s">
        <v>40</v>
      </c>
      <c r="E369" s="135" t="s">
        <v>326</v>
      </c>
      <c r="F369" s="134" t="s">
        <v>251</v>
      </c>
      <c r="G369" s="136" t="str">
        <f>VLOOKUP(A369,Plano_V3!$A$26:$G$593,7,0)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modesg_out_empr_info_nfincca_capex_ttl_elgbl</v>
      </c>
      <c r="B370" s="142" t="s">
        <v>26</v>
      </c>
      <c r="C370" s="138" t="s">
        <v>311</v>
      </c>
      <c r="D370" s="134" t="s">
        <v>40</v>
      </c>
      <c r="E370" s="135" t="s">
        <v>326</v>
      </c>
      <c r="F370" s="134" t="s">
        <v>249</v>
      </c>
      <c r="G370" s="136" t="str">
        <f>VLOOKUP(A370,Plano_V3!$A$26:$G$593,7,0)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modesg_out_empr_info_nfincca_trnvr_enblng_alignd</v>
      </c>
      <c r="B371" s="142" t="s">
        <v>26</v>
      </c>
      <c r="C371" s="138" t="s">
        <v>311</v>
      </c>
      <c r="D371" s="134" t="s">
        <v>40</v>
      </c>
      <c r="E371" s="135" t="s">
        <v>326</v>
      </c>
      <c r="F371" s="134" t="s">
        <v>247</v>
      </c>
      <c r="G371" s="136" t="str">
        <f>VLOOKUP(A371,Plano_V3!$A$26:$G$593,7,0)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modesg_out_empr_info_nfincca_trnvr_ttl_elgbl</v>
      </c>
      <c r="B372" s="142" t="s">
        <v>26</v>
      </c>
      <c r="C372" s="138" t="s">
        <v>311</v>
      </c>
      <c r="D372" s="134" t="s">
        <v>40</v>
      </c>
      <c r="E372" s="135" t="s">
        <v>326</v>
      </c>
      <c r="F372" s="134" t="s">
        <v>246</v>
      </c>
      <c r="G372" s="136" t="str">
        <f>VLOOKUP(A372,Plano_V3!$A$26:$G$593,7,0)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modesg_out_empr_info_nfincca_turnover_own_prfrmnce_algnd</v>
      </c>
      <c r="B373" s="142" t="s">
        <v>26</v>
      </c>
      <c r="C373" s="138" t="s">
        <v>311</v>
      </c>
      <c r="D373" s="134" t="s">
        <v>40</v>
      </c>
      <c r="E373" s="135" t="s">
        <v>326</v>
      </c>
      <c r="F373" s="134" t="s">
        <v>248</v>
      </c>
      <c r="G373" s="136" t="str">
        <f>VLOOKUP(A373,Plano_V3!$A$26:$G$593,7,0)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modesg_out_empr_info_nfinccm_capex_enblng_algnd</v>
      </c>
      <c r="B374" s="142" t="s">
        <v>26</v>
      </c>
      <c r="C374" s="138" t="s">
        <v>311</v>
      </c>
      <c r="D374" s="134" t="s">
        <v>40</v>
      </c>
      <c r="E374" s="135" t="s">
        <v>326</v>
      </c>
      <c r="F374" s="134" t="s">
        <v>257</v>
      </c>
      <c r="G374" s="136" t="str">
        <f>VLOOKUP(A374,Plano_V3!$A$26:$G$593,7,0)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modesg_out_empr_info_nfinccm_capex_own_prfrmnce_algnd</v>
      </c>
      <c r="B375" s="142" t="s">
        <v>26</v>
      </c>
      <c r="C375" s="138" t="s">
        <v>311</v>
      </c>
      <c r="D375" s="134" t="s">
        <v>40</v>
      </c>
      <c r="E375" s="135" t="s">
        <v>326</v>
      </c>
      <c r="F375" s="134" t="s">
        <v>259</v>
      </c>
      <c r="G375" s="136" t="str">
        <f>VLOOKUP(A375,Plano_V3!$A$26:$G$593,7,0)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modesg_out_empr_info_nfinccm_capex_trnstn_algnd</v>
      </c>
      <c r="B376" s="142" t="s">
        <v>26</v>
      </c>
      <c r="C376" s="138" t="s">
        <v>311</v>
      </c>
      <c r="D376" s="134" t="s">
        <v>40</v>
      </c>
      <c r="E376" s="135" t="s">
        <v>326</v>
      </c>
      <c r="F376" s="134" t="s">
        <v>258</v>
      </c>
      <c r="G376" s="136" t="str">
        <f>VLOOKUP(A376,Plano_V3!$A$26:$G$593,7,0)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modesg_out_empr_info_nfinccm_capex_ttl_elgbl</v>
      </c>
      <c r="B377" s="142" t="s">
        <v>26</v>
      </c>
      <c r="C377" s="138" t="s">
        <v>311</v>
      </c>
      <c r="D377" s="134" t="s">
        <v>40</v>
      </c>
      <c r="E377" s="135" t="s">
        <v>326</v>
      </c>
      <c r="F377" s="134" t="s">
        <v>256</v>
      </c>
      <c r="G377" s="136" t="str">
        <f>VLOOKUP(A377,Plano_V3!$A$26:$G$593,7,0)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modesg_out_empr_info_nfinccm_trnvr_enblng_algnd</v>
      </c>
      <c r="B378" s="142" t="s">
        <v>26</v>
      </c>
      <c r="C378" s="138" t="s">
        <v>311</v>
      </c>
      <c r="D378" s="134" t="s">
        <v>40</v>
      </c>
      <c r="E378" s="135" t="s">
        <v>326</v>
      </c>
      <c r="F378" s="134" t="s">
        <v>253</v>
      </c>
      <c r="G378" s="136" t="str">
        <f>VLOOKUP(A378,Plano_V3!$A$26:$G$593,7,0)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modesg_out_empr_info_nfinccm_trnvr_own_prfrmnce_algnd</v>
      </c>
      <c r="B379" s="142" t="s">
        <v>26</v>
      </c>
      <c r="C379" s="138" t="s">
        <v>311</v>
      </c>
      <c r="D379" s="134" t="s">
        <v>40</v>
      </c>
      <c r="E379" s="135" t="s">
        <v>326</v>
      </c>
      <c r="F379" s="134" t="s">
        <v>255</v>
      </c>
      <c r="G379" s="136" t="str">
        <f>VLOOKUP(A379,Plano_V3!$A$26:$G$593,7,0)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modesg_out_empr_info_nfinccm_trnvr_trnstn_alignd</v>
      </c>
      <c r="B380" s="142" t="s">
        <v>26</v>
      </c>
      <c r="C380" s="138" t="s">
        <v>311</v>
      </c>
      <c r="D380" s="134" t="s">
        <v>40</v>
      </c>
      <c r="E380" s="135" t="s">
        <v>326</v>
      </c>
      <c r="F380" s="134" t="s">
        <v>254</v>
      </c>
      <c r="G380" s="136" t="str">
        <f>VLOOKUP(A380,Plano_V3!$A$26:$G$593,7,0)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modesg_out_empr_info_nfinccm_trnvr_ttl_elgbl</v>
      </c>
      <c r="B381" s="142" t="s">
        <v>26</v>
      </c>
      <c r="C381" s="138" t="s">
        <v>311</v>
      </c>
      <c r="D381" s="134" t="s">
        <v>40</v>
      </c>
      <c r="E381" s="135" t="s">
        <v>326</v>
      </c>
      <c r="F381" s="134" t="s">
        <v>252</v>
      </c>
      <c r="G381" s="136" t="str">
        <f>VLOOKUP(A381,Plano_V3!$A$26:$G$593,7,0)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modesg_out_empr_info_nfincod_nace_esg</v>
      </c>
      <c r="B382" s="142" t="s">
        <v>26</v>
      </c>
      <c r="C382" s="138" t="s">
        <v>311</v>
      </c>
      <c r="D382" s="134" t="s">
        <v>40</v>
      </c>
      <c r="E382" s="135" t="s">
        <v>326</v>
      </c>
      <c r="F382" s="218" t="s">
        <v>282</v>
      </c>
      <c r="G382" s="219" t="str">
        <f>VLOOKUP(A382,Plano_V3!$A$26:$G$593,7,0)</f>
        <v>2.2 Em Re-especificação</v>
      </c>
      <c r="H382" s="219" t="s">
        <v>1922</v>
      </c>
      <c r="I382" s="154" t="s">
        <v>656</v>
      </c>
      <c r="J382" s="153">
        <f>IF(VLOOKUP(A382,'Aux - pivots1'!$A:$E,3,0)=0, "",VLOOKUP(A382,'Aux - pivots1'!$A:$E,3,0))</f>
        <v>45561</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modesg_out_empr_info_nfinflg_emprs_excl_paris</v>
      </c>
      <c r="B383" s="142" t="s">
        <v>26</v>
      </c>
      <c r="C383" s="138" t="s">
        <v>311</v>
      </c>
      <c r="D383" s="134" t="s">
        <v>40</v>
      </c>
      <c r="E383" s="135" t="s">
        <v>326</v>
      </c>
      <c r="F383" s="134" t="s">
        <v>328</v>
      </c>
      <c r="G383" s="136" t="str">
        <f>VLOOKUP(A383,Plano_V3!$A$26:$G$593,7,0)</f>
        <v>1. Concluído</v>
      </c>
      <c r="H383" s="136" t="s">
        <v>1921</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modesg_out_empr_info_nfinflg_nfrd</v>
      </c>
      <c r="B384" s="142" t="s">
        <v>26</v>
      </c>
      <c r="C384" s="138" t="s">
        <v>311</v>
      </c>
      <c r="D384" s="134" t="s">
        <v>40</v>
      </c>
      <c r="E384" s="135" t="s">
        <v>326</v>
      </c>
      <c r="F384" s="134" t="s">
        <v>245</v>
      </c>
      <c r="G384" s="136" t="str">
        <f>VLOOKUP(A384,Plano_V3!$A$26:$G$593,7,0)</f>
        <v>1. Concluído</v>
      </c>
      <c r="H384" s="136" t="s">
        <v>1921</v>
      </c>
      <c r="I384" s="154" t="s">
        <v>656</v>
      </c>
      <c r="J384" s="153">
        <f>IF(VLOOKUP(A384,'Aux - pivots1'!$A:$E,3,0)=0, "",VLOOKUP(A384,'Aux - pivots1'!$A:$E,3,0))</f>
        <v>45553</v>
      </c>
      <c r="K384" s="153">
        <f>IF(VLOOKUP(A384,'Aux - pivots1'!$A:$E,4,0)=0, "",VLOOKUP(A384,'Aux - pivots1'!$A:$E,4,0))</f>
        <v>45614</v>
      </c>
      <c r="L384" s="153">
        <f>IF(VLOOKUP(A384,'Aux - pivots1'!$A:$E,5,0)=0, "",VLOOKUP(A384,'Aux - pivots1'!$A:$E,5,0))</f>
        <v>45615</v>
      </c>
      <c r="M384" s="208"/>
      <c r="N384" s="208"/>
      <c r="O384" s="342" t="s">
        <v>29</v>
      </c>
    </row>
    <row r="385" spans="1:15" ht="16.2" hidden="1" customHeight="1">
      <c r="A385" s="30" t="str">
        <f t="shared" si="6"/>
        <v>modesg_out_empr_info_nfinflg_rsc_fsc_agd</v>
      </c>
      <c r="B385" s="142" t="s">
        <v>26</v>
      </c>
      <c r="C385" s="138" t="s">
        <v>311</v>
      </c>
      <c r="D385" s="134" t="s">
        <v>40</v>
      </c>
      <c r="E385" s="135" t="s">
        <v>326</v>
      </c>
      <c r="F385" s="134" t="s">
        <v>283</v>
      </c>
      <c r="G385" s="136" t="str">
        <f>VLOOKUP(A385,Plano_V3!$A$26:$G$593,7,0)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modesg_out_empr_info_nfinflg_rsc_fsc_crnc</v>
      </c>
      <c r="B386" s="142" t="s">
        <v>26</v>
      </c>
      <c r="C386" s="138" t="s">
        <v>311</v>
      </c>
      <c r="D386" s="134" t="s">
        <v>40</v>
      </c>
      <c r="E386" s="135" t="s">
        <v>326</v>
      </c>
      <c r="F386" s="134" t="s">
        <v>284</v>
      </c>
      <c r="G386" s="136" t="str">
        <f>VLOOKUP(A386,Plano_V3!$A$26:$G$593,7,0)</f>
        <v>1. Concluído</v>
      </c>
      <c r="H386" s="136" t="s">
        <v>613</v>
      </c>
      <c r="I386" s="154" t="s">
        <v>656</v>
      </c>
      <c r="J386" s="153">
        <f>IF(VLOOKUP(A386,'Aux - pivots1'!$A:$E,3,0)=0, "",VLOOKUP(A386,'Aux - pivots1'!$A:$E,3,0))</f>
        <v>45569</v>
      </c>
      <c r="K386" s="153">
        <f>IF(VLOOKUP(A386,'Aux - pivots1'!$A:$E,4,0)=0, "",VLOOKUP(A386,'Aux - pivots1'!$A:$E,4,0))</f>
        <v>45624</v>
      </c>
      <c r="L386" s="153">
        <f>IF(VLOOKUP(A386,'Aux - pivots1'!$A:$E,5,0)=0, "",VLOOKUP(A386,'Aux - pivots1'!$A:$E,5,0))</f>
        <v>45639</v>
      </c>
      <c r="M386" s="208"/>
      <c r="N386" s="208"/>
      <c r="O386" s="342" t="s">
        <v>29</v>
      </c>
    </row>
    <row r="387" spans="1:15" ht="16.2" hidden="1" customHeight="1">
      <c r="A387" s="30" t="str">
        <f t="shared" si="6"/>
        <v>modesg_out_empr_info_nfinorigem_alinhamentos</v>
      </c>
      <c r="B387" s="142" t="s">
        <v>26</v>
      </c>
      <c r="C387" s="138" t="s">
        <v>311</v>
      </c>
      <c r="D387" s="134" t="s">
        <v>40</v>
      </c>
      <c r="E387" s="135" t="s">
        <v>326</v>
      </c>
      <c r="F387" s="134" t="s">
        <v>329</v>
      </c>
      <c r="G387" s="136" t="str">
        <f>VLOOKUP(A387,Plano_V3!$A$26:$G$593,7,0)</f>
        <v>1. Concluído</v>
      </c>
      <c r="H387" s="136" t="s">
        <v>613</v>
      </c>
      <c r="I387" s="154" t="s">
        <v>656</v>
      </c>
      <c r="J387" s="153">
        <f>IF(VLOOKUP(A387,'Aux - pivots1'!$A:$E,3,0)=0, "",VLOOKUP(A387,'Aux - pivots1'!$A:$E,3,0))</f>
        <v>45569</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modesg_out_empr_info_nfinorigem_flg_emprs_excl_paris</v>
      </c>
      <c r="B388" s="142" t="s">
        <v>26</v>
      </c>
      <c r="C388" s="138" t="s">
        <v>311</v>
      </c>
      <c r="D388" s="134" t="s">
        <v>40</v>
      </c>
      <c r="E388" s="135" t="s">
        <v>326</v>
      </c>
      <c r="F388" s="134" t="s">
        <v>330</v>
      </c>
      <c r="G388" s="136" t="str">
        <f>VLOOKUP(A388,Plano_V3!$A$26:$G$593,7,0)</f>
        <v>1. Concluído</v>
      </c>
      <c r="H388" s="136" t="s">
        <v>1921</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modesg_out_empr_info_nfinorigem_flg_nfrd</v>
      </c>
      <c r="B389" s="142" t="s">
        <v>26</v>
      </c>
      <c r="C389" s="138" t="s">
        <v>311</v>
      </c>
      <c r="D389" s="134" t="s">
        <v>40</v>
      </c>
      <c r="E389" s="135" t="s">
        <v>326</v>
      </c>
      <c r="F389" s="134" t="s">
        <v>331</v>
      </c>
      <c r="G389" s="136" t="str">
        <f>VLOOKUP(A389,Plano_V3!$A$26:$G$593,7,0)</f>
        <v>1. Concluído</v>
      </c>
      <c r="H389" s="136" t="s">
        <v>613</v>
      </c>
      <c r="I389" s="154" t="s">
        <v>656</v>
      </c>
      <c r="J389" s="153">
        <f>IF(VLOOKUP(A389,'Aux - pivots1'!$A:$E,3,0)=0, "",VLOOKUP(A389,'Aux - pivots1'!$A:$E,3,0))</f>
        <v>45553</v>
      </c>
      <c r="K389" s="153">
        <f>IF(VLOOKUP(A389,'Aux - pivots1'!$A:$E,4,0)=0, "",VLOOKUP(A389,'Aux - pivots1'!$A:$E,4,0))</f>
        <v>45614</v>
      </c>
      <c r="L389" s="153">
        <f>IF(VLOOKUP(A389,'Aux - pivots1'!$A:$E,5,0)=0, "",VLOOKUP(A389,'Aux - pivots1'!$A:$E,5,0))</f>
        <v>45615</v>
      </c>
      <c r="M389" s="208"/>
      <c r="N389" s="208"/>
      <c r="O389" s="342" t="s">
        <v>29</v>
      </c>
    </row>
    <row r="390" spans="1:15" ht="16.2" hidden="1" customHeight="1">
      <c r="A390" s="30" t="str">
        <f t="shared" si="6"/>
        <v>modesg_out_empr_info_nfinorigem_flg_rsc_fsc_agd</v>
      </c>
      <c r="B390" s="142" t="s">
        <v>26</v>
      </c>
      <c r="C390" s="138" t="s">
        <v>311</v>
      </c>
      <c r="D390" s="134" t="s">
        <v>40</v>
      </c>
      <c r="E390" s="135" t="s">
        <v>326</v>
      </c>
      <c r="F390" s="134" t="s">
        <v>318</v>
      </c>
      <c r="G390" s="136" t="str">
        <f>VLOOKUP(A390,Plano_V3!$A$26:$G$593,7,0)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modesg_out_empr_info_nfinorigem_flg_rsc_fsc_crnc</v>
      </c>
      <c r="B391" s="142" t="s">
        <v>26</v>
      </c>
      <c r="C391" s="138" t="s">
        <v>311</v>
      </c>
      <c r="D391" s="134" t="s">
        <v>40</v>
      </c>
      <c r="E391" s="135" t="s">
        <v>326</v>
      </c>
      <c r="F391" s="134" t="s">
        <v>319</v>
      </c>
      <c r="G391" s="136" t="str">
        <f>VLOOKUP(A391,Plano_V3!$A$26:$G$593,7,0)</f>
        <v>1. Concluído</v>
      </c>
      <c r="H391" s="136" t="s">
        <v>613</v>
      </c>
      <c r="I391" s="154" t="s">
        <v>656</v>
      </c>
      <c r="J391" s="153">
        <f>IF(VLOOKUP(A391,'Aux - pivots1'!$A:$E,3,0)=0, "",VLOOKUP(A391,'Aux - pivots1'!$A:$E,3,0))</f>
        <v>45569</v>
      </c>
      <c r="K391" s="153">
        <f>IF(VLOOKUP(A391,'Aux - pivots1'!$A:$E,4,0)=0, "",VLOOKUP(A391,'Aux - pivots1'!$A:$E,4,0))</f>
        <v>45624</v>
      </c>
      <c r="L391" s="153">
        <f>IF(VLOOKUP(A391,'Aux - pivots1'!$A:$E,5,0)=0, "",VLOOKUP(A391,'Aux - pivots1'!$A:$E,5,0))</f>
        <v>45639</v>
      </c>
      <c r="M391" s="208"/>
      <c r="N391" s="208"/>
      <c r="O391" s="342" t="s">
        <v>29</v>
      </c>
    </row>
    <row r="392" spans="1:15" ht="16.2" hidden="1" customHeight="1">
      <c r="A392" s="30" t="str">
        <f t="shared" si="6"/>
        <v>modesg_out_empr_info_nfinorigem_scp1_emss</v>
      </c>
      <c r="B392" s="142" t="s">
        <v>26</v>
      </c>
      <c r="C392" s="138" t="s">
        <v>311</v>
      </c>
      <c r="D392" s="134" t="s">
        <v>40</v>
      </c>
      <c r="E392" s="135" t="s">
        <v>326</v>
      </c>
      <c r="F392" s="134" t="s">
        <v>320</v>
      </c>
      <c r="G392" s="136" t="str">
        <f>VLOOKUP(A392,Plano_V3!$A$26:$G$593,7,0)</f>
        <v>6. Em implementação (re-especificação)</v>
      </c>
      <c r="H392" s="136" t="s">
        <v>618</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modesg_out_empr_info_nfinorigem_scp2_emss</v>
      </c>
      <c r="B393" s="142" t="s">
        <v>26</v>
      </c>
      <c r="C393" s="138" t="s">
        <v>311</v>
      </c>
      <c r="D393" s="134" t="s">
        <v>40</v>
      </c>
      <c r="E393" s="135" t="s">
        <v>326</v>
      </c>
      <c r="F393" s="134" t="s">
        <v>321</v>
      </c>
      <c r="G393" s="136" t="str">
        <f>VLOOKUP(A393,Plano_V3!$A$26:$G$593,7,0)</f>
        <v>6. Em implementação (re-especificação)</v>
      </c>
      <c r="H393" s="136" t="s">
        <v>618</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modesg_out_empr_info_nfinorigem_scp3_emss</v>
      </c>
      <c r="B394" s="142" t="s">
        <v>26</v>
      </c>
      <c r="C394" s="138" t="s">
        <v>311</v>
      </c>
      <c r="D394" s="134" t="s">
        <v>40</v>
      </c>
      <c r="E394" s="135" t="s">
        <v>326</v>
      </c>
      <c r="F394" s="134" t="s">
        <v>322</v>
      </c>
      <c r="G394" s="136" t="str">
        <f>VLOOKUP(A394,Plano_V3!$A$26:$G$593,7,0)</f>
        <v>6. Em implementação (re-especificação)</v>
      </c>
      <c r="H394" s="136" t="s">
        <v>618</v>
      </c>
      <c r="I394" s="154" t="s">
        <v>657</v>
      </c>
      <c r="J394" s="153">
        <f>IF(VLOOKUP(A394,'Aux - pivots1'!$A:$E,3,0)=0, "",VLOOKUP(A394,'Aux - pivots1'!$A:$E,3,0))</f>
        <v>45569</v>
      </c>
      <c r="K394" s="153">
        <f>IF(VLOOKUP(A394,'Aux - pivots1'!$A:$E,4,0)=0, "",VLOOKUP(A394,'Aux - pivots1'!$A:$E,4,0))</f>
        <v>45621</v>
      </c>
      <c r="L394" s="153">
        <f>IF(VLOOKUP(A394,'Aux - pivots1'!$A:$E,5,0)=0, "",VLOOKUP(A394,'Aux - pivots1'!$A:$E,5,0))</f>
        <v>45622</v>
      </c>
      <c r="M394" s="208"/>
      <c r="N394" s="208"/>
      <c r="O394" s="342" t="s">
        <v>29</v>
      </c>
    </row>
    <row r="395" spans="1:15" ht="16.2" hidden="1" customHeight="1">
      <c r="A395" s="30" t="str">
        <f t="shared" si="6"/>
        <v>modesg_out_empr_info_nfinref_date</v>
      </c>
      <c r="B395" s="142" t="s">
        <v>26</v>
      </c>
      <c r="C395" s="138" t="s">
        <v>311</v>
      </c>
      <c r="D395" s="134" t="s">
        <v>40</v>
      </c>
      <c r="E395" s="135" t="s">
        <v>326</v>
      </c>
      <c r="F395" s="134" t="s">
        <v>208</v>
      </c>
      <c r="G395" s="136" t="str">
        <f>VLOOKUP(A395,Plano_V3!$A$26:$G$593,7,0)</f>
        <v>1. Concluído</v>
      </c>
      <c r="H395" s="136" t="s">
        <v>613</v>
      </c>
      <c r="I395" s="154"/>
      <c r="J395" s="153" t="str">
        <f>IF(VLOOKUP(A395,'Aux - pivots1'!$A:$E,3,0)=0, "",VLOOKUP(A395,'Aux - pivots1'!$A:$E,3,0))</f>
        <v/>
      </c>
      <c r="K395" s="153" t="str">
        <f>IF(VLOOKUP(A395,'Aux - pivots1'!$A:$E,4,0)=0, "",VLOOKUP(A395,'Aux - pivots1'!$A:$E,4,0))</f>
        <v/>
      </c>
      <c r="L395" s="153" t="str">
        <f>IF(VLOOKUP(A395,'Aux - pivots1'!$A:$E,5,0)=0, "",VLOOKUP(A395,'Aux - pivots1'!$A:$E,5,0))</f>
        <v/>
      </c>
      <c r="M395" s="208"/>
      <c r="N395" s="208"/>
      <c r="O395" s="342" t="s">
        <v>29</v>
      </c>
    </row>
    <row r="396" spans="1:15" ht="16.2" hidden="1" customHeight="1">
      <c r="A396" s="30" t="str">
        <f t="shared" si="6"/>
        <v>modesg_out_empr_info_nfinscp1_emss</v>
      </c>
      <c r="B396" s="142" t="s">
        <v>26</v>
      </c>
      <c r="C396" s="138" t="s">
        <v>311</v>
      </c>
      <c r="D396" s="134" t="s">
        <v>40</v>
      </c>
      <c r="E396" s="135" t="s">
        <v>326</v>
      </c>
      <c r="F396" s="134" t="s">
        <v>286</v>
      </c>
      <c r="G396" s="136" t="str">
        <f>VLOOKUP(A396,Plano_V3!$A$26:$G$593,7,0)</f>
        <v>6. Em implementação (re-especificação)</v>
      </c>
      <c r="H396" s="136" t="s">
        <v>618</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modesg_out_empr_info_nfinscp2_emss</v>
      </c>
      <c r="B397" s="142" t="s">
        <v>26</v>
      </c>
      <c r="C397" s="138" t="s">
        <v>311</v>
      </c>
      <c r="D397" s="134" t="s">
        <v>40</v>
      </c>
      <c r="E397" s="135" t="s">
        <v>326</v>
      </c>
      <c r="F397" s="134" t="s">
        <v>287</v>
      </c>
      <c r="G397" s="136" t="str">
        <f>VLOOKUP(A397,Plano_V3!$A$26:$G$593,7,0)</f>
        <v>6. Em implementação (re-especificação)</v>
      </c>
      <c r="H397" s="136" t="s">
        <v>618</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modesg_out_empr_info_nfinscp3_emss</v>
      </c>
      <c r="B398" s="142" t="s">
        <v>26</v>
      </c>
      <c r="C398" s="138" t="s">
        <v>311</v>
      </c>
      <c r="D398" s="134" t="s">
        <v>40</v>
      </c>
      <c r="E398" s="135" t="s">
        <v>326</v>
      </c>
      <c r="F398" s="134" t="s">
        <v>288</v>
      </c>
      <c r="G398" s="136" t="str">
        <f>VLOOKUP(A398,Plano_V3!$A$26:$G$593,7,0)</f>
        <v>6. Em implementação (re-especificação)</v>
      </c>
      <c r="H398" s="136" t="s">
        <v>618</v>
      </c>
      <c r="I398" s="154" t="s">
        <v>657</v>
      </c>
      <c r="J398" s="153">
        <f>IF(VLOOKUP(A398,'Aux - pivots1'!$A:$E,3,0)=0, "",VLOOKUP(A398,'Aux - pivots1'!$A:$E,3,0))</f>
        <v>45569</v>
      </c>
      <c r="K398" s="153">
        <f>IF(VLOOKUP(A398,'Aux - pivots1'!$A:$E,4,0)=0, "",VLOOKUP(A398,'Aux - pivots1'!$A:$E,4,0))</f>
        <v>45621</v>
      </c>
      <c r="L398" s="153">
        <f>IF(VLOOKUP(A398,'Aux - pivots1'!$A:$E,5,0)=0, "",VLOOKUP(A398,'Aux - pivots1'!$A:$E,5,0))</f>
        <v>45622</v>
      </c>
      <c r="M398" s="208"/>
      <c r="N398" s="208"/>
      <c r="O398" s="342" t="s">
        <v>29</v>
      </c>
    </row>
    <row r="399" spans="1:15" ht="16.2" hidden="1" customHeight="1">
      <c r="A399" s="30" t="str">
        <f t="shared" si="6"/>
        <v>modesg_out_empr_info_nfinzcliente</v>
      </c>
      <c r="B399" s="142" t="s">
        <v>26</v>
      </c>
      <c r="C399" s="138" t="s">
        <v>311</v>
      </c>
      <c r="D399" s="134" t="s">
        <v>40</v>
      </c>
      <c r="E399" s="135" t="s">
        <v>326</v>
      </c>
      <c r="F399" s="134" t="s">
        <v>209</v>
      </c>
      <c r="G399" s="136" t="str">
        <f>VLOOKUP(A399,Plano_V3!$A$26:$G$593,7,0)</f>
        <v>1. Concluído</v>
      </c>
      <c r="H399" s="136" t="s">
        <v>613</v>
      </c>
      <c r="I399" s="154"/>
      <c r="J399" s="153" t="str">
        <f>IF(VLOOKUP(A399,'Aux - pivots1'!$A:$E,3,0)=0, "",VLOOKUP(A399,'Aux - pivots1'!$A:$E,3,0))</f>
        <v/>
      </c>
      <c r="K399" s="153" t="str">
        <f>IF(VLOOKUP(A399,'Aux - pivots1'!$A:$E,4,0)=0, "",VLOOKUP(A399,'Aux - pivots1'!$A:$E,4,0))</f>
        <v/>
      </c>
      <c r="L399" s="153" t="str">
        <f>IF(VLOOKUP(A399,'Aux - pivots1'!$A:$E,5,0)=0, "",VLOOKUP(A399,'Aux - pivots1'!$A:$E,5,0))</f>
        <v/>
      </c>
      <c r="M399" s="208"/>
      <c r="N399" s="208"/>
      <c r="O399" s="342" t="s">
        <v>29</v>
      </c>
    </row>
    <row r="400" spans="1:15" ht="16.2" hidden="1" customHeight="1">
      <c r="A400" s="30" t="str">
        <f t="shared" si="6"/>
        <v>modesg_out_emss_vclsn.a.</v>
      </c>
      <c r="B400" s="142" t="s">
        <v>26</v>
      </c>
      <c r="C400" s="138" t="s">
        <v>311</v>
      </c>
      <c r="D400" s="134" t="s">
        <v>36</v>
      </c>
      <c r="E400" s="135" t="s">
        <v>332</v>
      </c>
      <c r="F400" s="134" t="s">
        <v>38</v>
      </c>
      <c r="G400" s="136" t="str">
        <f>VLOOKUP(A400,Plano_V3!$A$26:$G$593,7,0)</f>
        <v>1. Concluído</v>
      </c>
      <c r="H400" s="136" t="s">
        <v>613</v>
      </c>
      <c r="I400" s="143" t="s">
        <v>658</v>
      </c>
      <c r="J400" s="153">
        <f>IF(VLOOKUP(A400,'Aux - pivots1'!$A:$E,3,0)=0, "",VLOOKUP(A400,'Aux - pivots1'!$A:$E,3,0))</f>
        <v>45560</v>
      </c>
      <c r="K400" s="153">
        <f>IF(VLOOKUP(A400,'Aux - pivots1'!$A:$E,4,0)=0, "",VLOOKUP(A400,'Aux - pivots1'!$A:$E,4,0))</f>
        <v>45607</v>
      </c>
      <c r="L400" s="153">
        <f>IF(VLOOKUP(A400,'Aux - pivots1'!$A:$E,5,0)=0, "",VLOOKUP(A400,'Aux - pivots1'!$A:$E,5,0))</f>
        <v>45608</v>
      </c>
      <c r="M400" s="208"/>
      <c r="N400" s="208"/>
      <c r="O400" s="342" t="s">
        <v>29</v>
      </c>
    </row>
    <row r="401" spans="1:15" ht="16.2" hidden="1" customHeight="1">
      <c r="A401" s="30" t="str">
        <f t="shared" si="6"/>
        <v>modesg_out_emss_vclscempbem</v>
      </c>
      <c r="B401" s="142" t="s">
        <v>26</v>
      </c>
      <c r="C401" s="138" t="s">
        <v>311</v>
      </c>
      <c r="D401" s="134" t="s">
        <v>40</v>
      </c>
      <c r="E401" s="135" t="s">
        <v>332</v>
      </c>
      <c r="F401" s="134" t="s">
        <v>314</v>
      </c>
      <c r="G401" s="136" t="str">
        <f>VLOOKUP(A401,Plano_V3!$A$26:$G$593,7,0)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modesg_out_emss_vclsckbalbem</v>
      </c>
      <c r="B402" s="142" t="s">
        <v>26</v>
      </c>
      <c r="C402" s="138" t="s">
        <v>311</v>
      </c>
      <c r="D402" s="134" t="s">
        <v>40</v>
      </c>
      <c r="E402" s="135" t="s">
        <v>332</v>
      </c>
      <c r="F402" s="134" t="s">
        <v>315</v>
      </c>
      <c r="G402" s="136" t="str">
        <f>VLOOKUP(A402,Plano_V3!$A$26:$G$593,7,0)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si="6"/>
        <v>modesg_out_emss_vclsckctabem</v>
      </c>
      <c r="B403" s="142" t="s">
        <v>26</v>
      </c>
      <c r="C403" s="138" t="s">
        <v>311</v>
      </c>
      <c r="D403" s="134" t="s">
        <v>40</v>
      </c>
      <c r="E403" s="135" t="s">
        <v>332</v>
      </c>
      <c r="F403" s="134" t="s">
        <v>316</v>
      </c>
      <c r="G403" s="136" t="str">
        <f>VLOOKUP(A403,Plano_V3!$A$26:$G$593,7,0)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ref="A404:A467" si="7">E404&amp;F404</f>
        <v>modesg_out_emss_vclsckrefbem</v>
      </c>
      <c r="B404" s="142" t="s">
        <v>26</v>
      </c>
      <c r="C404" s="138" t="s">
        <v>311</v>
      </c>
      <c r="D404" s="134" t="s">
        <v>40</v>
      </c>
      <c r="E404" s="135" t="s">
        <v>332</v>
      </c>
      <c r="F404" s="134" t="s">
        <v>317</v>
      </c>
      <c r="G404" s="136" t="str">
        <f>VLOOKUP(A404,Plano_V3!$A$26:$G$593,7,0)</f>
        <v>1. Concluído</v>
      </c>
      <c r="H404" s="136" t="s">
        <v>613</v>
      </c>
      <c r="I404" s="154"/>
      <c r="J404" s="153" t="str">
        <f>IF(VLOOKUP(A404,'Aux - pivots1'!$A:$E,3,0)=0, "",VLOOKUP(A404,'Aux - pivots1'!$A:$E,3,0))</f>
        <v/>
      </c>
      <c r="K404" s="153" t="str">
        <f>IF(VLOOKUP(A404,'Aux - pivots1'!$A:$E,4,0)=0, "",VLOOKUP(A404,'Aux - pivots1'!$A:$E,4,0))</f>
        <v/>
      </c>
      <c r="L404" s="153" t="str">
        <f>IF(VLOOKUP(A404,'Aux - pivots1'!$A:$E,5,0)=0, "",VLOOKUP(A404,'Aux - pivots1'!$A:$E,5,0))</f>
        <v/>
      </c>
      <c r="M404" s="208"/>
      <c r="N404" s="208"/>
      <c r="O404" s="342" t="s">
        <v>29</v>
      </c>
    </row>
    <row r="405" spans="1:15" ht="16.2" hidden="1" customHeight="1">
      <c r="A405" s="30" t="str">
        <f t="shared" si="7"/>
        <v>modesg_out_emss_vclscnsm_co2</v>
      </c>
      <c r="B405" s="142" t="s">
        <v>26</v>
      </c>
      <c r="C405" s="138" t="s">
        <v>311</v>
      </c>
      <c r="D405" s="134" t="s">
        <v>40</v>
      </c>
      <c r="E405" s="135" t="s">
        <v>332</v>
      </c>
      <c r="F405" s="134" t="s">
        <v>188</v>
      </c>
      <c r="G405" s="136" t="str">
        <f>VLOOKUP(A405,Plano_V3!$A$26:$G$593,7,0)</f>
        <v>1. Concluído</v>
      </c>
      <c r="H405" s="136" t="s">
        <v>613</v>
      </c>
      <c r="I405" s="143" t="s">
        <v>658</v>
      </c>
      <c r="J405" s="153">
        <f>IF(VLOOKUP(A405,'Aux - pivots1'!$A:$E,3,0)=0, "",VLOOKUP(A405,'Aux - pivots1'!$A:$E,3,0))</f>
        <v>45559</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modesg_out_emss_vclsorigem_scp1_emss</v>
      </c>
      <c r="B406" s="142" t="s">
        <v>26</v>
      </c>
      <c r="C406" s="138" t="s">
        <v>311</v>
      </c>
      <c r="D406" s="134" t="s">
        <v>40</v>
      </c>
      <c r="E406" s="135" t="s">
        <v>332</v>
      </c>
      <c r="F406" s="134" t="s">
        <v>320</v>
      </c>
      <c r="G406" s="136" t="str">
        <f>VLOOKUP(A406,Plano_V3!$A$26:$G$593,7,0)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modesg_out_emss_vclsorigem_scp2_emss</v>
      </c>
      <c r="B407" s="142" t="s">
        <v>26</v>
      </c>
      <c r="C407" s="138" t="s">
        <v>311</v>
      </c>
      <c r="D407" s="134" t="s">
        <v>40</v>
      </c>
      <c r="E407" s="135" t="s">
        <v>332</v>
      </c>
      <c r="F407" s="134" t="s">
        <v>321</v>
      </c>
      <c r="G407" s="136" t="str">
        <f>VLOOKUP(A407,Plano_V3!$A$26:$G$593,7,0)</f>
        <v>1. Concluído</v>
      </c>
      <c r="H407" s="136" t="s">
        <v>613</v>
      </c>
      <c r="I407" s="143" t="s">
        <v>658</v>
      </c>
      <c r="J407" s="153">
        <f>IF(VLOOKUP(A407,'Aux - pivots1'!$A:$E,3,0)=0, "",VLOOKUP(A407,'Aux - pivots1'!$A:$E,3,0))</f>
        <v>45621</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modesg_out_emss_vclsorigem_scp3_emss</v>
      </c>
      <c r="B408" s="142" t="s">
        <v>26</v>
      </c>
      <c r="C408" s="138" t="s">
        <v>311</v>
      </c>
      <c r="D408" s="134" t="s">
        <v>40</v>
      </c>
      <c r="E408" s="135" t="s">
        <v>332</v>
      </c>
      <c r="F408" s="134" t="s">
        <v>322</v>
      </c>
      <c r="G408" s="136" t="str">
        <f>VLOOKUP(A408,Plano_V3!$A$26:$G$593,7,0)</f>
        <v>1. Concluído</v>
      </c>
      <c r="H408" s="136" t="s">
        <v>613</v>
      </c>
      <c r="I408" s="143" t="s">
        <v>658</v>
      </c>
      <c r="J408" s="153">
        <f>IF(VLOOKUP(A408,'Aux - pivots1'!$A:$E,3,0)=0, "",VLOOKUP(A408,'Aux - pivots1'!$A:$E,3,0))</f>
        <v>45569</v>
      </c>
      <c r="K408" s="153">
        <f>IF(VLOOKUP(A408,'Aux - pivots1'!$A:$E,4,0)=0, "",VLOOKUP(A408,'Aux - pivots1'!$A:$E,4,0))</f>
        <v>45607</v>
      </c>
      <c r="L408" s="153">
        <f>IF(VLOOKUP(A408,'Aux - pivots1'!$A:$E,5,0)=0, "",VLOOKUP(A408,'Aux - pivots1'!$A:$E,5,0))</f>
        <v>45608</v>
      </c>
      <c r="M408" s="208"/>
      <c r="N408" s="208"/>
      <c r="O408" s="342" t="s">
        <v>29</v>
      </c>
    </row>
    <row r="409" spans="1:15" ht="16.2" hidden="1" customHeight="1">
      <c r="A409" s="30" t="str">
        <f t="shared" si="7"/>
        <v>modesg_out_emss_vclsref_date</v>
      </c>
      <c r="B409" s="142" t="s">
        <v>26</v>
      </c>
      <c r="C409" s="138" t="s">
        <v>311</v>
      </c>
      <c r="D409" s="134" t="s">
        <v>40</v>
      </c>
      <c r="E409" s="135" t="s">
        <v>332</v>
      </c>
      <c r="F409" s="134" t="s">
        <v>208</v>
      </c>
      <c r="G409" s="136" t="str">
        <f>VLOOKUP(A409,Plano_V3!$A$26:$G$593,7,0)</f>
        <v>1. Concluído</v>
      </c>
      <c r="H409" s="136" t="s">
        <v>613</v>
      </c>
      <c r="I409" s="154"/>
      <c r="J409" s="153" t="str">
        <f>IF(VLOOKUP(A409,'Aux - pivots1'!$A:$E,3,0)=0, "",VLOOKUP(A409,'Aux - pivots1'!$A:$E,3,0))</f>
        <v/>
      </c>
      <c r="K409" s="153" t="str">
        <f>IF(VLOOKUP(A409,'Aux - pivots1'!$A:$E,4,0)=0, "",VLOOKUP(A409,'Aux - pivots1'!$A:$E,4,0))</f>
        <v/>
      </c>
      <c r="L409" s="153" t="str">
        <f>IF(VLOOKUP(A409,'Aux - pivots1'!$A:$E,5,0)=0, "",VLOOKUP(A409,'Aux - pivots1'!$A:$E,5,0))</f>
        <v/>
      </c>
      <c r="M409" s="208"/>
      <c r="N409" s="208"/>
      <c r="O409" s="342" t="s">
        <v>29</v>
      </c>
    </row>
    <row r="410" spans="1:15" ht="16.2" hidden="1" customHeight="1">
      <c r="A410" s="30" t="str">
        <f t="shared" si="7"/>
        <v>modesg_out_emss_vclsscp1_emss</v>
      </c>
      <c r="B410" s="142" t="s">
        <v>26</v>
      </c>
      <c r="C410" s="138" t="s">
        <v>311</v>
      </c>
      <c r="D410" s="134" t="s">
        <v>40</v>
      </c>
      <c r="E410" s="135" t="s">
        <v>332</v>
      </c>
      <c r="F410" s="134" t="s">
        <v>286</v>
      </c>
      <c r="G410" s="136" t="str">
        <f>VLOOKUP(A410,Plano_V3!$A$26:$G$593,7,0)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modesg_out_emss_vclsscp2_emss</v>
      </c>
      <c r="B411" s="142" t="s">
        <v>26</v>
      </c>
      <c r="C411" s="138" t="s">
        <v>311</v>
      </c>
      <c r="D411" s="134" t="s">
        <v>40</v>
      </c>
      <c r="E411" s="135" t="s">
        <v>332</v>
      </c>
      <c r="F411" s="134" t="s">
        <v>287</v>
      </c>
      <c r="G411" s="136" t="str">
        <f>VLOOKUP(A411,Plano_V3!$A$26:$G$593,7,0)</f>
        <v>1. Concluído</v>
      </c>
      <c r="H411" s="136" t="s">
        <v>613</v>
      </c>
      <c r="I411" s="143" t="s">
        <v>658</v>
      </c>
      <c r="J411" s="153">
        <f>IF(VLOOKUP(A411,'Aux - pivots1'!$A:$E,3,0)=0, "",VLOOKUP(A411,'Aux - pivots1'!$A:$E,3,0))</f>
        <v>45621</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modesg_out_emss_vclsscp3_emss</v>
      </c>
      <c r="B412" s="142" t="s">
        <v>26</v>
      </c>
      <c r="C412" s="138" t="s">
        <v>311</v>
      </c>
      <c r="D412" s="134" t="s">
        <v>40</v>
      </c>
      <c r="E412" s="135" t="s">
        <v>332</v>
      </c>
      <c r="F412" s="134" t="s">
        <v>288</v>
      </c>
      <c r="G412" s="136" t="str">
        <f>VLOOKUP(A412,Plano_V3!$A$26:$G$593,7,0)</f>
        <v>1. Concluído</v>
      </c>
      <c r="H412" s="136" t="s">
        <v>613</v>
      </c>
      <c r="I412" s="143" t="s">
        <v>658</v>
      </c>
      <c r="J412" s="153">
        <f>IF(VLOOKUP(A412,'Aux - pivots1'!$A:$E,3,0)=0, "",VLOOKUP(A412,'Aux - pivots1'!$A:$E,3,0))</f>
        <v>45569</v>
      </c>
      <c r="K412" s="153">
        <f>IF(VLOOKUP(A412,'Aux - pivots1'!$A:$E,4,0)=0, "",VLOOKUP(A412,'Aux - pivots1'!$A:$E,4,0))</f>
        <v>45607</v>
      </c>
      <c r="L412" s="153">
        <f>IF(VLOOKUP(A412,'Aux - pivots1'!$A:$E,5,0)=0, "",VLOOKUP(A412,'Aux - pivots1'!$A:$E,5,0))</f>
        <v>45608</v>
      </c>
      <c r="M412" s="208"/>
      <c r="N412" s="208"/>
      <c r="O412" s="342" t="s">
        <v>29</v>
      </c>
    </row>
    <row r="413" spans="1:15" ht="16.2" hidden="1" customHeight="1">
      <c r="A413" s="30" t="str">
        <f t="shared" si="7"/>
        <v>modesg_out_emss_vclsunidade_funcional_scp1_emss</v>
      </c>
      <c r="B413" s="142" t="s">
        <v>26</v>
      </c>
      <c r="C413" s="138" t="s">
        <v>311</v>
      </c>
      <c r="D413" s="134" t="s">
        <v>40</v>
      </c>
      <c r="E413" s="135" t="s">
        <v>332</v>
      </c>
      <c r="F413" s="134" t="s">
        <v>323</v>
      </c>
      <c r="G413" s="136" t="str">
        <f>VLOOKUP(A413,Plano_V3!$A$26:$G$593,7,0)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modesg_out_emss_vclsunidade_funcional_scp2_emss</v>
      </c>
      <c r="B414" s="142" t="s">
        <v>26</v>
      </c>
      <c r="C414" s="138" t="s">
        <v>311</v>
      </c>
      <c r="D414" s="134" t="s">
        <v>40</v>
      </c>
      <c r="E414" s="135" t="s">
        <v>332</v>
      </c>
      <c r="F414" s="134" t="s">
        <v>324</v>
      </c>
      <c r="G414" s="136" t="str">
        <f>VLOOKUP(A414,Plano_V3!$A$26:$G$593,7,0)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modesg_out_emss_vclsunidade_funcional_scp3_emss</v>
      </c>
      <c r="B415" s="142" t="s">
        <v>26</v>
      </c>
      <c r="C415" s="138" t="s">
        <v>311</v>
      </c>
      <c r="D415" s="134" t="s">
        <v>40</v>
      </c>
      <c r="E415" s="135" t="s">
        <v>332</v>
      </c>
      <c r="F415" s="134" t="s">
        <v>325</v>
      </c>
      <c r="G415" s="136" t="str">
        <f>VLOOKUP(A415,Plano_V3!$A$26:$G$593,7,0)</f>
        <v>1. Concluído</v>
      </c>
      <c r="H415" s="136" t="s">
        <v>613</v>
      </c>
      <c r="I415" s="154"/>
      <c r="J415" s="153" t="str">
        <f>IF(VLOOKUP(A415,'Aux - pivots1'!$A:$E,3,0)=0, "",VLOOKUP(A415,'Aux - pivots1'!$A:$E,3,0))</f>
        <v/>
      </c>
      <c r="K415" s="153" t="str">
        <f>IF(VLOOKUP(A415,'Aux - pivots1'!$A:$E,4,0)=0, "",VLOOKUP(A415,'Aux - pivots1'!$A:$E,4,0))</f>
        <v/>
      </c>
      <c r="L415" s="153" t="str">
        <f>IF(VLOOKUP(A415,'Aux - pivots1'!$A:$E,5,0)=0, "",VLOOKUP(A415,'Aux - pivots1'!$A:$E,5,0))</f>
        <v/>
      </c>
      <c r="M415" s="208"/>
      <c r="N415" s="208"/>
      <c r="O415" s="342" t="s">
        <v>29</v>
      </c>
    </row>
    <row r="416" spans="1:15" ht="16.2" hidden="1" customHeight="1">
      <c r="A416" s="30" t="str">
        <f t="shared" si="7"/>
        <v>modesg_out_sfcs_taxon_europeian.a.</v>
      </c>
      <c r="B416" s="142" t="s">
        <v>26</v>
      </c>
      <c r="C416" s="138" t="s">
        <v>311</v>
      </c>
      <c r="D416" s="134" t="s">
        <v>36</v>
      </c>
      <c r="E416" s="135" t="s">
        <v>334</v>
      </c>
      <c r="F416" s="134" t="s">
        <v>38</v>
      </c>
      <c r="G416" s="136" t="str">
        <f>VLOOKUP(A416,Plano_V3!$A$26:$G$593,7,0)</f>
        <v>4. Validação EF</v>
      </c>
      <c r="H416" s="136" t="s">
        <v>1922</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modesg_out_sfcs_taxon_europeiacbalcao</v>
      </c>
      <c r="B417" s="142" t="s">
        <v>26</v>
      </c>
      <c r="C417" s="138" t="s">
        <v>311</v>
      </c>
      <c r="D417" s="134" t="s">
        <v>40</v>
      </c>
      <c r="E417" s="135" t="s">
        <v>334</v>
      </c>
      <c r="F417" s="134" t="s">
        <v>183</v>
      </c>
      <c r="G417" s="136" t="str">
        <f>VLOOKUP(A417,Plano_V3!$A$26:$G$593,7,0)</f>
        <v>4. Validação EF</v>
      </c>
      <c r="H417" s="136" t="s">
        <v>1922</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modesg_out_sfcs_taxon_europeiacempresa</v>
      </c>
      <c r="B418" s="142" t="s">
        <v>26</v>
      </c>
      <c r="C418" s="138" t="s">
        <v>311</v>
      </c>
      <c r="D418" s="134" t="s">
        <v>40</v>
      </c>
      <c r="E418" s="135" t="s">
        <v>334</v>
      </c>
      <c r="F418" s="134" t="s">
        <v>184</v>
      </c>
      <c r="G418" s="136" t="str">
        <f>VLOOKUP(A418,Plano_V3!$A$26:$G$593,7,0)</f>
        <v>4. Validação EF</v>
      </c>
      <c r="H418" s="136" t="s">
        <v>1922</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modesg_out_sfcs_taxon_europeiacnumecta</v>
      </c>
      <c r="B419" s="142" t="s">
        <v>26</v>
      </c>
      <c r="C419" s="138" t="s">
        <v>311</v>
      </c>
      <c r="D419" s="134" t="s">
        <v>40</v>
      </c>
      <c r="E419" s="135" t="s">
        <v>334</v>
      </c>
      <c r="F419" s="134" t="s">
        <v>189</v>
      </c>
      <c r="G419" s="136" t="str">
        <f>VLOOKUP(A419,Plano_V3!$A$26:$G$593,7,0)</f>
        <v>4. Validação EF</v>
      </c>
      <c r="H419" s="136" t="s">
        <v>1922</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modesg_out_sfcs_taxon_europeiacod_regra</v>
      </c>
      <c r="B420" s="142" t="s">
        <v>26</v>
      </c>
      <c r="C420" s="138" t="s">
        <v>311</v>
      </c>
      <c r="D420" s="134" t="s">
        <v>40</v>
      </c>
      <c r="E420" s="135" t="s">
        <v>334</v>
      </c>
      <c r="F420" s="134" t="s">
        <v>191</v>
      </c>
      <c r="G420" s="136" t="str">
        <f>VLOOKUP(A420,Plano_V3!$A$26:$G$593,7,0)</f>
        <v>4. Validação EF</v>
      </c>
      <c r="H420" s="136" t="s">
        <v>1922</v>
      </c>
      <c r="I420" s="143" t="s">
        <v>656</v>
      </c>
      <c r="J420" s="153">
        <f>IF(VLOOKUP(A420,'Aux - pivots1'!$A:$E,3,0)=0, "",VLOOKUP(A420,'Aux - pivots1'!$A:$E,3,0))</f>
        <v>45563</v>
      </c>
      <c r="K420" s="153">
        <f>IF(VLOOKUP(A420,'Aux - pivots1'!$A:$E,4,0)=0, "",VLOOKUP(A420,'Aux - pivots1'!$A:$E,4,0))</f>
        <v>45624</v>
      </c>
      <c r="L420" s="153">
        <f>IF(VLOOKUP(A420,'Aux - pivots1'!$A:$E,5,0)=0, "",VLOOKUP(A420,'Aux - pivots1'!$A:$E,5,0))</f>
        <v>45629</v>
      </c>
      <c r="M420" s="208"/>
      <c r="N420" s="208"/>
      <c r="O420" s="342" t="s">
        <v>29</v>
      </c>
    </row>
    <row r="421" spans="1:15" ht="16.2" hidden="1" customHeight="1">
      <c r="A421" s="30" t="str">
        <f t="shared" si="7"/>
        <v>modesg_out_sfcs_taxon_europeiaordem</v>
      </c>
      <c r="B421" s="142" t="s">
        <v>26</v>
      </c>
      <c r="C421" s="138" t="s">
        <v>311</v>
      </c>
      <c r="D421" s="134" t="s">
        <v>40</v>
      </c>
      <c r="E421" s="135" t="s">
        <v>334</v>
      </c>
      <c r="F421" s="134" t="s">
        <v>211</v>
      </c>
      <c r="G421" s="136" t="str">
        <f>VLOOKUP(A421,Plano_V3!$A$26:$G$593,7,0)</f>
        <v>0. Cancelado</v>
      </c>
      <c r="H421" s="136" t="s">
        <v>612</v>
      </c>
      <c r="I421" s="145" t="s">
        <v>655</v>
      </c>
      <c r="J421" s="153">
        <f>IF(VLOOKUP(A421,'Aux - pivots1'!$A:$E,3,0)=0, "",VLOOKUP(A421,'Aux - pivots1'!$A:$E,3,0))</f>
        <v>45562</v>
      </c>
      <c r="K421" s="153" t="str">
        <f>IF(VLOOKUP(A421,'Aux - pivots1'!$A:$E,4,0)=0, "",VLOOKUP(A421,'Aux - pivots1'!$A:$E,4,0))</f>
        <v/>
      </c>
      <c r="L421" s="153" t="str">
        <f>IF(VLOOKUP(A421,'Aux - pivots1'!$A:$E,5,0)=0, "",VLOOKUP(A421,'Aux - pivots1'!$A:$E,5,0))</f>
        <v/>
      </c>
      <c r="M421" s="208"/>
      <c r="N421" s="208"/>
      <c r="O421" s="342" t="s">
        <v>29</v>
      </c>
    </row>
    <row r="422" spans="1:15" ht="16.2" hidden="1" customHeight="1">
      <c r="A422" s="30" t="str">
        <f t="shared" si="7"/>
        <v>modesg_out_sfcs_taxon_europeiamontante_pndrc</v>
      </c>
      <c r="B422" s="142" t="s">
        <v>26</v>
      </c>
      <c r="C422" s="138" t="s">
        <v>311</v>
      </c>
      <c r="D422" s="134" t="s">
        <v>40</v>
      </c>
      <c r="E422" s="135" t="s">
        <v>334</v>
      </c>
      <c r="F422" s="134" t="s">
        <v>202</v>
      </c>
      <c r="G422" s="136" t="str">
        <f>VLOOKUP(A422,Plano_V3!$A$26:$G$593,7,0)</f>
        <v>4. Validação EF</v>
      </c>
      <c r="H422" s="136" t="s">
        <v>1922</v>
      </c>
      <c r="I422" s="143" t="s">
        <v>656</v>
      </c>
      <c r="J422" s="153">
        <f>IF(VLOOKUP(A422,'Aux - pivots1'!$A:$E,3,0)=0, "",VLOOKUP(A422,'Aux - pivots1'!$A:$E,3,0))</f>
        <v>45563</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modesg_out_sfcs_taxon_europeianome_ctgr_sfcs</v>
      </c>
      <c r="B423" s="142" t="s">
        <v>26</v>
      </c>
      <c r="C423" s="138" t="s">
        <v>311</v>
      </c>
      <c r="D423" s="134" t="s">
        <v>40</v>
      </c>
      <c r="E423" s="135" t="s">
        <v>334</v>
      </c>
      <c r="F423" s="134" t="s">
        <v>203</v>
      </c>
      <c r="G423" s="136" t="str">
        <f>VLOOKUP(A423,Plano_V3!$A$26:$G$593,7,0)</f>
        <v>4. Validação EF</v>
      </c>
      <c r="H423" s="136" t="s">
        <v>1922</v>
      </c>
      <c r="I423" s="143" t="s">
        <v>656</v>
      </c>
      <c r="J423" s="153">
        <f>IF(VLOOKUP(A423,'Aux - pivots1'!$A:$E,3,0)=0, "",VLOOKUP(A423,'Aux - pivots1'!$A:$E,3,0))</f>
        <v>45562</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modesg_out_sfcs_taxon_europeianome_general_specific_purpose</v>
      </c>
      <c r="B424" s="142" t="s">
        <v>26</v>
      </c>
      <c r="C424" s="138" t="s">
        <v>311</v>
      </c>
      <c r="D424" s="134" t="s">
        <v>40</v>
      </c>
      <c r="E424" s="135" t="s">
        <v>334</v>
      </c>
      <c r="F424" s="134" t="s">
        <v>204</v>
      </c>
      <c r="G424" s="136" t="str">
        <f>VLOOKUP(A424,Plano_V3!$A$26:$G$593,7,0)</f>
        <v>4. Validação EF</v>
      </c>
      <c r="H424" s="136" t="s">
        <v>1922</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modesg_out_sfcs_taxon_europeianome_purpose_esg</v>
      </c>
      <c r="B425" s="142" t="s">
        <v>26</v>
      </c>
      <c r="C425" s="138" t="s">
        <v>311</v>
      </c>
      <c r="D425" s="134" t="s">
        <v>40</v>
      </c>
      <c r="E425" s="135" t="s">
        <v>334</v>
      </c>
      <c r="F425" s="134" t="s">
        <v>205</v>
      </c>
      <c r="G425" s="136" t="str">
        <f>VLOOKUP(A425,Plano_V3!$A$26:$G$593,7,0)</f>
        <v>4. Validação EF</v>
      </c>
      <c r="H425" s="136" t="s">
        <v>1922</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modesg_out_sfcs_taxon_europeianome_specific_eligible</v>
      </c>
      <c r="B426" s="142" t="s">
        <v>26</v>
      </c>
      <c r="C426" s="138" t="s">
        <v>311</v>
      </c>
      <c r="D426" s="134" t="s">
        <v>40</v>
      </c>
      <c r="E426" s="135" t="s">
        <v>334</v>
      </c>
      <c r="F426" s="134" t="s">
        <v>206</v>
      </c>
      <c r="G426" s="136" t="str">
        <f>VLOOKUP(A426,Plano_V3!$A$26:$G$593,7,0)</f>
        <v>4. Validação EF</v>
      </c>
      <c r="H426" s="136" t="s">
        <v>1922</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modesg_out_sfcs_taxon_europeianome_specific_sustainable</v>
      </c>
      <c r="B427" s="142" t="s">
        <v>26</v>
      </c>
      <c r="C427" s="138" t="s">
        <v>311</v>
      </c>
      <c r="D427" s="134" t="s">
        <v>40</v>
      </c>
      <c r="E427" s="135" t="s">
        <v>334</v>
      </c>
      <c r="F427" s="134" t="s">
        <v>207</v>
      </c>
      <c r="G427" s="136" t="str">
        <f>VLOOKUP(A427,Plano_V3!$A$26:$G$593,7,0)</f>
        <v>4. Validação EF</v>
      </c>
      <c r="H427" s="136" t="s">
        <v>1922</v>
      </c>
      <c r="I427" s="143" t="s">
        <v>656</v>
      </c>
      <c r="J427" s="153">
        <f>IF(VLOOKUP(A427,'Aux - pivots1'!$A:$E,3,0)=0, "",VLOOKUP(A427,'Aux - pivots1'!$A:$E,3,0))</f>
        <v>45563</v>
      </c>
      <c r="K427" s="153">
        <f>IF(VLOOKUP(A427,'Aux - pivots1'!$A:$E,4,0)=0, "",VLOOKUP(A427,'Aux - pivots1'!$A:$E,4,0))</f>
        <v>45624</v>
      </c>
      <c r="L427" s="153">
        <f>IF(VLOOKUP(A427,'Aux - pivots1'!$A:$E,5,0)=0, "",VLOOKUP(A427,'Aux - pivots1'!$A:$E,5,0))</f>
        <v>45629</v>
      </c>
      <c r="M427" s="208"/>
      <c r="N427" s="208"/>
      <c r="O427" s="342" t="s">
        <v>29</v>
      </c>
    </row>
    <row r="428" spans="1:15" ht="16.2" hidden="1" customHeight="1">
      <c r="A428" s="30" t="str">
        <f t="shared" si="7"/>
        <v>modesg_out_sfcs_taxon_europeiaorigem</v>
      </c>
      <c r="B428" s="142" t="s">
        <v>26</v>
      </c>
      <c r="C428" s="138" t="s">
        <v>311</v>
      </c>
      <c r="D428" s="134" t="s">
        <v>40</v>
      </c>
      <c r="E428" s="135" t="s">
        <v>334</v>
      </c>
      <c r="F428" s="134" t="s">
        <v>72</v>
      </c>
      <c r="G428" s="136" t="str">
        <f>VLOOKUP(A428,Plano_V3!$A$26:$G$593,7,0)</f>
        <v>1. Concluído</v>
      </c>
      <c r="H428" s="136" t="s">
        <v>613</v>
      </c>
      <c r="I428" s="143"/>
      <c r="J428" s="153" t="str">
        <f>IF(VLOOKUP(A428,'Aux - pivots1'!$A:$E,3,0)=0, "",VLOOKUP(A428,'Aux - pivots1'!$A:$E,3,0))</f>
        <v/>
      </c>
      <c r="K428" s="153" t="str">
        <f>IF(VLOOKUP(A428,'Aux - pivots1'!$A:$E,4,0)=0, "",VLOOKUP(A428,'Aux - pivots1'!$A:$E,4,0))</f>
        <v/>
      </c>
      <c r="L428" s="153" t="str">
        <f>IF(VLOOKUP(A428,'Aux - pivots1'!$A:$E,5,0)=0, "",VLOOKUP(A428,'Aux - pivots1'!$A:$E,5,0))</f>
        <v/>
      </c>
      <c r="M428" s="208"/>
      <c r="N428" s="208"/>
      <c r="O428" s="342" t="s">
        <v>29</v>
      </c>
    </row>
    <row r="429" spans="1:15" ht="16.2" hidden="1" customHeight="1">
      <c r="A429" s="30" t="str">
        <f t="shared" si="7"/>
        <v>modesg_out_sfcs_taxon_europeiaref_date</v>
      </c>
      <c r="B429" s="142" t="s">
        <v>26</v>
      </c>
      <c r="C429" s="138" t="s">
        <v>311</v>
      </c>
      <c r="D429" s="134" t="s">
        <v>40</v>
      </c>
      <c r="E429" s="135" t="s">
        <v>334</v>
      </c>
      <c r="F429" s="134" t="s">
        <v>208</v>
      </c>
      <c r="G429" s="136" t="str">
        <f>VLOOKUP(A429,Plano_V3!$A$26:$G$593,7,0)</f>
        <v>4. Validação EF</v>
      </c>
      <c r="H429" s="136" t="s">
        <v>1922</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modesg_out_sfcs_taxon_europeiazdeposit</v>
      </c>
      <c r="B430" s="142" t="s">
        <v>26</v>
      </c>
      <c r="C430" s="138" t="s">
        <v>311</v>
      </c>
      <c r="D430" s="134" t="s">
        <v>40</v>
      </c>
      <c r="E430" s="135" t="s">
        <v>334</v>
      </c>
      <c r="F430" s="134" t="s">
        <v>210</v>
      </c>
      <c r="G430" s="136" t="str">
        <f>VLOOKUP(A430,Plano_V3!$A$26:$G$593,7,0)</f>
        <v>4. Validação EF</v>
      </c>
      <c r="H430" s="136" t="s">
        <v>1922</v>
      </c>
      <c r="I430" s="143" t="s">
        <v>656</v>
      </c>
      <c r="J430" s="153">
        <f>IF(VLOOKUP(A430,'Aux - pivots1'!$A:$E,3,0)=0, "",VLOOKUP(A430,'Aux - pivots1'!$A:$E,3,0))</f>
        <v>45561</v>
      </c>
      <c r="K430" s="153">
        <f>IF(VLOOKUP(A430,'Aux - pivots1'!$A:$E,4,0)=0, "",VLOOKUP(A430,'Aux - pivots1'!$A:$E,4,0))</f>
        <v>45624</v>
      </c>
      <c r="L430" s="153">
        <f>IF(VLOOKUP(A430,'Aux - pivots1'!$A:$E,5,0)=0, "",VLOOKUP(A430,'Aux - pivots1'!$A:$E,5,0))</f>
        <v>45629</v>
      </c>
      <c r="M430" s="208"/>
      <c r="N430" s="208"/>
      <c r="O430" s="342" t="s">
        <v>29</v>
      </c>
    </row>
    <row r="431" spans="1:15" ht="16.2" hidden="1" customHeight="1">
      <c r="A431" s="30" t="str">
        <f t="shared" si="7"/>
        <v>lt003_entitynace_esg</v>
      </c>
      <c r="B431" s="142" t="s">
        <v>26</v>
      </c>
      <c r="C431" s="138" t="s">
        <v>26</v>
      </c>
      <c r="D431" s="134" t="s">
        <v>40</v>
      </c>
      <c r="E431" s="137" t="s">
        <v>336</v>
      </c>
      <c r="F431" s="137" t="s">
        <v>337</v>
      </c>
      <c r="G431" s="136" t="str">
        <f>VLOOKUP(A431,Plano_V3!$A$26:$G$593,7,0)</f>
        <v>1. Concluído</v>
      </c>
      <c r="H431" s="136" t="s">
        <v>614</v>
      </c>
      <c r="I431" s="143"/>
      <c r="J431" s="153">
        <f>IF(VLOOKUP(A431,'Aux - pivots1'!$A:$E,3,0)=0, "",VLOOKUP(A431,'Aux - pivots1'!$A:$E,3,0))</f>
        <v>45583</v>
      </c>
      <c r="K431" s="153" t="str">
        <f>IF(VLOOKUP(A431,'Aux - pivots1'!$A:$E,4,0)=0, "",VLOOKUP(A431,'Aux - pivots1'!$A:$E,4,0))</f>
        <v/>
      </c>
      <c r="L431" s="153">
        <f>IF(VLOOKUP(A431,'Aux - pivots1'!$A:$E,5,0)=0, "",VLOOKUP(A431,'Aux - pivots1'!$A:$E,5,0))</f>
        <v>45596</v>
      </c>
      <c r="M431" s="208"/>
      <c r="N431" s="208"/>
      <c r="O431" s="342" t="s">
        <v>26</v>
      </c>
    </row>
    <row r="432" spans="1:15" ht="16.2" hidden="1" customHeight="1">
      <c r="A432" s="30" t="str">
        <f t="shared" si="7"/>
        <v>lt003_entitytxnmy_elgbl_capex_ccm</v>
      </c>
      <c r="B432" s="142" t="s">
        <v>26</v>
      </c>
      <c r="C432" s="138" t="s">
        <v>26</v>
      </c>
      <c r="D432" s="134" t="s">
        <v>40</v>
      </c>
      <c r="E432" s="137" t="s">
        <v>336</v>
      </c>
      <c r="F432" s="137" t="s">
        <v>339</v>
      </c>
      <c r="G432" s="136" t="str">
        <f>VLOOKUP(A432,Plano_V3!$A$26:$G$593,7,0)</f>
        <v>1. Concluído</v>
      </c>
      <c r="H432" s="136" t="s">
        <v>613</v>
      </c>
      <c r="I432" s="143"/>
      <c r="J432" s="153">
        <f>IF(VLOOKUP(A432,'Aux - pivots1'!$A:$E,3,0)=0, "",VLOOKUP(A432,'Aux - pivots1'!$A:$E,3,0))</f>
        <v>45583</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lt003_entitytxnmy_elgbl_trnvr_ccm</v>
      </c>
      <c r="B433" s="142" t="s">
        <v>26</v>
      </c>
      <c r="C433" s="138" t="s">
        <v>26</v>
      </c>
      <c r="D433" s="134" t="s">
        <v>40</v>
      </c>
      <c r="E433" s="137" t="s">
        <v>336</v>
      </c>
      <c r="F433" s="137" t="s">
        <v>340</v>
      </c>
      <c r="G433" s="136" t="str">
        <f>VLOOKUP(A433,Plano_V3!$A$26:$G$593,7,0)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lt003_entitytxnmy_elgbl_capex_cca</v>
      </c>
      <c r="B434" s="142" t="s">
        <v>26</v>
      </c>
      <c r="C434" s="138" t="s">
        <v>26</v>
      </c>
      <c r="D434" s="134" t="s">
        <v>40</v>
      </c>
      <c r="E434" s="137" t="s">
        <v>336</v>
      </c>
      <c r="F434" s="137" t="s">
        <v>341</v>
      </c>
      <c r="G434" s="136" t="str">
        <f>VLOOKUP(A434,Plano_V3!$A$26:$G$593,7,0)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lt003_entitytxnmy_elgbl_trnvr_cca</v>
      </c>
      <c r="B435" s="142" t="s">
        <v>26</v>
      </c>
      <c r="C435" s="138" t="s">
        <v>26</v>
      </c>
      <c r="D435" s="134" t="s">
        <v>40</v>
      </c>
      <c r="E435" s="137" t="s">
        <v>336</v>
      </c>
      <c r="F435" s="137" t="s">
        <v>342</v>
      </c>
      <c r="G435" s="136" t="str">
        <f>VLOOKUP(A435,Plano_V3!$A$26:$G$593,7,0)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lt003_entityenblng_capex_ccm</v>
      </c>
      <c r="B436" s="142" t="s">
        <v>26</v>
      </c>
      <c r="C436" s="138" t="s">
        <v>26</v>
      </c>
      <c r="D436" s="134" t="s">
        <v>40</v>
      </c>
      <c r="E436" s="137" t="s">
        <v>336</v>
      </c>
      <c r="F436" s="137" t="s">
        <v>343</v>
      </c>
      <c r="G436" s="136" t="str">
        <f>VLOOKUP(A436,Plano_V3!$A$26:$G$593,7,0)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lt003_entityenblng_capex_cca</v>
      </c>
      <c r="B437" s="142" t="s">
        <v>26</v>
      </c>
      <c r="C437" s="138" t="s">
        <v>26</v>
      </c>
      <c r="D437" s="134" t="s">
        <v>40</v>
      </c>
      <c r="E437" s="137" t="s">
        <v>336</v>
      </c>
      <c r="F437" s="137" t="s">
        <v>344</v>
      </c>
      <c r="G437" s="136" t="str">
        <f>VLOOKUP(A437,Plano_V3!$A$26:$G$593,7,0)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lt003_entitytrnstnl_capex</v>
      </c>
      <c r="B438" s="142" t="s">
        <v>26</v>
      </c>
      <c r="C438" s="138" t="s">
        <v>26</v>
      </c>
      <c r="D438" s="134" t="s">
        <v>40</v>
      </c>
      <c r="E438" s="137" t="s">
        <v>336</v>
      </c>
      <c r="F438" s="137" t="s">
        <v>345</v>
      </c>
      <c r="G438" s="136" t="str">
        <f>VLOOKUP(A438,Plano_V3!$A$26:$G$593,7,0)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lt003_entitypure_capex_ccm</v>
      </c>
      <c r="B439" s="142" t="s">
        <v>26</v>
      </c>
      <c r="C439" s="138" t="s">
        <v>26</v>
      </c>
      <c r="D439" s="134" t="s">
        <v>40</v>
      </c>
      <c r="E439" s="137" t="s">
        <v>336</v>
      </c>
      <c r="F439" s="137" t="s">
        <v>346</v>
      </c>
      <c r="G439" s="136" t="str">
        <f>VLOOKUP(A439,Plano_V3!$A$26:$G$593,7,0)</f>
        <v>1. Concluído</v>
      </c>
      <c r="H439" s="136" t="s">
        <v>613</v>
      </c>
      <c r="I439" s="143"/>
      <c r="J439" s="153" t="str">
        <f>IF(VLOOKUP(A439,'Aux - pivots1'!$A:$E,3,0)=0, "",VLOOKUP(A439,'Aux - pivots1'!$A:$E,3,0))</f>
        <v/>
      </c>
      <c r="K439" s="153">
        <f>IF(VLOOKUP(A439,'Aux - pivots1'!$A:$E,4,0)=0, "",VLOOKUP(A439,'Aux - pivots1'!$A:$E,4,0))</f>
        <v>45614</v>
      </c>
      <c r="L439" s="153">
        <f>IF(VLOOKUP(A439,'Aux - pivots1'!$A:$E,5,0)=0, "",VLOOKUP(A439,'Aux - pivots1'!$A:$E,5,0))</f>
        <v>45596</v>
      </c>
      <c r="M439" s="208"/>
      <c r="N439" s="208"/>
      <c r="O439" s="342" t="s">
        <v>26</v>
      </c>
    </row>
    <row r="440" spans="1:15" ht="16.2" hidden="1" customHeight="1">
      <c r="A440" s="30" t="str">
        <f t="shared" si="7"/>
        <v>lt003_entitypure_capex_cca</v>
      </c>
      <c r="B440" s="142" t="s">
        <v>26</v>
      </c>
      <c r="C440" s="138" t="s">
        <v>26</v>
      </c>
      <c r="D440" s="134" t="s">
        <v>40</v>
      </c>
      <c r="E440" s="137" t="s">
        <v>336</v>
      </c>
      <c r="F440" s="137" t="s">
        <v>347</v>
      </c>
      <c r="G440" s="136" t="str">
        <f>VLOOKUP(A440,Plano_V3!$A$26:$G$593,7,0)</f>
        <v>1. Concluído</v>
      </c>
      <c r="H440" s="136" t="s">
        <v>613</v>
      </c>
      <c r="I440" s="143"/>
      <c r="J440" s="153" t="str">
        <f>IF(VLOOKUP(A440,'Aux - pivots1'!$A:$E,3,0)=0, "",VLOOKUP(A440,'Aux - pivots1'!$A:$E,3,0))</f>
        <v/>
      </c>
      <c r="K440" s="153">
        <f>IF(VLOOKUP(A440,'Aux - pivots1'!$A:$E,4,0)=0, "",VLOOKUP(A440,'Aux - pivots1'!$A:$E,4,0))</f>
        <v>45611</v>
      </c>
      <c r="L440" s="153">
        <f>IF(VLOOKUP(A440,'Aux - pivots1'!$A:$E,5,0)=0, "",VLOOKUP(A440,'Aux - pivots1'!$A:$E,5,0))</f>
        <v>45611</v>
      </c>
      <c r="M440" s="208"/>
      <c r="N440" s="208"/>
      <c r="O440" s="342" t="s">
        <v>26</v>
      </c>
    </row>
    <row r="441" spans="1:15" ht="16.2" hidden="1" customHeight="1">
      <c r="A441" s="30" t="str">
        <f t="shared" si="7"/>
        <v>lt003_entityenblng_trnvr_ccm</v>
      </c>
      <c r="B441" s="142" t="s">
        <v>26</v>
      </c>
      <c r="C441" s="138" t="s">
        <v>26</v>
      </c>
      <c r="D441" s="134" t="s">
        <v>40</v>
      </c>
      <c r="E441" s="137" t="s">
        <v>336</v>
      </c>
      <c r="F441" s="137" t="s">
        <v>348</v>
      </c>
      <c r="G441" s="136" t="str">
        <f>VLOOKUP(A441,Plano_V3!$A$26:$G$593,7,0)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lt003_entityenblng_trnvr_cca</v>
      </c>
      <c r="B442" s="142" t="s">
        <v>26</v>
      </c>
      <c r="C442" s="138" t="s">
        <v>26</v>
      </c>
      <c r="D442" s="134" t="s">
        <v>40</v>
      </c>
      <c r="E442" s="137" t="s">
        <v>336</v>
      </c>
      <c r="F442" s="137" t="s">
        <v>349</v>
      </c>
      <c r="G442" s="136" t="str">
        <f>VLOOKUP(A442,Plano_V3!$A$26:$G$593,7,0)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lt003_entitytrnstnl_trnvr</v>
      </c>
      <c r="B443" s="142" t="s">
        <v>26</v>
      </c>
      <c r="C443" s="138" t="s">
        <v>26</v>
      </c>
      <c r="D443" s="134" t="s">
        <v>40</v>
      </c>
      <c r="E443" s="137" t="s">
        <v>336</v>
      </c>
      <c r="F443" s="137" t="s">
        <v>350</v>
      </c>
      <c r="G443" s="136" t="str">
        <f>VLOOKUP(A443,Plano_V3!$A$26:$G$593,7,0)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lt003_entitypure_trnvr_ccm</v>
      </c>
      <c r="B444" s="142" t="s">
        <v>26</v>
      </c>
      <c r="C444" s="138" t="s">
        <v>26</v>
      </c>
      <c r="D444" s="134" t="s">
        <v>40</v>
      </c>
      <c r="E444" s="137" t="s">
        <v>336</v>
      </c>
      <c r="F444" s="137" t="s">
        <v>351</v>
      </c>
      <c r="G444" s="136" t="str">
        <f>VLOOKUP(A444,Plano_V3!$A$26:$G$593,7,0)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lt003_entitypure_trnvr_cca</v>
      </c>
      <c r="B445" s="142" t="s">
        <v>26</v>
      </c>
      <c r="C445" s="138" t="s">
        <v>26</v>
      </c>
      <c r="D445" s="134" t="s">
        <v>40</v>
      </c>
      <c r="E445" s="137" t="s">
        <v>336</v>
      </c>
      <c r="F445" s="137" t="s">
        <v>352</v>
      </c>
      <c r="G445" s="136" t="str">
        <f>VLOOKUP(A445,Plano_V3!$A$26:$G$593,7,0)</f>
        <v>1. Concluído</v>
      </c>
      <c r="H445" s="136" t="s">
        <v>613</v>
      </c>
      <c r="I445" s="143"/>
      <c r="J445" s="153" t="str">
        <f>IF(VLOOKUP(A445,'Aux - pivots1'!$A:$E,3,0)=0, "",VLOOKUP(A445,'Aux - pivots1'!$A:$E,3,0))</f>
        <v/>
      </c>
      <c r="K445" s="153">
        <f>IF(VLOOKUP(A445,'Aux - pivots1'!$A:$E,4,0)=0, "",VLOOKUP(A445,'Aux - pivots1'!$A:$E,4,0))</f>
        <v>45614</v>
      </c>
      <c r="L445" s="153">
        <f>IF(VLOOKUP(A445,'Aux - pivots1'!$A:$E,5,0)=0, "",VLOOKUP(A445,'Aux - pivots1'!$A:$E,5,0))</f>
        <v>45596</v>
      </c>
      <c r="M445" s="208"/>
      <c r="N445" s="208"/>
      <c r="O445" s="342" t="s">
        <v>26</v>
      </c>
    </row>
    <row r="446" spans="1:15" ht="16.2" hidden="1" customHeight="1">
      <c r="A446" s="30" t="str">
        <f t="shared" si="7"/>
        <v>lt003_entityflg_nfrd_applcblty</v>
      </c>
      <c r="B446" s="142" t="s">
        <v>26</v>
      </c>
      <c r="C446" s="138" t="s">
        <v>26</v>
      </c>
      <c r="D446" s="134" t="s">
        <v>40</v>
      </c>
      <c r="E446" s="137" t="s">
        <v>336</v>
      </c>
      <c r="F446" s="137" t="s">
        <v>353</v>
      </c>
      <c r="G446" s="136" t="str">
        <f>VLOOKUP(A446,Plano_V3!$A$26:$G$593,7,0)</f>
        <v>1. Concluído</v>
      </c>
      <c r="H446" s="136" t="s">
        <v>613</v>
      </c>
      <c r="I446" s="143"/>
      <c r="J446" s="153">
        <f>IF(VLOOKUP(A446,'Aux - pivots1'!$A:$E,3,0)=0, "",VLOOKUP(A446,'Aux - pivots1'!$A:$E,3,0))</f>
        <v>45589</v>
      </c>
      <c r="K446" s="153">
        <f>IF(VLOOKUP(A446,'Aux - pivots1'!$A:$E,4,0)=0, "",VLOOKUP(A446,'Aux - pivots1'!$A:$E,4,0))</f>
        <v>45611</v>
      </c>
      <c r="L446" s="153">
        <f>IF(VLOOKUP(A446,'Aux - pivots1'!$A:$E,5,0)=0, "",VLOOKUP(A446,'Aux - pivots1'!$A:$E,5,0))</f>
        <v>45611</v>
      </c>
      <c r="M446" s="208"/>
      <c r="N446" s="208"/>
      <c r="O446" s="342" t="s">
        <v>26</v>
      </c>
    </row>
    <row r="447" spans="1:15" ht="16.2" hidden="1" customHeight="1">
      <c r="A447" s="30" t="str">
        <f t="shared" si="7"/>
        <v>lt003_entitycntrprty_emssns_scp1</v>
      </c>
      <c r="B447" s="142" t="s">
        <v>26</v>
      </c>
      <c r="C447" s="138" t="s">
        <v>26</v>
      </c>
      <c r="D447" s="134" t="s">
        <v>40</v>
      </c>
      <c r="E447" s="137" t="s">
        <v>336</v>
      </c>
      <c r="F447" s="137" t="s">
        <v>354</v>
      </c>
      <c r="G447" s="136" t="str">
        <f>VLOOKUP(A447,Plano_V3!$A$26:$G$593,7,0)</f>
        <v>1. Concluído</v>
      </c>
      <c r="H447" s="136" t="s">
        <v>614</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lt003_entitycntrprty_emssns_scp2</v>
      </c>
      <c r="B448" s="142" t="s">
        <v>26</v>
      </c>
      <c r="C448" s="138" t="s">
        <v>26</v>
      </c>
      <c r="D448" s="134" t="s">
        <v>40</v>
      </c>
      <c r="E448" s="137" t="s">
        <v>336</v>
      </c>
      <c r="F448" s="137" t="s">
        <v>355</v>
      </c>
      <c r="G448" s="136" t="str">
        <f>VLOOKUP(A448,Plano_V3!$A$26:$G$593,7,0)</f>
        <v>1. Concluído</v>
      </c>
      <c r="H448" s="136" t="s">
        <v>614</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lt003_entitycntrprty_emssns_scp3</v>
      </c>
      <c r="B449" s="142" t="s">
        <v>26</v>
      </c>
      <c r="C449" s="138" t="s">
        <v>26</v>
      </c>
      <c r="D449" s="134" t="s">
        <v>40</v>
      </c>
      <c r="E449" s="137" t="s">
        <v>336</v>
      </c>
      <c r="F449" s="137" t="s">
        <v>356</v>
      </c>
      <c r="G449" s="136" t="str">
        <f>VLOOKUP(A449,Plano_V3!$A$26:$G$593,7,0)</f>
        <v>1. Concluído</v>
      </c>
      <c r="H449" s="136" t="s">
        <v>614</v>
      </c>
      <c r="I449" s="143"/>
      <c r="J449" s="153" t="str">
        <f>IF(VLOOKUP(A449,'Aux - pivots1'!$A:$E,3,0)=0, "",VLOOKUP(A449,'Aux - pivots1'!$A:$E,3,0))</f>
        <v/>
      </c>
      <c r="K449" s="153">
        <f>IF(VLOOKUP(A449,'Aux - pivots1'!$A:$E,4,0)=0, "",VLOOKUP(A449,'Aux - pivots1'!$A:$E,4,0))</f>
        <v>45621</v>
      </c>
      <c r="L449" s="153">
        <f>IF(VLOOKUP(A449,'Aux - pivots1'!$A:$E,5,0)=0, "",VLOOKUP(A449,'Aux - pivots1'!$A:$E,5,0))</f>
        <v>45596</v>
      </c>
      <c r="M449" s="208"/>
      <c r="N449" s="208"/>
      <c r="O449" s="342" t="s">
        <v>26</v>
      </c>
    </row>
    <row r="450" spans="1:15" ht="16.2" hidden="1" customHeight="1">
      <c r="A450" s="30" t="str">
        <f t="shared" si="7"/>
        <v>lt003_entityflg_excldd_eu_prs_algnd_bnchmrk</v>
      </c>
      <c r="B450" s="142" t="s">
        <v>26</v>
      </c>
      <c r="C450" s="138" t="s">
        <v>26</v>
      </c>
      <c r="D450" s="134" t="s">
        <v>40</v>
      </c>
      <c r="E450" s="137" t="s">
        <v>336</v>
      </c>
      <c r="F450" s="137" t="s">
        <v>357</v>
      </c>
      <c r="G450" s="136" t="str">
        <f>VLOOKUP(A450,Plano_V3!$A$26:$G$593,7,0)</f>
        <v>1. Concluído</v>
      </c>
      <c r="H450" s="136" t="s">
        <v>613</v>
      </c>
      <c r="I450" s="143"/>
      <c r="J450" s="153" t="str">
        <f>IF(VLOOKUP(A450,'Aux - pivots1'!$A:$E,3,0)=0, "",VLOOKUP(A450,'Aux - pivots1'!$A:$E,3,0))</f>
        <v/>
      </c>
      <c r="K450" s="153">
        <f>IF(VLOOKUP(A450,'Aux - pivots1'!$A:$E,4,0)=0, "",VLOOKUP(A450,'Aux - pivots1'!$A:$E,4,0))</f>
        <v>45614</v>
      </c>
      <c r="L450" s="153">
        <f>IF(VLOOKUP(A450,'Aux - pivots1'!$A:$E,5,0)=0, "",VLOOKUP(A450,'Aux - pivots1'!$A:$E,5,0))</f>
        <v>45596</v>
      </c>
      <c r="M450" s="208"/>
      <c r="N450" s="208"/>
      <c r="O450" s="342" t="s">
        <v>26</v>
      </c>
    </row>
    <row r="451" spans="1:15" ht="16.2" hidden="1" customHeight="1">
      <c r="A451" s="30" t="str">
        <f t="shared" si="7"/>
        <v>lt003_entityflg_act_physcl_rsk</v>
      </c>
      <c r="B451" s="142" t="s">
        <v>26</v>
      </c>
      <c r="C451" s="138" t="s">
        <v>26</v>
      </c>
      <c r="D451" s="134" t="s">
        <v>40</v>
      </c>
      <c r="E451" s="137" t="s">
        <v>336</v>
      </c>
      <c r="F451" s="137" t="s">
        <v>358</v>
      </c>
      <c r="G451" s="136" t="str">
        <f>VLOOKUP(A451,Plano_V3!$A$26:$G$593,7,0)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lt003_entityflg_chrnc_physcl_rsk</v>
      </c>
      <c r="B452" s="142" t="s">
        <v>26</v>
      </c>
      <c r="C452" s="138" t="s">
        <v>26</v>
      </c>
      <c r="D452" s="134" t="s">
        <v>40</v>
      </c>
      <c r="E452" s="137" t="s">
        <v>336</v>
      </c>
      <c r="F452" s="137" t="s">
        <v>359</v>
      </c>
      <c r="G452" s="136" t="str">
        <f>VLOOKUP(A452,Plano_V3!$A$26:$G$593,7,0)</f>
        <v>1. Concluído</v>
      </c>
      <c r="H452" s="136" t="s">
        <v>613</v>
      </c>
      <c r="I452" s="143"/>
      <c r="J452" s="153">
        <f>IF(VLOOKUP(A452,'Aux - pivots1'!$A:$E,3,0)=0, "",VLOOKUP(A452,'Aux - pivots1'!$A:$E,3,0))</f>
        <v>45589</v>
      </c>
      <c r="K452" s="153" t="str">
        <f>IF(VLOOKUP(A452,'Aux - pivots1'!$A:$E,4,0)=0, "",VLOOKUP(A452,'Aux - pivots1'!$A:$E,4,0))</f>
        <v/>
      </c>
      <c r="L452" s="153">
        <f>IF(VLOOKUP(A452,'Aux - pivots1'!$A:$E,5,0)=0, "",VLOOKUP(A452,'Aux - pivots1'!$A:$E,5,0))</f>
        <v>45596</v>
      </c>
      <c r="M452" s="208"/>
      <c r="N452" s="208"/>
      <c r="O452" s="342" t="s">
        <v>26</v>
      </c>
    </row>
    <row r="453" spans="1:15" ht="16.2" hidden="1" customHeight="1">
      <c r="A453" s="30" t="str">
        <f t="shared" si="7"/>
        <v>lt003_entitypst_cd</v>
      </c>
      <c r="B453" s="142" t="s">
        <v>26</v>
      </c>
      <c r="C453" s="138" t="s">
        <v>26</v>
      </c>
      <c r="D453" s="134" t="s">
        <v>40</v>
      </c>
      <c r="E453" s="137" t="s">
        <v>336</v>
      </c>
      <c r="F453" s="137" t="s">
        <v>360</v>
      </c>
      <c r="G453" s="136" t="str">
        <f>VLOOKUP(A453,Plano_V3!$A$26:$G$593,7,0)</f>
        <v>1. Concluído</v>
      </c>
      <c r="H453" s="136" t="s">
        <v>613</v>
      </c>
      <c r="I453" s="143"/>
      <c r="J453" s="153">
        <f>IF(VLOOKUP(A453,'Aux - pivots1'!$A:$E,3,0)=0, "",VLOOKUP(A453,'Aux - pivots1'!$A:$E,3,0))</f>
        <v>45589</v>
      </c>
      <c r="K453" s="153">
        <f>IF(VLOOKUP(A453,'Aux - pivots1'!$A:$E,4,0)=0, "",VLOOKUP(A453,'Aux - pivots1'!$A:$E,4,0))</f>
        <v>45596</v>
      </c>
      <c r="L453" s="153">
        <f>IF(VLOOKUP(A453,'Aux - pivots1'!$A:$E,5,0)=0, "",VLOOKUP(A453,'Aux - pivots1'!$A:$E,5,0))</f>
        <v>45596</v>
      </c>
      <c r="M453" s="208"/>
      <c r="N453" s="208"/>
      <c r="O453" s="342" t="s">
        <v>26</v>
      </c>
    </row>
    <row r="454" spans="1:15" ht="16.2" hidden="1" customHeight="1">
      <c r="A454" s="30" t="str">
        <f t="shared" si="7"/>
        <v>lt003_entityesg_sbsctr</v>
      </c>
      <c r="B454" s="142" t="s">
        <v>26</v>
      </c>
      <c r="C454" s="138" t="s">
        <v>26</v>
      </c>
      <c r="D454" s="134" t="s">
        <v>40</v>
      </c>
      <c r="E454" s="137" t="s">
        <v>336</v>
      </c>
      <c r="F454" s="137" t="s">
        <v>361</v>
      </c>
      <c r="G454" s="136" t="str">
        <f>VLOOKUP(A454,Plano_V3!$A$26:$G$593,7,0)</f>
        <v>1. Concluído</v>
      </c>
      <c r="H454" s="136" t="s">
        <v>613</v>
      </c>
      <c r="I454" s="143"/>
      <c r="J454" s="153">
        <f>IF(VLOOKUP(A454,'Aux - pivots1'!$A:$E,3,0)=0, "",VLOOKUP(A454,'Aux - pivots1'!$A:$E,3,0))</f>
        <v>45583</v>
      </c>
      <c r="K454" s="153">
        <f>IF(VLOOKUP(A454,'Aux - pivots1'!$A:$E,4,0)=0, "",VLOOKUP(A454,'Aux - pivots1'!$A:$E,4,0))</f>
        <v>45611</v>
      </c>
      <c r="L454" s="153">
        <f>IF(VLOOKUP(A454,'Aux - pivots1'!$A:$E,5,0)=0, "",VLOOKUP(A454,'Aux - pivots1'!$A:$E,5,0))</f>
        <v>45644</v>
      </c>
      <c r="M454" s="208"/>
      <c r="N454" s="208"/>
      <c r="O454" s="342" t="s">
        <v>26</v>
      </c>
    </row>
    <row r="455" spans="1:15" ht="16.2" hidden="1" customHeight="1">
      <c r="A455" s="30" t="str">
        <f t="shared" si="7"/>
        <v>lt003_entityttl_lblty</v>
      </c>
      <c r="B455" s="142" t="s">
        <v>26</v>
      </c>
      <c r="C455" s="138" t="s">
        <v>26</v>
      </c>
      <c r="D455" s="134" t="s">
        <v>40</v>
      </c>
      <c r="E455" s="137" t="s">
        <v>336</v>
      </c>
      <c r="F455" s="137" t="s">
        <v>362</v>
      </c>
      <c r="G455" s="136" t="str">
        <f>VLOOKUP(A455,Plano_V3!$A$26:$G$593,7,0)</f>
        <v>1. Concluído</v>
      </c>
      <c r="H455" s="136" t="s">
        <v>613</v>
      </c>
      <c r="I455" s="143"/>
      <c r="J455" s="153">
        <f>IF(VLOOKUP(A455,'Aux - pivots1'!$A:$E,3,0)=0, "",VLOOKUP(A455,'Aux - pivots1'!$A:$E,3,0))</f>
        <v>45593</v>
      </c>
      <c r="K455" s="153">
        <f>IF(VLOOKUP(A455,'Aux - pivots1'!$A:$E,4,0)=0, "",VLOOKUP(A455,'Aux - pivots1'!$A:$E,4,0))</f>
        <v>45624</v>
      </c>
      <c r="L455" s="153">
        <f>IF(VLOOKUP(A455,'Aux - pivots1'!$A:$E,5,0)=0, "",VLOOKUP(A455,'Aux - pivots1'!$A:$E,5,0))</f>
        <v>45644</v>
      </c>
      <c r="M455" s="208">
        <v>45593</v>
      </c>
      <c r="N455" s="208"/>
      <c r="O455" s="342" t="s">
        <v>26</v>
      </c>
    </row>
    <row r="456" spans="1:15" ht="16.2" hidden="1" customHeight="1">
      <c r="A456" s="30" t="str">
        <f t="shared" si="7"/>
        <v>lt003_entityisin</v>
      </c>
      <c r="B456" s="142" t="s">
        <v>26</v>
      </c>
      <c r="C456" s="138" t="s">
        <v>26</v>
      </c>
      <c r="D456" s="134" t="s">
        <v>40</v>
      </c>
      <c r="E456" s="137" t="s">
        <v>336</v>
      </c>
      <c r="F456" s="137" t="s">
        <v>239</v>
      </c>
      <c r="G456" s="136" t="str">
        <f>VLOOKUP(A456,Plano_V3!$A$26:$G$593,7,0)</f>
        <v>1. Concluído</v>
      </c>
      <c r="H456" s="136" t="s">
        <v>613</v>
      </c>
      <c r="I456" s="143"/>
      <c r="J456" s="153">
        <f>IF(VLOOKUP(A456,'Aux - pivots1'!$A:$E,3,0)=0, "",VLOOKUP(A456,'Aux - pivots1'!$A:$E,3,0))</f>
        <v>45589</v>
      </c>
      <c r="K456" s="153" t="str">
        <f>IF(VLOOKUP(A456,'Aux - pivots1'!$A:$E,4,0)=0, "",VLOOKUP(A456,'Aux - pivots1'!$A:$E,4,0))</f>
        <v/>
      </c>
      <c r="L456" s="153">
        <f>IF(VLOOKUP(A456,'Aux - pivots1'!$A:$E,5,0)=0, "",VLOOKUP(A456,'Aux - pivots1'!$A:$E,5,0))</f>
        <v>45611</v>
      </c>
      <c r="M456" s="208">
        <v>45588</v>
      </c>
      <c r="N456" s="208"/>
      <c r="O456" s="342" t="s">
        <v>26</v>
      </c>
    </row>
    <row r="457" spans="1:15" ht="16.2" hidden="1" customHeight="1">
      <c r="A457" s="30" t="str">
        <f t="shared" si="7"/>
        <v>lt003_entitygrp_annl_trnvr_le</v>
      </c>
      <c r="B457" s="142" t="s">
        <v>26</v>
      </c>
      <c r="C457" s="138" t="s">
        <v>26</v>
      </c>
      <c r="D457" s="134" t="s">
        <v>40</v>
      </c>
      <c r="E457" s="137" t="s">
        <v>336</v>
      </c>
      <c r="F457" s="137" t="s">
        <v>363</v>
      </c>
      <c r="G457" s="136" t="str">
        <f>VLOOKUP(A457,Plano_V3!$A$26:$G$593,7,0)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2" t="s">
        <v>26</v>
      </c>
    </row>
    <row r="458" spans="1:15" ht="16.2" hidden="1" customHeight="1">
      <c r="A458" s="30" t="str">
        <f t="shared" si="7"/>
        <v>lt003_entitygrp_ttl_lblty</v>
      </c>
      <c r="B458" s="142" t="s">
        <v>26</v>
      </c>
      <c r="C458" s="138" t="s">
        <v>26</v>
      </c>
      <c r="D458" s="134" t="s">
        <v>40</v>
      </c>
      <c r="E458" s="137" t="s">
        <v>336</v>
      </c>
      <c r="F458" s="137" t="s">
        <v>364</v>
      </c>
      <c r="G458" s="136" t="str">
        <f>VLOOKUP(A458,Plano_V3!$A$26:$G$593,7,0)</f>
        <v>1. Concluído</v>
      </c>
      <c r="H458" s="136" t="s">
        <v>613</v>
      </c>
      <c r="I458" s="143"/>
      <c r="J458" s="153">
        <f>IF(VLOOKUP(A458,'Aux - pivots1'!$A:$E,3,0)=0, "",VLOOKUP(A458,'Aux - pivots1'!$A:$E,3,0))</f>
        <v>45593</v>
      </c>
      <c r="K458" s="153">
        <f>IF(VLOOKUP(A458,'Aux - pivots1'!$A:$E,4,0)=0, "",VLOOKUP(A458,'Aux - pivots1'!$A:$E,4,0))</f>
        <v>45611</v>
      </c>
      <c r="L458" s="153">
        <f>IF(VLOOKUP(A458,'Aux - pivots1'!$A:$E,5,0)=0, "",VLOOKUP(A458,'Aux - pivots1'!$A:$E,5,0))</f>
        <v>45644</v>
      </c>
      <c r="M458" s="208">
        <v>45593</v>
      </c>
      <c r="N458" s="208"/>
      <c r="O458" s="342" t="s">
        <v>26</v>
      </c>
    </row>
    <row r="459" spans="1:15" ht="16.2" hidden="1" customHeight="1">
      <c r="A459" s="30" t="str">
        <f t="shared" si="7"/>
        <v>lt003_entityflg_grp_nfrd_applcblty</v>
      </c>
      <c r="B459" s="142" t="s">
        <v>26</v>
      </c>
      <c r="C459" s="138" t="s">
        <v>26</v>
      </c>
      <c r="D459" s="134" t="s">
        <v>40</v>
      </c>
      <c r="E459" s="137" t="s">
        <v>336</v>
      </c>
      <c r="F459" s="137" t="s">
        <v>365</v>
      </c>
      <c r="G459" s="136" t="str">
        <f>VLOOKUP(A459,Plano_V3!$A$26:$G$593,7,0)</f>
        <v>1. Concluído</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2" t="s">
        <v>26</v>
      </c>
    </row>
    <row r="460" spans="1:15" ht="16.2" hidden="1" customHeight="1">
      <c r="A460" s="30" t="str">
        <f t="shared" si="7"/>
        <v>lt003_entitygrp_emssns_scp1</v>
      </c>
      <c r="B460" s="142" t="s">
        <v>26</v>
      </c>
      <c r="C460" s="138" t="s">
        <v>26</v>
      </c>
      <c r="D460" s="134" t="s">
        <v>40</v>
      </c>
      <c r="E460" s="137" t="s">
        <v>336</v>
      </c>
      <c r="F460" s="137" t="s">
        <v>366</v>
      </c>
      <c r="G460" s="136" t="str">
        <f>VLOOKUP(A460,Plano_V3!$A$26:$G$593,7,0)</f>
        <v>1. Concluído</v>
      </c>
      <c r="H460" s="136" t="s">
        <v>614</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lt003_entitygrp_emssns_scp2</v>
      </c>
      <c r="B461" s="142" t="s">
        <v>26</v>
      </c>
      <c r="C461" s="138" t="s">
        <v>26</v>
      </c>
      <c r="D461" s="134" t="s">
        <v>40</v>
      </c>
      <c r="E461" s="137" t="s">
        <v>336</v>
      </c>
      <c r="F461" s="137" t="s">
        <v>367</v>
      </c>
      <c r="G461" s="136" t="str">
        <f>VLOOKUP(A461,Plano_V3!$A$26:$G$593,7,0)</f>
        <v>1. Concluído</v>
      </c>
      <c r="H461" s="136" t="s">
        <v>614</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lt003_entitygrp_emssns_scp3</v>
      </c>
      <c r="B462" s="142" t="s">
        <v>26</v>
      </c>
      <c r="C462" s="138" t="s">
        <v>26</v>
      </c>
      <c r="D462" s="134" t="s">
        <v>40</v>
      </c>
      <c r="E462" s="137" t="s">
        <v>336</v>
      </c>
      <c r="F462" s="137" t="s">
        <v>368</v>
      </c>
      <c r="G462" s="136" t="str">
        <f>VLOOKUP(A462,Plano_V3!$A$26:$G$593,7,0)</f>
        <v>1. Concluído</v>
      </c>
      <c r="H462" s="136" t="s">
        <v>614</v>
      </c>
      <c r="I462" s="143"/>
      <c r="J462" s="153">
        <f>IF(VLOOKUP(A462,'Aux - pivots1'!$A:$E,3,0)=0, "",VLOOKUP(A462,'Aux - pivots1'!$A:$E,3,0))</f>
        <v>45589</v>
      </c>
      <c r="K462" s="153" t="str">
        <f>IF(VLOOKUP(A462,'Aux - pivots1'!$A:$E,4,0)=0, "",VLOOKUP(A462,'Aux - pivots1'!$A:$E,4,0))</f>
        <v/>
      </c>
      <c r="L462" s="153">
        <f>IF(VLOOKUP(A462,'Aux - pivots1'!$A:$E,5,0)=0, "",VLOOKUP(A462,'Aux - pivots1'!$A:$E,5,0))</f>
        <v>45644</v>
      </c>
      <c r="M462" s="208">
        <v>45588</v>
      </c>
      <c r="N462" s="208"/>
      <c r="O462" s="342" t="s">
        <v>26</v>
      </c>
    </row>
    <row r="463" spans="1:15" ht="16.2" hidden="1" customHeight="1">
      <c r="A463" s="30" t="str">
        <f t="shared" si="7"/>
        <v>lt004_protectiontyp_ep_scr</v>
      </c>
      <c r="B463" s="142" t="s">
        <v>26</v>
      </c>
      <c r="C463" s="138" t="s">
        <v>26</v>
      </c>
      <c r="D463" s="134" t="s">
        <v>40</v>
      </c>
      <c r="E463" s="137" t="s">
        <v>369</v>
      </c>
      <c r="F463" s="317" t="s">
        <v>370</v>
      </c>
      <c r="G463" s="136" t="str">
        <f>VLOOKUP(A463,Plano_V3!$A$26:$G$593,7,0)</f>
        <v>1. Concluído</v>
      </c>
      <c r="H463" s="136" t="s">
        <v>613</v>
      </c>
      <c r="I463" s="143"/>
      <c r="J463" s="153">
        <f>IF(VLOOKUP(A463,'Aux - pivots1'!$A:$E,3,0)=0, "",VLOOKUP(A463,'Aux - pivots1'!$A:$E,3,0))</f>
        <v>45583</v>
      </c>
      <c r="K463" s="153">
        <f>IF(VLOOKUP(A463,'Aux - pivots1'!$A:$E,4,0)=0, "",VLOOKUP(A463,'Aux - pivots1'!$A:$E,4,0))</f>
        <v>45611</v>
      </c>
      <c r="L463" s="153">
        <f>IF(VLOOKUP(A463,'Aux - pivots1'!$A:$E,5,0)=0, "",VLOOKUP(A463,'Aux - pivots1'!$A:$E,5,0))</f>
        <v>45611</v>
      </c>
      <c r="M463" s="208"/>
      <c r="N463" s="208"/>
      <c r="O463" s="342" t="s">
        <v>26</v>
      </c>
    </row>
    <row r="464" spans="1:15" ht="16.2" hidden="1" customHeight="1">
      <c r="A464" s="30" t="str">
        <f t="shared" si="7"/>
        <v>lt004_protectionep_scr</v>
      </c>
      <c r="B464" s="142" t="s">
        <v>26</v>
      </c>
      <c r="C464" s="138" t="s">
        <v>26</v>
      </c>
      <c r="D464" s="134" t="s">
        <v>40</v>
      </c>
      <c r="E464" s="137" t="s">
        <v>369</v>
      </c>
      <c r="F464" s="317" t="s">
        <v>371</v>
      </c>
      <c r="G464" s="136" t="str">
        <f>VLOOKUP(A464,Plano_V3!$A$26:$G$593,7,0)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lt004_protectiontyp_epc_lbl</v>
      </c>
      <c r="B465" s="142" t="s">
        <v>26</v>
      </c>
      <c r="C465" s="138" t="s">
        <v>26</v>
      </c>
      <c r="D465" s="134" t="s">
        <v>40</v>
      </c>
      <c r="E465" s="137" t="s">
        <v>369</v>
      </c>
      <c r="F465" s="317" t="s">
        <v>372</v>
      </c>
      <c r="G465" s="136" t="str">
        <f>VLOOKUP(A465,Plano_V3!$A$26:$G$593,7,0)</f>
        <v>1. Concluído</v>
      </c>
      <c r="H465" s="136" t="s">
        <v>613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lt004_protectionepc_lbl</v>
      </c>
      <c r="B466" s="142" t="s">
        <v>26</v>
      </c>
      <c r="C466" s="138" t="s">
        <v>26</v>
      </c>
      <c r="D466" s="134" t="s">
        <v>40</v>
      </c>
      <c r="E466" s="137" t="s">
        <v>369</v>
      </c>
      <c r="F466" s="317" t="s">
        <v>373</v>
      </c>
      <c r="G466" s="136" t="str">
        <f>VLOOKUP(A466,Plano_V3!$A$26:$G$593,7,0)</f>
        <v>1. Concluído</v>
      </c>
      <c r="H466" s="136" t="s">
        <v>613</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8"/>
      <c r="N466" s="208"/>
      <c r="O466" s="342" t="s">
        <v>26</v>
      </c>
    </row>
    <row r="467" spans="1:15" ht="16.2" hidden="1" customHeight="1">
      <c r="A467" s="30" t="str">
        <f t="shared" si="7"/>
        <v>lt004_protectionemssns_scp1_prtctn</v>
      </c>
      <c r="B467" s="142" t="s">
        <v>26</v>
      </c>
      <c r="C467" s="138" t="s">
        <v>26</v>
      </c>
      <c r="D467" s="134" t="s">
        <v>40</v>
      </c>
      <c r="E467" s="137" t="s">
        <v>369</v>
      </c>
      <c r="F467" s="317" t="s">
        <v>374</v>
      </c>
      <c r="G467" s="318" t="str">
        <f>VLOOKUP(A467,Plano_V3!$A$26:$G$593,7,0)</f>
        <v>1. Concluído</v>
      </c>
      <c r="H467" s="318" t="s">
        <v>613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ref="A468:A536" si="8">E468&amp;F468</f>
        <v>lt004_protectionemssns_scp2_prtctn</v>
      </c>
      <c r="B468" s="142" t="s">
        <v>26</v>
      </c>
      <c r="C468" s="138" t="s">
        <v>26</v>
      </c>
      <c r="D468" s="134" t="s">
        <v>40</v>
      </c>
      <c r="E468" s="137" t="s">
        <v>369</v>
      </c>
      <c r="F468" s="317" t="s">
        <v>375</v>
      </c>
      <c r="G468" s="318" t="str">
        <f>VLOOKUP(A468,Plano_V3!$A$26:$G$593,7,0)</f>
        <v>1. Concluído</v>
      </c>
      <c r="H468" s="318" t="s">
        <v>613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lt004_protectionemssns_scp3_prtctn</v>
      </c>
      <c r="B469" s="142" t="s">
        <v>26</v>
      </c>
      <c r="C469" s="138" t="s">
        <v>26</v>
      </c>
      <c r="D469" s="134" t="s">
        <v>40</v>
      </c>
      <c r="E469" s="137" t="s">
        <v>369</v>
      </c>
      <c r="F469" s="317" t="s">
        <v>376</v>
      </c>
      <c r="G469" s="318" t="str">
        <f>VLOOKUP(A469,Plano_V3!$A$26:$G$593,7,0)</f>
        <v>1. Concluído</v>
      </c>
      <c r="H469" s="318" t="s">
        <v>613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lt004_protectionmthd_usd_prtctn_scp_1</v>
      </c>
      <c r="B470" s="142" t="s">
        <v>26</v>
      </c>
      <c r="C470" s="138" t="s">
        <v>26</v>
      </c>
      <c r="D470" s="134" t="s">
        <v>40</v>
      </c>
      <c r="E470" s="137" t="s">
        <v>369</v>
      </c>
      <c r="F470" s="317" t="s">
        <v>377</v>
      </c>
      <c r="G470" s="318" t="str">
        <f>VLOOKUP(A470,Plano_V3!$A$26:$G$593,7,0)</f>
        <v>1. Concluído</v>
      </c>
      <c r="H470" s="318" t="s">
        <v>613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lt004_protectionmthd_usd_prtctn_scp_2</v>
      </c>
      <c r="B471" s="142" t="s">
        <v>26</v>
      </c>
      <c r="C471" s="138" t="s">
        <v>26</v>
      </c>
      <c r="D471" s="134" t="s">
        <v>40</v>
      </c>
      <c r="E471" s="137" t="s">
        <v>369</v>
      </c>
      <c r="F471" s="317" t="s">
        <v>378</v>
      </c>
      <c r="G471" s="318" t="str">
        <f>VLOOKUP(A471,Plano_V3!$A$26:$G$593,7,0)</f>
        <v>1. Concluído</v>
      </c>
      <c r="H471" s="318" t="s">
        <v>613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lt004_protectionmthd_usd_prtctn_scp_3</v>
      </c>
      <c r="B472" s="142" t="s">
        <v>26</v>
      </c>
      <c r="C472" s="138" t="s">
        <v>26</v>
      </c>
      <c r="D472" s="134" t="s">
        <v>40</v>
      </c>
      <c r="E472" s="137" t="s">
        <v>369</v>
      </c>
      <c r="F472" s="317" t="s">
        <v>379</v>
      </c>
      <c r="G472" s="318" t="str">
        <f>VLOOKUP(A472,Plano_V3!$A$26:$G$593,7,0)</f>
        <v>1. Concluído</v>
      </c>
      <c r="H472" s="318" t="s">
        <v>613</v>
      </c>
      <c r="I472" s="143"/>
      <c r="J472" s="153" t="str">
        <f>IF(VLOOKUP(A472,'Aux - pivots1'!$A:$E,3,0)=0, "",VLOOKUP(A472,'Aux - pivots1'!$A:$E,3,0))</f>
        <v/>
      </c>
      <c r="K472" s="153">
        <f>IF(VLOOKUP(A472,'Aux - pivots1'!$A:$E,4,0)=0, "",VLOOKUP(A472,'Aux - pivots1'!$A:$E,4,0))</f>
        <v>45631</v>
      </c>
      <c r="L472" s="153">
        <f>IF(VLOOKUP(A472,'Aux - pivots1'!$A:$E,5,0)=0, "",VLOOKUP(A472,'Aux - pivots1'!$A:$E,5,0))</f>
        <v>45631</v>
      </c>
      <c r="M472" s="208"/>
      <c r="N472" s="208"/>
      <c r="O472" s="342" t="s">
        <v>26</v>
      </c>
    </row>
    <row r="473" spans="1:15" ht="16.2" hidden="1" customHeight="1">
      <c r="A473" s="30" t="str">
        <f t="shared" si="8"/>
        <v>lt004_protectionflg_act_physcl_rsk</v>
      </c>
      <c r="B473" s="142" t="s">
        <v>26</v>
      </c>
      <c r="C473" s="138" t="s">
        <v>26</v>
      </c>
      <c r="D473" s="134" t="s">
        <v>40</v>
      </c>
      <c r="E473" s="137" t="s">
        <v>369</v>
      </c>
      <c r="F473" s="317" t="s">
        <v>358</v>
      </c>
      <c r="G473" s="318" t="str">
        <f>VLOOKUP(A473,Plano_V3!$A$26:$G$593,7,0)</f>
        <v>1. Concluído</v>
      </c>
      <c r="H473" s="318"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lt004_protectionflg_chrnc_physcl_rsk</v>
      </c>
      <c r="B474" s="142" t="s">
        <v>26</v>
      </c>
      <c r="C474" s="138" t="s">
        <v>26</v>
      </c>
      <c r="D474" s="134" t="s">
        <v>40</v>
      </c>
      <c r="E474" s="137" t="s">
        <v>369</v>
      </c>
      <c r="F474" s="317" t="s">
        <v>359</v>
      </c>
      <c r="G474" s="318" t="str">
        <f>VLOOKUP(A474,Plano_V3!$A$26:$G$593,7,0)</f>
        <v>1. Concluído</v>
      </c>
      <c r="H474" s="318" t="s">
        <v>613</v>
      </c>
      <c r="I474" s="143"/>
      <c r="J474" s="153">
        <f>IF(VLOOKUP(A474,'Aux - pivots1'!$A:$E,3,0)=0, "",VLOOKUP(A474,'Aux - pivots1'!$A:$E,3,0))</f>
        <v>45583</v>
      </c>
      <c r="K474" s="153">
        <f>IF(VLOOKUP(A474,'Aux - pivots1'!$A:$E,4,0)=0, "",VLOOKUP(A474,'Aux - pivots1'!$A:$E,4,0))</f>
        <v>45596</v>
      </c>
      <c r="L474" s="153">
        <f>IF(VLOOKUP(A474,'Aux - pivots1'!$A:$E,5,0)=0, "",VLOOKUP(A474,'Aux - pivots1'!$A:$E,5,0))</f>
        <v>45596</v>
      </c>
      <c r="M474" s="208"/>
      <c r="N474" s="208"/>
      <c r="O474" s="342" t="s">
        <v>26</v>
      </c>
    </row>
    <row r="475" spans="1:15" ht="16.2" hidden="1" customHeight="1">
      <c r="A475" s="30" t="str">
        <f t="shared" si="8"/>
        <v>lt002_instrumentrsk_mtgtd_cct</v>
      </c>
      <c r="B475" s="142" t="s">
        <v>26</v>
      </c>
      <c r="C475" s="138" t="s">
        <v>26</v>
      </c>
      <c r="D475" s="134" t="s">
        <v>40</v>
      </c>
      <c r="E475" s="137" t="s">
        <v>380</v>
      </c>
      <c r="F475" s="137" t="s">
        <v>381</v>
      </c>
      <c r="G475" s="136" t="str">
        <f>VLOOKUP(A475,Plano_V3!$A$26:$G$593,7,0)</f>
        <v>1. Concluído</v>
      </c>
      <c r="H475" s="136" t="s">
        <v>613</v>
      </c>
      <c r="I475" s="143"/>
      <c r="J475" s="153">
        <f>IF(VLOOKUP(A475,'Aux - pivots1'!$A:$E,3,0)=0, "",VLOOKUP(A475,'Aux - pivots1'!$A:$E,3,0))</f>
        <v>45595</v>
      </c>
      <c r="K475" s="153">
        <f>IF(VLOOKUP(A475,'Aux - pivots1'!$A:$E,4,0)=0, "",VLOOKUP(A475,'Aux - pivots1'!$A:$E,4,0))</f>
        <v>374329</v>
      </c>
      <c r="L475" s="153">
        <f>IF(VLOOKUP(A475,'Aux - pivots1'!$A:$E,5,0)=0, "",VLOOKUP(A475,'Aux - pivots1'!$A:$E,5,0))</f>
        <v>374329</v>
      </c>
      <c r="M475" s="208">
        <v>45595</v>
      </c>
      <c r="N475" s="208"/>
      <c r="O475" s="342" t="s">
        <v>26</v>
      </c>
    </row>
    <row r="476" spans="1:15" ht="16.2" hidden="1" customHeight="1">
      <c r="A476" s="30" t="str">
        <f t="shared" si="8"/>
        <v>lt002_instrumentrsk_mtgtd_ccp</v>
      </c>
      <c r="B476" s="142" t="s">
        <v>26</v>
      </c>
      <c r="C476" s="138" t="s">
        <v>26</v>
      </c>
      <c r="D476" s="134" t="s">
        <v>40</v>
      </c>
      <c r="E476" s="137" t="s">
        <v>380</v>
      </c>
      <c r="F476" s="137" t="s">
        <v>382</v>
      </c>
      <c r="G476" s="136" t="str">
        <f>VLOOKUP(A476,Plano_V3!$A$26:$G$593,7,0)</f>
        <v>4. Validação EF</v>
      </c>
      <c r="H476" s="136" t="s">
        <v>615</v>
      </c>
      <c r="I476" s="143"/>
      <c r="J476" s="153">
        <f>IF(VLOOKUP(A476,'Aux - pivots1'!$A:$E,3,0)=0, "",VLOOKUP(A476,'Aux - pivots1'!$A:$E,3,0))</f>
        <v>45595</v>
      </c>
      <c r="K476" s="153">
        <f>IF(VLOOKUP(A476,'Aux - pivots1'!$A:$E,4,0)=0, "",VLOOKUP(A476,'Aux - pivots1'!$A:$E,4,0))</f>
        <v>374342</v>
      </c>
      <c r="L476" s="153">
        <f>IF(VLOOKUP(A476,'Aux - pivots1'!$A:$E,5,0)=0, "",VLOOKUP(A476,'Aux - pivots1'!$A:$E,5,0))</f>
        <v>374342</v>
      </c>
      <c r="M476" s="208">
        <v>45595</v>
      </c>
      <c r="N476" s="208"/>
      <c r="O476" s="342" t="s">
        <v>26</v>
      </c>
    </row>
    <row r="477" spans="1:15" ht="16.2" hidden="1" customHeight="1">
      <c r="A477" s="30" t="str">
        <f t="shared" si="8"/>
        <v>lt007_instr_activityenvrnmntl_objctv</v>
      </c>
      <c r="B477" s="142" t="s">
        <v>26</v>
      </c>
      <c r="C477" s="138" t="s">
        <v>26</v>
      </c>
      <c r="D477" s="134" t="s">
        <v>40</v>
      </c>
      <c r="E477" s="137" t="s">
        <v>1948</v>
      </c>
      <c r="F477" s="137" t="s">
        <v>383</v>
      </c>
      <c r="G477" s="136" t="str">
        <f>VLOOKUP(A477,Plano_V3!$A$26:$G$593,7,0)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lt007_instr_activitytyp_actvty</v>
      </c>
      <c r="B478" s="142" t="s">
        <v>26</v>
      </c>
      <c r="C478" s="138" t="s">
        <v>26</v>
      </c>
      <c r="D478" s="134" t="s">
        <v>40</v>
      </c>
      <c r="E478" s="137" t="s">
        <v>1948</v>
      </c>
      <c r="F478" s="137" t="s">
        <v>384</v>
      </c>
      <c r="G478" s="136" t="str">
        <f>VLOOKUP(A478,Plano_V3!$A$26:$G$593,7,0)</f>
        <v>1. Concluído</v>
      </c>
      <c r="H478" s="136" t="s">
        <v>613</v>
      </c>
      <c r="I478" s="143"/>
      <c r="J478" s="153">
        <f>IF(VLOOKUP(A478,'Aux - pivots1'!$A:$E,3,0)=0, "",VLOOKUP(A478,'Aux - pivots1'!$A:$E,3,0))</f>
        <v>45593</v>
      </c>
      <c r="K478" s="153">
        <f>IF(VLOOKUP(A478,'Aux - pivots1'!$A:$E,4,0)=0, "",VLOOKUP(A478,'Aux - pivots1'!$A:$E,4,0))</f>
        <v>45624</v>
      </c>
      <c r="L478" s="153">
        <f>IF(VLOOKUP(A478,'Aux - pivots1'!$A:$E,5,0)=0, "",VLOOKUP(A478,'Aux - pivots1'!$A:$E,5,0))</f>
        <v>45624</v>
      </c>
      <c r="M478" s="208">
        <v>45593</v>
      </c>
      <c r="N478" s="208"/>
      <c r="O478" s="342" t="s">
        <v>26</v>
      </c>
    </row>
    <row r="479" spans="1:15" ht="16.2" hidden="1" customHeight="1">
      <c r="A479" s="30" t="str">
        <f t="shared" si="8"/>
        <v>lt002_instrumentlns_clltrlzd_clssfctn</v>
      </c>
      <c r="B479" s="142" t="s">
        <v>26</v>
      </c>
      <c r="C479" s="138" t="s">
        <v>26</v>
      </c>
      <c r="D479" s="134" t="s">
        <v>40</v>
      </c>
      <c r="E479" s="137" t="s">
        <v>380</v>
      </c>
      <c r="F479" s="137" t="s">
        <v>385</v>
      </c>
      <c r="G479" s="136" t="str">
        <f>VLOOKUP(A479,Plano_V3!$A$26:$G$593,7,0)</f>
        <v>1. Concluído</v>
      </c>
      <c r="H479" s="136" t="s">
        <v>613</v>
      </c>
      <c r="I479" s="143"/>
      <c r="J479" s="153">
        <f>IF(VLOOKUP(A479,'Aux - pivots1'!$A:$E,3,0)=0, "",VLOOKUP(A479,'Aux - pivots1'!$A:$E,3,0))</f>
        <v>45583</v>
      </c>
      <c r="K479" s="153">
        <f>IF(VLOOKUP(A479,'Aux - pivots1'!$A:$E,4,0)=0, "",VLOOKUP(A479,'Aux - pivots1'!$A:$E,4,0))</f>
        <v>45589</v>
      </c>
      <c r="L479" s="153">
        <f>IF(VLOOKUP(A479,'Aux - pivots1'!$A:$E,5,0)=0, "",VLOOKUP(A479,'Aux - pivots1'!$A:$E,5,0))</f>
        <v>45589</v>
      </c>
      <c r="M479" s="208"/>
      <c r="N479" s="208"/>
      <c r="O479" s="342" t="s">
        <v>26</v>
      </c>
    </row>
    <row r="480" spans="1:15" ht="16.2" hidden="1">
      <c r="A480" s="30" t="str">
        <f t="shared" si="8"/>
        <v>lt002_instrumentmthd_usd_instrmnt_scp_1</v>
      </c>
      <c r="B480" s="142" t="s">
        <v>26</v>
      </c>
      <c r="C480" s="138" t="s">
        <v>26</v>
      </c>
      <c r="D480" s="134" t="s">
        <v>40</v>
      </c>
      <c r="E480" s="137" t="s">
        <v>380</v>
      </c>
      <c r="F480" s="137" t="s">
        <v>386</v>
      </c>
      <c r="G480" s="136" t="str">
        <f>VLOOKUP(A480,Plano_V3!$A$26:$G$593,7,0)</f>
        <v>3. Pendente de outros desenvolvimentos</v>
      </c>
      <c r="H480" s="136" t="s">
        <v>614</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lt002_instrumentmthd_usd_instrmnt_scp_2</v>
      </c>
      <c r="B481" s="142" t="s">
        <v>26</v>
      </c>
      <c r="C481" s="138" t="s">
        <v>26</v>
      </c>
      <c r="D481" s="134" t="s">
        <v>40</v>
      </c>
      <c r="E481" s="137" t="s">
        <v>380</v>
      </c>
      <c r="F481" s="137" t="s">
        <v>387</v>
      </c>
      <c r="G481" s="136" t="str">
        <f>VLOOKUP(A481,Plano_V3!$A$26:$G$593,7,0)</f>
        <v>3. Pendente de outros desenvolvimentos</v>
      </c>
      <c r="H481" s="136" t="s">
        <v>614</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 r="A482" s="30" t="str">
        <f t="shared" si="8"/>
        <v>lt002_instrumentmthd_usd_instrmnt_scp_3</v>
      </c>
      <c r="B482" s="142" t="s">
        <v>26</v>
      </c>
      <c r="C482" s="138" t="s">
        <v>26</v>
      </c>
      <c r="D482" s="134" t="s">
        <v>40</v>
      </c>
      <c r="E482" s="137" t="s">
        <v>380</v>
      </c>
      <c r="F482" s="137" t="s">
        <v>388</v>
      </c>
      <c r="G482" s="136" t="str">
        <f>VLOOKUP(A482,Plano_V3!$A$26:$G$593,7,0)</f>
        <v>3. Pendente de outros desenvolvimentos</v>
      </c>
      <c r="H482" s="136" t="s">
        <v>614</v>
      </c>
      <c r="I482" s="143"/>
      <c r="J482" s="153" t="str">
        <f>IF(VLOOKUP(A482,'Aux - pivots1'!$A:$E,3,0)=0, "",VLOOKUP(A482,'Aux - pivots1'!$A:$E,3,0))</f>
        <v/>
      </c>
      <c r="K482" s="153">
        <f>IF(VLOOKUP(A482,'Aux - pivots1'!$A:$E,4,0)=0, "",VLOOKUP(A482,'Aux - pivots1'!$A:$E,4,0))</f>
        <v>45631</v>
      </c>
      <c r="L482" s="153">
        <f>IF(VLOOKUP(A482,'Aux - pivots1'!$A:$E,5,0)=0, "",VLOOKUP(A482,'Aux - pivots1'!$A:$E,5,0))</f>
        <v>45631</v>
      </c>
      <c r="M482" s="208">
        <v>45593</v>
      </c>
      <c r="N482" s="208"/>
      <c r="O482" s="342" t="s">
        <v>26</v>
      </c>
    </row>
    <row r="483" spans="1:15" ht="16.2" hidden="1" customHeight="1">
      <c r="A483" s="30" t="str">
        <f t="shared" si="8"/>
        <v>lt002_instrumentsstnbl_ctgry_txnmy</v>
      </c>
      <c r="B483" s="142" t="s">
        <v>26</v>
      </c>
      <c r="C483" s="138" t="s">
        <v>26</v>
      </c>
      <c r="D483" s="134" t="s">
        <v>40</v>
      </c>
      <c r="E483" s="137" t="s">
        <v>380</v>
      </c>
      <c r="F483" s="137" t="s">
        <v>389</v>
      </c>
      <c r="G483" s="136" t="str">
        <f>VLOOKUP(A483,Plano_V3!$A$26:$G$593,7,0)</f>
        <v>1. Concluído</v>
      </c>
      <c r="H483" s="136" t="s">
        <v>613</v>
      </c>
      <c r="I483" s="143" t="s">
        <v>1927</v>
      </c>
      <c r="J483" s="153">
        <f>IF(VLOOKUP(A483,'Aux - pivots1'!$A:$E,3,0)=0, "",VLOOKUP(A483,'Aux - pivots1'!$A:$E,3,0))</f>
        <v>45593</v>
      </c>
      <c r="K483" s="153">
        <f>IF(VLOOKUP(A483,'Aux - pivots1'!$A:$E,4,0)=0, "",VLOOKUP(A483,'Aux - pivots1'!$A:$E,4,0))</f>
        <v>45611</v>
      </c>
      <c r="L483" s="153">
        <f>IF(VLOOKUP(A483,'Aux - pivots1'!$A:$E,5,0)=0, "",VLOOKUP(A483,'Aux - pivots1'!$A:$E,5,0))</f>
        <v>374329</v>
      </c>
      <c r="M483" s="208">
        <v>45593</v>
      </c>
      <c r="N483" s="208"/>
      <c r="O483" s="342" t="s">
        <v>26</v>
      </c>
    </row>
    <row r="484" spans="1:15" ht="16.2" hidden="1" customHeight="1">
      <c r="A484" s="30" t="str">
        <f t="shared" si="8"/>
        <v>lt827_mthd_usd_instrmntambito</v>
      </c>
      <c r="B484" s="142" t="s">
        <v>26</v>
      </c>
      <c r="C484" s="138" t="s">
        <v>26</v>
      </c>
      <c r="D484" s="134" t="s">
        <v>40</v>
      </c>
      <c r="E484" s="137" t="s">
        <v>1949</v>
      </c>
      <c r="F484" s="137" t="s">
        <v>391</v>
      </c>
      <c r="G484" s="136" t="str">
        <f>VLOOKUP(A484,Plano_V3!$A$26:$G$593,7,0)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lt827_mthd_usd_instrmntref_date</v>
      </c>
      <c r="B485" s="142" t="s">
        <v>26</v>
      </c>
      <c r="C485" s="138" t="s">
        <v>26</v>
      </c>
      <c r="D485" s="134" t="s">
        <v>40</v>
      </c>
      <c r="E485" s="137" t="s">
        <v>1949</v>
      </c>
      <c r="F485" s="137" t="s">
        <v>208</v>
      </c>
      <c r="G485" s="136" t="str">
        <f>VLOOKUP(A485,Plano_V3!$A$26:$G$593,7,0)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lt827_mthd_usd_instrmntordem</v>
      </c>
      <c r="B486" s="142" t="s">
        <v>26</v>
      </c>
      <c r="C486" s="138" t="s">
        <v>26</v>
      </c>
      <c r="D486" s="134" t="s">
        <v>40</v>
      </c>
      <c r="E486" s="137" t="s">
        <v>1949</v>
      </c>
      <c r="F486" s="137" t="s">
        <v>211</v>
      </c>
      <c r="G486" s="136" t="str">
        <f>VLOOKUP(A486,Plano_V3!$A$26:$G$593,7,0)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ustomHeight="1">
      <c r="A487" s="30" t="str">
        <f t="shared" si="8"/>
        <v>lt827_mthd_usd_instrmnttabela</v>
      </c>
      <c r="B487" s="142" t="s">
        <v>26</v>
      </c>
      <c r="C487" s="138" t="s">
        <v>26</v>
      </c>
      <c r="D487" s="134" t="s">
        <v>40</v>
      </c>
      <c r="E487" s="137" t="s">
        <v>1949</v>
      </c>
      <c r="F487" s="137" t="s">
        <v>392</v>
      </c>
      <c r="G487" s="136" t="str">
        <f>VLOOKUP(A487,Plano_V3!$A$26:$G$593,7,0)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lt827_mthd_usd_instrmntorigem_scp1_emss</v>
      </c>
      <c r="B488" s="142" t="s">
        <v>26</v>
      </c>
      <c r="C488" s="138" t="s">
        <v>26</v>
      </c>
      <c r="D488" s="134" t="s">
        <v>40</v>
      </c>
      <c r="E488" s="137" t="s">
        <v>1949</v>
      </c>
      <c r="F488" s="137" t="s">
        <v>320</v>
      </c>
      <c r="G488" s="136" t="str">
        <f>VLOOKUP(A488,Plano_V3!$A$26:$G$593,7,0)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lt827_mthd_usd_instrmntorigem_scp2_emss</v>
      </c>
      <c r="B489" s="142" t="s">
        <v>26</v>
      </c>
      <c r="C489" s="138" t="s">
        <v>26</v>
      </c>
      <c r="D489" s="134" t="s">
        <v>40</v>
      </c>
      <c r="E489" s="137" t="s">
        <v>1949</v>
      </c>
      <c r="F489" s="137" t="s">
        <v>321</v>
      </c>
      <c r="G489" s="136" t="str">
        <f>VLOOKUP(A489,Plano_V3!$A$26:$G$593,7,0)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lt827_mthd_usd_instrmntorigem_scp3_emss</v>
      </c>
      <c r="B490" s="142" t="s">
        <v>26</v>
      </c>
      <c r="C490" s="138" t="s">
        <v>26</v>
      </c>
      <c r="D490" s="134" t="s">
        <v>40</v>
      </c>
      <c r="E490" s="137" t="s">
        <v>1949</v>
      </c>
      <c r="F490" s="137" t="s">
        <v>322</v>
      </c>
      <c r="G490" s="136" t="str">
        <f>VLOOKUP(A490,Plano_V3!$A$26:$G$593,7,0)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lt827_mthd_usd_instrmntmthd_usd_instrmnt_scp_1</v>
      </c>
      <c r="B491" s="142" t="s">
        <v>26</v>
      </c>
      <c r="C491" s="138" t="s">
        <v>26</v>
      </c>
      <c r="D491" s="134" t="s">
        <v>40</v>
      </c>
      <c r="E491" s="137" t="s">
        <v>1949</v>
      </c>
      <c r="F491" s="137" t="s">
        <v>386</v>
      </c>
      <c r="G491" s="136" t="str">
        <f>VLOOKUP(A491,Plano_V3!$A$26:$G$593,7,0)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lt827_mthd_usd_instrmntmthd_usd_instrmnt_scp_2</v>
      </c>
      <c r="B492" s="142" t="s">
        <v>26</v>
      </c>
      <c r="C492" s="138" t="s">
        <v>26</v>
      </c>
      <c r="D492" s="134" t="s">
        <v>40</v>
      </c>
      <c r="E492" s="137" t="s">
        <v>1949</v>
      </c>
      <c r="F492" s="137" t="s">
        <v>387</v>
      </c>
      <c r="G492" s="136" t="str">
        <f>VLOOKUP(A492,Plano_V3!$A$26:$G$593,7,0)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lt827_mthd_usd_instrmntmthd_usd_instrmnt_scp_3</v>
      </c>
      <c r="B493" s="142" t="s">
        <v>26</v>
      </c>
      <c r="C493" s="138" t="s">
        <v>26</v>
      </c>
      <c r="D493" s="134" t="s">
        <v>40</v>
      </c>
      <c r="E493" s="137" t="s">
        <v>1949</v>
      </c>
      <c r="F493" s="137" t="s">
        <v>388</v>
      </c>
      <c r="G493" s="136" t="str">
        <f>VLOOKUP(A493,Plano_V3!$A$26:$G$593,7,0)</f>
        <v>1. Concluído</v>
      </c>
      <c r="H493" s="136" t="s">
        <v>613</v>
      </c>
      <c r="I493" s="143"/>
      <c r="J493" s="153">
        <f>IF(VLOOKUP(A493,'Aux - pivots1'!$A:$E,3,0)=0, "",VLOOKUP(A493,'Aux - pivots1'!$A:$E,3,0))</f>
        <v>45593</v>
      </c>
      <c r="K493" s="153">
        <f>IF(VLOOKUP(A493,'Aux - pivots1'!$A:$E,4,0)=0, "",VLOOKUP(A493,'Aux - pivots1'!$A:$E,4,0))</f>
        <v>45611</v>
      </c>
      <c r="L493" s="153">
        <f>IF(VLOOKUP(A493,'Aux - pivots1'!$A:$E,5,0)=0, "",VLOOKUP(A493,'Aux - pivots1'!$A:$E,5,0))</f>
        <v>45611</v>
      </c>
      <c r="M493" s="208">
        <v>45593</v>
      </c>
      <c r="N493" s="208"/>
      <c r="O493" s="342" t="s">
        <v>26</v>
      </c>
    </row>
    <row r="494" spans="1:15" ht="16.2" hidden="1">
      <c r="A494" s="30" t="str">
        <f t="shared" si="8"/>
        <v>lt827_mthd_usd_instrmntpurpose_code</v>
      </c>
      <c r="B494" s="142" t="s">
        <v>26</v>
      </c>
      <c r="C494" s="138" t="s">
        <v>26</v>
      </c>
      <c r="D494" s="134" t="s">
        <v>40</v>
      </c>
      <c r="E494" s="137" t="s">
        <v>1949</v>
      </c>
      <c r="F494" s="137" t="s">
        <v>1933</v>
      </c>
      <c r="G494" s="136" t="str">
        <f>VLOOKUP(A494,Plano_V3!$A$26:$G$593,7,0)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lt827_mthd_usd_instrmntflg_fin</v>
      </c>
      <c r="B495" s="142" t="s">
        <v>26</v>
      </c>
      <c r="C495" s="138" t="s">
        <v>26</v>
      </c>
      <c r="D495" s="134" t="s">
        <v>40</v>
      </c>
      <c r="E495" s="137" t="s">
        <v>1949</v>
      </c>
      <c r="F495" s="137" t="s">
        <v>481</v>
      </c>
      <c r="G495" s="136" t="str">
        <f>VLOOKUP(A495,Plano_V3!$A$26:$G$593,7,0)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lt827_mthd_usd_instrmntflg_exec</v>
      </c>
      <c r="B496" s="142" t="s">
        <v>26</v>
      </c>
      <c r="C496" s="138" t="s">
        <v>26</v>
      </c>
      <c r="D496" s="134" t="s">
        <v>40</v>
      </c>
      <c r="E496" s="137" t="s">
        <v>1949</v>
      </c>
      <c r="F496" s="137" t="s">
        <v>1355</v>
      </c>
      <c r="G496" s="136" t="str">
        <f>VLOOKUP(A496,Plano_V3!$A$26:$G$593,7,0)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lt827_mthd_usd_instrmntflg_col</v>
      </c>
      <c r="B497" s="142" t="s">
        <v>26</v>
      </c>
      <c r="C497" s="138" t="s">
        <v>26</v>
      </c>
      <c r="D497" s="134" t="s">
        <v>40</v>
      </c>
      <c r="E497" s="137" t="s">
        <v>1949</v>
      </c>
      <c r="F497" s="137" t="s">
        <v>480</v>
      </c>
      <c r="G497" s="136" t="str">
        <f>VLOOKUP(A497,Plano_V3!$A$26:$G$593,7,0)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 r="A498" s="30" t="str">
        <f t="shared" si="8"/>
        <v>lt827_mthd_usd_instrmntflg_pro</v>
      </c>
      <c r="B498" s="142" t="s">
        <v>26</v>
      </c>
      <c r="C498" s="138" t="s">
        <v>26</v>
      </c>
      <c r="D498" s="134" t="s">
        <v>40</v>
      </c>
      <c r="E498" s="137" t="s">
        <v>1949</v>
      </c>
      <c r="F498" s="137" t="s">
        <v>482</v>
      </c>
      <c r="G498" s="136" t="str">
        <f>VLOOKUP(A498,Plano_V3!$A$26:$G$593,7,0)</f>
        <v>1. Concluído</v>
      </c>
      <c r="H498" s="136" t="s">
        <v>613</v>
      </c>
      <c r="I498" s="143"/>
      <c r="J498" s="153" t="str">
        <f>IF(VLOOKUP(A498,'Aux - pivots1'!$A:$E,3,0)=0, "",VLOOKUP(A498,'Aux - pivots1'!$A:$E,3,0))</f>
        <v/>
      </c>
      <c r="K498" s="153">
        <f>IF(VLOOKUP(A498,'Aux - pivots1'!$A:$E,4,0)=0, "",VLOOKUP(A498,'Aux - pivots1'!$A:$E,4,0))</f>
        <v>45611</v>
      </c>
      <c r="L498" s="153">
        <f>IF(VLOOKUP(A498,'Aux - pivots1'!$A:$E,5,0)=0, "",VLOOKUP(A498,'Aux - pivots1'!$A:$E,5,0))</f>
        <v>45611</v>
      </c>
      <c r="M498" s="208"/>
      <c r="N498" s="208"/>
      <c r="O498" s="342" t="s">
        <v>26</v>
      </c>
    </row>
    <row r="499" spans="1:15" ht="16.2" hidden="1" customHeight="1">
      <c r="A499" s="30" t="str">
        <f t="shared" si="8"/>
        <v>lt826_esg_sbsctrambito</v>
      </c>
      <c r="B499" s="142" t="s">
        <v>26</v>
      </c>
      <c r="C499" s="138" t="s">
        <v>26</v>
      </c>
      <c r="D499" s="134" t="s">
        <v>40</v>
      </c>
      <c r="E499" s="137" t="s">
        <v>393</v>
      </c>
      <c r="F499" s="137" t="s">
        <v>391</v>
      </c>
      <c r="G499" s="136" t="str">
        <f>VLOOKUP(A499,Plano_V3!$A$26:$G$593,7,0)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lt826_esg_sbsctrref_date</v>
      </c>
      <c r="B500" s="142" t="s">
        <v>26</v>
      </c>
      <c r="C500" s="138" t="s">
        <v>26</v>
      </c>
      <c r="D500" s="134" t="s">
        <v>40</v>
      </c>
      <c r="E500" s="137" t="s">
        <v>393</v>
      </c>
      <c r="F500" s="137" t="s">
        <v>208</v>
      </c>
      <c r="G500" s="136" t="str">
        <f>VLOOKUP(A500,Plano_V3!$A$26:$G$593,7,0)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lt826_esg_sbsctrordem</v>
      </c>
      <c r="B501" s="142" t="s">
        <v>26</v>
      </c>
      <c r="C501" s="138" t="s">
        <v>26</v>
      </c>
      <c r="D501" s="134" t="s">
        <v>40</v>
      </c>
      <c r="E501" s="137" t="s">
        <v>393</v>
      </c>
      <c r="F501" s="137" t="s">
        <v>211</v>
      </c>
      <c r="G501" s="136" t="str">
        <f>VLOOKUP(A501,Plano_V3!$A$26:$G$593,7,0)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lt826_esg_sbsctrnace_code</v>
      </c>
      <c r="B502" s="142" t="s">
        <v>26</v>
      </c>
      <c r="C502" s="138" t="s">
        <v>26</v>
      </c>
      <c r="D502" s="134" t="s">
        <v>40</v>
      </c>
      <c r="E502" s="137" t="s">
        <v>393</v>
      </c>
      <c r="F502" s="137" t="s">
        <v>394</v>
      </c>
      <c r="G502" s="136" t="str">
        <f>VLOOKUP(A502,Plano_V3!$A$26:$G$593,7,0)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lt826_esg_sbsctrcontraparte</v>
      </c>
      <c r="B503" s="142" t="s">
        <v>26</v>
      </c>
      <c r="C503" s="138" t="s">
        <v>26</v>
      </c>
      <c r="D503" s="134" t="s">
        <v>40</v>
      </c>
      <c r="E503" s="137" t="s">
        <v>393</v>
      </c>
      <c r="F503" s="137" t="s">
        <v>395</v>
      </c>
      <c r="G503" s="136" t="str">
        <f>VLOOKUP(A503,Plano_V3!$A$26:$G$593,7,0)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lt826_esg_sbsctrcnatureza_juri</v>
      </c>
      <c r="B504" s="142" t="s">
        <v>26</v>
      </c>
      <c r="C504" s="138" t="s">
        <v>26</v>
      </c>
      <c r="D504" s="134" t="s">
        <v>40</v>
      </c>
      <c r="E504" s="137" t="s">
        <v>393</v>
      </c>
      <c r="F504" s="137" t="s">
        <v>396</v>
      </c>
      <c r="G504" s="136" t="str">
        <f>VLOOKUP(A504,Plano_V3!$A$26:$G$593,7,0)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lt826_esg_sbsctridcomb</v>
      </c>
      <c r="B505" s="142" t="s">
        <v>26</v>
      </c>
      <c r="C505" s="138" t="s">
        <v>26</v>
      </c>
      <c r="D505" s="134" t="s">
        <v>40</v>
      </c>
      <c r="E505" s="137" t="s">
        <v>393</v>
      </c>
      <c r="F505" s="137" t="s">
        <v>397</v>
      </c>
      <c r="G505" s="136" t="str">
        <f>VLOOKUP(A505,Plano_V3!$A$26:$G$593,7,0)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lt826_esg_sbsctresg_sbsctr</v>
      </c>
      <c r="B506" s="142" t="s">
        <v>26</v>
      </c>
      <c r="C506" s="138" t="s">
        <v>26</v>
      </c>
      <c r="D506" s="134" t="s">
        <v>40</v>
      </c>
      <c r="E506" s="137" t="s">
        <v>393</v>
      </c>
      <c r="F506" s="137" t="s">
        <v>361</v>
      </c>
      <c r="G506" s="136" t="str">
        <f>VLOOKUP(A506,Plano_V3!$A$26:$G$593,7,0)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lt826_esg_sbsctrdescrição</v>
      </c>
      <c r="B507" s="142" t="s">
        <v>26</v>
      </c>
      <c r="C507" s="138" t="s">
        <v>26</v>
      </c>
      <c r="D507" s="134" t="s">
        <v>40</v>
      </c>
      <c r="E507" s="137" t="s">
        <v>393</v>
      </c>
      <c r="F507" s="137" t="s">
        <v>398</v>
      </c>
      <c r="G507" s="136" t="str">
        <f>VLOOKUP(A507,Plano_V3!$A$26:$G$593,7,0)</f>
        <v>1. Concluído</v>
      </c>
      <c r="H507" s="136" t="s">
        <v>613</v>
      </c>
      <c r="I507" s="143"/>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lt002_instrumentdt_rfrnc</v>
      </c>
      <c r="B508" s="142" t="s">
        <v>26</v>
      </c>
      <c r="C508" s="138" t="s">
        <v>26</v>
      </c>
      <c r="D508" s="134" t="s">
        <v>40</v>
      </c>
      <c r="E508" s="137" t="s">
        <v>380</v>
      </c>
      <c r="F508" s="137" t="s">
        <v>399</v>
      </c>
      <c r="G508" s="136" t="str">
        <f>VLOOKUP(A508,Plano_V3!$A$26:$G$593,7,0)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lt002_instrumentinstrmnt_id</v>
      </c>
      <c r="B509" s="142" t="s">
        <v>26</v>
      </c>
      <c r="C509" s="138" t="s">
        <v>26</v>
      </c>
      <c r="D509" s="134" t="s">
        <v>40</v>
      </c>
      <c r="E509" s="137" t="s">
        <v>380</v>
      </c>
      <c r="F509" s="137" t="s">
        <v>401</v>
      </c>
      <c r="G509" s="136" t="str">
        <f>VLOOKUP(A509,Plano_V3!$A$26:$G$593,7,0)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lt002_instrumentdt_incptn</v>
      </c>
      <c r="B510" s="142" t="s">
        <v>26</v>
      </c>
      <c r="C510" s="138" t="s">
        <v>26</v>
      </c>
      <c r="D510" s="134" t="s">
        <v>40</v>
      </c>
      <c r="E510" s="137" t="s">
        <v>380</v>
      </c>
      <c r="F510" s="137" t="s">
        <v>402</v>
      </c>
      <c r="G510" s="136" t="str">
        <f>VLOOKUP(A510,Plano_V3!$A$26:$G$593,7,0)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lt002_instrumentdflt_stts_instrmnt</v>
      </c>
      <c r="B511" s="142" t="s">
        <v>26</v>
      </c>
      <c r="C511" s="138" t="s">
        <v>26</v>
      </c>
      <c r="D511" s="134" t="s">
        <v>40</v>
      </c>
      <c r="E511" s="137" t="s">
        <v>380</v>
      </c>
      <c r="F511" s="137" t="s">
        <v>403</v>
      </c>
      <c r="G511" s="136" t="str">
        <f>VLOOKUP(A511,Plano_V3!$A$26:$G$593,7,0)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lt002_instrumentimprmnt_stts</v>
      </c>
      <c r="B512" s="142" t="s">
        <v>26</v>
      </c>
      <c r="C512" s="138" t="s">
        <v>26</v>
      </c>
      <c r="D512" s="134" t="s">
        <v>40</v>
      </c>
      <c r="E512" s="137" t="s">
        <v>380</v>
      </c>
      <c r="F512" s="137" t="s">
        <v>404</v>
      </c>
      <c r="G512" s="136" t="str">
        <f>VLOOKUP(A512,Plano_V3!$A$26:$G$593,7,0)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lt002_instrumentprfrmng_stts</v>
      </c>
      <c r="B513" s="142" t="s">
        <v>26</v>
      </c>
      <c r="C513" s="138" t="s">
        <v>26</v>
      </c>
      <c r="D513" s="134" t="s">
        <v>40</v>
      </c>
      <c r="E513" s="137" t="s">
        <v>380</v>
      </c>
      <c r="F513" s="137" t="s">
        <v>405</v>
      </c>
      <c r="G513" s="136" t="str">
        <f>VLOOKUP(A513,Plano_V3!$A$26:$G$593,7,0)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lt002_instrumentprjct_fnnc_ln</v>
      </c>
      <c r="B514" s="142" t="s">
        <v>26</v>
      </c>
      <c r="C514" s="138" t="s">
        <v>26</v>
      </c>
      <c r="D514" s="134" t="s">
        <v>40</v>
      </c>
      <c r="E514" s="137" t="s">
        <v>380</v>
      </c>
      <c r="F514" s="137" t="s">
        <v>406</v>
      </c>
      <c r="G514" s="136" t="str">
        <f>VLOOKUP(A514,Plano_V3!$A$26:$G$593,7,0)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lt002_instrumenttyp_instrmnt</v>
      </c>
      <c r="B515" s="142" t="s">
        <v>26</v>
      </c>
      <c r="C515" s="138" t="s">
        <v>26</v>
      </c>
      <c r="D515" s="134" t="s">
        <v>40</v>
      </c>
      <c r="E515" s="137" t="s">
        <v>380</v>
      </c>
      <c r="F515" s="137" t="s">
        <v>407</v>
      </c>
      <c r="G515" s="136" t="str">
        <f>VLOOKUP(A515,Plano_V3!$A$26:$G$593,7,0)</f>
        <v>1. Concluído</v>
      </c>
      <c r="H515" s="136" t="s">
        <v>613</v>
      </c>
      <c r="I515" s="143" t="s">
        <v>659</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2" t="s">
        <v>26</v>
      </c>
    </row>
    <row r="516" spans="1:15" ht="16.2" hidden="1" customHeight="1">
      <c r="A516" s="30" t="str">
        <f t="shared" si="8"/>
        <v>lt002_instrumentgrss_crryng_amnt_instrmnt</v>
      </c>
      <c r="B516" s="142" t="s">
        <v>26</v>
      </c>
      <c r="C516" s="138" t="s">
        <v>26</v>
      </c>
      <c r="D516" s="134" t="s">
        <v>40</v>
      </c>
      <c r="E516" s="137" t="s">
        <v>380</v>
      </c>
      <c r="F516" s="137" t="s">
        <v>408</v>
      </c>
      <c r="G516" s="136" t="str">
        <f>VLOOKUP(A516,Plano_V3!$A$26:$G$593,7,0)</f>
        <v>1. Concluído</v>
      </c>
      <c r="H516" s="136" t="s">
        <v>613</v>
      </c>
      <c r="I516" s="143" t="s">
        <v>659</v>
      </c>
      <c r="J516" s="153" t="str">
        <f>IF(VLOOKUP(A516,'Aux - pivots1'!$A:$E,3,0)=0, "",VLOOKUP(A516,'Aux - pivots1'!$A:$E,3,0))</f>
        <v/>
      </c>
      <c r="K516" s="153">
        <f>IF(VLOOKUP(A516,'Aux - pivots1'!$A:$E,4,0)=0, "",VLOOKUP(A516,'Aux - pivots1'!$A:$E,4,0))</f>
        <v>45631</v>
      </c>
      <c r="L516" s="153">
        <f>IF(VLOOKUP(A516,'Aux - pivots1'!$A:$E,5,0)=0, "",VLOOKUP(A516,'Aux - pivots1'!$A:$E,5,0))</f>
        <v>45631</v>
      </c>
      <c r="M516" s="208"/>
      <c r="N516" s="208"/>
      <c r="O516" s="342" t="s">
        <v>26</v>
      </c>
    </row>
    <row r="517" spans="1:15" ht="16.2" hidden="1" customHeight="1">
      <c r="A517" s="30" t="str">
        <f t="shared" si="8"/>
        <v>lt002_instrumentaccmltd_chngs_fv_cr_instrmnt</v>
      </c>
      <c r="B517" s="142" t="s">
        <v>26</v>
      </c>
      <c r="C517" s="138" t="s">
        <v>26</v>
      </c>
      <c r="D517" s="134" t="s">
        <v>40</v>
      </c>
      <c r="E517" s="137" t="s">
        <v>380</v>
      </c>
      <c r="F517" s="137" t="s">
        <v>409</v>
      </c>
      <c r="G517" s="136" t="str">
        <f>VLOOKUP(A517,Plano_V3!$A$26:$G$593,7,0)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lt002_instrumentaccntng_clssfctn</v>
      </c>
      <c r="B518" s="142" t="s">
        <v>26</v>
      </c>
      <c r="C518" s="138" t="s">
        <v>26</v>
      </c>
      <c r="D518" s="134" t="s">
        <v>40</v>
      </c>
      <c r="E518" s="137" t="s">
        <v>380</v>
      </c>
      <c r="F518" s="137" t="s">
        <v>410</v>
      </c>
      <c r="G518" s="136" t="str">
        <f>VLOOKUP(A518,Plano_V3!$A$26:$G$593,7,0)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lt002_instrumentdt_lgl_fnl_mtrty</v>
      </c>
      <c r="B519" s="142" t="s">
        <v>26</v>
      </c>
      <c r="C519" s="138" t="s">
        <v>26</v>
      </c>
      <c r="D519" s="134" t="s">
        <v>40</v>
      </c>
      <c r="E519" s="137" t="s">
        <v>380</v>
      </c>
      <c r="F519" s="137" t="s">
        <v>411</v>
      </c>
      <c r="G519" s="136" t="str">
        <f>VLOOKUP(A519,Plano_V3!$A$26:$G$593,7,0)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lt002_instrumentaccmltd_imprmnt_instrmnt</v>
      </c>
      <c r="B520" s="142" t="s">
        <v>26</v>
      </c>
      <c r="C520" s="138" t="s">
        <v>26</v>
      </c>
      <c r="D520" s="134" t="s">
        <v>40</v>
      </c>
      <c r="E520" s="137" t="s">
        <v>380</v>
      </c>
      <c r="F520" s="137" t="s">
        <v>412</v>
      </c>
      <c r="G520" s="136" t="str">
        <f>VLOOKUP(A520,Plano_V3!$A$26:$G$593,7,0)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lt002_instrumentissr_cntry</v>
      </c>
      <c r="B521" s="142" t="s">
        <v>26</v>
      </c>
      <c r="C521" s="138" t="s">
        <v>26</v>
      </c>
      <c r="D521" s="134" t="s">
        <v>40</v>
      </c>
      <c r="E521" s="137" t="s">
        <v>380</v>
      </c>
      <c r="F521" s="137" t="s">
        <v>413</v>
      </c>
      <c r="G521" s="136" t="str">
        <f>VLOOKUP(A521,Plano_V3!$A$26:$G$593,7,0)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lt002_instrumentissr_nace_sctr</v>
      </c>
      <c r="B522" s="142" t="s">
        <v>26</v>
      </c>
      <c r="C522" s="138" t="s">
        <v>26</v>
      </c>
      <c r="D522" s="134" t="s">
        <v>40</v>
      </c>
      <c r="E522" s="137" t="s">
        <v>380</v>
      </c>
      <c r="F522" s="137" t="s">
        <v>414</v>
      </c>
      <c r="G522" s="136" t="str">
        <f>VLOOKUP(A522,Plano_V3!$A$26:$G$593,7,0)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lt002_instrumentprmry_asst_clssf</v>
      </c>
      <c r="B523" s="142" t="s">
        <v>26</v>
      </c>
      <c r="C523" s="138" t="s">
        <v>26</v>
      </c>
      <c r="D523" s="134" t="s">
        <v>40</v>
      </c>
      <c r="E523" s="137" t="s">
        <v>380</v>
      </c>
      <c r="F523" s="137" t="s">
        <v>415</v>
      </c>
      <c r="G523" s="136" t="str">
        <f>VLOOKUP(A523,Plano_V3!$A$26:$G$593,7,0)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lt002_instrumentsubportfolio_id</v>
      </c>
      <c r="B524" s="142" t="s">
        <v>26</v>
      </c>
      <c r="C524" s="138" t="s">
        <v>26</v>
      </c>
      <c r="D524" s="134" t="s">
        <v>40</v>
      </c>
      <c r="E524" s="137" t="s">
        <v>380</v>
      </c>
      <c r="F524" s="137" t="s">
        <v>416</v>
      </c>
      <c r="G524" s="136" t="str">
        <f>VLOOKUP(A524,Plano_V3!$A$26:$G$593,7,0)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lt002_instrumentcod_soc</v>
      </c>
      <c r="B525" s="142" t="s">
        <v>26</v>
      </c>
      <c r="C525" s="138" t="s">
        <v>26</v>
      </c>
      <c r="D525" s="134" t="s">
        <v>40</v>
      </c>
      <c r="E525" s="137" t="s">
        <v>380</v>
      </c>
      <c r="F525" s="137" t="s">
        <v>417</v>
      </c>
      <c r="G525" s="136" t="str">
        <f>VLOOKUP(A525,Plano_V3!$A$26:$G$593,7,0)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lt002_instrumentlcl_instmrnt_id</v>
      </c>
      <c r="B526" s="142" t="s">
        <v>26</v>
      </c>
      <c r="C526" s="138" t="s">
        <v>26</v>
      </c>
      <c r="D526" s="134" t="s">
        <v>40</v>
      </c>
      <c r="E526" s="137" t="s">
        <v>380</v>
      </c>
      <c r="F526" s="137" t="s">
        <v>418</v>
      </c>
      <c r="G526" s="136" t="str">
        <f>VLOOKUP(A526,Plano_V3!$A$26:$G$593,7,0)</f>
        <v>1. Concluído</v>
      </c>
      <c r="H526" s="136" t="s">
        <v>613</v>
      </c>
      <c r="I526" s="143" t="s">
        <v>659</v>
      </c>
      <c r="J526" s="153" t="str">
        <f>IF(VLOOKUP(A526,'Aux - pivots1'!$A:$E,3,0)=0, "",VLOOKUP(A526,'Aux - pivots1'!$A:$E,3,0))</f>
        <v/>
      </c>
      <c r="K526" s="153" t="str">
        <f>IF(VLOOKUP(A526,'Aux - pivots1'!$A:$E,4,0)=0, "",VLOOKUP(A526,'Aux - pivots1'!$A:$E,4,0))</f>
        <v/>
      </c>
      <c r="L526" s="153" t="str">
        <f>IF(VLOOKUP(A526,'Aux - pivots1'!$A:$E,5,0)=0, "",VLOOKUP(A526,'Aux - pivots1'!$A:$E,5,0))</f>
        <v/>
      </c>
      <c r="M526" s="208"/>
      <c r="N526" s="208"/>
      <c r="O526" s="342" t="s">
        <v>26</v>
      </c>
    </row>
    <row r="527" spans="1:15" ht="16.2" hidden="1" customHeight="1">
      <c r="A527" s="30" t="str">
        <f t="shared" si="8"/>
        <v>lt007_instr_activitysstnbl_indctr</v>
      </c>
      <c r="B527" s="142" t="s">
        <v>26</v>
      </c>
      <c r="C527" s="138" t="s">
        <v>26</v>
      </c>
      <c r="D527" s="134" t="s">
        <v>40</v>
      </c>
      <c r="E527" s="137" t="s">
        <v>1948</v>
      </c>
      <c r="F527" s="137" t="s">
        <v>419</v>
      </c>
      <c r="G527" s="136" t="str">
        <f>VLOOKUP(A527,Plano_V3!$A$26:$G$593,7,0)</f>
        <v>1. Concluído</v>
      </c>
      <c r="H527" s="136" t="s">
        <v>613</v>
      </c>
      <c r="I527" s="143" t="s">
        <v>1928</v>
      </c>
      <c r="J527" s="153" t="str">
        <f>IF(VLOOKUP(A527,'Aux - pivots1'!$A:$E,3,0)=0, "",VLOOKUP(A527,'Aux - pivots1'!$A:$E,3,0))</f>
        <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lt007_instr_activitysstnbl_ctgry</v>
      </c>
      <c r="B528" s="142" t="s">
        <v>26</v>
      </c>
      <c r="C528" s="138" t="s">
        <v>26</v>
      </c>
      <c r="D528" s="134" t="s">
        <v>40</v>
      </c>
      <c r="E528" s="137" t="s">
        <v>1948</v>
      </c>
      <c r="F528" s="137" t="s">
        <v>420</v>
      </c>
      <c r="G528" s="136" t="str">
        <f>VLOOKUP(A528,Plano_V3!$A$26:$G$593,7,0)</f>
        <v>4. Validação EF</v>
      </c>
      <c r="H528" s="136" t="s">
        <v>615</v>
      </c>
      <c r="I528" s="143" t="s">
        <v>1928</v>
      </c>
      <c r="J528" s="153">
        <f>IF(VLOOKUP(A528,'Aux - pivots1'!$A:$E,3,0)=0, "",VLOOKUP(A528,'Aux - pivots1'!$A:$E,3,0))</f>
        <v>45593</v>
      </c>
      <c r="K528" s="153">
        <f>IF(VLOOKUP(A528,'Aux - pivots1'!$A:$E,4,0)=0, "",VLOOKUP(A528,'Aux - pivots1'!$A:$E,4,0))</f>
        <v>45624</v>
      </c>
      <c r="L528" s="153">
        <f>IF(VLOOKUP(A528,'Aux - pivots1'!$A:$E,5,0)=0, "",VLOOKUP(A528,'Aux - pivots1'!$A:$E,5,0))</f>
        <v>45624</v>
      </c>
      <c r="M528" s="208">
        <v>45593</v>
      </c>
      <c r="N528" s="208"/>
      <c r="O528" s="342" t="s">
        <v>26</v>
      </c>
    </row>
    <row r="529" spans="1:15" ht="16.2" hidden="1" customHeight="1">
      <c r="A529" s="30" t="str">
        <f t="shared" si="8"/>
        <v>lt002_instrumentgrss_intrst_incm</v>
      </c>
      <c r="B529" s="142" t="s">
        <v>26</v>
      </c>
      <c r="C529" s="138" t="s">
        <v>26</v>
      </c>
      <c r="D529" s="134" t="s">
        <v>40</v>
      </c>
      <c r="E529" s="137" t="s">
        <v>380</v>
      </c>
      <c r="F529" s="137" t="s">
        <v>421</v>
      </c>
      <c r="G529" s="136" t="str">
        <f>VLOOKUP(A529,Plano_V3!$A$26:$G$593,7,0)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v>
      </c>
      <c r="B530" s="142" t="s">
        <v>26</v>
      </c>
      <c r="C530" s="138" t="s">
        <v>26</v>
      </c>
      <c r="D530" s="134" t="s">
        <v>40</v>
      </c>
      <c r="E530" s="137" t="s">
        <v>380</v>
      </c>
      <c r="F530" s="137" t="s">
        <v>422</v>
      </c>
      <c r="G530" s="136" t="str">
        <f>VLOOKUP(A530,Plano_V3!$A$26:$G$593,7,0)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lt002_instrumentgrss_cmmssn_incm_off_blnc</v>
      </c>
      <c r="B531" s="142" t="s">
        <v>26</v>
      </c>
      <c r="C531" s="138" t="s">
        <v>26</v>
      </c>
      <c r="D531" s="134" t="s">
        <v>40</v>
      </c>
      <c r="E531" s="137" t="s">
        <v>380</v>
      </c>
      <c r="F531" s="137" t="s">
        <v>423</v>
      </c>
      <c r="G531" s="136" t="str">
        <f>VLOOKUP(A531,Plano_V3!$A$26:$G$593,7,0)</f>
        <v>2.1 Em Teste</v>
      </c>
      <c r="H531" s="136" t="s">
        <v>1921</v>
      </c>
      <c r="I531" s="143" t="s">
        <v>659</v>
      </c>
      <c r="J531" s="153">
        <f>IF(VLOOKUP(A531,'Aux - pivots1'!$A:$E,3,0)=0, "",VLOOKUP(A531,'Aux - pivots1'!$A:$E,3,0))</f>
        <v>45618</v>
      </c>
      <c r="K531" s="153">
        <f>IF(VLOOKUP(A531,'Aux - pivots1'!$A:$E,4,0)=0, "",VLOOKUP(A531,'Aux - pivots1'!$A:$E,4,0))</f>
        <v>45631</v>
      </c>
      <c r="L531" s="153">
        <f>IF(VLOOKUP(A531,'Aux - pivots1'!$A:$E,5,0)=0, "",VLOOKUP(A531,'Aux - pivots1'!$A:$E,5,0))</f>
        <v>45631</v>
      </c>
      <c r="M531" s="208">
        <v>45595</v>
      </c>
      <c r="N531" s="208"/>
      <c r="O531" s="342" t="s">
        <v>26</v>
      </c>
    </row>
    <row r="532" spans="1:15" ht="16.2" hidden="1" customHeight="1">
      <c r="A532" s="30" t="str">
        <f t="shared" si="8"/>
        <v>lt002_instrumentidcmb</v>
      </c>
      <c r="B532" s="142" t="s">
        <v>26</v>
      </c>
      <c r="C532" s="138" t="s">
        <v>26</v>
      </c>
      <c r="D532" s="134" t="s">
        <v>40</v>
      </c>
      <c r="E532" s="137" t="s">
        <v>380</v>
      </c>
      <c r="F532" s="137" t="s">
        <v>424</v>
      </c>
      <c r="G532" s="136" t="str">
        <f>VLOOKUP(A532,Plano_V3!$A$26:$G$593,7,0)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lt003_entitycntry</v>
      </c>
      <c r="B533" s="142" t="s">
        <v>26</v>
      </c>
      <c r="C533" s="138" t="s">
        <v>26</v>
      </c>
      <c r="D533" s="134" t="s">
        <v>40</v>
      </c>
      <c r="E533" s="137" t="s">
        <v>336</v>
      </c>
      <c r="F533" s="137" t="s">
        <v>425</v>
      </c>
      <c r="G533" s="136" t="str">
        <f>VLOOKUP(A533,Plano_V3!$A$26:$G$593,7,0)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lt003_entitydt_rfrnc</v>
      </c>
      <c r="B534" s="142" t="s">
        <v>26</v>
      </c>
      <c r="C534" s="138" t="s">
        <v>26</v>
      </c>
      <c r="D534" s="134" t="s">
        <v>40</v>
      </c>
      <c r="E534" s="137" t="s">
        <v>336</v>
      </c>
      <c r="F534" s="137" t="s">
        <v>399</v>
      </c>
      <c r="G534" s="136" t="str">
        <f>VLOOKUP(A534,Plano_V3!$A$26:$G$593,7,0)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lt003_entityentty_id</v>
      </c>
      <c r="B535" s="142" t="s">
        <v>26</v>
      </c>
      <c r="C535" s="138" t="s">
        <v>26</v>
      </c>
      <c r="D535" s="134" t="s">
        <v>40</v>
      </c>
      <c r="E535" s="137" t="s">
        <v>336</v>
      </c>
      <c r="F535" s="137" t="s">
        <v>426</v>
      </c>
      <c r="G535" s="136" t="str">
        <f>VLOOKUP(A535,Plano_V3!$A$26:$G$593,7,0)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si="8"/>
        <v>lt003_entitylei</v>
      </c>
      <c r="B536" s="142" t="s">
        <v>26</v>
      </c>
      <c r="C536" s="138" t="s">
        <v>26</v>
      </c>
      <c r="D536" s="134" t="s">
        <v>40</v>
      </c>
      <c r="E536" s="137" t="s">
        <v>336</v>
      </c>
      <c r="F536" s="137" t="s">
        <v>427</v>
      </c>
      <c r="G536" s="136" t="str">
        <f>VLOOKUP(A536,Plano_V3!$A$26:$G$593,7,0)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ref="A537:A565" si="9">E537&amp;F537</f>
        <v>lt003_entityecnmc_actvty</v>
      </c>
      <c r="B537" s="142" t="s">
        <v>26</v>
      </c>
      <c r="C537" s="138" t="s">
        <v>26</v>
      </c>
      <c r="D537" s="134" t="s">
        <v>40</v>
      </c>
      <c r="E537" s="137" t="s">
        <v>336</v>
      </c>
      <c r="F537" s="137" t="s">
        <v>428</v>
      </c>
      <c r="G537" s="136" t="str">
        <f>VLOOKUP(A537,Plano_V3!$A$26:$G$593,7,0)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lt003_entitygrp_eqty</v>
      </c>
      <c r="B538" s="142" t="s">
        <v>26</v>
      </c>
      <c r="C538" s="138" t="s">
        <v>26</v>
      </c>
      <c r="D538" s="134" t="s">
        <v>40</v>
      </c>
      <c r="E538" s="137" t="s">
        <v>336</v>
      </c>
      <c r="F538" s="137" t="s">
        <v>429</v>
      </c>
      <c r="G538" s="136" t="str">
        <f>VLOOKUP(A538,Plano_V3!$A$26:$G$593,7,0)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lt003_entityannl_trnvr_le</v>
      </c>
      <c r="B539" s="142" t="s">
        <v>26</v>
      </c>
      <c r="C539" s="138" t="s">
        <v>26</v>
      </c>
      <c r="D539" s="134" t="s">
        <v>40</v>
      </c>
      <c r="E539" s="137" t="s">
        <v>336</v>
      </c>
      <c r="F539" s="137" t="s">
        <v>430</v>
      </c>
      <c r="G539" s="136" t="str">
        <f>VLOOKUP(A539,Plano_V3!$A$26:$G$593,7,0)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lt003_entityeqty</v>
      </c>
      <c r="B540" s="142" t="s">
        <v>26</v>
      </c>
      <c r="C540" s="138" t="s">
        <v>26</v>
      </c>
      <c r="D540" s="134" t="s">
        <v>40</v>
      </c>
      <c r="E540" s="137" t="s">
        <v>336</v>
      </c>
      <c r="F540" s="137" t="s">
        <v>431</v>
      </c>
      <c r="G540" s="136" t="str">
        <f>VLOOKUP(A540,Plano_V3!$A$26:$G$593,7,0)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lt003_entitygrp_ttl_dbt</v>
      </c>
      <c r="B541" s="142" t="s">
        <v>26</v>
      </c>
      <c r="C541" s="138" t="s">
        <v>26</v>
      </c>
      <c r="D541" s="134" t="s">
        <v>40</v>
      </c>
      <c r="E541" s="137" t="s">
        <v>336</v>
      </c>
      <c r="F541" s="137" t="s">
        <v>432</v>
      </c>
      <c r="G541" s="136" t="str">
        <f>VLOOKUP(A541,Plano_V3!$A$26:$G$593,7,0)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lt003_entityttl_dbt</v>
      </c>
      <c r="B542" s="142" t="s">
        <v>26</v>
      </c>
      <c r="C542" s="138" t="s">
        <v>26</v>
      </c>
      <c r="D542" s="134" t="s">
        <v>40</v>
      </c>
      <c r="E542" s="137" t="s">
        <v>336</v>
      </c>
      <c r="F542" s="137" t="s">
        <v>433</v>
      </c>
      <c r="G542" s="136" t="str">
        <f>VLOOKUP(A542,Plano_V3!$A$26:$G$593,7,0)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lt003_entitycod_soc</v>
      </c>
      <c r="B543" s="142" t="s">
        <v>26</v>
      </c>
      <c r="C543" s="138" t="s">
        <v>26</v>
      </c>
      <c r="D543" s="134" t="s">
        <v>40</v>
      </c>
      <c r="E543" s="137" t="s">
        <v>336</v>
      </c>
      <c r="F543" s="137" t="s">
        <v>417</v>
      </c>
      <c r="G543" s="136" t="str">
        <f>VLOOKUP(A543,Plano_V3!$A$26:$G$593,7,0)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lt004_protectiondt_rfrnc</v>
      </c>
      <c r="B544" s="142" t="s">
        <v>26</v>
      </c>
      <c r="C544" s="138" t="s">
        <v>26</v>
      </c>
      <c r="D544" s="134" t="s">
        <v>40</v>
      </c>
      <c r="E544" s="137" t="s">
        <v>369</v>
      </c>
      <c r="F544" s="317" t="s">
        <v>399</v>
      </c>
      <c r="G544" s="136" t="str">
        <f>VLOOKUP(A544,Plano_V3!$A$26:$G$593,7,0)</f>
        <v>1. Concluído</v>
      </c>
      <c r="H544" s="136" t="s">
        <v>613</v>
      </c>
      <c r="I544" s="143" t="s">
        <v>659</v>
      </c>
      <c r="J544" s="153" t="str">
        <f>IF(VLOOKUP(A544,'Aux - pivots1'!$A:$E,3,0)=0, "",VLOOKUP(A544,'Aux - pivots1'!$A:$E,3,0))</f>
        <v/>
      </c>
      <c r="K544" s="153" t="str">
        <f>IF(VLOOKUP(A544,'Aux - pivots1'!$A:$E,4,0)=0, "",VLOOKUP(A544,'Aux - pivots1'!$A:$E,4,0))</f>
        <v/>
      </c>
      <c r="L544" s="153" t="str">
        <f>IF(VLOOKUP(A544,'Aux - pivots1'!$A:$E,5,0)=0, "",VLOOKUP(A544,'Aux - pivots1'!$A:$E,5,0))</f>
        <v/>
      </c>
      <c r="M544" s="208"/>
      <c r="N544" s="208"/>
      <c r="O544" s="342" t="s">
        <v>26</v>
      </c>
    </row>
    <row r="545" spans="1:15" ht="16.2" hidden="1" customHeight="1">
      <c r="A545" s="30" t="str">
        <f t="shared" si="9"/>
        <v>lt004_protectionprtctn_id</v>
      </c>
      <c r="B545" s="142" t="s">
        <v>26</v>
      </c>
      <c r="C545" s="138" t="s">
        <v>26</v>
      </c>
      <c r="D545" s="134" t="s">
        <v>40</v>
      </c>
      <c r="E545" s="137" t="s">
        <v>369</v>
      </c>
      <c r="F545" s="317" t="s">
        <v>434</v>
      </c>
      <c r="G545" s="136" t="str">
        <f>VLOOKUP(A545,Plano_V3!$A$26:$G$593,7,0)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lt004_protectionrl_estt_clltrl_lctn</v>
      </c>
      <c r="B546" s="142" t="s">
        <v>26</v>
      </c>
      <c r="C546" s="138" t="s">
        <v>26</v>
      </c>
      <c r="D546" s="134" t="s">
        <v>40</v>
      </c>
      <c r="E546" s="137" t="s">
        <v>369</v>
      </c>
      <c r="F546" s="317" t="s">
        <v>435</v>
      </c>
      <c r="G546" s="136" t="str">
        <f>VLOOKUP(A546,Plano_V3!$A$26:$G$593,7,0)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ustomHeight="1">
      <c r="A547" s="30" t="str">
        <f t="shared" si="9"/>
        <v>lt004_protectionrl_estt_pst_cd</v>
      </c>
      <c r="B547" s="142" t="s">
        <v>26</v>
      </c>
      <c r="C547" s="138" t="s">
        <v>26</v>
      </c>
      <c r="D547" s="134" t="s">
        <v>40</v>
      </c>
      <c r="E547" s="137" t="s">
        <v>369</v>
      </c>
      <c r="F547" s="317" t="s">
        <v>436</v>
      </c>
      <c r="G547" s="136" t="str">
        <f>VLOOKUP(A547,Plano_V3!$A$26:$G$593,7,0)</f>
        <v>1. Concluído</v>
      </c>
      <c r="H547" s="136" t="s">
        <v>613</v>
      </c>
      <c r="I547" s="143" t="s">
        <v>659</v>
      </c>
      <c r="J547" s="153">
        <f>IF(VLOOKUP(A547,'Aux - pivots1'!$A:$E,3,0)=0, "",VLOOKUP(A547,'Aux - pivots1'!$A:$E,3,0))</f>
        <v>45589</v>
      </c>
      <c r="K547" s="153">
        <f>IF(VLOOKUP(A547,'Aux - pivots1'!$A:$E,4,0)=0, "",VLOOKUP(A547,'Aux - pivots1'!$A:$E,4,0))</f>
        <v>45611</v>
      </c>
      <c r="L547" s="153">
        <f>IF(VLOOKUP(A547,'Aux - pivots1'!$A:$E,5,0)=0, "",VLOOKUP(A547,'Aux - pivots1'!$A:$E,5,0))</f>
        <v>45611</v>
      </c>
      <c r="M547" s="208">
        <v>45588</v>
      </c>
      <c r="N547" s="208"/>
      <c r="O547" s="342" t="s">
        <v>26</v>
      </c>
    </row>
    <row r="548" spans="1:15" ht="16.2" hidden="1">
      <c r="A548" s="30" t="str">
        <f t="shared" si="9"/>
        <v>lt004_protectiontyp_prtctn</v>
      </c>
      <c r="B548" s="142" t="s">
        <v>26</v>
      </c>
      <c r="C548" s="138" t="s">
        <v>26</v>
      </c>
      <c r="D548" s="134" t="s">
        <v>40</v>
      </c>
      <c r="E548" s="137" t="s">
        <v>369</v>
      </c>
      <c r="F548" s="317" t="s">
        <v>437</v>
      </c>
      <c r="G548" s="136" t="str">
        <f>VLOOKUP(A548,Plano_V3!$A$26:$G$593,7,0)</f>
        <v>1. Concluído</v>
      </c>
      <c r="H548" s="136" t="s">
        <v>613</v>
      </c>
      <c r="I548" s="143" t="s">
        <v>1930</v>
      </c>
      <c r="J548" s="153">
        <f>IF(VLOOKUP(A548,'Aux - pivots1'!$A:$E,3,0)=0, "",VLOOKUP(A548,'Aux - pivots1'!$A:$E,3,0))</f>
        <v>45588</v>
      </c>
      <c r="K548" s="153">
        <f>IF(VLOOKUP(A548,'Aux - pivots1'!$A:$E,4,0)=0, "",VLOOKUP(A548,'Aux - pivots1'!$A:$E,4,0))</f>
        <v>45624</v>
      </c>
      <c r="L548" s="153">
        <f>IF(VLOOKUP(A548,'Aux - pivots1'!$A:$E,5,0)=0, "",VLOOKUP(A548,'Aux - pivots1'!$A:$E,5,0))</f>
        <v>45624</v>
      </c>
      <c r="M548" s="208">
        <v>45595</v>
      </c>
      <c r="N548" s="208"/>
      <c r="O548" s="342" t="s">
        <v>26</v>
      </c>
    </row>
    <row r="549" spans="1:15" ht="16.2" hidden="1">
      <c r="A549" s="30" t="str">
        <f t="shared" si="9"/>
        <v>lt004_protectionorgnl_prtctn_vl</v>
      </c>
      <c r="B549" s="142" t="s">
        <v>26</v>
      </c>
      <c r="C549" s="138" t="s">
        <v>26</v>
      </c>
      <c r="D549" s="134" t="s">
        <v>40</v>
      </c>
      <c r="E549" s="137" t="s">
        <v>369</v>
      </c>
      <c r="F549" s="317" t="s">
        <v>438</v>
      </c>
      <c r="G549" s="136" t="str">
        <f>VLOOKUP(A549,Plano_V3!$A$26:$G$593,7,0)</f>
        <v>1. Concluído</v>
      </c>
      <c r="H549" s="136" t="s">
        <v>616</v>
      </c>
      <c r="I549" s="143" t="s">
        <v>659</v>
      </c>
      <c r="J549" s="153">
        <f>IF(VLOOKUP(A549,'Aux - pivots1'!$A:$E,3,0)=0, "",VLOOKUP(A549,'Aux - pivots1'!$A:$E,3,0))</f>
        <v>45595</v>
      </c>
      <c r="K549" s="153">
        <f>IF(VLOOKUP(A549,'Aux - pivots1'!$A:$E,4,0)=0, "",VLOOKUP(A549,'Aux - pivots1'!$A:$E,4,0))</f>
        <v>45611</v>
      </c>
      <c r="L549" s="153">
        <f>IF(VLOOKUP(A549,'Aux - pivots1'!$A:$E,5,0)=0, "",VLOOKUP(A549,'Aux - pivots1'!$A:$E,5,0))</f>
        <v>45611</v>
      </c>
      <c r="M549" s="208">
        <v>45595</v>
      </c>
      <c r="N549" s="208"/>
      <c r="O549" s="342" t="s">
        <v>26</v>
      </c>
    </row>
    <row r="550" spans="1:15" ht="16.2" hidden="1" customHeight="1">
      <c r="A550" s="30" t="str">
        <f t="shared" si="9"/>
        <v>lt004_protectionprtctn_vl</v>
      </c>
      <c r="B550" s="142" t="s">
        <v>26</v>
      </c>
      <c r="C550" s="138" t="s">
        <v>26</v>
      </c>
      <c r="D550" s="134" t="s">
        <v>40</v>
      </c>
      <c r="E550" s="137" t="s">
        <v>369</v>
      </c>
      <c r="F550" s="317" t="s">
        <v>439</v>
      </c>
      <c r="G550" s="136" t="str">
        <f>VLOOKUP(A550,Plano_V3!$A$26:$G$593,7,0)</f>
        <v>1. Concluído</v>
      </c>
      <c r="H550" s="136" t="s">
        <v>613</v>
      </c>
      <c r="I550" s="143" t="s">
        <v>659</v>
      </c>
      <c r="J550" s="153">
        <f>IF(VLOOKUP(A550,'Aux - pivots1'!$A:$E,3,0)=0, "",VLOOKUP(A550,'Aux - pivots1'!$A:$E,3,0))</f>
        <v>45589</v>
      </c>
      <c r="K550" s="153">
        <f>IF(VLOOKUP(A550,'Aux - pivots1'!$A:$E,4,0)=0, "",VLOOKUP(A550,'Aux - pivots1'!$A:$E,4,0))</f>
        <v>45624</v>
      </c>
      <c r="L550" s="153">
        <f>IF(VLOOKUP(A550,'Aux - pivots1'!$A:$E,5,0)=0, "",VLOOKUP(A550,'Aux - pivots1'!$A:$E,5,0))</f>
        <v>45624</v>
      </c>
      <c r="M550" s="208">
        <v>45588</v>
      </c>
      <c r="N550" s="208"/>
      <c r="O550" s="342" t="s">
        <v>26</v>
      </c>
    </row>
    <row r="551" spans="1:15" ht="16.2" hidden="1" customHeight="1">
      <c r="A551" s="30" t="str">
        <f t="shared" si="9"/>
        <v>lt004_protectioncod_soc</v>
      </c>
      <c r="B551" s="142" t="s">
        <v>26</v>
      </c>
      <c r="C551" s="138" t="s">
        <v>26</v>
      </c>
      <c r="D551" s="134" t="s">
        <v>40</v>
      </c>
      <c r="E551" s="137" t="s">
        <v>369</v>
      </c>
      <c r="F551" s="137" t="s">
        <v>417</v>
      </c>
      <c r="G551" s="136" t="str">
        <f>VLOOKUP(A551,Plano_V3!$A$26:$G$593,7,0)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lt005_instr_entdt_rfrnc</v>
      </c>
      <c r="B552" s="142" t="s">
        <v>26</v>
      </c>
      <c r="C552" s="138" t="s">
        <v>26</v>
      </c>
      <c r="D552" s="134" t="s">
        <v>40</v>
      </c>
      <c r="E552" s="137" t="s">
        <v>440</v>
      </c>
      <c r="F552" s="137" t="s">
        <v>399</v>
      </c>
      <c r="G552" s="136" t="str">
        <f>VLOOKUP(A552,Plano_V3!$A$26:$G$593,7,0)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lt005_instr_ententty_id</v>
      </c>
      <c r="B553" s="142" t="s">
        <v>26</v>
      </c>
      <c r="C553" s="138" t="s">
        <v>26</v>
      </c>
      <c r="D553" s="134" t="s">
        <v>40</v>
      </c>
      <c r="E553" s="137" t="s">
        <v>440</v>
      </c>
      <c r="F553" s="137" t="s">
        <v>426</v>
      </c>
      <c r="G553" s="136" t="str">
        <f>VLOOKUP(A553,Plano_V3!$A$26:$G$593,7,0)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lt005_instr_entinstrmnt_id</v>
      </c>
      <c r="B554" s="142" t="s">
        <v>26</v>
      </c>
      <c r="C554" s="138" t="s">
        <v>26</v>
      </c>
      <c r="D554" s="134" t="s">
        <v>40</v>
      </c>
      <c r="E554" s="137" t="s">
        <v>440</v>
      </c>
      <c r="F554" s="137" t="s">
        <v>401</v>
      </c>
      <c r="G554" s="136" t="str">
        <f>VLOOKUP(A554,Plano_V3!$A$26:$G$593,7,0)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lt005_instr_entcod_soc</v>
      </c>
      <c r="B555" s="142" t="s">
        <v>26</v>
      </c>
      <c r="C555" s="138" t="s">
        <v>26</v>
      </c>
      <c r="D555" s="134" t="s">
        <v>40</v>
      </c>
      <c r="E555" s="137" t="s">
        <v>440</v>
      </c>
      <c r="F555" s="137" t="s">
        <v>417</v>
      </c>
      <c r="G555" s="136" t="str">
        <f>VLOOKUP(A555,Plano_V3!$A$26:$G$593,7,0)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lt005_instr_entmn_entty_id</v>
      </c>
      <c r="B556" s="142" t="s">
        <v>26</v>
      </c>
      <c r="C556" s="138" t="s">
        <v>26</v>
      </c>
      <c r="D556" s="134" t="s">
        <v>40</v>
      </c>
      <c r="E556" s="137" t="s">
        <v>440</v>
      </c>
      <c r="F556" s="137" t="s">
        <v>441</v>
      </c>
      <c r="G556" s="136" t="str">
        <f>VLOOKUP(A556,Plano_V3!$A$26:$G$593,7,0)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lt006_instr_protdt_rfrnc</v>
      </c>
      <c r="B557" s="142" t="s">
        <v>26</v>
      </c>
      <c r="C557" s="138" t="s">
        <v>26</v>
      </c>
      <c r="D557" s="134" t="s">
        <v>40</v>
      </c>
      <c r="E557" s="137" t="s">
        <v>442</v>
      </c>
      <c r="F557" s="137" t="s">
        <v>399</v>
      </c>
      <c r="G557" s="136" t="str">
        <f>VLOOKUP(A557,Plano_V3!$A$26:$G$593,7,0)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lt006_instr_protinstrmnt_id</v>
      </c>
      <c r="B558" s="142" t="s">
        <v>26</v>
      </c>
      <c r="C558" s="138" t="s">
        <v>26</v>
      </c>
      <c r="D558" s="134" t="s">
        <v>40</v>
      </c>
      <c r="E558" s="137" t="s">
        <v>442</v>
      </c>
      <c r="F558" s="137" t="s">
        <v>401</v>
      </c>
      <c r="G558" s="136" t="str">
        <f>VLOOKUP(A558,Plano_V3!$A$26:$G$593,7,0)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lt006_instr_protprtctn_id</v>
      </c>
      <c r="B559" s="142" t="s">
        <v>26</v>
      </c>
      <c r="C559" s="138" t="s">
        <v>26</v>
      </c>
      <c r="D559" s="134" t="s">
        <v>40</v>
      </c>
      <c r="E559" s="137" t="s">
        <v>442</v>
      </c>
      <c r="F559" s="137" t="s">
        <v>434</v>
      </c>
      <c r="G559" s="136" t="str">
        <f>VLOOKUP(A559,Plano_V3!$A$26:$G$593,7,0)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lt006_instr_protprtctn_allctd_vl</v>
      </c>
      <c r="B560" s="142" t="s">
        <v>26</v>
      </c>
      <c r="C560" s="138" t="s">
        <v>26</v>
      </c>
      <c r="D560" s="134" t="s">
        <v>40</v>
      </c>
      <c r="E560" s="137" t="s">
        <v>442</v>
      </c>
      <c r="F560" s="137" t="s">
        <v>443</v>
      </c>
      <c r="G560" s="136" t="str">
        <f>VLOOKUP(A560,Plano_V3!$A$26:$G$593,7,0)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lt006_instr_protcod_soc</v>
      </c>
      <c r="B561" s="142" t="s">
        <v>26</v>
      </c>
      <c r="C561" s="138" t="s">
        <v>26</v>
      </c>
      <c r="D561" s="134" t="s">
        <v>40</v>
      </c>
      <c r="E561" s="137" t="s">
        <v>442</v>
      </c>
      <c r="F561" s="137" t="s">
        <v>417</v>
      </c>
      <c r="G561" s="136" t="str">
        <f>VLOOKUP(A561,Plano_V3!$A$26:$G$593,7,0)</f>
        <v>1. Concluído</v>
      </c>
      <c r="H561" s="136" t="s">
        <v>613</v>
      </c>
      <c r="I561" s="143" t="s">
        <v>659</v>
      </c>
      <c r="J561" s="153" t="str">
        <f>IF(VLOOKUP(A561,'Aux - pivots1'!$A:$E,3,0)=0, "",VLOOKUP(A561,'Aux - pivots1'!$A:$E,3,0))</f>
        <v/>
      </c>
      <c r="K561" s="153" t="str">
        <f>IF(VLOOKUP(A561,'Aux - pivots1'!$A:$E,4,0)=0, "",VLOOKUP(A561,'Aux - pivots1'!$A:$E,4,0))</f>
        <v/>
      </c>
      <c r="L561" s="153" t="str">
        <f>IF(VLOOKUP(A561,'Aux - pivots1'!$A:$E,5,0)=0, "",VLOOKUP(A561,'Aux - pivots1'!$A:$E,5,0))</f>
        <v/>
      </c>
      <c r="M561" s="208"/>
      <c r="N561" s="208"/>
      <c r="O561" s="342" t="s">
        <v>26</v>
      </c>
    </row>
    <row r="562" spans="1:15" ht="16.2" hidden="1" customHeight="1">
      <c r="A562" s="30" t="str">
        <f t="shared" si="9"/>
        <v>lt004_protectionflg_fin</v>
      </c>
      <c r="B562" s="142" t="s">
        <v>26</v>
      </c>
      <c r="C562" s="138" t="s">
        <v>26</v>
      </c>
      <c r="D562" s="134" t="s">
        <v>40</v>
      </c>
      <c r="E562" s="137" t="s">
        <v>369</v>
      </c>
      <c r="F562" s="137" t="s">
        <v>481</v>
      </c>
      <c r="G562" s="136" t="str">
        <f>VLOOKUP(A562,Plano_V3!$A$26:$G$593,7,0)</f>
        <v>0. Cancelado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lt004_protectionflg_exec</v>
      </c>
      <c r="B563" s="142" t="s">
        <v>26</v>
      </c>
      <c r="C563" s="138" t="s">
        <v>26</v>
      </c>
      <c r="D563" s="134" t="s">
        <v>40</v>
      </c>
      <c r="E563" s="137" t="s">
        <v>369</v>
      </c>
      <c r="F563" s="137" t="s">
        <v>1355</v>
      </c>
      <c r="G563" s="136" t="str">
        <f>VLOOKUP(A563,Plano_V3!$A$26:$G$593,7,0)</f>
        <v>0. Cancelado</v>
      </c>
      <c r="H563" s="136" t="s">
        <v>613</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lt004_protectionflg_col</v>
      </c>
      <c r="B564" s="142" t="s">
        <v>26</v>
      </c>
      <c r="C564" s="138" t="s">
        <v>26</v>
      </c>
      <c r="D564" s="134" t="s">
        <v>40</v>
      </c>
      <c r="E564" s="137" t="s">
        <v>369</v>
      </c>
      <c r="F564" s="137" t="s">
        <v>480</v>
      </c>
      <c r="G564" s="136" t="str">
        <f>VLOOKUP(A564,Plano_V3!$A$26:$G$593,7,0)</f>
        <v>0. Cancelado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si="9"/>
        <v>lt004_protectionflg_pro</v>
      </c>
      <c r="B565" s="142" t="s">
        <v>26</v>
      </c>
      <c r="C565" s="138" t="s">
        <v>26</v>
      </c>
      <c r="D565" s="134" t="s">
        <v>40</v>
      </c>
      <c r="E565" s="137" t="s">
        <v>369</v>
      </c>
      <c r="F565" s="137" t="s">
        <v>482</v>
      </c>
      <c r="G565" s="136" t="str">
        <f>VLOOKUP(A565,Plano_V3!$A$26:$G$593,7,0)</f>
        <v>0. Cancelado</v>
      </c>
      <c r="H565" s="136" t="s">
        <v>613</v>
      </c>
      <c r="I565" s="143" t="s">
        <v>1932</v>
      </c>
      <c r="J565" s="153">
        <f>IF(VLOOKUP(A565,'Aux - pivots1'!$A:$E,3,0)=0, "",VLOOKUP(A565,'Aux - pivots1'!$A:$E,3,0))</f>
        <v>45593</v>
      </c>
      <c r="K565" s="153">
        <f>IF(VLOOKUP(A565,'Aux - pivots1'!$A:$E,4,0)=0, "",VLOOKUP(A565,'Aux - pivots1'!$A:$E,4,0))</f>
        <v>45624</v>
      </c>
      <c r="L565" s="153">
        <f>IF(VLOOKUP(A565,'Aux - pivots1'!$A:$E,5,0)=0, "",VLOOKUP(A565,'Aux - pivots1'!$A:$E,5,0))</f>
        <v>45624</v>
      </c>
      <c r="M565" s="208"/>
      <c r="N565" s="208"/>
      <c r="O565" s="342" t="s">
        <v>26</v>
      </c>
    </row>
    <row r="566" spans="1:15" ht="16.2" hidden="1" customHeight="1">
      <c r="A566" s="30" t="str">
        <f t="shared" ref="A566:A575" si="10">E566&amp;F566</f>
        <v>modesg_inp_emss_nacenome_regiao</v>
      </c>
      <c r="B566" s="142" t="s">
        <v>26</v>
      </c>
      <c r="C566" s="138" t="s">
        <v>181</v>
      </c>
      <c r="D566" s="134" t="s">
        <v>40</v>
      </c>
      <c r="E566" s="135" t="s">
        <v>219</v>
      </c>
      <c r="F566" s="134" t="s">
        <v>221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modesg_inp_emss_nacearea_atividade</v>
      </c>
      <c r="B567" s="142" t="s">
        <v>26</v>
      </c>
      <c r="C567" s="138" t="s">
        <v>181</v>
      </c>
      <c r="D567" s="134" t="s">
        <v>40</v>
      </c>
      <c r="E567" s="135" t="s">
        <v>219</v>
      </c>
      <c r="F567" s="134" t="s">
        <v>660</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modesg_inp_emss_nacetipo_atividade</v>
      </c>
      <c r="B568" s="142" t="s">
        <v>26</v>
      </c>
      <c r="C568" s="138" t="s">
        <v>181</v>
      </c>
      <c r="D568" s="134" t="s">
        <v>40</v>
      </c>
      <c r="E568" s="135" t="s">
        <v>219</v>
      </c>
      <c r="F568" s="134" t="s">
        <v>661</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modesg_inp_emss_nacesub_tipo_atividade_1</v>
      </c>
      <c r="B569" s="142" t="s">
        <v>26</v>
      </c>
      <c r="C569" s="138" t="s">
        <v>181</v>
      </c>
      <c r="D569" s="134" t="s">
        <v>40</v>
      </c>
      <c r="E569" s="135" t="s">
        <v>219</v>
      </c>
      <c r="F569" s="134" t="s">
        <v>662</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modesg_inp_emss_nacesub_tipo_atividade_2</v>
      </c>
      <c r="B570" s="142" t="s">
        <v>26</v>
      </c>
      <c r="C570" s="138" t="s">
        <v>181</v>
      </c>
      <c r="D570" s="134" t="s">
        <v>40</v>
      </c>
      <c r="E570" s="135" t="s">
        <v>219</v>
      </c>
      <c r="F570" s="134" t="s">
        <v>663</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modesg_inp_emss_naceunidades_unidade_funcional</v>
      </c>
      <c r="B571" s="142" t="s">
        <v>26</v>
      </c>
      <c r="C571" s="138" t="s">
        <v>181</v>
      </c>
      <c r="D571" s="134" t="s">
        <v>40</v>
      </c>
      <c r="E571" s="135" t="s">
        <v>219</v>
      </c>
      <c r="F571" s="134" t="s">
        <v>664</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modesg_inp_emss_nacefator_emissao</v>
      </c>
      <c r="B572" s="142" t="s">
        <v>26</v>
      </c>
      <c r="C572" s="138" t="s">
        <v>181</v>
      </c>
      <c r="D572" s="134" t="s">
        <v>40</v>
      </c>
      <c r="E572" s="135" t="s">
        <v>219</v>
      </c>
      <c r="F572" s="134" t="s">
        <v>665</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modesg_inp_km_medios_emss_vclsmedia_scp1_emss</v>
      </c>
      <c r="B573" s="142" t="s">
        <v>26</v>
      </c>
      <c r="C573" s="138" t="s">
        <v>181</v>
      </c>
      <c r="D573" s="134" t="s">
        <v>40</v>
      </c>
      <c r="E573" s="135" t="s">
        <v>214</v>
      </c>
      <c r="F573" s="134" t="s">
        <v>666</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modesg_inp_km_medios_emss_vclsmedia_scp2_emss</v>
      </c>
      <c r="B574" s="142" t="s">
        <v>26</v>
      </c>
      <c r="C574" s="138" t="s">
        <v>181</v>
      </c>
      <c r="D574" s="134" t="s">
        <v>40</v>
      </c>
      <c r="E574" s="135" t="s">
        <v>214</v>
      </c>
      <c r="F574" s="134" t="s">
        <v>667</v>
      </c>
      <c r="G574" s="136" t="s">
        <v>612</v>
      </c>
      <c r="H574" s="136" t="s">
        <v>612</v>
      </c>
      <c r="I574" s="143"/>
      <c r="J574" s="153" t="str">
        <f>IF(VLOOKUP(A574,'Aux - pivots1'!$A:$E,3,0)=0, "",VLOOKUP(A574,'Aux - pivots1'!$A:$E,3,0))</f>
        <v/>
      </c>
      <c r="K574" s="153" t="str">
        <f>IF(VLOOKUP(A574,'Aux - pivots1'!$A:$E,4,0)=0, "",VLOOKUP(A574,'Aux - pivots1'!$A:$E,4,0))</f>
        <v/>
      </c>
      <c r="L574" s="153" t="str">
        <f>IF(VLOOKUP(A574,'Aux - pivots1'!$A:$E,5,0)=0, "",VLOOKUP(A574,'Aux - pivots1'!$A:$E,5,0))</f>
        <v/>
      </c>
      <c r="M574" s="208"/>
      <c r="N574" s="208"/>
      <c r="O574" s="342" t="s">
        <v>29</v>
      </c>
    </row>
    <row r="575" spans="1:15" ht="16.2" hidden="1" customHeight="1">
      <c r="A575" s="30" t="str">
        <f t="shared" si="10"/>
        <v>modesg_inp_km_medios_emss_vclsmedia_scp3_emss</v>
      </c>
      <c r="B575" s="146" t="s">
        <v>26</v>
      </c>
      <c r="C575" s="147" t="s">
        <v>181</v>
      </c>
      <c r="D575" s="148" t="s">
        <v>40</v>
      </c>
      <c r="E575" s="149" t="s">
        <v>214</v>
      </c>
      <c r="F575" s="148" t="s">
        <v>668</v>
      </c>
      <c r="G575" s="150" t="s">
        <v>612</v>
      </c>
      <c r="H575" s="150" t="s">
        <v>612</v>
      </c>
      <c r="I575" s="151"/>
      <c r="J575" s="153" t="str">
        <f>IF(VLOOKUP(A575,'Aux - pivots1'!$A:$E,3,0)=0, "",VLOOKUP(A575,'Aux - pivots1'!$A:$E,3,0))</f>
        <v/>
      </c>
      <c r="K575" s="153" t="str">
        <f>IF(VLOOKUP(A575,'Aux - pivots1'!$A:$E,4,0)=0, "",VLOOKUP(A575,'Aux - pivots1'!$A:$E,4,0))</f>
        <v/>
      </c>
      <c r="L575" s="153" t="str">
        <f>IF(VLOOKUP(A575,'Aux - pivots1'!$A:$E,5,0)=0, "",VLOOKUP(A575,'Aux - pivots1'!$A:$E,5,0))</f>
        <v/>
      </c>
      <c r="M575" s="210"/>
      <c r="N575" s="210"/>
      <c r="O575"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3"/>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3</v>
      </c>
      <c r="C4" s="174">
        <v>45510</v>
      </c>
      <c r="D4" s="174">
        <v>45624</v>
      </c>
      <c r="E4" s="328"/>
    </row>
    <row r="5" spans="1:5">
      <c r="A5" t="s">
        <v>675</v>
      </c>
      <c r="B5" s="328">
        <v>3</v>
      </c>
      <c r="C5" s="174">
        <v>45510</v>
      </c>
      <c r="D5" s="174">
        <v>45624</v>
      </c>
      <c r="E5" s="328"/>
    </row>
    <row r="6" spans="1:5">
      <c r="A6" t="s">
        <v>676</v>
      </c>
      <c r="B6" s="328">
        <v>3</v>
      </c>
      <c r="C6" s="174">
        <v>45510</v>
      </c>
      <c r="D6" s="174">
        <v>45624</v>
      </c>
      <c r="E6" s="328"/>
    </row>
    <row r="7" spans="1:5">
      <c r="A7" t="s">
        <v>677</v>
      </c>
      <c r="B7" s="328">
        <v>3</v>
      </c>
      <c r="C7" s="174">
        <v>45510</v>
      </c>
      <c r="D7" s="174">
        <v>45624</v>
      </c>
      <c r="E7" s="328"/>
    </row>
    <row r="8" spans="1:5">
      <c r="A8" t="s">
        <v>678</v>
      </c>
      <c r="B8" s="328">
        <v>3</v>
      </c>
      <c r="C8" s="174">
        <v>45510</v>
      </c>
      <c r="D8" s="174">
        <v>45624</v>
      </c>
      <c r="E8" s="328"/>
    </row>
    <row r="9" spans="1:5">
      <c r="A9" t="s">
        <v>679</v>
      </c>
      <c r="B9" s="328">
        <v>3</v>
      </c>
      <c r="C9" s="174">
        <v>45510</v>
      </c>
      <c r="D9" s="174">
        <v>45624</v>
      </c>
      <c r="E9" s="328"/>
    </row>
    <row r="10" spans="1:5">
      <c r="A10" t="s">
        <v>680</v>
      </c>
      <c r="B10" s="328">
        <v>3</v>
      </c>
      <c r="C10" s="174">
        <v>45510</v>
      </c>
      <c r="D10" s="174">
        <v>45624</v>
      </c>
      <c r="E10" s="328"/>
    </row>
    <row r="11" spans="1:5">
      <c r="A11" t="s">
        <v>681</v>
      </c>
      <c r="B11" s="328">
        <v>3</v>
      </c>
      <c r="C11" s="174">
        <v>45510</v>
      </c>
      <c r="D11" s="174">
        <v>45624</v>
      </c>
      <c r="E11" s="328"/>
    </row>
    <row r="12" spans="1:5">
      <c r="A12" t="s">
        <v>682</v>
      </c>
      <c r="B12" s="328">
        <v>3</v>
      </c>
      <c r="C12" s="174">
        <v>45510</v>
      </c>
      <c r="D12" s="174">
        <v>45624</v>
      </c>
      <c r="E12" s="328"/>
    </row>
    <row r="13" spans="1:5">
      <c r="A13" t="s">
        <v>683</v>
      </c>
      <c r="B13" s="328">
        <v>3</v>
      </c>
      <c r="C13" s="174">
        <v>45510</v>
      </c>
      <c r="D13" s="174">
        <v>45624</v>
      </c>
      <c r="E13" s="328"/>
    </row>
    <row r="14" spans="1:5">
      <c r="A14" t="s">
        <v>684</v>
      </c>
      <c r="B14" s="328">
        <v>3</v>
      </c>
      <c r="C14" s="174">
        <v>45510</v>
      </c>
      <c r="D14" s="174">
        <v>45624</v>
      </c>
      <c r="E14" s="328"/>
    </row>
    <row r="15" spans="1:5">
      <c r="A15" t="s">
        <v>685</v>
      </c>
      <c r="B15" s="328">
        <v>3</v>
      </c>
      <c r="C15" s="174">
        <v>45510</v>
      </c>
      <c r="D15" s="174">
        <v>45624</v>
      </c>
      <c r="E15" s="328"/>
    </row>
    <row r="16" spans="1:5">
      <c r="A16" t="s">
        <v>686</v>
      </c>
      <c r="B16" s="328">
        <v>3</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1</v>
      </c>
      <c r="C48" s="328"/>
      <c r="D48" s="174">
        <v>45621</v>
      </c>
      <c r="E48" s="174">
        <v>45596</v>
      </c>
    </row>
    <row r="49" spans="1:5">
      <c r="A49" t="s">
        <v>719</v>
      </c>
      <c r="B49" s="328">
        <v>1</v>
      </c>
      <c r="C49" s="328"/>
      <c r="D49" s="174">
        <v>45621</v>
      </c>
      <c r="E49" s="174">
        <v>45596</v>
      </c>
    </row>
    <row r="50" spans="1:5">
      <c r="A50" t="s">
        <v>720</v>
      </c>
      <c r="B50" s="328">
        <v>1</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1</v>
      </c>
      <c r="C68" s="174">
        <v>45589</v>
      </c>
      <c r="D68" s="328"/>
      <c r="E68" s="174">
        <v>45644</v>
      </c>
    </row>
    <row r="69" spans="1:5">
      <c r="A69" t="s">
        <v>739</v>
      </c>
      <c r="B69" s="328">
        <v>1</v>
      </c>
      <c r="C69" s="174">
        <v>45589</v>
      </c>
      <c r="D69" s="328"/>
      <c r="E69" s="174">
        <v>45644</v>
      </c>
    </row>
    <row r="70" spans="1:5">
      <c r="A70" t="s">
        <v>740</v>
      </c>
      <c r="B70" s="328">
        <v>1</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0</v>
      </c>
      <c r="C99" s="174">
        <v>45593</v>
      </c>
      <c r="D99" s="174">
        <v>45624</v>
      </c>
      <c r="E99" s="174">
        <v>45624</v>
      </c>
    </row>
    <row r="100" spans="1:5">
      <c r="A100" t="s">
        <v>770</v>
      </c>
      <c r="B100" s="328">
        <v>0</v>
      </c>
      <c r="C100" s="174">
        <v>45593</v>
      </c>
      <c r="D100" s="174">
        <v>45624</v>
      </c>
      <c r="E100" s="174">
        <v>45624</v>
      </c>
    </row>
    <row r="101" spans="1:5">
      <c r="A101" t="s">
        <v>771</v>
      </c>
      <c r="B101" s="328">
        <v>0</v>
      </c>
      <c r="C101" s="174">
        <v>45593</v>
      </c>
      <c r="D101" s="174">
        <v>45624</v>
      </c>
      <c r="E101" s="174">
        <v>45624</v>
      </c>
    </row>
    <row r="102" spans="1:5">
      <c r="A102" t="s">
        <v>772</v>
      </c>
      <c r="B102" s="328">
        <v>0</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1</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1</v>
      </c>
      <c r="C300" s="174">
        <v>45569</v>
      </c>
      <c r="D300" s="174">
        <v>45621</v>
      </c>
      <c r="E300" s="174">
        <v>45631</v>
      </c>
    </row>
    <row r="301" spans="1:5">
      <c r="A301" t="s">
        <v>952</v>
      </c>
      <c r="B301" s="328">
        <v>1</v>
      </c>
      <c r="C301" s="174">
        <v>45569</v>
      </c>
      <c r="D301" s="174">
        <v>45621</v>
      </c>
      <c r="E301" s="174">
        <v>45631</v>
      </c>
    </row>
    <row r="302" spans="1:5">
      <c r="A302" t="s">
        <v>953</v>
      </c>
      <c r="B302" s="328">
        <v>1</v>
      </c>
      <c r="C302" s="328"/>
      <c r="D302" s="328"/>
      <c r="E302" s="328"/>
    </row>
    <row r="303" spans="1:5">
      <c r="A303" t="s">
        <v>954</v>
      </c>
      <c r="B303" s="328">
        <v>1</v>
      </c>
      <c r="C303" s="174">
        <v>45569</v>
      </c>
      <c r="D303" s="174">
        <v>45621</v>
      </c>
      <c r="E303" s="174">
        <v>45631</v>
      </c>
    </row>
    <row r="304" spans="1:5">
      <c r="A304" t="s">
        <v>955</v>
      </c>
      <c r="B304" s="328">
        <v>1</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1</v>
      </c>
      <c r="C330" s="174">
        <v>45553</v>
      </c>
      <c r="D330" s="174">
        <v>45614</v>
      </c>
      <c r="E330" s="174">
        <v>45615</v>
      </c>
    </row>
    <row r="331" spans="1:5">
      <c r="A331" t="s">
        <v>982</v>
      </c>
      <c r="B331" s="328">
        <v>1</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1</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5</v>
      </c>
      <c r="C364" s="174">
        <v>45563</v>
      </c>
      <c r="D364" s="174">
        <v>45624</v>
      </c>
      <c r="E364" s="174">
        <v>45629</v>
      </c>
    </row>
    <row r="365" spans="1:5">
      <c r="A365" t="s">
        <v>1016</v>
      </c>
      <c r="B365" s="328">
        <v>5</v>
      </c>
      <c r="C365" s="174">
        <v>45563</v>
      </c>
      <c r="D365" s="174">
        <v>45624</v>
      </c>
      <c r="E365" s="174">
        <v>45629</v>
      </c>
    </row>
    <row r="366" spans="1:5">
      <c r="A366" t="s">
        <v>1017</v>
      </c>
      <c r="B366" s="328">
        <v>5</v>
      </c>
      <c r="C366" s="174">
        <v>45563</v>
      </c>
      <c r="D366" s="174">
        <v>45624</v>
      </c>
      <c r="E366" s="174">
        <v>45629</v>
      </c>
    </row>
    <row r="367" spans="1:5">
      <c r="A367" t="s">
        <v>1018</v>
      </c>
      <c r="B367" s="328">
        <v>5</v>
      </c>
      <c r="C367" s="174">
        <v>45563</v>
      </c>
      <c r="D367" s="174">
        <v>45624</v>
      </c>
      <c r="E367" s="174">
        <v>45629</v>
      </c>
    </row>
    <row r="368" spans="1:5">
      <c r="A368" t="s">
        <v>1019</v>
      </c>
      <c r="B368" s="328">
        <v>5</v>
      </c>
      <c r="C368" s="174">
        <v>45563</v>
      </c>
      <c r="D368" s="174">
        <v>45624</v>
      </c>
      <c r="E368" s="174">
        <v>45629</v>
      </c>
    </row>
    <row r="369" spans="1:5">
      <c r="A369" t="s">
        <v>1020</v>
      </c>
      <c r="B369" s="328">
        <v>5</v>
      </c>
      <c r="C369" s="174">
        <v>45563</v>
      </c>
      <c r="D369" s="174">
        <v>45624</v>
      </c>
      <c r="E369" s="174">
        <v>45629</v>
      </c>
    </row>
    <row r="370" spans="1:5">
      <c r="A370" t="s">
        <v>1021</v>
      </c>
      <c r="B370" s="328">
        <v>5</v>
      </c>
      <c r="C370" s="174">
        <v>45562</v>
      </c>
      <c r="D370" s="174">
        <v>45624</v>
      </c>
      <c r="E370" s="174">
        <v>45629</v>
      </c>
    </row>
    <row r="371" spans="1:5">
      <c r="A371" t="s">
        <v>1022</v>
      </c>
      <c r="B371" s="328">
        <v>5</v>
      </c>
      <c r="C371" s="174">
        <v>45563</v>
      </c>
      <c r="D371" s="174">
        <v>45624</v>
      </c>
      <c r="E371" s="174">
        <v>45629</v>
      </c>
    </row>
    <row r="372" spans="1:5">
      <c r="A372" t="s">
        <v>1023</v>
      </c>
      <c r="B372" s="328">
        <v>5</v>
      </c>
      <c r="C372" s="174">
        <v>45563</v>
      </c>
      <c r="D372" s="174">
        <v>45624</v>
      </c>
      <c r="E372" s="174">
        <v>45629</v>
      </c>
    </row>
    <row r="373" spans="1:5">
      <c r="A373" t="s">
        <v>1024</v>
      </c>
      <c r="B373" s="328">
        <v>5</v>
      </c>
      <c r="C373" s="174">
        <v>45563</v>
      </c>
      <c r="D373" s="174">
        <v>45624</v>
      </c>
      <c r="E373" s="174">
        <v>45629</v>
      </c>
    </row>
    <row r="374" spans="1:5">
      <c r="A374" t="s">
        <v>1025</v>
      </c>
      <c r="B374" s="328">
        <v>5</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5</v>
      </c>
      <c r="C377" s="174">
        <v>45561</v>
      </c>
      <c r="D377" s="174">
        <v>45624</v>
      </c>
      <c r="E377" s="174">
        <v>45629</v>
      </c>
    </row>
    <row r="378" spans="1:5">
      <c r="A378" t="s">
        <v>1029</v>
      </c>
      <c r="B378" s="328">
        <v>5</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3</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2065</v>
      </c>
      <c r="B455" s="328">
        <v>3</v>
      </c>
      <c r="C455" s="328"/>
      <c r="D455" s="328"/>
      <c r="E455" s="328"/>
    </row>
    <row r="456" spans="1:5">
      <c r="A456" t="s">
        <v>1106</v>
      </c>
      <c r="B456" s="328">
        <v>1</v>
      </c>
      <c r="C456" s="328"/>
      <c r="D456" s="328"/>
      <c r="E456" s="328"/>
    </row>
    <row r="457" spans="1:5">
      <c r="A457" t="s">
        <v>1107</v>
      </c>
      <c r="B457" s="328">
        <v>1</v>
      </c>
      <c r="C457" s="328"/>
      <c r="D457" s="328"/>
      <c r="E457" s="174">
        <v>45639</v>
      </c>
    </row>
    <row r="458" spans="1:5">
      <c r="A458" t="s">
        <v>1108</v>
      </c>
      <c r="B458" s="328">
        <v>1</v>
      </c>
      <c r="C458" s="328"/>
      <c r="D458" s="328"/>
      <c r="E458" s="328"/>
    </row>
    <row r="459" spans="1:5">
      <c r="A459" t="s">
        <v>1109</v>
      </c>
      <c r="B459" s="328">
        <v>1</v>
      </c>
      <c r="C459" s="328"/>
      <c r="D459" s="328"/>
      <c r="E459" s="328"/>
    </row>
    <row r="460" spans="1:5">
      <c r="A460" t="s">
        <v>1110</v>
      </c>
      <c r="B460" s="328">
        <v>1</v>
      </c>
      <c r="C460" s="328"/>
      <c r="D460" s="328"/>
      <c r="E460" s="328"/>
    </row>
    <row r="461" spans="1:5">
      <c r="A461" t="s">
        <v>1111</v>
      </c>
      <c r="B461" s="328">
        <v>1</v>
      </c>
      <c r="C461" s="328"/>
      <c r="D461" s="328"/>
      <c r="E461" s="174">
        <v>45639</v>
      </c>
    </row>
    <row r="462" spans="1:5">
      <c r="A462" t="s">
        <v>1112</v>
      </c>
      <c r="B462" s="328">
        <v>1</v>
      </c>
      <c r="C462" s="328"/>
      <c r="D462" s="328"/>
      <c r="E462" s="328"/>
    </row>
    <row r="463" spans="1:5">
      <c r="A463" t="s">
        <v>1113</v>
      </c>
      <c r="B463" s="328">
        <v>1</v>
      </c>
      <c r="C463" s="328"/>
      <c r="D463" s="328"/>
      <c r="E463" s="328"/>
    </row>
    <row r="464" spans="1:5">
      <c r="A464" t="s">
        <v>1114</v>
      </c>
      <c r="B464" s="328">
        <v>1</v>
      </c>
      <c r="C464" s="328"/>
      <c r="D464" s="328"/>
      <c r="E464" s="328"/>
    </row>
    <row r="465" spans="1:5">
      <c r="A465" t="s">
        <v>1115</v>
      </c>
      <c r="B465" s="328">
        <v>3</v>
      </c>
      <c r="C465" s="328"/>
      <c r="D465" s="328"/>
      <c r="E465" s="174">
        <v>45639</v>
      </c>
    </row>
    <row r="466" spans="1:5">
      <c r="A466" t="s">
        <v>1116</v>
      </c>
      <c r="B466" s="328">
        <v>1</v>
      </c>
      <c r="C466" s="328"/>
      <c r="D466" s="328"/>
      <c r="E466" s="174">
        <v>45639</v>
      </c>
    </row>
    <row r="467" spans="1:5">
      <c r="A467" t="s">
        <v>1117</v>
      </c>
      <c r="B467" s="328">
        <v>3</v>
      </c>
      <c r="C467" s="328"/>
      <c r="D467" s="328"/>
      <c r="E467" s="328"/>
    </row>
    <row r="468" spans="1:5">
      <c r="A468" t="s">
        <v>1118</v>
      </c>
      <c r="B468" s="328">
        <v>3</v>
      </c>
      <c r="C468" s="328"/>
      <c r="D468" s="328"/>
      <c r="E468" s="174">
        <v>45639</v>
      </c>
    </row>
    <row r="469" spans="1:5">
      <c r="A469" t="s">
        <v>1119</v>
      </c>
      <c r="B469" s="328">
        <v>1</v>
      </c>
      <c r="C469" s="328"/>
      <c r="D469" s="328"/>
      <c r="E469" s="174">
        <v>45639</v>
      </c>
    </row>
    <row r="470" spans="1:5">
      <c r="A470" t="s">
        <v>1120</v>
      </c>
      <c r="B470" s="328">
        <v>1</v>
      </c>
      <c r="C470" s="328"/>
      <c r="D470" s="328"/>
      <c r="E470" s="174">
        <v>45639</v>
      </c>
    </row>
    <row r="471" spans="1:5">
      <c r="A471" t="s">
        <v>1121</v>
      </c>
      <c r="B471" s="328">
        <v>1</v>
      </c>
      <c r="C471" s="328"/>
      <c r="D471" s="328"/>
      <c r="E471" s="174">
        <v>45639</v>
      </c>
    </row>
    <row r="472" spans="1:5">
      <c r="A472" t="s">
        <v>1122</v>
      </c>
      <c r="B472" s="328">
        <v>1</v>
      </c>
      <c r="C472" s="328"/>
      <c r="D472" s="328"/>
      <c r="E472" s="328"/>
    </row>
    <row r="473" spans="1:5">
      <c r="A473" t="s">
        <v>1123</v>
      </c>
      <c r="B473" s="328">
        <v>1</v>
      </c>
      <c r="C473" s="328"/>
      <c r="D473" s="328"/>
      <c r="E473" s="328"/>
    </row>
    <row r="474" spans="1:5">
      <c r="A474" t="s">
        <v>1124</v>
      </c>
      <c r="B474" s="328">
        <v>1</v>
      </c>
      <c r="C474" s="328"/>
      <c r="D474" s="328"/>
      <c r="E474" s="174">
        <v>45639</v>
      </c>
    </row>
    <row r="475" spans="1:5">
      <c r="A475" t="s">
        <v>1125</v>
      </c>
      <c r="B475" s="328">
        <v>1</v>
      </c>
      <c r="C475" s="328"/>
      <c r="D475" s="328"/>
      <c r="E475" s="174">
        <v>45639</v>
      </c>
    </row>
    <row r="476" spans="1:5">
      <c r="A476" t="s">
        <v>1126</v>
      </c>
      <c r="B476" s="328">
        <v>1</v>
      </c>
      <c r="C476" s="328"/>
      <c r="D476" s="328"/>
      <c r="E476" s="328"/>
    </row>
    <row r="477" spans="1:5">
      <c r="A477" t="s">
        <v>1127</v>
      </c>
      <c r="B477" s="328">
        <v>1</v>
      </c>
      <c r="C477" s="328"/>
      <c r="D477" s="328"/>
      <c r="E477" s="174">
        <v>45639</v>
      </c>
    </row>
    <row r="478" spans="1:5">
      <c r="A478" t="s">
        <v>1128</v>
      </c>
      <c r="B478" s="328">
        <v>1</v>
      </c>
      <c r="C478" s="328"/>
      <c r="D478" s="328"/>
      <c r="E478" s="174">
        <v>45639</v>
      </c>
    </row>
    <row r="479" spans="1:5">
      <c r="A479" t="s">
        <v>1129</v>
      </c>
      <c r="B479" s="328">
        <v>1</v>
      </c>
      <c r="C479" s="328"/>
      <c r="D479" s="328"/>
      <c r="E479" s="328"/>
    </row>
    <row r="480" spans="1:5">
      <c r="A480" t="s">
        <v>1130</v>
      </c>
      <c r="B480" s="328">
        <v>1</v>
      </c>
      <c r="C480" s="328"/>
      <c r="D480" s="328"/>
      <c r="E480" s="328"/>
    </row>
    <row r="481" spans="1:5">
      <c r="A481" t="s">
        <v>1131</v>
      </c>
      <c r="B481" s="328">
        <v>1</v>
      </c>
      <c r="C481" s="328"/>
      <c r="D481" s="328"/>
      <c r="E481" s="328"/>
    </row>
    <row r="482" spans="1:5">
      <c r="A482" t="s">
        <v>1132</v>
      </c>
      <c r="B482" s="328">
        <v>1</v>
      </c>
      <c r="C482" s="328"/>
      <c r="D482" s="328"/>
      <c r="E482" s="328"/>
    </row>
    <row r="483" spans="1:5">
      <c r="A483" t="s">
        <v>1133</v>
      </c>
      <c r="B483" s="328">
        <v>1</v>
      </c>
      <c r="C483" s="328"/>
      <c r="D483" s="328"/>
      <c r="E483" s="328"/>
    </row>
    <row r="484" spans="1:5">
      <c r="A484" t="s">
        <v>1134</v>
      </c>
      <c r="B484" s="328">
        <v>1</v>
      </c>
      <c r="C484" s="328"/>
      <c r="D484" s="328"/>
      <c r="E484" s="328"/>
    </row>
    <row r="485" spans="1:5">
      <c r="A485" t="s">
        <v>1135</v>
      </c>
      <c r="B485" s="328">
        <v>1</v>
      </c>
      <c r="C485" s="328"/>
      <c r="D485" s="328"/>
      <c r="E485" s="328"/>
    </row>
    <row r="486" spans="1:5">
      <c r="A486" t="s">
        <v>1136</v>
      </c>
      <c r="B486" s="328">
        <v>1</v>
      </c>
      <c r="C486" s="328"/>
      <c r="D486" s="328"/>
      <c r="E486" s="328"/>
    </row>
    <row r="487" spans="1:5">
      <c r="A487" t="s">
        <v>1137</v>
      </c>
      <c r="B487" s="328">
        <v>1</v>
      </c>
      <c r="C487" s="328"/>
      <c r="D487" s="328"/>
      <c r="E487" s="328"/>
    </row>
    <row r="488" spans="1:5">
      <c r="A488" t="s">
        <v>1138</v>
      </c>
      <c r="B488" s="328">
        <v>1</v>
      </c>
      <c r="C488" s="328"/>
      <c r="D488" s="328"/>
      <c r="E488" s="328"/>
    </row>
    <row r="489" spans="1:5">
      <c r="A489" t="s">
        <v>1139</v>
      </c>
      <c r="B489" s="328">
        <v>1</v>
      </c>
      <c r="C489" s="328"/>
      <c r="D489" s="328"/>
      <c r="E489" s="174">
        <v>45639</v>
      </c>
    </row>
    <row r="490" spans="1:5">
      <c r="A490" t="s">
        <v>1140</v>
      </c>
      <c r="B490" s="328">
        <v>1</v>
      </c>
      <c r="C490" s="328"/>
      <c r="D490" s="328"/>
      <c r="E490" s="328"/>
    </row>
    <row r="491" spans="1:5">
      <c r="A491" t="s">
        <v>1141</v>
      </c>
      <c r="B491" s="328">
        <v>1</v>
      </c>
      <c r="C491" s="328"/>
      <c r="D491" s="328"/>
      <c r="E491" s="328"/>
    </row>
    <row r="492" spans="1:5">
      <c r="A492" t="s">
        <v>1142</v>
      </c>
      <c r="B492" s="328">
        <v>1</v>
      </c>
      <c r="C492" s="328"/>
      <c r="D492" s="328"/>
      <c r="E492" s="328"/>
    </row>
    <row r="493" spans="1:5">
      <c r="A493" t="s">
        <v>1143</v>
      </c>
      <c r="B493" s="328">
        <v>1</v>
      </c>
      <c r="C493" s="328"/>
      <c r="D493" s="328"/>
      <c r="E493" s="174">
        <v>45639</v>
      </c>
    </row>
    <row r="494" spans="1:5">
      <c r="A494" t="s">
        <v>1144</v>
      </c>
      <c r="B494" s="328">
        <v>1</v>
      </c>
      <c r="C494" s="328"/>
      <c r="D494" s="328"/>
      <c r="E494" s="174">
        <v>45639</v>
      </c>
    </row>
    <row r="495" spans="1:5">
      <c r="A495" t="s">
        <v>1145</v>
      </c>
      <c r="B495" s="328">
        <v>1</v>
      </c>
      <c r="C495" s="328"/>
      <c r="D495" s="328"/>
      <c r="E495" s="328"/>
    </row>
    <row r="496" spans="1:5">
      <c r="A496" t="s">
        <v>1146</v>
      </c>
      <c r="B496" s="328">
        <v>1</v>
      </c>
      <c r="C496" s="328"/>
      <c r="D496" s="328"/>
      <c r="E496" s="328"/>
    </row>
    <row r="497" spans="1:5">
      <c r="A497" t="s">
        <v>1147</v>
      </c>
      <c r="B497" s="328">
        <v>1</v>
      </c>
      <c r="C497" s="328"/>
      <c r="D497" s="328"/>
      <c r="E497" s="328"/>
    </row>
    <row r="498" spans="1:5">
      <c r="A498" t="s">
        <v>1148</v>
      </c>
      <c r="B498" s="328">
        <v>1</v>
      </c>
      <c r="C498" s="328"/>
      <c r="D498" s="328"/>
      <c r="E498" s="328"/>
    </row>
    <row r="499" spans="1:5">
      <c r="A499" t="s">
        <v>1149</v>
      </c>
      <c r="B499" s="328">
        <v>1</v>
      </c>
      <c r="C499" s="328"/>
      <c r="D499" s="328"/>
      <c r="E499" s="174">
        <v>45639</v>
      </c>
    </row>
    <row r="500" spans="1:5">
      <c r="A500" t="s">
        <v>1150</v>
      </c>
      <c r="B500" s="328">
        <v>1</v>
      </c>
      <c r="C500" s="328"/>
      <c r="D500" s="328"/>
      <c r="E500" s="328"/>
    </row>
    <row r="501" spans="1:5">
      <c r="A501" t="s">
        <v>1151</v>
      </c>
      <c r="B501" s="328">
        <v>1</v>
      </c>
      <c r="C501" s="328"/>
      <c r="D501" s="328"/>
      <c r="E501" s="328"/>
    </row>
    <row r="502" spans="1:5">
      <c r="A502" t="s">
        <v>1152</v>
      </c>
      <c r="B502" s="328">
        <v>1</v>
      </c>
      <c r="C502" s="328"/>
      <c r="D502" s="328"/>
      <c r="E502" s="328"/>
    </row>
    <row r="503" spans="1:5">
      <c r="A503" t="s">
        <v>1153</v>
      </c>
      <c r="B503" s="328">
        <v>1</v>
      </c>
      <c r="C503" s="328"/>
      <c r="D503" s="328"/>
      <c r="E503" s="174">
        <v>45639</v>
      </c>
    </row>
    <row r="504" spans="1:5">
      <c r="A504" t="s">
        <v>1154</v>
      </c>
      <c r="B504" s="328">
        <v>1</v>
      </c>
      <c r="C504" s="328"/>
      <c r="D504" s="328"/>
      <c r="E504" s="328"/>
    </row>
    <row r="505" spans="1:5">
      <c r="A505" t="s">
        <v>1155</v>
      </c>
      <c r="B505" s="328">
        <v>1</v>
      </c>
      <c r="C505" s="328"/>
      <c r="D505" s="328"/>
      <c r="E505" s="328"/>
    </row>
    <row r="506" spans="1:5">
      <c r="A506" t="s">
        <v>1156</v>
      </c>
      <c r="B506" s="328">
        <v>1</v>
      </c>
      <c r="C506" s="328"/>
      <c r="D506" s="328"/>
      <c r="E506" s="328"/>
    </row>
    <row r="507" spans="1:5">
      <c r="A507" t="s">
        <v>1157</v>
      </c>
      <c r="B507" s="328">
        <v>1</v>
      </c>
      <c r="C507" s="328"/>
      <c r="D507" s="328"/>
      <c r="E507" s="328"/>
    </row>
    <row r="508" spans="1:5">
      <c r="A508" t="s">
        <v>1158</v>
      </c>
      <c r="B508" s="328">
        <v>1</v>
      </c>
      <c r="C508" s="328"/>
      <c r="D508" s="328"/>
      <c r="E508" s="328"/>
    </row>
    <row r="509" spans="1:5">
      <c r="A509" t="s">
        <v>1159</v>
      </c>
      <c r="B509" s="328">
        <v>1</v>
      </c>
      <c r="C509" s="328"/>
      <c r="D509" s="328"/>
      <c r="E509" s="328"/>
    </row>
    <row r="510" spans="1:5">
      <c r="A510" t="s">
        <v>1160</v>
      </c>
      <c r="B510" s="328">
        <v>1</v>
      </c>
      <c r="C510" s="328"/>
      <c r="D510" s="328"/>
      <c r="E510" s="328"/>
    </row>
    <row r="511" spans="1:5">
      <c r="A511" t="s">
        <v>1161</v>
      </c>
      <c r="B511" s="328">
        <v>1</v>
      </c>
      <c r="C511" s="328"/>
      <c r="D511" s="328"/>
      <c r="E511" s="328"/>
    </row>
    <row r="512" spans="1:5">
      <c r="A512" t="s">
        <v>1162</v>
      </c>
      <c r="B512" s="328">
        <v>1</v>
      </c>
      <c r="C512" s="328"/>
      <c r="D512" s="328"/>
      <c r="E512" s="328"/>
    </row>
    <row r="513" spans="1:5">
      <c r="A513" t="s">
        <v>1163</v>
      </c>
      <c r="B513" s="328">
        <v>1</v>
      </c>
      <c r="C513" s="328"/>
      <c r="D513" s="328"/>
      <c r="E513" s="328"/>
    </row>
    <row r="514" spans="1:5">
      <c r="A514" t="s">
        <v>1164</v>
      </c>
      <c r="B514" s="328">
        <v>1</v>
      </c>
      <c r="C514" s="328"/>
      <c r="D514" s="328"/>
      <c r="E514" s="328"/>
    </row>
    <row r="515" spans="1:5">
      <c r="A515" t="s">
        <v>1165</v>
      </c>
      <c r="B515" s="328">
        <v>1</v>
      </c>
      <c r="C515" s="328"/>
      <c r="D515" s="328"/>
      <c r="E515" s="328"/>
    </row>
    <row r="516" spans="1:5">
      <c r="A516" t="s">
        <v>1166</v>
      </c>
      <c r="B516" s="328">
        <v>1</v>
      </c>
      <c r="C516" s="328"/>
      <c r="D516" s="328"/>
      <c r="E516" s="328"/>
    </row>
    <row r="517" spans="1:5">
      <c r="A517" t="s">
        <v>1167</v>
      </c>
      <c r="B517" s="328">
        <v>1</v>
      </c>
      <c r="C517" s="328"/>
      <c r="D517" s="328"/>
      <c r="E517" s="328"/>
    </row>
    <row r="518" spans="1:5">
      <c r="A518" t="s">
        <v>1168</v>
      </c>
      <c r="B518" s="328">
        <v>1</v>
      </c>
      <c r="C518" s="328"/>
      <c r="D518" s="328"/>
      <c r="E518" s="328"/>
    </row>
    <row r="519" spans="1:5">
      <c r="A519" t="s">
        <v>1169</v>
      </c>
      <c r="B519" s="328">
        <v>1</v>
      </c>
      <c r="C519" s="328"/>
      <c r="D519" s="328"/>
      <c r="E519" s="328"/>
    </row>
    <row r="520" spans="1:5">
      <c r="A520" t="s">
        <v>1170</v>
      </c>
      <c r="B520" s="328">
        <v>1</v>
      </c>
      <c r="C520" s="328"/>
      <c r="D520" s="328"/>
      <c r="E520" s="328"/>
    </row>
    <row r="521" spans="1:5">
      <c r="A521" t="s">
        <v>1171</v>
      </c>
      <c r="B521" s="328">
        <v>1</v>
      </c>
      <c r="C521" s="328"/>
      <c r="D521" s="328"/>
      <c r="E521" s="328"/>
    </row>
    <row r="522" spans="1:5">
      <c r="A522" t="s">
        <v>1937</v>
      </c>
      <c r="B522" s="328">
        <v>1</v>
      </c>
      <c r="C522" s="328"/>
      <c r="D522" s="328"/>
      <c r="E522" s="174">
        <v>45645</v>
      </c>
    </row>
    <row r="523" spans="1:5">
      <c r="A523" t="s">
        <v>1172</v>
      </c>
      <c r="B523" s="328">
        <v>0</v>
      </c>
      <c r="C523" s="328"/>
      <c r="D523" s="328"/>
      <c r="E523" s="328"/>
    </row>
    <row r="524" spans="1:5">
      <c r="A524" t="s">
        <v>1173</v>
      </c>
      <c r="B524" s="328">
        <v>1</v>
      </c>
      <c r="C524" s="328"/>
      <c r="D524" s="328"/>
      <c r="E524" s="328"/>
    </row>
    <row r="525" spans="1:5">
      <c r="A525" t="s">
        <v>1174</v>
      </c>
      <c r="B525" s="328">
        <v>1</v>
      </c>
      <c r="C525" s="328"/>
      <c r="D525" s="328"/>
      <c r="E525" s="328"/>
    </row>
    <row r="526" spans="1:5">
      <c r="A526" t="s">
        <v>1175</v>
      </c>
      <c r="B526" s="328">
        <v>1</v>
      </c>
      <c r="C526" s="174">
        <v>45491</v>
      </c>
      <c r="D526" s="174">
        <v>45495</v>
      </c>
      <c r="E526" s="174">
        <v>45495</v>
      </c>
    </row>
    <row r="527" spans="1:5">
      <c r="A527" t="s">
        <v>1176</v>
      </c>
      <c r="B527" s="328">
        <v>1</v>
      </c>
      <c r="C527" s="328"/>
      <c r="D527" s="328"/>
      <c r="E527" s="328"/>
    </row>
    <row r="528" spans="1:5">
      <c r="A528" t="s">
        <v>1177</v>
      </c>
      <c r="B528" s="328">
        <v>1</v>
      </c>
      <c r="C528" s="328"/>
      <c r="D528" s="328"/>
      <c r="E528" s="328"/>
    </row>
    <row r="529" spans="1:5">
      <c r="A529" t="s">
        <v>1178</v>
      </c>
      <c r="B529" s="328">
        <v>1</v>
      </c>
      <c r="C529" s="174">
        <v>45491</v>
      </c>
      <c r="D529" s="174">
        <v>45495</v>
      </c>
      <c r="E529" s="174">
        <v>45495</v>
      </c>
    </row>
    <row r="530" spans="1:5">
      <c r="A530" t="s">
        <v>1179</v>
      </c>
      <c r="B530" s="328">
        <v>1</v>
      </c>
      <c r="C530" s="328"/>
      <c r="D530" s="328"/>
      <c r="E530" s="328"/>
    </row>
    <row r="531" spans="1:5">
      <c r="A531" t="s">
        <v>1180</v>
      </c>
      <c r="B531" s="328">
        <v>1</v>
      </c>
      <c r="C531" s="328"/>
      <c r="D531" s="328"/>
      <c r="E531" s="328"/>
    </row>
    <row r="532" spans="1:5">
      <c r="A532" t="s">
        <v>1181</v>
      </c>
      <c r="B532" s="328">
        <v>1</v>
      </c>
      <c r="C532" s="328"/>
      <c r="D532" s="328"/>
      <c r="E532" s="328"/>
    </row>
    <row r="533" spans="1:5">
      <c r="A533" t="s">
        <v>1182</v>
      </c>
      <c r="B533" s="328">
        <v>1</v>
      </c>
      <c r="C533" s="328"/>
      <c r="D533" s="328"/>
      <c r="E533" s="328"/>
    </row>
    <row r="534" spans="1:5">
      <c r="A534" t="s">
        <v>1183</v>
      </c>
      <c r="B534" s="328">
        <v>1</v>
      </c>
      <c r="C534" s="328"/>
      <c r="D534" s="328"/>
      <c r="E534" s="328"/>
    </row>
    <row r="535" spans="1:5">
      <c r="A535" t="s">
        <v>1184</v>
      </c>
      <c r="B535" s="328">
        <v>1</v>
      </c>
      <c r="C535" s="328"/>
      <c r="D535" s="328"/>
      <c r="E535" s="328"/>
    </row>
    <row r="536" spans="1:5">
      <c r="A536" t="s">
        <v>1185</v>
      </c>
      <c r="B536" s="328">
        <v>1</v>
      </c>
      <c r="C536" s="328"/>
      <c r="D536" s="328"/>
      <c r="E536" s="328"/>
    </row>
    <row r="537" spans="1:5">
      <c r="A537" t="s">
        <v>1186</v>
      </c>
      <c r="B537" s="328">
        <v>1</v>
      </c>
      <c r="C537" s="328"/>
      <c r="D537" s="328"/>
      <c r="E537" s="328"/>
    </row>
    <row r="538" spans="1:5">
      <c r="A538" t="s">
        <v>1187</v>
      </c>
      <c r="B538" s="328">
        <v>1</v>
      </c>
      <c r="C538" s="328"/>
      <c r="D538" s="328"/>
      <c r="E538" s="328"/>
    </row>
    <row r="539" spans="1:5">
      <c r="A539" t="s">
        <v>1188</v>
      </c>
      <c r="B539" s="328">
        <v>0</v>
      </c>
      <c r="C539" s="328"/>
      <c r="D539" s="328"/>
      <c r="E539" s="328"/>
    </row>
    <row r="540" spans="1:5">
      <c r="A540" t="s">
        <v>1189</v>
      </c>
      <c r="B540" s="328">
        <v>1</v>
      </c>
      <c r="C540" s="328"/>
      <c r="D540" s="328"/>
      <c r="E540" s="328"/>
    </row>
    <row r="541" spans="1:5">
      <c r="A541" t="s">
        <v>1190</v>
      </c>
      <c r="B541" s="328">
        <v>1</v>
      </c>
      <c r="C541" s="328"/>
      <c r="D541" s="328"/>
      <c r="E541" s="328"/>
    </row>
    <row r="542" spans="1:5">
      <c r="A542" t="s">
        <v>1191</v>
      </c>
      <c r="B542" s="328">
        <v>1</v>
      </c>
      <c r="C542" s="328"/>
      <c r="D542" s="328"/>
      <c r="E542" s="328"/>
    </row>
    <row r="543" spans="1:5">
      <c r="A543" t="s">
        <v>1192</v>
      </c>
      <c r="B543" s="328">
        <v>1</v>
      </c>
      <c r="C543" s="328"/>
      <c r="D543" s="328"/>
      <c r="E543" s="328"/>
    </row>
    <row r="544" spans="1:5">
      <c r="A544" t="s">
        <v>1193</v>
      </c>
      <c r="B544" s="328">
        <v>1</v>
      </c>
      <c r="C544" s="328"/>
      <c r="D544" s="328"/>
      <c r="E544" s="328"/>
    </row>
    <row r="545" spans="1:5">
      <c r="A545" t="s">
        <v>1194</v>
      </c>
      <c r="B545" s="328">
        <v>1</v>
      </c>
      <c r="C545" s="328"/>
      <c r="D545" s="328"/>
      <c r="E545" s="328"/>
    </row>
    <row r="546" spans="1:5">
      <c r="A546" t="s">
        <v>1195</v>
      </c>
      <c r="B546" s="328">
        <v>1</v>
      </c>
      <c r="C546" s="328"/>
      <c r="D546" s="328"/>
      <c r="E546" s="328"/>
    </row>
    <row r="547" spans="1:5">
      <c r="A547" t="s">
        <v>1196</v>
      </c>
      <c r="B547" s="328">
        <v>1</v>
      </c>
      <c r="C547" s="328"/>
      <c r="D547" s="328"/>
      <c r="E547" s="328"/>
    </row>
    <row r="548" spans="1:5">
      <c r="A548" t="s">
        <v>1197</v>
      </c>
      <c r="B548" s="328">
        <v>1</v>
      </c>
      <c r="C548" s="328"/>
      <c r="D548" s="328"/>
      <c r="E548" s="328"/>
    </row>
    <row r="549" spans="1:5">
      <c r="A549" t="s">
        <v>1198</v>
      </c>
      <c r="B549" s="328">
        <v>1</v>
      </c>
      <c r="C549" s="328"/>
      <c r="D549" s="328"/>
      <c r="E549" s="328"/>
    </row>
    <row r="550" spans="1:5">
      <c r="A550" t="s">
        <v>1199</v>
      </c>
      <c r="B550" s="328">
        <v>1</v>
      </c>
      <c r="C550" s="328"/>
      <c r="D550" s="328"/>
      <c r="E550" s="328"/>
    </row>
    <row r="551" spans="1:5">
      <c r="A551" t="s">
        <v>1200</v>
      </c>
      <c r="B551" s="328">
        <v>1</v>
      </c>
      <c r="C551" s="328"/>
      <c r="D551" s="328"/>
      <c r="E551" s="328"/>
    </row>
    <row r="552" spans="1:5">
      <c r="A552" t="s">
        <v>1201</v>
      </c>
      <c r="B552" s="328">
        <v>1</v>
      </c>
      <c r="C552" s="328"/>
      <c r="D552" s="328"/>
      <c r="E552" s="328"/>
    </row>
    <row r="553" spans="1:5">
      <c r="A553" t="s">
        <v>1202</v>
      </c>
      <c r="B553" s="328">
        <v>1</v>
      </c>
      <c r="C553" s="328"/>
      <c r="D553" s="328"/>
      <c r="E553" s="328"/>
    </row>
    <row r="554" spans="1:5">
      <c r="A554" t="s">
        <v>1203</v>
      </c>
      <c r="B554" s="328">
        <v>0</v>
      </c>
      <c r="C554" s="328"/>
      <c r="D554" s="328"/>
      <c r="E554" s="328"/>
    </row>
    <row r="555" spans="1:5">
      <c r="A555" t="s">
        <v>1204</v>
      </c>
      <c r="B555" s="328">
        <v>1</v>
      </c>
      <c r="C555" s="328"/>
      <c r="D555" s="328"/>
      <c r="E555" s="328"/>
    </row>
    <row r="556" spans="1:5">
      <c r="A556" t="s">
        <v>1205</v>
      </c>
      <c r="B556" s="328">
        <v>1</v>
      </c>
      <c r="C556" s="328"/>
      <c r="D556" s="328"/>
      <c r="E556" s="328"/>
    </row>
    <row r="557" spans="1:5">
      <c r="A557" t="s">
        <v>1206</v>
      </c>
      <c r="B557" s="328">
        <v>1</v>
      </c>
      <c r="C557" s="328"/>
      <c r="D557" s="328"/>
      <c r="E557" s="328"/>
    </row>
    <row r="558" spans="1:5">
      <c r="A558" t="s">
        <v>1207</v>
      </c>
      <c r="B558" s="328">
        <v>0</v>
      </c>
      <c r="C558" s="328"/>
      <c r="D558" s="328"/>
      <c r="E558" s="328"/>
    </row>
    <row r="559" spans="1:5">
      <c r="A559" t="s">
        <v>1208</v>
      </c>
      <c r="B559" s="328">
        <v>1</v>
      </c>
      <c r="C559" s="328"/>
      <c r="D559" s="328"/>
      <c r="E559" s="328"/>
    </row>
    <row r="560" spans="1:5">
      <c r="A560" t="s">
        <v>1209</v>
      </c>
      <c r="B560" s="328">
        <v>1</v>
      </c>
      <c r="C560" s="328"/>
      <c r="D560" s="328"/>
      <c r="E560" s="328"/>
    </row>
    <row r="561" spans="1:5">
      <c r="A561" t="s">
        <v>1210</v>
      </c>
      <c r="B561" s="328">
        <v>0</v>
      </c>
      <c r="C561" s="328"/>
      <c r="D561" s="328"/>
      <c r="E561" s="328"/>
    </row>
    <row r="562" spans="1:5">
      <c r="A562" t="s">
        <v>1211</v>
      </c>
      <c r="B562" s="328">
        <v>1</v>
      </c>
      <c r="C562" s="328"/>
      <c r="D562" s="328"/>
      <c r="E562" s="328"/>
    </row>
    <row r="563" spans="1:5">
      <c r="A563" t="s">
        <v>1212</v>
      </c>
      <c r="B563" s="328">
        <v>1</v>
      </c>
      <c r="C563" s="328"/>
      <c r="D563" s="328"/>
      <c r="E563" s="328"/>
    </row>
    <row r="564" spans="1:5">
      <c r="A564" t="s">
        <v>1213</v>
      </c>
      <c r="B564" s="328">
        <v>1</v>
      </c>
      <c r="C564" s="328"/>
      <c r="D564" s="328"/>
      <c r="E564" s="328"/>
    </row>
    <row r="565" spans="1:5">
      <c r="A565" t="s">
        <v>1214</v>
      </c>
      <c r="B565" s="328">
        <v>1</v>
      </c>
      <c r="C565" s="328"/>
      <c r="D565" s="328"/>
      <c r="E565" s="328"/>
    </row>
    <row r="566" spans="1:5">
      <c r="A566" t="s">
        <v>1215</v>
      </c>
      <c r="B566" s="328">
        <v>1</v>
      </c>
      <c r="C566" s="328"/>
      <c r="D566" s="328"/>
      <c r="E566" s="328"/>
    </row>
    <row r="567" spans="1:5">
      <c r="A567" t="s">
        <v>1216</v>
      </c>
      <c r="B567" s="328">
        <v>1</v>
      </c>
      <c r="C567" s="328"/>
      <c r="D567" s="328"/>
      <c r="E567" s="328"/>
    </row>
    <row r="568" spans="1:5">
      <c r="A568" t="s">
        <v>1217</v>
      </c>
      <c r="B568" s="328">
        <v>1</v>
      </c>
      <c r="C568" s="328"/>
      <c r="D568" s="328"/>
      <c r="E568" s="328"/>
    </row>
    <row r="569" spans="1:5">
      <c r="A569" t="s">
        <v>1218</v>
      </c>
      <c r="B569" s="328">
        <v>1</v>
      </c>
      <c r="C569" s="328"/>
      <c r="D569" s="328"/>
      <c r="E569" s="328"/>
    </row>
    <row r="570" spans="1:5">
      <c r="A570" t="s">
        <v>1219</v>
      </c>
      <c r="B570" s="328">
        <v>1</v>
      </c>
      <c r="C570" s="328"/>
      <c r="D570" s="328"/>
      <c r="E570" s="328"/>
    </row>
    <row r="571" spans="1:5">
      <c r="A571" t="s">
        <v>1220</v>
      </c>
      <c r="B571" s="328">
        <v>1</v>
      </c>
      <c r="C571" s="328"/>
      <c r="D571" s="328"/>
      <c r="E571" s="328"/>
    </row>
    <row r="572" spans="1:5">
      <c r="A572" t="s">
        <v>1221</v>
      </c>
      <c r="B572" s="328">
        <v>1</v>
      </c>
      <c r="C572" s="328"/>
      <c r="D572" s="328"/>
      <c r="E572" s="328"/>
    </row>
    <row r="573" spans="1:5">
      <c r="A573" t="s">
        <v>1222</v>
      </c>
      <c r="B573" s="328">
        <v>7</v>
      </c>
      <c r="C573" s="174">
        <v>45621</v>
      </c>
      <c r="D573" s="174">
        <v>374342</v>
      </c>
      <c r="E573" s="174">
        <v>374342</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38.19921875" customWidth="1"/>
    <col min="9" max="9" width="23.3984375" customWidth="1"/>
    <col min="10"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2019</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614</v>
      </c>
      <c r="G10" t="s">
        <v>615</v>
      </c>
      <c r="H10" t="s">
        <v>618</v>
      </c>
      <c r="I10" t="s">
        <v>1922</v>
      </c>
      <c r="J10" t="s">
        <v>1222</v>
      </c>
    </row>
    <row r="11" spans="2:10">
      <c r="B11" s="51" t="s">
        <v>27</v>
      </c>
      <c r="C11" s="328">
        <v>10</v>
      </c>
      <c r="D11" s="328">
        <v>143</v>
      </c>
      <c r="E11" s="328"/>
      <c r="F11" s="328"/>
      <c r="G11" s="328"/>
      <c r="H11" s="328"/>
      <c r="I11" s="328">
        <v>17</v>
      </c>
      <c r="J11" s="328">
        <v>170</v>
      </c>
    </row>
    <row r="12" spans="2:10">
      <c r="B12" s="51" t="s">
        <v>29</v>
      </c>
      <c r="C12" s="328">
        <v>14</v>
      </c>
      <c r="D12" s="328">
        <v>211</v>
      </c>
      <c r="E12" s="328"/>
      <c r="F12" s="328"/>
      <c r="G12" s="328">
        <v>13</v>
      </c>
      <c r="H12" s="328">
        <v>6</v>
      </c>
      <c r="I12" s="328">
        <v>1</v>
      </c>
      <c r="J12" s="328">
        <v>245</v>
      </c>
    </row>
    <row r="13" spans="2:10">
      <c r="B13" s="51" t="s">
        <v>26</v>
      </c>
      <c r="C13" s="328">
        <v>4</v>
      </c>
      <c r="D13" s="328">
        <v>123</v>
      </c>
      <c r="E13" s="328">
        <v>3</v>
      </c>
      <c r="F13" s="328">
        <v>3</v>
      </c>
      <c r="G13" s="328">
        <v>2</v>
      </c>
      <c r="H13" s="328"/>
      <c r="I13" s="328"/>
      <c r="J13" s="328">
        <v>135</v>
      </c>
    </row>
    <row r="14" spans="2:10">
      <c r="B14" s="51" t="s">
        <v>1222</v>
      </c>
      <c r="C14" s="328">
        <v>28</v>
      </c>
      <c r="D14" s="328">
        <v>477</v>
      </c>
      <c r="E14" s="328">
        <v>3</v>
      </c>
      <c r="F14" s="328">
        <v>3</v>
      </c>
      <c r="G14" s="328">
        <v>15</v>
      </c>
      <c r="H14" s="328">
        <v>6</v>
      </c>
      <c r="I14" s="328">
        <v>18</v>
      </c>
      <c r="J14" s="328">
        <v>550</v>
      </c>
    </row>
    <row r="18" spans="2:10">
      <c r="B18" s="51"/>
      <c r="C18" s="328"/>
      <c r="D18" s="328"/>
      <c r="E18" s="328"/>
      <c r="F18" s="328"/>
      <c r="G18" s="328"/>
      <c r="H18" s="328"/>
      <c r="I18" s="328"/>
      <c r="J18" s="328"/>
    </row>
    <row r="19" spans="2:10">
      <c r="B19" s="50" t="s">
        <v>8</v>
      </c>
      <c r="C19" t="s">
        <v>26</v>
      </c>
    </row>
    <row r="20" spans="2:10">
      <c r="B20" s="50" t="s">
        <v>2025</v>
      </c>
      <c r="C20" t="s">
        <v>2024</v>
      </c>
    </row>
    <row r="21" spans="2:10">
      <c r="B21" s="50" t="s">
        <v>10</v>
      </c>
      <c r="C21" t="s">
        <v>40</v>
      </c>
    </row>
    <row r="23" spans="2:10">
      <c r="B23" s="50" t="s">
        <v>1226</v>
      </c>
      <c r="C23" t="s">
        <v>1224</v>
      </c>
    </row>
    <row r="24" spans="2:10">
      <c r="B24" s="51" t="s">
        <v>612</v>
      </c>
      <c r="C24" s="328">
        <v>28</v>
      </c>
    </row>
    <row r="25" spans="2:10">
      <c r="B25" s="51" t="s">
        <v>613</v>
      </c>
      <c r="C25" s="328">
        <v>477</v>
      </c>
    </row>
    <row r="26" spans="2:10">
      <c r="B26" s="51" t="s">
        <v>1921</v>
      </c>
      <c r="C26" s="328">
        <v>3</v>
      </c>
    </row>
    <row r="27" spans="2:10">
      <c r="B27" s="51" t="s">
        <v>614</v>
      </c>
      <c r="C27" s="328">
        <v>3</v>
      </c>
    </row>
    <row r="28" spans="2:10">
      <c r="B28" s="51" t="s">
        <v>615</v>
      </c>
      <c r="C28" s="328">
        <v>15</v>
      </c>
    </row>
    <row r="29" spans="2:10">
      <c r="B29" s="51" t="s">
        <v>618</v>
      </c>
      <c r="C29" s="328">
        <v>6</v>
      </c>
    </row>
    <row r="30" spans="2:10">
      <c r="B30" s="51" t="s">
        <v>1922</v>
      </c>
      <c r="C30" s="328">
        <v>18</v>
      </c>
    </row>
    <row r="31" spans="2:10">
      <c r="B31" s="51" t="s">
        <v>1222</v>
      </c>
      <c r="C31" s="328">
        <v>550</v>
      </c>
    </row>
    <row r="40" spans="2:12">
      <c r="B40" s="345"/>
      <c r="C40" s="345"/>
      <c r="D40" s="345"/>
    </row>
    <row r="41" spans="2:12">
      <c r="B41" s="345"/>
      <c r="C41" s="345"/>
      <c r="D41" s="345"/>
    </row>
    <row r="42" spans="2:12" ht="22.2">
      <c r="B42" s="127" t="s">
        <v>2020</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1922</v>
      </c>
      <c r="F50" t="s">
        <v>1222</v>
      </c>
    </row>
    <row r="51" spans="2:6">
      <c r="B51" s="51" t="s">
        <v>74</v>
      </c>
      <c r="C51" s="328">
        <v>3</v>
      </c>
      <c r="D51" s="328">
        <v>17</v>
      </c>
      <c r="E51" s="328"/>
      <c r="F51" s="328">
        <v>20</v>
      </c>
    </row>
    <row r="52" spans="2:6">
      <c r="B52" s="51" t="s">
        <v>123</v>
      </c>
      <c r="C52" s="328"/>
      <c r="D52" s="328">
        <v>68</v>
      </c>
      <c r="E52" s="328">
        <v>5</v>
      </c>
      <c r="F52" s="328">
        <v>73</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143</v>
      </c>
      <c r="E57" s="328">
        <v>17</v>
      </c>
      <c r="F57" s="328">
        <v>170</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143</v>
      </c>
    </row>
    <row r="69" spans="2:3">
      <c r="B69" s="51" t="s">
        <v>1922</v>
      </c>
      <c r="C69" s="328">
        <v>17</v>
      </c>
    </row>
    <row r="70" spans="2:3">
      <c r="B70" s="51" t="s">
        <v>1222</v>
      </c>
      <c r="C70" s="328">
        <v>170</v>
      </c>
    </row>
    <row r="81" spans="2:16" ht="22.2">
      <c r="B81" s="127" t="s">
        <v>2021</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1922</v>
      </c>
      <c r="F88" t="s">
        <v>615</v>
      </c>
      <c r="G88" t="s">
        <v>618</v>
      </c>
      <c r="H88" t="s">
        <v>1222</v>
      </c>
    </row>
    <row r="89" spans="2:16">
      <c r="B89" s="51" t="s">
        <v>182</v>
      </c>
      <c r="C89" s="328">
        <v>2</v>
      </c>
      <c r="D89" s="328">
        <v>27</v>
      </c>
      <c r="E89" s="328"/>
      <c r="F89" s="328">
        <v>1</v>
      </c>
      <c r="G89" s="328"/>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25</v>
      </c>
      <c r="E92" s="328">
        <v>1</v>
      </c>
      <c r="F92" s="328"/>
      <c r="G92" s="328">
        <v>6</v>
      </c>
      <c r="H92" s="328">
        <v>32</v>
      </c>
    </row>
    <row r="93" spans="2:16">
      <c r="B93" s="51" t="s">
        <v>312</v>
      </c>
      <c r="C93" s="328"/>
      <c r="D93" s="328">
        <v>18</v>
      </c>
      <c r="E93" s="328"/>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211</v>
      </c>
      <c r="E102" s="328">
        <v>1</v>
      </c>
      <c r="F102" s="328">
        <v>13</v>
      </c>
      <c r="G102" s="328">
        <v>6</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211</v>
      </c>
    </row>
    <row r="114" spans="2:16">
      <c r="B114" s="51" t="s">
        <v>1922</v>
      </c>
      <c r="C114" s="328">
        <v>1</v>
      </c>
    </row>
    <row r="115" spans="2:16">
      <c r="B115" s="51" t="s">
        <v>615</v>
      </c>
      <c r="C115" s="328">
        <v>13</v>
      </c>
    </row>
    <row r="116" spans="2:16">
      <c r="B116" s="51" t="s">
        <v>618</v>
      </c>
      <c r="C116" s="328">
        <v>6</v>
      </c>
    </row>
    <row r="117" spans="2:16">
      <c r="B117" s="51" t="s">
        <v>1222</v>
      </c>
      <c r="C117" s="328">
        <v>245</v>
      </c>
    </row>
    <row r="126" spans="2:16" ht="22.2">
      <c r="B126" s="127" t="s">
        <v>2022</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612</v>
      </c>
      <c r="D134" t="s">
        <v>613</v>
      </c>
      <c r="E134" t="s">
        <v>1921</v>
      </c>
      <c r="F134" t="s">
        <v>614</v>
      </c>
      <c r="G134" t="s">
        <v>615</v>
      </c>
      <c r="H134" t="s">
        <v>1222</v>
      </c>
    </row>
    <row r="135" spans="2:8">
      <c r="B135" s="51" t="s">
        <v>380</v>
      </c>
      <c r="C135" s="328"/>
      <c r="D135" s="328">
        <v>23</v>
      </c>
      <c r="E135" s="328">
        <v>3</v>
      </c>
      <c r="F135" s="328">
        <v>3</v>
      </c>
      <c r="G135" s="328">
        <v>1</v>
      </c>
      <c r="H135" s="328">
        <v>30</v>
      </c>
    </row>
    <row r="136" spans="2:8">
      <c r="B136" s="51" t="s">
        <v>336</v>
      </c>
      <c r="C136" s="328"/>
      <c r="D136" s="328">
        <v>43</v>
      </c>
      <c r="E136" s="328"/>
      <c r="F136" s="328"/>
      <c r="G136" s="328"/>
      <c r="H136" s="328">
        <v>43</v>
      </c>
    </row>
    <row r="137" spans="2:8">
      <c r="B137" s="51" t="s">
        <v>369</v>
      </c>
      <c r="C137" s="328">
        <v>4</v>
      </c>
      <c r="D137" s="328">
        <v>20</v>
      </c>
      <c r="E137" s="328"/>
      <c r="F137" s="328"/>
      <c r="G137" s="328"/>
      <c r="H137" s="328">
        <v>24</v>
      </c>
    </row>
    <row r="138" spans="2:8">
      <c r="B138" s="51" t="s">
        <v>440</v>
      </c>
      <c r="C138" s="328"/>
      <c r="D138" s="328">
        <v>5</v>
      </c>
      <c r="E138" s="328"/>
      <c r="F138" s="328"/>
      <c r="G138" s="328"/>
      <c r="H138" s="328">
        <v>5</v>
      </c>
    </row>
    <row r="139" spans="2:8">
      <c r="B139" s="51" t="s">
        <v>442</v>
      </c>
      <c r="C139" s="328"/>
      <c r="D139" s="328">
        <v>5</v>
      </c>
      <c r="E139" s="328"/>
      <c r="F139" s="328"/>
      <c r="G139" s="328"/>
      <c r="H139" s="328">
        <v>5</v>
      </c>
    </row>
    <row r="140" spans="2:8">
      <c r="B140" s="51" t="s">
        <v>1948</v>
      </c>
      <c r="C140" s="328"/>
      <c r="D140" s="328">
        <v>3</v>
      </c>
      <c r="E140" s="328"/>
      <c r="F140" s="328"/>
      <c r="G140" s="328">
        <v>1</v>
      </c>
      <c r="H140" s="328">
        <v>4</v>
      </c>
    </row>
    <row r="141" spans="2:8">
      <c r="B141" s="51" t="s">
        <v>393</v>
      </c>
      <c r="C141" s="328"/>
      <c r="D141" s="328">
        <v>9</v>
      </c>
      <c r="E141" s="328"/>
      <c r="F141" s="328"/>
      <c r="G141" s="328"/>
      <c r="H141" s="328">
        <v>9</v>
      </c>
    </row>
    <row r="142" spans="2:8">
      <c r="B142" s="51" t="s">
        <v>1949</v>
      </c>
      <c r="C142" s="328"/>
      <c r="D142" s="328">
        <v>15</v>
      </c>
      <c r="E142" s="328"/>
      <c r="F142" s="328"/>
      <c r="G142" s="328"/>
      <c r="H142" s="328">
        <v>15</v>
      </c>
    </row>
    <row r="143" spans="2:8">
      <c r="B143" s="51" t="s">
        <v>1222</v>
      </c>
      <c r="C143" s="328">
        <v>4</v>
      </c>
      <c r="D143" s="328">
        <v>123</v>
      </c>
      <c r="E143" s="328">
        <v>3</v>
      </c>
      <c r="F143" s="328">
        <v>3</v>
      </c>
      <c r="G143" s="328">
        <v>2</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123</v>
      </c>
    </row>
    <row r="156" spans="2:3">
      <c r="B156" s="51" t="s">
        <v>612</v>
      </c>
      <c r="C156" s="328">
        <v>4</v>
      </c>
    </row>
    <row r="157" spans="2:3">
      <c r="B157" s="51" t="s">
        <v>1921</v>
      </c>
      <c r="C157" s="328">
        <v>3</v>
      </c>
    </row>
    <row r="158" spans="2:3">
      <c r="B158" s="51" t="s">
        <v>615</v>
      </c>
      <c r="C158" s="328">
        <v>2</v>
      </c>
    </row>
    <row r="159" spans="2:3">
      <c r="B159" s="51" t="s">
        <v>614</v>
      </c>
      <c r="C159" s="328">
        <v>3</v>
      </c>
    </row>
    <row r="160" spans="2:3">
      <c r="B160" s="51" t="s">
        <v>1222</v>
      </c>
      <c r="C160" s="328">
        <v>135</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3"/>
  <sheetViews>
    <sheetView showGridLines="0" tabSelected="1" zoomScale="70" zoomScaleNormal="70" workbookViewId="0">
      <selection activeCell="G13" sqref="G1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customHeight="1">
      <c r="B9" s="2" t="s">
        <v>26</v>
      </c>
      <c r="C9" s="2" t="s">
        <v>34</v>
      </c>
      <c r="D9" s="2" t="s">
        <v>1256</v>
      </c>
      <c r="E9" s="2" t="s">
        <v>38</v>
      </c>
      <c r="F9" s="2" t="s">
        <v>37</v>
      </c>
      <c r="G9" s="2" t="s">
        <v>38</v>
      </c>
      <c r="H9" s="57" t="str">
        <f>Table1[[#This Row],[Tabela]]&amp;Table1[[#This Row],[Campo]]</f>
        <v>ENERGY_CERTIFICATE_EST_INPUTn.a.</v>
      </c>
      <c r="I9" s="2" t="s">
        <v>1922</v>
      </c>
      <c r="J9" s="43">
        <f>VLOOKUP(Table1[[#This Row],[Status]],Auxiliar!$B$16:$C$24,2,0)</f>
        <v>3</v>
      </c>
      <c r="K9" s="2" t="s">
        <v>1243</v>
      </c>
      <c r="L9" s="2" t="s">
        <v>1252</v>
      </c>
      <c r="M9" s="21" t="s">
        <v>1253</v>
      </c>
      <c r="N9" s="48">
        <v>45674</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4</v>
      </c>
      <c r="X9" s="168"/>
      <c r="Y9" s="172"/>
      <c r="Z9" s="26"/>
      <c r="AA9" s="26"/>
      <c r="AB9" s="26"/>
      <c r="AC9" s="26"/>
      <c r="AD9" s="26"/>
    </row>
    <row r="10" spans="1:45" ht="17.7" customHeight="1">
      <c r="B10" s="2" t="s">
        <v>26</v>
      </c>
      <c r="C10" s="2" t="s">
        <v>34</v>
      </c>
      <c r="D10" s="2" t="s">
        <v>1256</v>
      </c>
      <c r="E10" s="2" t="s">
        <v>38</v>
      </c>
      <c r="F10" s="2" t="s">
        <v>37</v>
      </c>
      <c r="G10" s="2" t="s">
        <v>41</v>
      </c>
      <c r="H10" s="57" t="str">
        <f>Table1[[#This Row],[Tabela]]&amp;Table1[[#This Row],[Campo]]</f>
        <v>ENERGY_CERTIFICATE_EST_INPUTPROPERTY_BANK_ID</v>
      </c>
      <c r="I10" s="2" t="s">
        <v>1922</v>
      </c>
      <c r="J10" s="43">
        <f>VLOOKUP(Table1[[#This Row],[Status]],Auxiliar!$B$16:$C$24,2,0)</f>
        <v>3</v>
      </c>
      <c r="K10" s="2" t="s">
        <v>1249</v>
      </c>
      <c r="L10" s="29" t="s">
        <v>1244</v>
      </c>
      <c r="M10" s="21" t="s">
        <v>1253</v>
      </c>
      <c r="N10" s="48">
        <v>45674</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0.05</v>
      </c>
      <c r="X10" s="168"/>
      <c r="Y10" s="172"/>
      <c r="Z10" s="26"/>
      <c r="AA10" s="26"/>
      <c r="AB10" s="26"/>
      <c r="AC10" s="26"/>
      <c r="AD10" s="26"/>
    </row>
    <row r="11" spans="1:45" ht="17.7" customHeight="1">
      <c r="B11" s="2" t="s">
        <v>26</v>
      </c>
      <c r="C11" s="2" t="s">
        <v>34</v>
      </c>
      <c r="D11" s="2" t="s">
        <v>1256</v>
      </c>
      <c r="E11" s="2" t="s">
        <v>38</v>
      </c>
      <c r="F11" s="2" t="s">
        <v>37</v>
      </c>
      <c r="G11" s="2" t="s">
        <v>41</v>
      </c>
      <c r="H11" s="57" t="str">
        <f>Table1[[#This Row],[Tabela]]&amp;Table1[[#This Row],[Campo]]</f>
        <v>ENERGY_CERTIFICATE_EST_INPUTPROPERTY_BANK_ID</v>
      </c>
      <c r="I11" s="2" t="s">
        <v>1922</v>
      </c>
      <c r="J11" s="43">
        <f>VLOOKUP(Table1[[#This Row],[Status]],Auxiliar!$B$16:$C$24,2,0)</f>
        <v>3</v>
      </c>
      <c r="K11" s="2" t="s">
        <v>1257</v>
      </c>
      <c r="L11" s="29" t="s">
        <v>1244</v>
      </c>
      <c r="M11" s="21" t="s">
        <v>1253</v>
      </c>
      <c r="N11" s="48">
        <v>45674</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0.25</v>
      </c>
      <c r="X11" s="168"/>
      <c r="Y11" s="172"/>
      <c r="Z11" s="26"/>
      <c r="AA11" s="26"/>
      <c r="AB11" s="26"/>
      <c r="AC11" s="26"/>
      <c r="AD11" s="26"/>
    </row>
    <row r="12" spans="1:45" ht="69.599999999999994" customHeight="1">
      <c r="B12" s="2" t="s">
        <v>26</v>
      </c>
      <c r="C12" s="2" t="s">
        <v>34</v>
      </c>
      <c r="D12" s="2" t="s">
        <v>1256</v>
      </c>
      <c r="E12" s="2" t="s">
        <v>38</v>
      </c>
      <c r="F12" s="2" t="s">
        <v>37</v>
      </c>
      <c r="G12" s="2" t="s">
        <v>42</v>
      </c>
      <c r="H12" s="57" t="str">
        <f>Table1[[#This Row],[Tabela]]&amp;Table1[[#This Row],[Campo]]</f>
        <v>ENERGY_CERTIFICATE_EST_INPUTENCRYPTED_KEY</v>
      </c>
      <c r="I12" s="2" t="s">
        <v>1922</v>
      </c>
      <c r="J12" s="43">
        <f>VLOOKUP(Table1[[#This Row],[Status]],Auxiliar!$B$16:$C$24,2,0)</f>
        <v>3</v>
      </c>
      <c r="K12" s="2" t="s">
        <v>1249</v>
      </c>
      <c r="L12" s="29" t="s">
        <v>1244</v>
      </c>
      <c r="M12" s="21" t="s">
        <v>1253</v>
      </c>
      <c r="N12" s="48">
        <v>45674</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0.05</v>
      </c>
      <c r="X12" s="169"/>
      <c r="Y12" s="173"/>
      <c r="Z12" s="171"/>
      <c r="AA12" s="171"/>
      <c r="AB12" s="171"/>
      <c r="AC12" s="171"/>
      <c r="AD12" s="171"/>
    </row>
    <row r="13" spans="1:45" ht="69.599999999999994" customHeight="1">
      <c r="B13" s="2" t="s">
        <v>26</v>
      </c>
      <c r="C13" s="2" t="s">
        <v>34</v>
      </c>
      <c r="D13" s="2" t="s">
        <v>1256</v>
      </c>
      <c r="E13" s="2" t="s">
        <v>38</v>
      </c>
      <c r="F13" s="2" t="s">
        <v>37</v>
      </c>
      <c r="G13" s="2" t="s">
        <v>42</v>
      </c>
      <c r="H13" s="57" t="str">
        <f>Table1[[#This Row],[Tabela]]&amp;Table1[[#This Row],[Campo]]</f>
        <v>ENERGY_CERTIFICATE_EST_INPUTENCRYPTED_KEY</v>
      </c>
      <c r="I13" s="2" t="s">
        <v>1922</v>
      </c>
      <c r="J13" s="43">
        <f>VLOOKUP(Table1[[#This Row],[Status]],Auxiliar!$B$16:$C$24,2,0)</f>
        <v>3</v>
      </c>
      <c r="K13" s="2" t="s">
        <v>1257</v>
      </c>
      <c r="L13" s="29" t="s">
        <v>1244</v>
      </c>
      <c r="M13" s="21" t="s">
        <v>1253</v>
      </c>
      <c r="N13" s="48">
        <v>45674</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0.25</v>
      </c>
      <c r="X13" s="169"/>
      <c r="Y13" s="173"/>
      <c r="Z13" s="171"/>
      <c r="AA13" s="171"/>
      <c r="AB13" s="171"/>
      <c r="AC13" s="171"/>
      <c r="AD13" s="171"/>
    </row>
    <row r="14" spans="1:45" ht="17.7" customHeight="1">
      <c r="B14" s="2" t="s">
        <v>26</v>
      </c>
      <c r="C14" s="2" t="s">
        <v>34</v>
      </c>
      <c r="D14" s="2" t="s">
        <v>1256</v>
      </c>
      <c r="E14" s="2" t="s">
        <v>38</v>
      </c>
      <c r="F14" s="2" t="s">
        <v>37</v>
      </c>
      <c r="G14" s="2" t="s">
        <v>43</v>
      </c>
      <c r="H14" s="57" t="str">
        <f>Table1[[#This Row],[Tabela]]&amp;Table1[[#This Row],[Campo]]</f>
        <v>ENERGY_CERTIFICATE_EST_INPUTPROPERTY_BRANCH_CODE</v>
      </c>
      <c r="I14" s="2" t="s">
        <v>1922</v>
      </c>
      <c r="J14" s="43">
        <f>VLOOKUP(Table1[[#This Row],[Status]],Auxiliar!$B$16:$C$24,2,0)</f>
        <v>3</v>
      </c>
      <c r="K14" s="2" t="s">
        <v>1249</v>
      </c>
      <c r="L14" s="29" t="s">
        <v>1244</v>
      </c>
      <c r="M14" s="21" t="s">
        <v>1253</v>
      </c>
      <c r="N14" s="48">
        <v>45674</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0.05</v>
      </c>
      <c r="X14" s="168"/>
      <c r="Y14" s="172"/>
      <c r="Z14" s="26"/>
      <c r="AA14" s="26"/>
      <c r="AB14" s="26"/>
      <c r="AC14" s="26"/>
      <c r="AD14" s="26"/>
    </row>
    <row r="15" spans="1:45" ht="17.7" customHeight="1">
      <c r="B15" s="2" t="s">
        <v>26</v>
      </c>
      <c r="C15" s="2" t="s">
        <v>34</v>
      </c>
      <c r="D15" s="2" t="s">
        <v>1256</v>
      </c>
      <c r="E15" s="2" t="s">
        <v>38</v>
      </c>
      <c r="F15" s="2" t="s">
        <v>37</v>
      </c>
      <c r="G15" s="2" t="s">
        <v>43</v>
      </c>
      <c r="H15" s="57" t="str">
        <f>Table1[[#This Row],[Tabela]]&amp;Table1[[#This Row],[Campo]]</f>
        <v>ENERGY_CERTIFICATE_EST_INPUTPROPERTY_BRANCH_CODE</v>
      </c>
      <c r="I15" s="2" t="s">
        <v>1922</v>
      </c>
      <c r="J15" s="43">
        <f>VLOOKUP(Table1[[#This Row],[Status]],Auxiliar!$B$16:$C$24,2,0)</f>
        <v>3</v>
      </c>
      <c r="K15" s="2" t="s">
        <v>1257</v>
      </c>
      <c r="L15" s="29" t="s">
        <v>1244</v>
      </c>
      <c r="M15" s="21" t="s">
        <v>1253</v>
      </c>
      <c r="N15" s="48">
        <v>45674</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0.25</v>
      </c>
      <c r="X15" s="168"/>
      <c r="Y15" s="172"/>
      <c r="Z15" s="26"/>
      <c r="AA15" s="26"/>
      <c r="AB15" s="26"/>
      <c r="AC15" s="26"/>
      <c r="AD15" s="26"/>
    </row>
    <row r="16" spans="1:45" ht="17.7" customHeight="1">
      <c r="B16" s="2" t="s">
        <v>26</v>
      </c>
      <c r="C16" s="2" t="s">
        <v>34</v>
      </c>
      <c r="D16" s="2" t="s">
        <v>1256</v>
      </c>
      <c r="E16" s="2" t="s">
        <v>38</v>
      </c>
      <c r="F16" s="2" t="s">
        <v>37</v>
      </c>
      <c r="G16" s="2" t="s">
        <v>44</v>
      </c>
      <c r="H16" s="57" t="str">
        <f>Table1[[#This Row],[Tabela]]&amp;Table1[[#This Row],[Campo]]</f>
        <v>ENERGY_CERTIFICATE_EST_INPUTPROPERTY_CONTRACT_ID</v>
      </c>
      <c r="I16" s="2" t="s">
        <v>1922</v>
      </c>
      <c r="J16" s="43">
        <f>VLOOKUP(Table1[[#This Row],[Status]],Auxiliar!$B$16:$C$24,2,0)</f>
        <v>3</v>
      </c>
      <c r="K16" s="2" t="s">
        <v>1249</v>
      </c>
      <c r="L16" s="29" t="s">
        <v>1244</v>
      </c>
      <c r="M16" s="21" t="s">
        <v>1253</v>
      </c>
      <c r="N16" s="48">
        <v>45674</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0.05</v>
      </c>
      <c r="X16" s="168"/>
      <c r="Y16" s="172"/>
      <c r="Z16" s="26"/>
      <c r="AA16" s="26"/>
      <c r="AB16" s="26"/>
      <c r="AC16" s="26"/>
      <c r="AD16" s="26"/>
    </row>
    <row r="17" spans="2:30" ht="17.7" customHeight="1">
      <c r="B17" s="2" t="s">
        <v>26</v>
      </c>
      <c r="C17" s="2" t="s">
        <v>34</v>
      </c>
      <c r="D17" s="2" t="s">
        <v>1256</v>
      </c>
      <c r="E17" s="2" t="s">
        <v>38</v>
      </c>
      <c r="F17" s="2" t="s">
        <v>37</v>
      </c>
      <c r="G17" s="2" t="s">
        <v>44</v>
      </c>
      <c r="H17" s="57" t="str">
        <f>Table1[[#This Row],[Tabela]]&amp;Table1[[#This Row],[Campo]]</f>
        <v>ENERGY_CERTIFICATE_EST_INPUTPROPERTY_CONTRACT_ID</v>
      </c>
      <c r="I17" s="2" t="s">
        <v>1922</v>
      </c>
      <c r="J17" s="43">
        <f>VLOOKUP(Table1[[#This Row],[Status]],Auxiliar!$B$16:$C$24,2,0)</f>
        <v>3</v>
      </c>
      <c r="K17" s="2" t="s">
        <v>1257</v>
      </c>
      <c r="L17" s="29" t="s">
        <v>1244</v>
      </c>
      <c r="M17" s="21" t="s">
        <v>1253</v>
      </c>
      <c r="N17" s="48">
        <v>45674</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0.25</v>
      </c>
      <c r="X17" s="168"/>
      <c r="Y17" s="172"/>
      <c r="Z17" s="26"/>
      <c r="AA17" s="26"/>
      <c r="AB17" s="26"/>
      <c r="AC17" s="26"/>
      <c r="AD17" s="26"/>
    </row>
    <row r="18" spans="2:30" ht="17.7" customHeight="1">
      <c r="B18" s="2" t="s">
        <v>26</v>
      </c>
      <c r="C18" s="2" t="s">
        <v>34</v>
      </c>
      <c r="D18" s="2" t="s">
        <v>1256</v>
      </c>
      <c r="E18" s="2" t="s">
        <v>38</v>
      </c>
      <c r="F18" s="2" t="s">
        <v>37</v>
      </c>
      <c r="G18" s="2" t="s">
        <v>45</v>
      </c>
      <c r="H18" s="57" t="str">
        <f>Table1[[#This Row],[Tabela]]&amp;Table1[[#This Row],[Campo]]</f>
        <v>ENERGY_CERTIFICATE_EST_INPUTPROPERTY_REFERENCE_CODE</v>
      </c>
      <c r="I18" s="2" t="s">
        <v>1922</v>
      </c>
      <c r="J18" s="43">
        <f>VLOOKUP(Table1[[#This Row],[Status]],Auxiliar!$B$16:$C$24,2,0)</f>
        <v>3</v>
      </c>
      <c r="K18" s="2" t="s">
        <v>1249</v>
      </c>
      <c r="L18" s="29" t="s">
        <v>1244</v>
      </c>
      <c r="M18" s="21" t="s">
        <v>1253</v>
      </c>
      <c r="N18" s="48">
        <v>45674</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0.05</v>
      </c>
      <c r="X18" s="168"/>
      <c r="Y18" s="172"/>
      <c r="Z18" s="26"/>
      <c r="AA18" s="26"/>
      <c r="AB18" s="26"/>
      <c r="AC18" s="26"/>
      <c r="AD18" s="26"/>
    </row>
    <row r="19" spans="2:30" ht="17.7" customHeight="1">
      <c r="B19" s="2" t="s">
        <v>26</v>
      </c>
      <c r="C19" s="2" t="s">
        <v>34</v>
      </c>
      <c r="D19" s="2" t="s">
        <v>1256</v>
      </c>
      <c r="E19" s="2" t="s">
        <v>38</v>
      </c>
      <c r="F19" s="2" t="s">
        <v>37</v>
      </c>
      <c r="G19" s="2" t="s">
        <v>45</v>
      </c>
      <c r="H19" s="57" t="str">
        <f>Table1[[#This Row],[Tabela]]&amp;Table1[[#This Row],[Campo]]</f>
        <v>ENERGY_CERTIFICATE_EST_INPUTPROPERTY_REFERENCE_CODE</v>
      </c>
      <c r="I19" s="2" t="s">
        <v>1922</v>
      </c>
      <c r="J19" s="43">
        <f>VLOOKUP(Table1[[#This Row],[Status]],Auxiliar!$B$16:$C$24,2,0)</f>
        <v>3</v>
      </c>
      <c r="K19" s="2" t="s">
        <v>1257</v>
      </c>
      <c r="L19" s="29" t="s">
        <v>1244</v>
      </c>
      <c r="M19" s="21" t="s">
        <v>1253</v>
      </c>
      <c r="N19" s="48">
        <v>45674</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0.25</v>
      </c>
      <c r="X19" s="168"/>
      <c r="Y19" s="172"/>
      <c r="Z19" s="26"/>
      <c r="AA19" s="26"/>
      <c r="AB19" s="26"/>
      <c r="AC19" s="26"/>
      <c r="AD19" s="26"/>
    </row>
    <row r="20" spans="2:30" ht="17.7" customHeight="1">
      <c r="B20" s="2" t="s">
        <v>26</v>
      </c>
      <c r="C20" s="2" t="s">
        <v>34</v>
      </c>
      <c r="D20" s="2" t="s">
        <v>1256</v>
      </c>
      <c r="E20" s="2" t="s">
        <v>38</v>
      </c>
      <c r="F20" s="2" t="s">
        <v>37</v>
      </c>
      <c r="G20" s="2" t="s">
        <v>46</v>
      </c>
      <c r="H20" s="57" t="str">
        <f>Table1[[#This Row],[Tabela]]&amp;Table1[[#This Row],[Campo]]</f>
        <v>ENERGY_CERTIFICATE_EST_INPUTDATA_EXTRACTION_DATE</v>
      </c>
      <c r="I20" s="2" t="s">
        <v>1922</v>
      </c>
      <c r="J20" s="43">
        <f>VLOOKUP(Table1[[#This Row],[Status]],Auxiliar!$B$16:$C$24,2,0)</f>
        <v>3</v>
      </c>
      <c r="K20" s="2" t="s">
        <v>1249</v>
      </c>
      <c r="L20" s="29" t="s">
        <v>1244</v>
      </c>
      <c r="M20" s="21" t="s">
        <v>1253</v>
      </c>
      <c r="N20" s="48">
        <v>45674</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0.05</v>
      </c>
      <c r="X20" s="168"/>
      <c r="Y20" s="172"/>
      <c r="Z20" s="26"/>
      <c r="AA20" s="26"/>
      <c r="AB20" s="26"/>
      <c r="AC20" s="26"/>
      <c r="AD20" s="26"/>
    </row>
    <row r="21" spans="2:30" ht="17.7" customHeight="1">
      <c r="B21" s="2" t="s">
        <v>26</v>
      </c>
      <c r="C21" s="2" t="s">
        <v>34</v>
      </c>
      <c r="D21" s="2" t="s">
        <v>1256</v>
      </c>
      <c r="E21" s="2" t="s">
        <v>38</v>
      </c>
      <c r="F21" s="2" t="s">
        <v>37</v>
      </c>
      <c r="G21" s="2" t="s">
        <v>46</v>
      </c>
      <c r="H21" s="57" t="str">
        <f>Table1[[#This Row],[Tabela]]&amp;Table1[[#This Row],[Campo]]</f>
        <v>ENERGY_CERTIFICATE_EST_INPUTDATA_EXTRACTION_DATE</v>
      </c>
      <c r="I21" s="2" t="s">
        <v>1922</v>
      </c>
      <c r="J21" s="43">
        <f>VLOOKUP(Table1[[#This Row],[Status]],Auxiliar!$B$16:$C$24,2,0)</f>
        <v>3</v>
      </c>
      <c r="K21" s="2" t="s">
        <v>1257</v>
      </c>
      <c r="L21" s="29" t="s">
        <v>1244</v>
      </c>
      <c r="M21" s="21" t="s">
        <v>1253</v>
      </c>
      <c r="N21" s="48">
        <v>45674</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0.25</v>
      </c>
      <c r="X21" s="168"/>
      <c r="Y21" s="172"/>
      <c r="Z21" s="26"/>
      <c r="AA21" s="26"/>
      <c r="AB21" s="26"/>
      <c r="AC21" s="26"/>
      <c r="AD21" s="26"/>
    </row>
    <row r="22" spans="2:30" ht="17.7" customHeight="1">
      <c r="B22" s="2" t="s">
        <v>26</v>
      </c>
      <c r="C22" s="2" t="s">
        <v>34</v>
      </c>
      <c r="D22" s="2" t="s">
        <v>1256</v>
      </c>
      <c r="E22" s="2" t="s">
        <v>38</v>
      </c>
      <c r="F22" s="2" t="s">
        <v>37</v>
      </c>
      <c r="G22" s="2" t="s">
        <v>47</v>
      </c>
      <c r="H22" s="57" t="str">
        <f>Table1[[#This Row],[Tabela]]&amp;Table1[[#This Row],[Campo]]</f>
        <v>ENERGY_CERTIFICATE_EST_INPUTEPC</v>
      </c>
      <c r="I22" s="2" t="s">
        <v>1922</v>
      </c>
      <c r="J22" s="43">
        <f>VLOOKUP(Table1[[#This Row],[Status]],Auxiliar!$B$16:$C$24,2,0)</f>
        <v>3</v>
      </c>
      <c r="K22" s="2" t="s">
        <v>1249</v>
      </c>
      <c r="L22" s="29" t="s">
        <v>1244</v>
      </c>
      <c r="M22" s="21" t="s">
        <v>1253</v>
      </c>
      <c r="N22" s="48">
        <v>45674</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0.05</v>
      </c>
      <c r="X22" s="168"/>
      <c r="Y22" s="172"/>
      <c r="Z22" s="26"/>
      <c r="AA22" s="26"/>
      <c r="AB22" s="26"/>
      <c r="AC22" s="26"/>
      <c r="AD22" s="26"/>
    </row>
    <row r="23" spans="2:30" ht="17.7" customHeight="1">
      <c r="B23" s="2" t="s">
        <v>26</v>
      </c>
      <c r="C23" s="2" t="s">
        <v>34</v>
      </c>
      <c r="D23" s="2" t="s">
        <v>1256</v>
      </c>
      <c r="E23" s="2" t="s">
        <v>38</v>
      </c>
      <c r="F23" s="2" t="s">
        <v>37</v>
      </c>
      <c r="G23" s="2" t="s">
        <v>47</v>
      </c>
      <c r="H23" s="57" t="str">
        <f>Table1[[#This Row],[Tabela]]&amp;Table1[[#This Row],[Campo]]</f>
        <v>ENERGY_CERTIFICATE_EST_INPUTEPC</v>
      </c>
      <c r="I23" s="2" t="s">
        <v>1922</v>
      </c>
      <c r="J23" s="43">
        <f>VLOOKUP(Table1[[#This Row],[Status]],Auxiliar!$B$16:$C$24,2,0)</f>
        <v>3</v>
      </c>
      <c r="K23" s="2" t="s">
        <v>1257</v>
      </c>
      <c r="L23" s="29" t="s">
        <v>1244</v>
      </c>
      <c r="M23" s="21" t="s">
        <v>1253</v>
      </c>
      <c r="N23" s="48">
        <v>45674</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0.25</v>
      </c>
      <c r="X23" s="168"/>
      <c r="Y23" s="172"/>
      <c r="Z23" s="26"/>
      <c r="AA23" s="26"/>
      <c r="AB23" s="26"/>
      <c r="AC23" s="26"/>
      <c r="AD23" s="26"/>
    </row>
    <row r="24" spans="2:30" ht="17.7" customHeight="1">
      <c r="B24" s="2" t="s">
        <v>26</v>
      </c>
      <c r="C24" s="2" t="s">
        <v>34</v>
      </c>
      <c r="D24" s="2" t="s">
        <v>1256</v>
      </c>
      <c r="E24" s="2" t="s">
        <v>38</v>
      </c>
      <c r="F24" s="2" t="s">
        <v>37</v>
      </c>
      <c r="G24" s="2" t="s">
        <v>48</v>
      </c>
      <c r="H24" s="57" t="str">
        <f>Table1[[#This Row],[Tabela]]&amp;Table1[[#This Row],[Campo]]</f>
        <v>ENERGY_CERTIFICATE_EST_INPUTDATA_PROVIDER</v>
      </c>
      <c r="I24" s="2" t="s">
        <v>1922</v>
      </c>
      <c r="J24" s="43">
        <f>VLOOKUP(Table1[[#This Row],[Status]],Auxiliar!$B$16:$C$24,2,0)</f>
        <v>3</v>
      </c>
      <c r="K24" s="2" t="s">
        <v>1249</v>
      </c>
      <c r="L24" s="29" t="s">
        <v>1244</v>
      </c>
      <c r="M24" s="21" t="s">
        <v>1253</v>
      </c>
      <c r="N24" s="48">
        <v>45674</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0.05</v>
      </c>
      <c r="X24" s="169"/>
      <c r="Y24" s="173"/>
      <c r="Z24" s="171"/>
      <c r="AA24" s="171"/>
      <c r="AB24" s="171"/>
      <c r="AC24" s="171"/>
      <c r="AD24" s="171"/>
    </row>
    <row r="25" spans="2:30" ht="17.7" customHeight="1">
      <c r="B25" s="2" t="s">
        <v>26</v>
      </c>
      <c r="C25" s="2" t="s">
        <v>34</v>
      </c>
      <c r="D25" s="2" t="s">
        <v>1256</v>
      </c>
      <c r="E25" s="2" t="s">
        <v>38</v>
      </c>
      <c r="F25" s="2" t="s">
        <v>37</v>
      </c>
      <c r="G25" s="2" t="s">
        <v>48</v>
      </c>
      <c r="H25" s="57" t="str">
        <f>Table1[[#This Row],[Tabela]]&amp;Table1[[#This Row],[Campo]]</f>
        <v>ENERGY_CERTIFICATE_EST_INPUTDATA_PROVIDER</v>
      </c>
      <c r="I25" s="2" t="s">
        <v>1922</v>
      </c>
      <c r="J25" s="43">
        <f>VLOOKUP(Table1[[#This Row],[Status]],Auxiliar!$B$16:$C$24,2,0)</f>
        <v>3</v>
      </c>
      <c r="K25" s="2" t="s">
        <v>1257</v>
      </c>
      <c r="L25" s="29" t="s">
        <v>1244</v>
      </c>
      <c r="M25" s="21" t="s">
        <v>1253</v>
      </c>
      <c r="N25" s="48">
        <v>45674</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0.25</v>
      </c>
      <c r="X25" s="169"/>
      <c r="Y25" s="173"/>
      <c r="Z25" s="171"/>
      <c r="AA25" s="171"/>
      <c r="AB25" s="171"/>
      <c r="AC25" s="171"/>
      <c r="AD25" s="171"/>
    </row>
    <row r="26" spans="2:30" ht="17.7" customHeight="1">
      <c r="B26" s="2" t="s">
        <v>26</v>
      </c>
      <c r="C26" s="2" t="s">
        <v>34</v>
      </c>
      <c r="D26" s="2" t="s">
        <v>1256</v>
      </c>
      <c r="E26" s="2" t="s">
        <v>38</v>
      </c>
      <c r="F26" s="2" t="s">
        <v>37</v>
      </c>
      <c r="G26" s="2" t="s">
        <v>49</v>
      </c>
      <c r="H26" s="57" t="str">
        <f>Table1[[#This Row],[Tabela]]&amp;Table1[[#This Row],[Campo]]</f>
        <v>ENERGY_CERTIFICATE_EST_INPUTACTUAL_VALUE_IND</v>
      </c>
      <c r="I26" s="2" t="s">
        <v>1922</v>
      </c>
      <c r="J26" s="43">
        <f>VLOOKUP(Table1[[#This Row],[Status]],Auxiliar!$B$16:$C$24,2,0)</f>
        <v>3</v>
      </c>
      <c r="K26" s="2" t="s">
        <v>1249</v>
      </c>
      <c r="L26" s="29" t="s">
        <v>1244</v>
      </c>
      <c r="M26" s="21" t="s">
        <v>1253</v>
      </c>
      <c r="N26" s="48">
        <v>45674</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0.05</v>
      </c>
      <c r="X26" s="168"/>
      <c r="Y26" s="172"/>
      <c r="Z26" s="26"/>
      <c r="AA26" s="26"/>
      <c r="AB26" s="26"/>
      <c r="AC26" s="26"/>
      <c r="AD26" s="26"/>
    </row>
    <row r="27" spans="2:30" ht="17.7" customHeight="1">
      <c r="B27" s="2" t="s">
        <v>26</v>
      </c>
      <c r="C27" s="2" t="s">
        <v>34</v>
      </c>
      <c r="D27" s="2" t="s">
        <v>1256</v>
      </c>
      <c r="E27" s="2" t="s">
        <v>38</v>
      </c>
      <c r="F27" s="2" t="s">
        <v>37</v>
      </c>
      <c r="G27" s="2" t="s">
        <v>49</v>
      </c>
      <c r="H27" s="57" t="str">
        <f>Table1[[#This Row],[Tabela]]&amp;Table1[[#This Row],[Campo]]</f>
        <v>ENERGY_CERTIFICATE_EST_INPUTACTUAL_VALUE_IND</v>
      </c>
      <c r="I27" s="2" t="s">
        <v>1922</v>
      </c>
      <c r="J27" s="43">
        <f>VLOOKUP(Table1[[#This Row],[Status]],Auxiliar!$B$16:$C$24,2,0)</f>
        <v>3</v>
      </c>
      <c r="K27" s="2" t="s">
        <v>1257</v>
      </c>
      <c r="L27" s="29" t="s">
        <v>1244</v>
      </c>
      <c r="M27" s="21" t="s">
        <v>1253</v>
      </c>
      <c r="N27" s="48">
        <v>45674</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0.25</v>
      </c>
      <c r="X27" s="168"/>
      <c r="Y27" s="172"/>
      <c r="Z27" s="26"/>
      <c r="AA27" s="26"/>
      <c r="AB27" s="26"/>
      <c r="AC27" s="26"/>
      <c r="AD27" s="26"/>
    </row>
    <row r="28" spans="2:30" ht="17.7" customHeight="1">
      <c r="B28" s="2" t="s">
        <v>26</v>
      </c>
      <c r="C28" s="2" t="s">
        <v>34</v>
      </c>
      <c r="D28" s="2" t="s">
        <v>1256</v>
      </c>
      <c r="E28" s="2" t="s">
        <v>38</v>
      </c>
      <c r="F28" s="2" t="s">
        <v>37</v>
      </c>
      <c r="G28" s="2" t="s">
        <v>50</v>
      </c>
      <c r="H28" s="57" t="str">
        <f>Table1[[#This Row],[Tabela]]&amp;Table1[[#This Row],[Campo]]</f>
        <v>ENERGY_CERTIFICATE_EST_INPUTQUALITY_SCORE</v>
      </c>
      <c r="I28" s="2" t="s">
        <v>1922</v>
      </c>
      <c r="J28" s="43">
        <f>VLOOKUP(Table1[[#This Row],[Status]],Auxiliar!$B$16:$C$24,2,0)</f>
        <v>3</v>
      </c>
      <c r="K28" s="2" t="s">
        <v>1249</v>
      </c>
      <c r="L28" s="29" t="s">
        <v>1244</v>
      </c>
      <c r="M28" s="21" t="s">
        <v>1253</v>
      </c>
      <c r="N28" s="48">
        <v>45674</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0.05</v>
      </c>
      <c r="X28" s="168"/>
      <c r="Y28" s="172"/>
      <c r="Z28" s="26"/>
      <c r="AA28" s="26"/>
      <c r="AB28" s="26"/>
      <c r="AC28" s="26"/>
      <c r="AD28" s="26"/>
    </row>
    <row r="29" spans="2:30" ht="17.7" customHeight="1">
      <c r="B29" s="2" t="s">
        <v>26</v>
      </c>
      <c r="C29" s="2" t="s">
        <v>34</v>
      </c>
      <c r="D29" s="2" t="s">
        <v>1256</v>
      </c>
      <c r="E29" s="2" t="s">
        <v>38</v>
      </c>
      <c r="F29" s="2" t="s">
        <v>37</v>
      </c>
      <c r="G29" s="2" t="s">
        <v>50</v>
      </c>
      <c r="H29" s="57" t="str">
        <f>Table1[[#This Row],[Tabela]]&amp;Table1[[#This Row],[Campo]]</f>
        <v>ENERGY_CERTIFICATE_EST_INPUTQUALITY_SCORE</v>
      </c>
      <c r="I29" s="2" t="s">
        <v>1922</v>
      </c>
      <c r="J29" s="43">
        <f>VLOOKUP(Table1[[#This Row],[Status]],Auxiliar!$B$16:$C$24,2,0)</f>
        <v>3</v>
      </c>
      <c r="K29" s="2" t="s">
        <v>1257</v>
      </c>
      <c r="L29" s="29" t="s">
        <v>1244</v>
      </c>
      <c r="M29" s="21" t="s">
        <v>1253</v>
      </c>
      <c r="N29" s="48">
        <v>45674</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0.25</v>
      </c>
      <c r="X29" s="168"/>
      <c r="Y29" s="172"/>
      <c r="Z29" s="26"/>
      <c r="AA29" s="26"/>
      <c r="AB29" s="26"/>
      <c r="AC29" s="26"/>
      <c r="AD29" s="26"/>
    </row>
    <row r="30" spans="2:30" ht="17.7" customHeight="1">
      <c r="B30" s="2" t="s">
        <v>26</v>
      </c>
      <c r="C30" s="2" t="s">
        <v>34</v>
      </c>
      <c r="D30" s="2" t="s">
        <v>1256</v>
      </c>
      <c r="E30" s="2" t="s">
        <v>38</v>
      </c>
      <c r="F30" s="2" t="s">
        <v>37</v>
      </c>
      <c r="G30" s="2" t="s">
        <v>51</v>
      </c>
      <c r="H30" s="57" t="str">
        <f>Table1[[#This Row],[Tabela]]&amp;Table1[[#This Row],[Campo]]</f>
        <v>ENERGY_CERTIFICATE_EST_INPUTENERGY_CONSUMPTION_VALUE_YEAR</v>
      </c>
      <c r="I30" s="2" t="s">
        <v>1922</v>
      </c>
      <c r="J30" s="43">
        <f>VLOOKUP(Table1[[#This Row],[Status]],Auxiliar!$B$16:$C$24,2,0)</f>
        <v>3</v>
      </c>
      <c r="K30" s="2" t="s">
        <v>1249</v>
      </c>
      <c r="L30" s="29" t="s">
        <v>1244</v>
      </c>
      <c r="M30" s="21" t="s">
        <v>1253</v>
      </c>
      <c r="N30" s="48">
        <v>45674</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0.05</v>
      </c>
      <c r="X30" s="168"/>
      <c r="Y30" s="172"/>
      <c r="Z30" s="26"/>
      <c r="AA30" s="26"/>
      <c r="AB30" s="26"/>
      <c r="AC30" s="26"/>
      <c r="AD30" s="26"/>
    </row>
    <row r="31" spans="2:30" ht="17.7" customHeight="1">
      <c r="B31" s="2" t="s">
        <v>26</v>
      </c>
      <c r="C31" s="2" t="s">
        <v>34</v>
      </c>
      <c r="D31" s="2" t="s">
        <v>1256</v>
      </c>
      <c r="E31" s="2" t="s">
        <v>38</v>
      </c>
      <c r="F31" s="2" t="s">
        <v>37</v>
      </c>
      <c r="G31" s="2" t="s">
        <v>51</v>
      </c>
      <c r="H31" s="57" t="str">
        <f>Table1[[#This Row],[Tabela]]&amp;Table1[[#This Row],[Campo]]</f>
        <v>ENERGY_CERTIFICATE_EST_INPUTENERGY_CONSUMPTION_VALUE_YEAR</v>
      </c>
      <c r="I31" s="2" t="s">
        <v>1922</v>
      </c>
      <c r="J31" s="43">
        <f>VLOOKUP(Table1[[#This Row],[Status]],Auxiliar!$B$16:$C$24,2,0)</f>
        <v>3</v>
      </c>
      <c r="K31" s="2" t="s">
        <v>1257</v>
      </c>
      <c r="L31" s="29" t="s">
        <v>1244</v>
      </c>
      <c r="M31" s="21" t="s">
        <v>1253</v>
      </c>
      <c r="N31" s="48">
        <v>45674</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0.25</v>
      </c>
      <c r="X31" s="168"/>
      <c r="Y31" s="172"/>
      <c r="Z31" s="26"/>
      <c r="AA31" s="26"/>
      <c r="AB31" s="26"/>
      <c r="AC31" s="26"/>
      <c r="AD31" s="26"/>
    </row>
    <row r="32" spans="2:30" ht="17.7" customHeight="1">
      <c r="B32" s="2" t="s">
        <v>26</v>
      </c>
      <c r="C32" s="2" t="s">
        <v>34</v>
      </c>
      <c r="D32" s="2" t="s">
        <v>1256</v>
      </c>
      <c r="E32" s="2" t="s">
        <v>38</v>
      </c>
      <c r="F32" s="2" t="s">
        <v>37</v>
      </c>
      <c r="G32" s="2" t="s">
        <v>52</v>
      </c>
      <c r="H32" s="57" t="str">
        <f>Table1[[#This Row],[Tabela]]&amp;Table1[[#This Row],[Campo]]</f>
        <v>ENERGY_CERTIFICATE_EST_INPUTCARBON_EMISSION_VALUE_YEAR</v>
      </c>
      <c r="I32" s="2" t="s">
        <v>1922</v>
      </c>
      <c r="J32" s="43">
        <f>VLOOKUP(Table1[[#This Row],[Status]],Auxiliar!$B$16:$C$24,2,0)</f>
        <v>3</v>
      </c>
      <c r="K32" s="2" t="s">
        <v>1249</v>
      </c>
      <c r="L32" s="29" t="s">
        <v>1244</v>
      </c>
      <c r="M32" s="21" t="s">
        <v>1253</v>
      </c>
      <c r="N32" s="48">
        <v>45674</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0.05</v>
      </c>
      <c r="X32" s="168"/>
      <c r="Y32" s="172"/>
      <c r="Z32" s="26"/>
      <c r="AA32" s="26"/>
      <c r="AB32" s="26"/>
      <c r="AC32" s="26"/>
      <c r="AD32" s="26"/>
    </row>
    <row r="33" spans="2:30" ht="17.7" customHeight="1">
      <c r="B33" s="2" t="s">
        <v>26</v>
      </c>
      <c r="C33" s="2" t="s">
        <v>34</v>
      </c>
      <c r="D33" s="2" t="s">
        <v>1256</v>
      </c>
      <c r="E33" s="2" t="s">
        <v>38</v>
      </c>
      <c r="F33" s="2" t="s">
        <v>37</v>
      </c>
      <c r="G33" s="2" t="s">
        <v>52</v>
      </c>
      <c r="H33" s="57" t="str">
        <f>Table1[[#This Row],[Tabela]]&amp;Table1[[#This Row],[Campo]]</f>
        <v>ENERGY_CERTIFICATE_EST_INPUTCARBON_EMISSION_VALUE_YEAR</v>
      </c>
      <c r="I33" s="2" t="s">
        <v>1922</v>
      </c>
      <c r="J33" s="43">
        <f>VLOOKUP(Table1[[#This Row],[Status]],Auxiliar!$B$16:$C$24,2,0)</f>
        <v>3</v>
      </c>
      <c r="K33" s="2" t="s">
        <v>1257</v>
      </c>
      <c r="L33" s="29" t="s">
        <v>1244</v>
      </c>
      <c r="M33" s="21" t="s">
        <v>1253</v>
      </c>
      <c r="N33" s="48">
        <v>45674</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1922</v>
      </c>
      <c r="J158" s="43">
        <f>VLOOKUP(Table1[[#This Row],[Status]],Auxiliar!$B$16:$C$24,2,0)</f>
        <v>3</v>
      </c>
      <c r="K158" s="2" t="s">
        <v>1246</v>
      </c>
      <c r="L158" s="29" t="s">
        <v>1244</v>
      </c>
      <c r="M158" s="21" t="s">
        <v>1253</v>
      </c>
      <c r="N158" s="48">
        <v>45674</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1922</v>
      </c>
      <c r="J159" s="43">
        <f>VLOOKUP(Table1[[#This Row],[Status]],Auxiliar!$B$16:$C$24,2,0)</f>
        <v>3</v>
      </c>
      <c r="K159" s="2" t="s">
        <v>1247</v>
      </c>
      <c r="L159" s="29" t="s">
        <v>1244</v>
      </c>
      <c r="M159" s="21" t="s">
        <v>1253</v>
      </c>
      <c r="N159" s="48">
        <v>45674</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1922</v>
      </c>
      <c r="J160" s="43">
        <f>VLOOKUP(Table1[[#This Row],[Status]],Auxiliar!$B$16:$C$24,2,0)</f>
        <v>3</v>
      </c>
      <c r="K160" s="2" t="s">
        <v>1249</v>
      </c>
      <c r="L160" s="29" t="s">
        <v>1244</v>
      </c>
      <c r="M160" s="21" t="s">
        <v>1253</v>
      </c>
      <c r="N160" s="48">
        <v>45674</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1922</v>
      </c>
      <c r="J179" s="43">
        <f>VLOOKUP(Table1[[#This Row],[Status]],Auxiliar!$B$16:$C$24,2,0)</f>
        <v>3</v>
      </c>
      <c r="K179" s="2" t="s">
        <v>1246</v>
      </c>
      <c r="L179" s="29" t="s">
        <v>1244</v>
      </c>
      <c r="M179" s="21" t="s">
        <v>1253</v>
      </c>
      <c r="N179" s="48">
        <v>45674</v>
      </c>
      <c r="O179" s="21">
        <f>INDEX(Auxiliar!$D$5:$F$13,MATCH(Table1[[#This Row],[Tipologia_Testes]],Auxiliar!$B$5:$B$13,0),MATCH(Table1[[#This Row],[Complexidade]],Auxiliar!$D$4:$F$4,0))</f>
        <v>2</v>
      </c>
      <c r="P179" s="2"/>
      <c r="Q179" s="2"/>
      <c r="R179" s="152">
        <v>45261</v>
      </c>
      <c r="S179" s="152"/>
      <c r="T179" s="152"/>
      <c r="U179" s="152"/>
      <c r="V179" s="152"/>
      <c r="W179" s="2">
        <f>VLOOKUP(Table1[[#This Row],[Status]],Auxiliar!$B$16:$D$24,3,0)*Table1[[#This Row],[Estimação (horas)]]</f>
        <v>1</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1922</v>
      </c>
      <c r="J180" s="43">
        <f>VLOOKUP(Table1[[#This Row],[Status]],Auxiliar!$B$16:$C$24,2,0)</f>
        <v>3</v>
      </c>
      <c r="K180" s="2" t="s">
        <v>1247</v>
      </c>
      <c r="L180" s="29" t="s">
        <v>1244</v>
      </c>
      <c r="M180" s="21" t="s">
        <v>1253</v>
      </c>
      <c r="N180" s="48">
        <v>45674</v>
      </c>
      <c r="O180" s="21">
        <f>INDEX(Auxiliar!$D$5:$F$13,MATCH(Table1[[#This Row],[Tipologia_Testes]],Auxiliar!$B$5:$B$13,0),MATCH(Table1[[#This Row],[Complexidade]],Auxiliar!$D$4:$F$4,0))</f>
        <v>2</v>
      </c>
      <c r="P180" s="2"/>
      <c r="Q180" s="2"/>
      <c r="R180" s="152">
        <v>45261</v>
      </c>
      <c r="S180" s="152"/>
      <c r="T180" s="152"/>
      <c r="U180" s="152"/>
      <c r="V180" s="152"/>
      <c r="W180" s="2">
        <f>VLOOKUP(Table1[[#This Row],[Status]],Auxiliar!$B$16:$D$24,3,0)*Table1[[#This Row],[Estimação (horas)]]</f>
        <v>1</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1922</v>
      </c>
      <c r="J181" s="43">
        <f>VLOOKUP(Table1[[#This Row],[Status]],Auxiliar!$B$16:$C$24,2,0)</f>
        <v>3</v>
      </c>
      <c r="K181" s="2" t="s">
        <v>1249</v>
      </c>
      <c r="L181" s="29" t="s">
        <v>1244</v>
      </c>
      <c r="M181" s="21" t="s">
        <v>1253</v>
      </c>
      <c r="N181" s="48">
        <v>45674</v>
      </c>
      <c r="O181" s="21">
        <f>INDEX(Auxiliar!$D$5:$F$13,MATCH(Table1[[#This Row],[Tipologia_Testes]],Auxiliar!$B$5:$B$13,0),MATCH(Table1[[#This Row],[Complexidade]],Auxiliar!$D$4:$F$4,0))</f>
        <v>0.1</v>
      </c>
      <c r="P181" s="2"/>
      <c r="Q181" s="2"/>
      <c r="R181" s="152">
        <v>45261</v>
      </c>
      <c r="S181" s="152"/>
      <c r="T181" s="152"/>
      <c r="U181" s="152"/>
      <c r="V181" s="152"/>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1922</v>
      </c>
      <c r="J224" s="43">
        <f>VLOOKUP(Table1[[#This Row],[Status]],Auxiliar!$B$16:$C$24,2,0)</f>
        <v>3</v>
      </c>
      <c r="K224" s="2" t="s">
        <v>1246</v>
      </c>
      <c r="L224" s="29" t="s">
        <v>1244</v>
      </c>
      <c r="M224" s="21" t="s">
        <v>1253</v>
      </c>
      <c r="N224" s="48">
        <v>45674</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1922</v>
      </c>
      <c r="J225" s="43">
        <f>VLOOKUP(Table1[[#This Row],[Status]],Auxiliar!$B$16:$C$24,2,0)</f>
        <v>3</v>
      </c>
      <c r="K225" s="2" t="s">
        <v>1247</v>
      </c>
      <c r="L225" s="29" t="s">
        <v>1244</v>
      </c>
      <c r="M225" s="21" t="s">
        <v>1253</v>
      </c>
      <c r="N225" s="48">
        <v>45674</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1922</v>
      </c>
      <c r="J226" s="43">
        <f>VLOOKUP(Table1[[#This Row],[Status]],Auxiliar!$B$16:$C$24,2,0)</f>
        <v>3</v>
      </c>
      <c r="K226" s="2" t="s">
        <v>1249</v>
      </c>
      <c r="L226" s="29" t="s">
        <v>1244</v>
      </c>
      <c r="M226" s="21" t="s">
        <v>1253</v>
      </c>
      <c r="N226" s="48">
        <v>45674</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1922</v>
      </c>
      <c r="J251" s="43">
        <f>VLOOKUP(Table1[[#This Row],[Status]],Auxiliar!$B$16:$C$24,2,0)</f>
        <v>3</v>
      </c>
      <c r="K251" s="2" t="s">
        <v>1246</v>
      </c>
      <c r="L251" s="29" t="s">
        <v>1244</v>
      </c>
      <c r="M251" s="21" t="s">
        <v>1253</v>
      </c>
      <c r="N251" s="48">
        <v>45674</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1922</v>
      </c>
      <c r="J252" s="43">
        <f>VLOOKUP(Table1[[#This Row],[Status]],Auxiliar!$B$16:$C$24,2,0)</f>
        <v>3</v>
      </c>
      <c r="K252" s="2" t="s">
        <v>1247</v>
      </c>
      <c r="L252" s="29" t="s">
        <v>1244</v>
      </c>
      <c r="M252" s="21" t="s">
        <v>1253</v>
      </c>
      <c r="N252" s="48">
        <v>45674</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1922</v>
      </c>
      <c r="J253" s="43">
        <f>VLOOKUP(Table1[[#This Row],[Status]],Auxiliar!$B$16:$C$24,2,0)</f>
        <v>3</v>
      </c>
      <c r="K253" s="2" t="s">
        <v>1249</v>
      </c>
      <c r="L253" s="29" t="s">
        <v>1244</v>
      </c>
      <c r="M253" s="21" t="s">
        <v>1253</v>
      </c>
      <c r="N253" s="48">
        <v>45674</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17.7" hidden="1" customHeight="1">
      <c r="B347" s="2" t="s">
        <v>26</v>
      </c>
      <c r="C347" s="2" t="s">
        <v>54</v>
      </c>
      <c r="D347" s="2" t="s">
        <v>124</v>
      </c>
      <c r="E347" s="2" t="s">
        <v>38</v>
      </c>
      <c r="F347" s="2" t="s">
        <v>123</v>
      </c>
      <c r="G347" s="2" t="s">
        <v>2064</v>
      </c>
      <c r="H347" s="57" t="str">
        <f>Table1[[#This Row],[Tabela]]&amp;Table1[[#This Row],[Campo]]</f>
        <v>PROPERTY_ENERGY_CERTIFICATECURRENT_ENERGY_RATING_PERCENTAGE</v>
      </c>
      <c r="I347" s="2" t="s">
        <v>1922</v>
      </c>
      <c r="J347" s="43">
        <f>VLOOKUP(Table1[[#This Row],[Status]],Auxiliar!$B$16:$C$24,2,0)</f>
        <v>3</v>
      </c>
      <c r="K347" s="2" t="s">
        <v>1246</v>
      </c>
      <c r="L347" s="29" t="s">
        <v>1244</v>
      </c>
      <c r="M347" s="21" t="s">
        <v>1253</v>
      </c>
      <c r="N347" s="48">
        <v>45674</v>
      </c>
      <c r="O347" s="21">
        <f>INDEX(Auxiliar!$D$5:$F$13,MATCH(Table1[[#This Row],[Tipologia_Testes]],Auxiliar!$B$5:$B$13,0),MATCH(Table1[[#This Row],[Complexidade]],Auxiliar!$D$4:$F$4,0))</f>
        <v>2</v>
      </c>
      <c r="P347" s="2"/>
      <c r="Q347" s="2"/>
      <c r="R347" s="152"/>
      <c r="S347" s="152"/>
      <c r="T347" s="152"/>
      <c r="U347" s="152"/>
      <c r="V347" s="152"/>
      <c r="W347" s="2">
        <f>VLOOKUP(Table1[[#This Row],[Status]],Auxiliar!$B$16:$D$24,3,0)*Table1[[#This Row],[Estimação (horas)]]</f>
        <v>1</v>
      </c>
      <c r="X347" s="2"/>
    </row>
    <row r="348" spans="2:24" ht="17.7" hidden="1" customHeight="1">
      <c r="B348" s="2" t="s">
        <v>26</v>
      </c>
      <c r="C348" s="2" t="s">
        <v>54</v>
      </c>
      <c r="D348" s="2" t="s">
        <v>124</v>
      </c>
      <c r="E348" s="2" t="s">
        <v>38</v>
      </c>
      <c r="F348" s="2" t="s">
        <v>123</v>
      </c>
      <c r="G348" s="2" t="s">
        <v>2064</v>
      </c>
      <c r="H348" s="57" t="str">
        <f>Table1[[#This Row],[Tabela]]&amp;Table1[[#This Row],[Campo]]</f>
        <v>PROPERTY_ENERGY_CERTIFICATECURRENT_ENERGY_RATING_PERCENTAGE</v>
      </c>
      <c r="I348" s="2" t="s">
        <v>1922</v>
      </c>
      <c r="J348" s="43">
        <f>VLOOKUP(Table1[[#This Row],[Status]],Auxiliar!$B$16:$C$24,2,0)</f>
        <v>3</v>
      </c>
      <c r="K348" s="2" t="s">
        <v>1247</v>
      </c>
      <c r="L348" s="29" t="s">
        <v>1244</v>
      </c>
      <c r="M348" s="21" t="s">
        <v>1253</v>
      </c>
      <c r="N348" s="48">
        <v>45674</v>
      </c>
      <c r="O348" s="21">
        <f>INDEX(Auxiliar!$D$5:$F$13,MATCH(Table1[[#This Row],[Tipologia_Testes]],Auxiliar!$B$5:$B$13,0),MATCH(Table1[[#This Row],[Complexidade]],Auxiliar!$D$4:$F$4,0))</f>
        <v>2</v>
      </c>
      <c r="P348" s="2"/>
      <c r="Q348" s="2"/>
      <c r="R348" s="152"/>
      <c r="S348" s="152"/>
      <c r="T348" s="152"/>
      <c r="U348" s="152"/>
      <c r="V348" s="152"/>
      <c r="W348" s="2">
        <f>VLOOKUP(Table1[[#This Row],[Status]],Auxiliar!$B$16:$D$24,3,0)*Table1[[#This Row],[Estimação (horas)]]</f>
        <v>1</v>
      </c>
      <c r="X348" s="2"/>
    </row>
    <row r="349" spans="2:24" ht="17.7" hidden="1" customHeight="1">
      <c r="B349" s="2" t="s">
        <v>26</v>
      </c>
      <c r="C349" s="2" t="s">
        <v>54</v>
      </c>
      <c r="D349" s="2" t="s">
        <v>124</v>
      </c>
      <c r="E349" s="2" t="s">
        <v>38</v>
      </c>
      <c r="F349" s="2" t="s">
        <v>123</v>
      </c>
      <c r="G349" s="2" t="s">
        <v>2064</v>
      </c>
      <c r="H349" s="57" t="str">
        <f>Table1[[#This Row],[Tabela]]&amp;Table1[[#This Row],[Campo]]</f>
        <v>PROPERTY_ENERGY_CERTIFICATECURRENT_ENERGY_RATING_PERCENTAGE</v>
      </c>
      <c r="I349" s="2" t="s">
        <v>1922</v>
      </c>
      <c r="J349" s="43">
        <f>VLOOKUP(Table1[[#This Row],[Status]],Auxiliar!$B$16:$C$24,2,0)</f>
        <v>3</v>
      </c>
      <c r="K349" s="2" t="s">
        <v>1249</v>
      </c>
      <c r="L349" s="29" t="s">
        <v>1244</v>
      </c>
      <c r="M349" s="21" t="s">
        <v>1253</v>
      </c>
      <c r="N349" s="48">
        <v>45674</v>
      </c>
      <c r="O349" s="21">
        <f>INDEX(Auxiliar!$D$5:$F$13,MATCH(Table1[[#This Row],[Tipologia_Testes]],Auxiliar!$B$5:$B$13,0),MATCH(Table1[[#This Row],[Complexidade]],Auxiliar!$D$4:$F$4,0))</f>
        <v>0.1</v>
      </c>
      <c r="P349" s="2"/>
      <c r="Q349" s="2"/>
      <c r="R349" s="152"/>
      <c r="S349" s="152"/>
      <c r="T349" s="152"/>
      <c r="U349" s="152"/>
      <c r="V349" s="152"/>
      <c r="W349" s="2">
        <f>VLOOKUP(Table1[[#This Row],[Status]],Auxiliar!$B$16:$D$24,3,0)*Table1[[#This Row],[Estimação (horas)]]</f>
        <v>0.05</v>
      </c>
      <c r="X349" s="2"/>
    </row>
    <row r="350" spans="2:24" ht="69.599999999999994" hidden="1" customHeight="1">
      <c r="B350" s="2" t="s">
        <v>26</v>
      </c>
      <c r="C350" s="2" t="s">
        <v>54</v>
      </c>
      <c r="D350" s="2" t="s">
        <v>38</v>
      </c>
      <c r="E350" s="2" t="s">
        <v>38</v>
      </c>
      <c r="F350" s="2" t="s">
        <v>55</v>
      </c>
      <c r="G350" s="2" t="s">
        <v>38</v>
      </c>
      <c r="H350" s="57" t="str">
        <f>Table1[[#This Row],[Tabela]]&amp;Table1[[#This Row],[Campo]]</f>
        <v>PROCESSn.a.</v>
      </c>
      <c r="I350" s="2" t="s">
        <v>613</v>
      </c>
      <c r="J350" s="43">
        <f>VLOOKUP(Table1[[#This Row],[Status]],Auxiliar!$B$16:$C$24,2,0)</f>
        <v>1</v>
      </c>
      <c r="K350" s="2" t="s">
        <v>1243</v>
      </c>
      <c r="L350" s="29" t="s">
        <v>1244</v>
      </c>
      <c r="M350" s="21" t="s">
        <v>1245</v>
      </c>
      <c r="N350" s="48">
        <v>45512</v>
      </c>
      <c r="O350" s="21">
        <f>INDEX(Auxiliar!$D$5:$F$13,MATCH(Table1[[#This Row],[Tipologia_Testes]],Auxiliar!$B$5:$B$13,0),MATCH(Table1[[#This Row],[Complexidade]],Auxiliar!$D$4:$F$4,0))</f>
        <v>8</v>
      </c>
      <c r="P350" s="23" t="s">
        <v>1271</v>
      </c>
      <c r="Q350" s="2"/>
      <c r="R350" s="152">
        <v>45261</v>
      </c>
      <c r="S350" s="152"/>
      <c r="T350" s="152"/>
      <c r="U350" s="152"/>
      <c r="V350" s="152"/>
      <c r="W350" s="2">
        <f>VLOOKUP(Table1[[#This Row],[Status]],Auxiliar!$B$16:$D$24,3,0)*Table1[[#This Row],[Estimação (horas)]]</f>
        <v>8</v>
      </c>
      <c r="X350" s="2"/>
    </row>
    <row r="351" spans="2:24" ht="17.7" hidden="1" customHeight="1">
      <c r="B351" s="2" t="s">
        <v>26</v>
      </c>
      <c r="C351" s="2" t="s">
        <v>54</v>
      </c>
      <c r="D351" s="2" t="s">
        <v>38</v>
      </c>
      <c r="E351" s="2" t="s">
        <v>38</v>
      </c>
      <c r="F351" s="2" t="s">
        <v>55</v>
      </c>
      <c r="G351" s="2" t="s">
        <v>57</v>
      </c>
      <c r="H351" s="57" t="str">
        <f>Table1[[#This Row],[Tabela]]&amp;Table1[[#This Row],[Campo]]</f>
        <v>PROCESSPROCESS_BANK_ID</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57</v>
      </c>
      <c r="H352" s="57" t="str">
        <f>Table1[[#This Row],[Tabela]]&amp;Table1[[#This Row],[Campo]]</f>
        <v>PROCESSPROCESS_BANK_ID</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57</v>
      </c>
      <c r="H353" s="57" t="str">
        <f>Table1[[#This Row],[Tabela]]&amp;Table1[[#This Row],[Campo]]</f>
        <v>PROCESSPROCESS_BANK_ID</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58</v>
      </c>
      <c r="H354" s="57" t="str">
        <f>Table1[[#This Row],[Tabela]]&amp;Table1[[#This Row],[Campo]]</f>
        <v>PROCESSPROCESS_BRANCH_CODE</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58</v>
      </c>
      <c r="H355" s="57" t="str">
        <f>Table1[[#This Row],[Tabela]]&amp;Table1[[#This Row],[Campo]]</f>
        <v>PROCESSPROCESS_BRANCH_CODE</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58</v>
      </c>
      <c r="H356" s="57" t="str">
        <f>Table1[[#This Row],[Tabela]]&amp;Table1[[#This Row],[Campo]]</f>
        <v>PROCESSPROCESS_BRANCH_CODE</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59</v>
      </c>
      <c r="H357" s="57" t="str">
        <f>Table1[[#This Row],[Tabela]]&amp;Table1[[#This Row],[Campo]]</f>
        <v>PROCESSPROCESS_ACCOUNT_ID</v>
      </c>
      <c r="I357" s="2" t="s">
        <v>613</v>
      </c>
      <c r="J357" s="43">
        <f>VLOOKUP(Table1[[#This Row],[Status]],Auxiliar!$B$16:$C$24,2,0)</f>
        <v>1</v>
      </c>
      <c r="K357" s="2" t="s">
        <v>1246</v>
      </c>
      <c r="L357" s="29" t="s">
        <v>1252</v>
      </c>
      <c r="M357" s="21" t="s">
        <v>1253</v>
      </c>
      <c r="N357" s="48">
        <v>45499</v>
      </c>
      <c r="O357" s="21">
        <f>INDEX(Auxiliar!$D$5:$F$13,MATCH(Table1[[#This Row],[Tipologia_Testes]],Auxiliar!$B$5:$B$13,0),MATCH(Table1[[#This Row],[Complexidade]],Auxiliar!$D$4:$F$4,0))</f>
        <v>2</v>
      </c>
      <c r="P357" s="2" t="s">
        <v>1266</v>
      </c>
      <c r="Q357" s="2" t="s">
        <v>1263</v>
      </c>
      <c r="R357" s="152">
        <v>45261</v>
      </c>
      <c r="S357" s="152">
        <v>45495</v>
      </c>
      <c r="T357" s="152"/>
      <c r="U357" s="152"/>
      <c r="V357" s="152"/>
      <c r="W357" s="2">
        <f>VLOOKUP(Table1[[#This Row],[Status]],Auxiliar!$B$16:$D$24,3,0)*Table1[[#This Row],[Estimação (horas)]]</f>
        <v>2</v>
      </c>
      <c r="X357" s="2"/>
    </row>
    <row r="358" spans="2:24" ht="17.7" hidden="1" customHeight="1">
      <c r="B358" s="2" t="s">
        <v>26</v>
      </c>
      <c r="C358" s="2" t="s">
        <v>54</v>
      </c>
      <c r="D358" s="2" t="s">
        <v>38</v>
      </c>
      <c r="E358" s="2" t="s">
        <v>38</v>
      </c>
      <c r="F358" s="2" t="s">
        <v>55</v>
      </c>
      <c r="G358" s="2" t="s">
        <v>59</v>
      </c>
      <c r="H358" s="57" t="str">
        <f>Table1[[#This Row],[Tabela]]&amp;Table1[[#This Row],[Campo]]</f>
        <v>PROCESSPROCESS_ACCOUNT_ID</v>
      </c>
      <c r="I358" s="2" t="s">
        <v>613</v>
      </c>
      <c r="J358" s="43">
        <f>VLOOKUP(Table1[[#This Row],[Status]],Auxiliar!$B$16:$C$24,2,0)</f>
        <v>1</v>
      </c>
      <c r="K358" s="2" t="s">
        <v>1247</v>
      </c>
      <c r="L358" s="29" t="s">
        <v>1252</v>
      </c>
      <c r="M358" s="21" t="s">
        <v>1253</v>
      </c>
      <c r="N358" s="48">
        <v>45499</v>
      </c>
      <c r="O358" s="21">
        <f>INDEX(Auxiliar!$D$5:$F$13,MATCH(Table1[[#This Row],[Tipologia_Testes]],Auxiliar!$B$5:$B$13,0),MATCH(Table1[[#This Row],[Complexidade]],Auxiliar!$D$4:$F$4,0))</f>
        <v>2</v>
      </c>
      <c r="P358" s="2" t="s">
        <v>1266</v>
      </c>
      <c r="Q358" s="2" t="s">
        <v>1263</v>
      </c>
      <c r="R358" s="152">
        <v>45261</v>
      </c>
      <c r="S358" s="152">
        <v>45495</v>
      </c>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59</v>
      </c>
      <c r="H359" s="57" t="str">
        <f>Table1[[#This Row],[Tabela]]&amp;Table1[[#This Row],[Campo]]</f>
        <v>PROCESSPROCESS_ACCOUNT_ID</v>
      </c>
      <c r="I359" s="2" t="s">
        <v>613</v>
      </c>
      <c r="J359" s="43">
        <f>VLOOKUP(Table1[[#This Row],[Status]],Auxiliar!$B$16:$C$24,2,0)</f>
        <v>1</v>
      </c>
      <c r="K359" s="2" t="s">
        <v>1249</v>
      </c>
      <c r="L359" s="29" t="s">
        <v>1252</v>
      </c>
      <c r="M359" s="21" t="s">
        <v>1253</v>
      </c>
      <c r="N359" s="48">
        <v>45499</v>
      </c>
      <c r="O359" s="21">
        <f>INDEX(Auxiliar!$D$5:$F$13,MATCH(Table1[[#This Row],[Tipologia_Testes]],Auxiliar!$B$5:$B$13,0),MATCH(Table1[[#This Row],[Complexidade]],Auxiliar!$D$4:$F$4,0))</f>
        <v>0.1</v>
      </c>
      <c r="P359" s="2" t="s">
        <v>1266</v>
      </c>
      <c r="Q359" s="2" t="s">
        <v>1263</v>
      </c>
      <c r="R359" s="152">
        <v>45261</v>
      </c>
      <c r="S359" s="152">
        <v>45495</v>
      </c>
      <c r="T359" s="152"/>
      <c r="U359" s="152"/>
      <c r="V359" s="152"/>
      <c r="W359" s="2">
        <f>VLOOKUP(Table1[[#This Row],[Status]],Auxiliar!$B$16:$D$24,3,0)*Table1[[#This Row],[Estimação (horas)]]</f>
        <v>0.1</v>
      </c>
      <c r="X359" s="2"/>
    </row>
    <row r="360" spans="2:24" ht="17.7" hidden="1" customHeight="1">
      <c r="B360" s="2" t="s">
        <v>26</v>
      </c>
      <c r="C360" s="2" t="s">
        <v>54</v>
      </c>
      <c r="D360" s="2" t="s">
        <v>38</v>
      </c>
      <c r="E360" s="2" t="s">
        <v>38</v>
      </c>
      <c r="F360" s="2" t="s">
        <v>55</v>
      </c>
      <c r="G360" s="2" t="s">
        <v>60</v>
      </c>
      <c r="H360" s="57" t="str">
        <f>Table1[[#This Row],[Tabela]]&amp;Table1[[#This Row],[Campo]]</f>
        <v>PROCESScod_estd_prcs</v>
      </c>
      <c r="I360" s="2" t="s">
        <v>612</v>
      </c>
      <c r="J360" s="43">
        <f>VLOOKUP(Table1[[#This Row],[Status]],Auxiliar!$B$16:$C$24,2,0)</f>
        <v>0</v>
      </c>
      <c r="K360" s="2" t="s">
        <v>1246</v>
      </c>
      <c r="L360" s="29" t="s">
        <v>1264</v>
      </c>
      <c r="M360" s="21" t="s">
        <v>1253</v>
      </c>
      <c r="N360" s="48">
        <v>45485</v>
      </c>
      <c r="O360" s="21">
        <f>INDEX(Auxiliar!$D$5:$F$13,MATCH(Table1[[#This Row],[Tipologia_Testes]],Auxiliar!$B$5:$B$13,0),MATCH(Table1[[#This Row],[Complexidade]],Auxiliar!$D$4:$F$4,0))</f>
        <v>2</v>
      </c>
      <c r="P360" s="2" t="s">
        <v>1272</v>
      </c>
      <c r="Q360" s="2"/>
      <c r="R360" s="152">
        <v>45425</v>
      </c>
      <c r="S360" s="152"/>
      <c r="T360" s="152"/>
      <c r="U360" s="152"/>
      <c r="V360" s="152"/>
      <c r="W360" s="2">
        <f>VLOOKUP(Table1[[#This Row],[Status]],Auxiliar!$B$16:$D$24,3,0)*Table1[[#This Row],[Estimação (horas)]]</f>
        <v>0</v>
      </c>
      <c r="X360" s="2"/>
    </row>
    <row r="361" spans="2:24" ht="17.7" hidden="1" customHeight="1">
      <c r="B361" s="2" t="s">
        <v>26</v>
      </c>
      <c r="C361" s="2" t="s">
        <v>54</v>
      </c>
      <c r="D361" s="2" t="s">
        <v>38</v>
      </c>
      <c r="E361" s="2" t="s">
        <v>38</v>
      </c>
      <c r="F361" s="2" t="s">
        <v>55</v>
      </c>
      <c r="G361" s="2" t="s">
        <v>61</v>
      </c>
      <c r="H361" s="57" t="str">
        <f>Table1[[#This Row],[Tabela]]&amp;Table1[[#This Row],[Campo]]</f>
        <v>PROCESSGUARANTEE_CODE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61</v>
      </c>
      <c r="H362" s="57" t="str">
        <f>Table1[[#This Row],[Tabela]]&amp;Table1[[#This Row],[Campo]]</f>
        <v>PROCESSGUARANTEE_CODE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61</v>
      </c>
      <c r="H363" s="57" t="str">
        <f>Table1[[#This Row],[Tabela]]&amp;Table1[[#This Row],[Campo]]</f>
        <v>PROCESSGUARANTEE_CODE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62</v>
      </c>
      <c r="H364" s="57" t="str">
        <f>Table1[[#This Row],[Tabela]]&amp;Table1[[#This Row],[Campo]]</f>
        <v>PROCESSCURRENCY_CODE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45512</v>
      </c>
      <c r="S364" s="152"/>
      <c r="T364" s="152">
        <v>45512</v>
      </c>
      <c r="U364" s="152">
        <v>45526</v>
      </c>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62</v>
      </c>
      <c r="H365" s="57" t="str">
        <f>Table1[[#This Row],[Tabela]]&amp;Table1[[#This Row],[Campo]]</f>
        <v>PROCESSCURRENCY_CODE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45512</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62</v>
      </c>
      <c r="H366" s="57" t="str">
        <f>Table1[[#This Row],[Tabela]]&amp;Table1[[#This Row],[Campo]]</f>
        <v>PROCESSCURRENCY_CODE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45512</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63</v>
      </c>
      <c r="H367" s="57" t="str">
        <f>Table1[[#This Row],[Tabela]]&amp;Table1[[#This Row],[Campo]]</f>
        <v>PROCESSPROCESS_CAMPAIGN_CODE</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63</v>
      </c>
      <c r="H368" s="57" t="str">
        <f>Table1[[#This Row],[Tabela]]&amp;Table1[[#This Row],[Campo]]</f>
        <v>PROCESSPROCESS_CAMPAIGN_CODE</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63</v>
      </c>
      <c r="H369" s="57" t="str">
        <f>Table1[[#This Row],[Tabela]]&amp;Table1[[#This Row],[Campo]]</f>
        <v>PROCESSPROCESS_CAMPAIGN_CODE</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64</v>
      </c>
      <c r="H370" s="57" t="str">
        <f>Table1[[#This Row],[Tabela]]&amp;Table1[[#This Row],[Campo]]</f>
        <v>PROCESSPROCESS_PRODUCT_ID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64</v>
      </c>
      <c r="H371" s="57" t="str">
        <f>Table1[[#This Row],[Tabela]]&amp;Table1[[#This Row],[Campo]]</f>
        <v>PROCESSPROCESS_PRODUCT_ID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64</v>
      </c>
      <c r="H372" s="57" t="str">
        <f>Table1[[#This Row],[Tabela]]&amp;Table1[[#This Row],[Campo]]</f>
        <v>PROCESSPROCESS_PRODUCT_ID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65</v>
      </c>
      <c r="H373" s="57" t="str">
        <f>Table1[[#This Row],[Tabela]]&amp;Table1[[#This Row],[Campo]]</f>
        <v>PROCESSPROCESS_SUBPRODUCT_ID</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65</v>
      </c>
      <c r="H374" s="57" t="str">
        <f>Table1[[#This Row],[Tabela]]&amp;Table1[[#This Row],[Campo]]</f>
        <v>PROCESSPROCESS_SUBPRODUCT_ID</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65</v>
      </c>
      <c r="H375" s="57" t="str">
        <f>Table1[[#This Row],[Tabela]]&amp;Table1[[#This Row],[Campo]]</f>
        <v>PROCESSPROCESS_SUBPRODUCT_ID</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66</v>
      </c>
      <c r="H376" s="57" t="str">
        <f>Table1[[#This Row],[Tabela]]&amp;Table1[[#This Row],[Campo]]</f>
        <v>PROCESSGUARANTEE_TYPE_CODE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66</v>
      </c>
      <c r="H377" s="57" t="str">
        <f>Table1[[#This Row],[Tabela]]&amp;Table1[[#This Row],[Campo]]</f>
        <v>PROCESSGUARANTEE_TYPE_CODE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66</v>
      </c>
      <c r="H378" s="57" t="str">
        <f>Table1[[#This Row],[Tabela]]&amp;Table1[[#This Row],[Campo]]</f>
        <v>PROCESSGUARANTEE_TYPE_CODE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67</v>
      </c>
      <c r="H379" s="57" t="str">
        <f>Table1[[#This Row],[Tabela]]&amp;Table1[[#This Row],[Campo]]</f>
        <v>PROCESSPROCESS_REFERENCE_CODE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67</v>
      </c>
      <c r="H380" s="57" t="str">
        <f>Table1[[#This Row],[Tabela]]&amp;Table1[[#This Row],[Campo]]</f>
        <v>PROCESSPROCESS_REFERENCE_CODE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67</v>
      </c>
      <c r="H381" s="57" t="str">
        <f>Table1[[#This Row],[Tabela]]&amp;Table1[[#This Row],[Campo]]</f>
        <v>PROCESSPROCESS_REFERENCE_CODE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68</v>
      </c>
      <c r="H382" s="57" t="str">
        <f>Table1[[#This Row],[Tabela]]&amp;Table1[[#This Row],[Campo]]</f>
        <v>PROCESSPROCESS_START_DATE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68</v>
      </c>
      <c r="H383" s="57" t="str">
        <f>Table1[[#This Row],[Tabela]]&amp;Table1[[#This Row],[Campo]]</f>
        <v>PROCESSPROCESS_START_DATE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68</v>
      </c>
      <c r="H384" s="57" t="str">
        <f>Table1[[#This Row],[Tabela]]&amp;Table1[[#This Row],[Campo]]</f>
        <v>PROCESSPROCESS_START_DATE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69</v>
      </c>
      <c r="H385" s="57" t="str">
        <f>Table1[[#This Row],[Tabela]]&amp;Table1[[#This Row],[Campo]]</f>
        <v>PROCESSPROCESS_DUE_DATE</v>
      </c>
      <c r="I385" s="2" t="s">
        <v>613</v>
      </c>
      <c r="J385" s="43">
        <f>VLOOKUP(Table1[[#This Row],[Status]],Auxiliar!$B$16:$C$24,2,0)</f>
        <v>1</v>
      </c>
      <c r="K385" s="2" t="s">
        <v>1246</v>
      </c>
      <c r="L385" s="29" t="s">
        <v>1252</v>
      </c>
      <c r="M385" s="21" t="s">
        <v>1253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2</v>
      </c>
      <c r="X385" s="2"/>
    </row>
    <row r="386" spans="2:24" ht="17.7" hidden="1" customHeight="1">
      <c r="B386" s="2" t="s">
        <v>26</v>
      </c>
      <c r="C386" s="2" t="s">
        <v>54</v>
      </c>
      <c r="D386" s="2" t="s">
        <v>38</v>
      </c>
      <c r="E386" s="2" t="s">
        <v>38</v>
      </c>
      <c r="F386" s="2" t="s">
        <v>55</v>
      </c>
      <c r="G386" s="2" t="s">
        <v>69</v>
      </c>
      <c r="H386" s="57" t="str">
        <f>Table1[[#This Row],[Tabela]]&amp;Table1[[#This Row],[Campo]]</f>
        <v>PROCESSPROCESS_DUE_DATE</v>
      </c>
      <c r="I386" s="2" t="s">
        <v>613</v>
      </c>
      <c r="J386" s="43">
        <f>VLOOKUP(Table1[[#This Row],[Status]],Auxiliar!$B$16:$C$24,2,0)</f>
        <v>1</v>
      </c>
      <c r="K386" s="2" t="s">
        <v>1247</v>
      </c>
      <c r="L386" s="29" t="s">
        <v>1252</v>
      </c>
      <c r="M386" s="21" t="s">
        <v>1253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2</v>
      </c>
      <c r="X386" s="2"/>
    </row>
    <row r="387" spans="2:24" ht="17.7" hidden="1" customHeight="1">
      <c r="B387" s="2" t="s">
        <v>26</v>
      </c>
      <c r="C387" s="2" t="s">
        <v>54</v>
      </c>
      <c r="D387" s="2" t="s">
        <v>38</v>
      </c>
      <c r="E387" s="2" t="s">
        <v>38</v>
      </c>
      <c r="F387" s="2" t="s">
        <v>55</v>
      </c>
      <c r="G387" s="2" t="s">
        <v>69</v>
      </c>
      <c r="H387" s="57" t="str">
        <f>Table1[[#This Row],[Tabela]]&amp;Table1[[#This Row],[Campo]]</f>
        <v>PROCESSPROCESS_DUE_DATE</v>
      </c>
      <c r="I387" s="2" t="s">
        <v>613</v>
      </c>
      <c r="J387" s="43">
        <f>VLOOKUP(Table1[[#This Row],[Status]],Auxiliar!$B$16:$C$24,2,0)</f>
        <v>1</v>
      </c>
      <c r="K387" s="2" t="s">
        <v>1249</v>
      </c>
      <c r="L387" s="29" t="s">
        <v>1252</v>
      </c>
      <c r="M387" s="21" t="s">
        <v>1253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0.1</v>
      </c>
      <c r="X387" s="2"/>
    </row>
    <row r="388" spans="2:24" ht="17.7" hidden="1" customHeight="1">
      <c r="B388" s="2" t="s">
        <v>26</v>
      </c>
      <c r="C388" s="2" t="s">
        <v>54</v>
      </c>
      <c r="D388" s="2" t="s">
        <v>38</v>
      </c>
      <c r="E388" s="2" t="s">
        <v>38</v>
      </c>
      <c r="F388" s="2" t="s">
        <v>55</v>
      </c>
      <c r="G388" s="2" t="s">
        <v>70</v>
      </c>
      <c r="H388" s="57" t="str">
        <f>Table1[[#This Row],[Tabela]]&amp;Table1[[#This Row],[Campo]]</f>
        <v>PROCESSmontante_eur</v>
      </c>
      <c r="I388" s="2" t="s">
        <v>612</v>
      </c>
      <c r="J388" s="43">
        <f>VLOOKUP(Table1[[#This Row],[Status]],Auxiliar!$B$16:$C$24,2,0)</f>
        <v>0</v>
      </c>
      <c r="K388" s="2" t="s">
        <v>1246</v>
      </c>
      <c r="L388" s="29" t="s">
        <v>1264</v>
      </c>
      <c r="M388" s="21" t="s">
        <v>1253</v>
      </c>
      <c r="N388" s="48">
        <v>45485</v>
      </c>
      <c r="O388" s="21">
        <f>INDEX(Auxiliar!$D$5:$F$13,MATCH(Table1[[#This Row],[Tipologia_Testes]],Auxiliar!$B$5:$B$13,0),MATCH(Table1[[#This Row],[Complexidade]],Auxiliar!$D$4:$F$4,0))</f>
        <v>2</v>
      </c>
      <c r="P388" s="2" t="s">
        <v>1272</v>
      </c>
      <c r="Q388" s="2"/>
      <c r="R388" s="152">
        <v>45425</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71</v>
      </c>
      <c r="H389" s="57" t="str">
        <f>Table1[[#This Row],[Tabela]]&amp;Table1[[#This Row],[Campo]]</f>
        <v>PROCESSmontante_org</v>
      </c>
      <c r="I389" s="2" t="s">
        <v>612</v>
      </c>
      <c r="J389" s="43">
        <f>VLOOKUP(Table1[[#This Row],[Status]],Auxiliar!$B$16:$C$24,2,0)</f>
        <v>0</v>
      </c>
      <c r="K389" s="2" t="s">
        <v>1246</v>
      </c>
      <c r="L389" s="29" t="s">
        <v>1264</v>
      </c>
      <c r="M389" s="21" t="s">
        <v>1253</v>
      </c>
      <c r="N389" s="48">
        <v>45485</v>
      </c>
      <c r="O389" s="21">
        <f>INDEX(Auxiliar!$D$5:$F$13,MATCH(Table1[[#This Row],[Tipologia_Testes]],Auxiliar!$B$5:$B$13,0),MATCH(Table1[[#This Row],[Complexidade]],Auxiliar!$D$4:$F$4,0))</f>
        <v>2</v>
      </c>
      <c r="P389" s="2" t="s">
        <v>1272</v>
      </c>
      <c r="Q389" s="2"/>
      <c r="R389" s="152">
        <v>45425</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72</v>
      </c>
      <c r="H390" s="57" t="str">
        <f>Table1[[#This Row],[Tabela]]&amp;Table1[[#This Row],[Campo]]</f>
        <v>PROCESSorigem</v>
      </c>
      <c r="I390" s="2" t="s">
        <v>612</v>
      </c>
      <c r="J390" s="43">
        <f>VLOOKUP(Table1[[#This Row],[Status]],Auxiliar!$B$16:$C$24,2,0)</f>
        <v>0</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0</v>
      </c>
      <c r="X390" s="2"/>
    </row>
    <row r="391" spans="2:24" ht="17.7" hidden="1" customHeight="1">
      <c r="B391" s="2" t="s">
        <v>26</v>
      </c>
      <c r="C391" s="2" t="s">
        <v>54</v>
      </c>
      <c r="D391" s="2" t="s">
        <v>38</v>
      </c>
      <c r="E391" s="2" t="s">
        <v>38</v>
      </c>
      <c r="F391" s="2" t="s">
        <v>55</v>
      </c>
      <c r="G391" s="2" t="s">
        <v>72</v>
      </c>
      <c r="H391" s="57" t="str">
        <f>Table1[[#This Row],[Tabela]]&amp;Table1[[#This Row],[Campo]]</f>
        <v>PROCESSorigem</v>
      </c>
      <c r="I391" s="2" t="s">
        <v>612</v>
      </c>
      <c r="J391" s="43">
        <f>VLOOKUP(Table1[[#This Row],[Status]],Auxiliar!$B$16:$C$24,2,0)</f>
        <v>0</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0</v>
      </c>
      <c r="X391" s="2"/>
    </row>
    <row r="392" spans="2:24" ht="17.7" hidden="1" customHeight="1">
      <c r="B392" s="2" t="s">
        <v>26</v>
      </c>
      <c r="C392" s="2" t="s">
        <v>54</v>
      </c>
      <c r="D392" s="2" t="s">
        <v>38</v>
      </c>
      <c r="E392" s="2" t="s">
        <v>38</v>
      </c>
      <c r="F392" s="2" t="s">
        <v>55</v>
      </c>
      <c r="G392" s="2" t="s">
        <v>72</v>
      </c>
      <c r="H392" s="57" t="str">
        <f>Table1[[#This Row],[Tabela]]&amp;Table1[[#This Row],[Campo]]</f>
        <v>PROCESSorigem</v>
      </c>
      <c r="I392" s="2" t="s">
        <v>612</v>
      </c>
      <c r="J392" s="43">
        <f>VLOOKUP(Table1[[#This Row],[Status]],Auxiliar!$B$16:$C$24,2,0)</f>
        <v>0</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v>
      </c>
      <c r="X392" s="2"/>
    </row>
    <row r="393" spans="2:24" ht="17.7" hidden="1" customHeight="1">
      <c r="B393" s="2" t="s">
        <v>26</v>
      </c>
      <c r="C393" s="2" t="s">
        <v>54</v>
      </c>
      <c r="D393" s="2" t="s">
        <v>38</v>
      </c>
      <c r="E393" s="2" t="s">
        <v>38</v>
      </c>
      <c r="F393" s="2" t="s">
        <v>55</v>
      </c>
      <c r="G393" s="2" t="s">
        <v>73</v>
      </c>
      <c r="H393" s="57" t="str">
        <f>Table1[[#This Row],[Tabela]]&amp;Table1[[#This Row],[Campo]]</f>
        <v>PROCESSDATA_DATE_PART</v>
      </c>
      <c r="I393" s="2" t="s">
        <v>613</v>
      </c>
      <c r="J393" s="43">
        <f>VLOOKUP(Table1[[#This Row],[Status]],Auxiliar!$B$16:$C$24,2,0)</f>
        <v>1</v>
      </c>
      <c r="K393" s="2" t="s">
        <v>1246</v>
      </c>
      <c r="L393" s="29" t="s">
        <v>1252</v>
      </c>
      <c r="M393" s="21" t="s">
        <v>1253</v>
      </c>
      <c r="N393" s="48">
        <v>45512</v>
      </c>
      <c r="O393" s="21">
        <f>INDEX(Auxiliar!$D$5:$F$13,MATCH(Table1[[#This Row],[Tipologia_Testes]],Auxiliar!$B$5:$B$13,0),MATCH(Table1[[#This Row],[Complexidade]],Auxiliar!$D$4:$F$4,0))</f>
        <v>2</v>
      </c>
      <c r="P393" s="2"/>
      <c r="Q393" s="2"/>
      <c r="R393" s="152">
        <v>45261</v>
      </c>
      <c r="S393" s="152"/>
      <c r="T393" s="152"/>
      <c r="U393" s="152"/>
      <c r="V393" s="152"/>
      <c r="W393" s="2">
        <f>VLOOKUP(Table1[[#This Row],[Status]],Auxiliar!$B$16:$D$24,3,0)*Table1[[#This Row],[Estimação (horas)]]</f>
        <v>2</v>
      </c>
      <c r="X393" s="2"/>
    </row>
    <row r="394" spans="2:24" ht="17.7" hidden="1" customHeight="1">
      <c r="B394" s="2" t="s">
        <v>26</v>
      </c>
      <c r="C394" s="2" t="s">
        <v>54</v>
      </c>
      <c r="D394" s="2" t="s">
        <v>38</v>
      </c>
      <c r="E394" s="2" t="s">
        <v>38</v>
      </c>
      <c r="F394" s="2" t="s">
        <v>55</v>
      </c>
      <c r="G394" s="2" t="s">
        <v>73</v>
      </c>
      <c r="H394" s="57" t="str">
        <f>Table1[[#This Row],[Tabela]]&amp;Table1[[#This Row],[Campo]]</f>
        <v>PROCESSDATA_DATE_PART</v>
      </c>
      <c r="I394" s="2" t="s">
        <v>613</v>
      </c>
      <c r="J394" s="43">
        <f>VLOOKUP(Table1[[#This Row],[Status]],Auxiliar!$B$16:$C$24,2,0)</f>
        <v>1</v>
      </c>
      <c r="K394" s="2" t="s">
        <v>1247</v>
      </c>
      <c r="L394" s="29" t="s">
        <v>1252</v>
      </c>
      <c r="M394" s="21" t="s">
        <v>1253</v>
      </c>
      <c r="N394" s="48">
        <v>45512</v>
      </c>
      <c r="O394" s="21">
        <f>INDEX(Auxiliar!$D$5:$F$13,MATCH(Table1[[#This Row],[Tipologia_Testes]],Auxiliar!$B$5:$B$13,0),MATCH(Table1[[#This Row],[Complexidade]],Auxiliar!$D$4:$F$4,0))</f>
        <v>2</v>
      </c>
      <c r="P394" s="2"/>
      <c r="Q394" s="2"/>
      <c r="R394" s="152">
        <v>45261</v>
      </c>
      <c r="S394" s="152"/>
      <c r="T394" s="152"/>
      <c r="U394" s="152"/>
      <c r="V394" s="152"/>
      <c r="W394" s="2">
        <f>VLOOKUP(Table1[[#This Row],[Status]],Auxiliar!$B$16:$D$24,3,0)*Table1[[#This Row],[Estimação (horas)]]</f>
        <v>2</v>
      </c>
      <c r="X394" s="2"/>
    </row>
    <row r="395" spans="2:24" ht="17.7" hidden="1" customHeight="1">
      <c r="B395" s="2" t="s">
        <v>26</v>
      </c>
      <c r="C395" s="2" t="s">
        <v>54</v>
      </c>
      <c r="D395" s="2" t="s">
        <v>38</v>
      </c>
      <c r="E395" s="2" t="s">
        <v>38</v>
      </c>
      <c r="F395" s="2" t="s">
        <v>55</v>
      </c>
      <c r="G395" s="2" t="s">
        <v>73</v>
      </c>
      <c r="H395" s="57" t="str">
        <f>Table1[[#This Row],[Tabela]]&amp;Table1[[#This Row],[Campo]]</f>
        <v>PROCESSDATA_DATE_PART</v>
      </c>
      <c r="I395" s="2" t="s">
        <v>613</v>
      </c>
      <c r="J395" s="43">
        <f>VLOOKUP(Table1[[#This Row],[Status]],Auxiliar!$B$16:$C$24,2,0)</f>
        <v>1</v>
      </c>
      <c r="K395" s="2" t="s">
        <v>1249</v>
      </c>
      <c r="L395" s="29" t="s">
        <v>1252</v>
      </c>
      <c r="M395" s="21" t="s">
        <v>1253</v>
      </c>
      <c r="N395" s="48">
        <v>45512</v>
      </c>
      <c r="O395" s="21">
        <f>INDEX(Auxiliar!$D$5:$F$13,MATCH(Table1[[#This Row],[Tipologia_Testes]],Auxiliar!$B$5:$B$13,0),MATCH(Table1[[#This Row],[Complexidade]],Auxiliar!$D$4:$F$4,0))</f>
        <v>0.1</v>
      </c>
      <c r="P395" s="2"/>
      <c r="Q395" s="2"/>
      <c r="R395" s="152">
        <v>45261</v>
      </c>
      <c r="S395" s="152"/>
      <c r="T395" s="152"/>
      <c r="U395" s="152"/>
      <c r="V395" s="152"/>
      <c r="W395" s="2">
        <f>VLOOKUP(Table1[[#This Row],[Status]],Auxiliar!$B$16:$D$24,3,0)*Table1[[#This Row],[Estimação (horas)]]</f>
        <v>0.1</v>
      </c>
      <c r="X395" s="2"/>
    </row>
    <row r="396" spans="2:24" ht="69.599999999999994" hidden="1" customHeight="1">
      <c r="B396" s="2" t="s">
        <v>26</v>
      </c>
      <c r="C396" s="2" t="s">
        <v>54</v>
      </c>
      <c r="D396" s="2" t="s">
        <v>38</v>
      </c>
      <c r="E396" s="2" t="s">
        <v>38</v>
      </c>
      <c r="F396" s="2" t="s">
        <v>74</v>
      </c>
      <c r="G396" s="2" t="s">
        <v>38</v>
      </c>
      <c r="H396" s="57" t="str">
        <f>Table1[[#This Row],[Tabela]]&amp;Table1[[#This Row],[Campo]]</f>
        <v>RESPONSIBILITY_PROCESS_RELn.a.</v>
      </c>
      <c r="I396" s="2" t="s">
        <v>613</v>
      </c>
      <c r="J396" s="43">
        <f>VLOOKUP(Table1[[#This Row],[Status]],Auxiliar!$B$16:$C$24,2,0)</f>
        <v>1</v>
      </c>
      <c r="K396" s="2" t="s">
        <v>1243</v>
      </c>
      <c r="L396" s="29" t="s">
        <v>1244</v>
      </c>
      <c r="M396" s="21" t="s">
        <v>1245</v>
      </c>
      <c r="N396" s="48">
        <v>45512</v>
      </c>
      <c r="O396" s="21">
        <f>INDEX(Auxiliar!$D$5:$F$13,MATCH(Table1[[#This Row],[Tipologia_Testes]],Auxiliar!$B$5:$B$13,0),MATCH(Table1[[#This Row],[Complexidade]],Auxiliar!$D$4:$F$4,0))</f>
        <v>8</v>
      </c>
      <c r="P396" s="23" t="s">
        <v>1273</v>
      </c>
      <c r="Q396" s="2"/>
      <c r="R396" s="152">
        <v>45261</v>
      </c>
      <c r="S396" s="152"/>
      <c r="T396" s="152"/>
      <c r="U396" s="152"/>
      <c r="V396" s="152"/>
      <c r="W396" s="2">
        <f>VLOOKUP(Table1[[#This Row],[Status]],Auxiliar!$B$16:$D$24,3,0)*Table1[[#This Row],[Estimação (horas)]]</f>
        <v>8</v>
      </c>
      <c r="X396" s="2"/>
    </row>
    <row r="397" spans="2:24" ht="17.7" hidden="1" customHeight="1">
      <c r="B397" s="2" t="s">
        <v>26</v>
      </c>
      <c r="C397" s="2" t="s">
        <v>54</v>
      </c>
      <c r="D397" s="2" t="s">
        <v>38</v>
      </c>
      <c r="E397" s="2" t="s">
        <v>38</v>
      </c>
      <c r="F397" s="2" t="s">
        <v>74</v>
      </c>
      <c r="G397" s="2" t="s">
        <v>57</v>
      </c>
      <c r="H397" s="57" t="str">
        <f>Table1[[#This Row],[Tabela]]&amp;Table1[[#This Row],[Campo]]</f>
        <v>RESPONSIBILITY_PROCESS_RELPROCESS_BANK_ID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57</v>
      </c>
      <c r="H398" s="57" t="str">
        <f>Table1[[#This Row],[Tabela]]&amp;Table1[[#This Row],[Campo]]</f>
        <v>RESPONSIBILITY_PROCESS_RELPROCESS_BANK_ID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57</v>
      </c>
      <c r="H399" s="57" t="str">
        <f>Table1[[#This Row],[Tabela]]&amp;Table1[[#This Row],[Campo]]</f>
        <v>RESPONSIBILITY_PROCESS_RELPROCESS_BANK_ID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75</v>
      </c>
      <c r="H400" s="57" t="str">
        <f>Table1[[#This Row],[Tabela]]&amp;Table1[[#This Row],[Campo]]</f>
        <v>RESPONSIBILITY_PROCESS_RELBANK_ID</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75</v>
      </c>
      <c r="H401" s="57" t="str">
        <f>Table1[[#This Row],[Tabela]]&amp;Table1[[#This Row],[Campo]]</f>
        <v>RESPONSIBILITY_PROCESS_RELBANK_ID</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75</v>
      </c>
      <c r="H402" s="57" t="str">
        <f>Table1[[#This Row],[Tabela]]&amp;Table1[[#This Row],[Campo]]</f>
        <v>RESPONSIBILITY_PROCESS_RELBANK_ID</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58</v>
      </c>
      <c r="H403" s="57" t="str">
        <f>Table1[[#This Row],[Tabela]]&amp;Table1[[#This Row],[Campo]]</f>
        <v>RESPONSIBILITY_PROCESS_RELPROCESS_BRANCH_CODE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58</v>
      </c>
      <c r="H404" s="57" t="str">
        <f>Table1[[#This Row],[Tabela]]&amp;Table1[[#This Row],[Campo]]</f>
        <v>RESPONSIBILITY_PROCESS_RELPROCESS_BRANCH_CODE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58</v>
      </c>
      <c r="H405" s="57" t="str">
        <f>Table1[[#This Row],[Tabela]]&amp;Table1[[#This Row],[Campo]]</f>
        <v>RESPONSIBILITY_PROCESS_RELPROCESS_BRANCH_CODE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76</v>
      </c>
      <c r="H406" s="57" t="str">
        <f>Table1[[#This Row],[Tabela]]&amp;Table1[[#This Row],[Campo]]</f>
        <v>RESPONSIBILITY_PROCESS_RELBRANCH_CODE</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76</v>
      </c>
      <c r="H407" s="57" t="str">
        <f>Table1[[#This Row],[Tabela]]&amp;Table1[[#This Row],[Campo]]</f>
        <v>RESPONSIBILITY_PROCESS_RELBRANCH_CODE</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76</v>
      </c>
      <c r="H408" s="57" t="str">
        <f>Table1[[#This Row],[Tabela]]&amp;Table1[[#This Row],[Campo]]</f>
        <v>RESPONSIBILITY_PROCESS_RELBRANCH_CODE</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77</v>
      </c>
      <c r="H409" s="57" t="str">
        <f>Table1[[#This Row],[Tabela]]&amp;Table1[[#This Row],[Campo]]</f>
        <v>RESPONSIBILITY_PROCESS_RELCONTRACT_ID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77</v>
      </c>
      <c r="H410" s="57" t="str">
        <f>Table1[[#This Row],[Tabela]]&amp;Table1[[#This Row],[Campo]]</f>
        <v>RESPONSIBILITY_PROCESS_RELCONTRACT_ID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77</v>
      </c>
      <c r="H411" s="57" t="str">
        <f>Table1[[#This Row],[Tabela]]&amp;Table1[[#This Row],[Campo]]</f>
        <v>RESPONSIBILITY_PROCESS_RELCONTRACT_ID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59</v>
      </c>
      <c r="H412" s="57" t="str">
        <f>Table1[[#This Row],[Tabela]]&amp;Table1[[#This Row],[Campo]]</f>
        <v>RESPONSIBILITY_PROCESS_RELPROCESS_ACCOUNT_ID</v>
      </c>
      <c r="I412" s="2" t="s">
        <v>613</v>
      </c>
      <c r="J412" s="43">
        <f>VLOOKUP(Table1[[#This Row],[Status]],Auxiliar!$B$16:$C$24,2,0)</f>
        <v>1</v>
      </c>
      <c r="K412" s="2" t="s">
        <v>1246</v>
      </c>
      <c r="L412" s="29" t="s">
        <v>1244</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59</v>
      </c>
      <c r="H413" s="57" t="str">
        <f>Table1[[#This Row],[Tabela]]&amp;Table1[[#This Row],[Campo]]</f>
        <v>RESPONSIBILITY_PROCESS_RELPROCESS_ACCOUNT_ID</v>
      </c>
      <c r="I413" s="2" t="s">
        <v>613</v>
      </c>
      <c r="J413" s="43">
        <f>VLOOKUP(Table1[[#This Row],[Status]],Auxiliar!$B$16:$C$24,2,0)</f>
        <v>1</v>
      </c>
      <c r="K413" s="2" t="s">
        <v>1247</v>
      </c>
      <c r="L413" s="29" t="s">
        <v>1244</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59</v>
      </c>
      <c r="H414" s="57" t="str">
        <f>Table1[[#This Row],[Tabela]]&amp;Table1[[#This Row],[Campo]]</f>
        <v>RESPONSIBILITY_PROCESS_RELPROCESS_ACCOUNT_ID</v>
      </c>
      <c r="I414" s="2" t="s">
        <v>613</v>
      </c>
      <c r="J414" s="43">
        <f>VLOOKUP(Table1[[#This Row],[Status]],Auxiliar!$B$16:$C$24,2,0)</f>
        <v>1</v>
      </c>
      <c r="K414" s="2" t="s">
        <v>1249</v>
      </c>
      <c r="L414" s="29" t="s">
        <v>1244</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78</v>
      </c>
      <c r="H415" s="57" t="str">
        <f>Table1[[#This Row],[Tabela]]&amp;Table1[[#This Row],[Campo]]</f>
        <v>RESPONSIBILITY_PROCESS_RELREFERENCE_CODE</v>
      </c>
      <c r="I415" s="2" t="s">
        <v>613</v>
      </c>
      <c r="J415" s="43">
        <f>VLOOKUP(Table1[[#This Row],[Status]],Auxiliar!$B$16:$C$24,2,0)</f>
        <v>1</v>
      </c>
      <c r="K415" s="2" t="s">
        <v>1246</v>
      </c>
      <c r="L415" s="29" t="s">
        <v>1252</v>
      </c>
      <c r="M415" s="21" t="s">
        <v>1254</v>
      </c>
      <c r="N415" s="48">
        <v>45499</v>
      </c>
      <c r="O415" s="21">
        <f>INDEX(Auxiliar!$D$5:$F$13,MATCH(Table1[[#This Row],[Tipologia_Testes]],Auxiliar!$B$5:$B$13,0),MATCH(Table1[[#This Row],[Complexidade]],Auxiliar!$D$4:$F$4,0))</f>
        <v>4</v>
      </c>
      <c r="P415" s="2" t="s">
        <v>1266</v>
      </c>
      <c r="Q415" s="2" t="s">
        <v>1263</v>
      </c>
      <c r="R415" s="152">
        <v>45261</v>
      </c>
      <c r="S415" s="152">
        <v>45495</v>
      </c>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78</v>
      </c>
      <c r="H416" s="57" t="str">
        <f>Table1[[#This Row],[Tabela]]&amp;Table1[[#This Row],[Campo]]</f>
        <v>RESPONSIBILITY_PROCESS_RELREFERENCE_CODE</v>
      </c>
      <c r="I416" s="2" t="s">
        <v>613</v>
      </c>
      <c r="J416" s="43">
        <f>VLOOKUP(Table1[[#This Row],[Status]],Auxiliar!$B$16:$C$24,2,0)</f>
        <v>1</v>
      </c>
      <c r="K416" s="2" t="s">
        <v>1247</v>
      </c>
      <c r="L416" s="29" t="s">
        <v>1252</v>
      </c>
      <c r="M416" s="21" t="s">
        <v>1254</v>
      </c>
      <c r="N416" s="48">
        <v>45499</v>
      </c>
      <c r="O416" s="21">
        <f>INDEX(Auxiliar!$D$5:$F$13,MATCH(Table1[[#This Row],[Tipologia_Testes]],Auxiliar!$B$5:$B$13,0),MATCH(Table1[[#This Row],[Complexidade]],Auxiliar!$D$4:$F$4,0))</f>
        <v>4</v>
      </c>
      <c r="P416" s="2" t="s">
        <v>1266</v>
      </c>
      <c r="Q416" s="2" t="s">
        <v>1263</v>
      </c>
      <c r="R416" s="152">
        <v>45261</v>
      </c>
      <c r="S416" s="152">
        <v>45495</v>
      </c>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78</v>
      </c>
      <c r="H417" s="57" t="str">
        <f>Table1[[#This Row],[Tabela]]&amp;Table1[[#This Row],[Campo]]</f>
        <v>RESPONSIBILITY_PROCESS_RELREFERENCE_CODE</v>
      </c>
      <c r="I417" s="2" t="s">
        <v>613</v>
      </c>
      <c r="J417" s="43">
        <f>VLOOKUP(Table1[[#This Row],[Status]],Auxiliar!$B$16:$C$24,2,0)</f>
        <v>1</v>
      </c>
      <c r="K417" s="2" t="s">
        <v>1249</v>
      </c>
      <c r="L417" s="29" t="s">
        <v>1252</v>
      </c>
      <c r="M417" s="21" t="s">
        <v>1254</v>
      </c>
      <c r="N417" s="48">
        <v>45499</v>
      </c>
      <c r="O417" s="21">
        <f>INDEX(Auxiliar!$D$5:$F$13,MATCH(Table1[[#This Row],[Tipologia_Testes]],Auxiliar!$B$5:$B$13,0),MATCH(Table1[[#This Row],[Complexidade]],Auxiliar!$D$4:$F$4,0))</f>
        <v>0.1</v>
      </c>
      <c r="P417" s="2" t="s">
        <v>1266</v>
      </c>
      <c r="Q417" s="2" t="s">
        <v>1263</v>
      </c>
      <c r="R417" s="152">
        <v>45261</v>
      </c>
      <c r="S417" s="152">
        <v>45495</v>
      </c>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79</v>
      </c>
      <c r="H418" s="57" t="str">
        <f>Table1[[#This Row],[Tabela]]&amp;Table1[[#This Row],[Campo]]</f>
        <v>RESPONSIBILITY_PROCESS_RELPURPOSE_CODE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79</v>
      </c>
      <c r="H419" s="57" t="str">
        <f>Table1[[#This Row],[Tabela]]&amp;Table1[[#This Row],[Campo]]</f>
        <v>RESPONSIBILITY_PROCESS_RELPURPOSE_CODE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79</v>
      </c>
      <c r="H420" s="57" t="str">
        <f>Table1[[#This Row],[Tabela]]&amp;Table1[[#This Row],[Campo]]</f>
        <v>RESPONSIBILITY_PROCESS_RELPURPOSE_CODE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80</v>
      </c>
      <c r="H421" s="57" t="str">
        <f>Table1[[#This Row],[Tabela]]&amp;Table1[[#This Row],[Campo]]</f>
        <v>RESPONSIBILITY_PROCESS_RELINDIVIDUAL_OCCUPATION_CODE</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80</v>
      </c>
      <c r="H422" s="57" t="str">
        <f>Table1[[#This Row],[Tabela]]&amp;Table1[[#This Row],[Campo]]</f>
        <v>RESPONSIBILITY_PROCESS_RELINDIVIDUAL_OCCUPATION_CODE</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80</v>
      </c>
      <c r="H423" s="57" t="str">
        <f>Table1[[#This Row],[Tabela]]&amp;Table1[[#This Row],[Campo]]</f>
        <v>RESPONSIBILITY_PROCESS_RELINDIVIDUAL_OCCUPATION_CODE</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81</v>
      </c>
      <c r="H424" s="57" t="str">
        <f>Table1[[#This Row],[Tabela]]&amp;Table1[[#This Row],[Campo]]</f>
        <v>RESPONSIBILITY_PROCESS_RELPRODUCT_ID</v>
      </c>
      <c r="I424" s="2" t="s">
        <v>613</v>
      </c>
      <c r="J424" s="43">
        <f>VLOOKUP(Table1[[#This Row],[Status]],Auxiliar!$B$16:$C$24,2,0)</f>
        <v>1</v>
      </c>
      <c r="K424" s="2" t="s">
        <v>1246</v>
      </c>
      <c r="L424" s="29" t="s">
        <v>1252</v>
      </c>
      <c r="M424" s="21" t="s">
        <v>1254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7" hidden="1" customHeight="1">
      <c r="B425" s="2" t="s">
        <v>26</v>
      </c>
      <c r="C425" s="2" t="s">
        <v>54</v>
      </c>
      <c r="D425" s="2" t="s">
        <v>38</v>
      </c>
      <c r="E425" s="2" t="s">
        <v>38</v>
      </c>
      <c r="F425" s="2" t="s">
        <v>74</v>
      </c>
      <c r="G425" s="2" t="s">
        <v>81</v>
      </c>
      <c r="H425" s="57" t="str">
        <f>Table1[[#This Row],[Tabela]]&amp;Table1[[#This Row],[Campo]]</f>
        <v>RESPONSIBILITY_PROCESS_RELPRODUCT_ID</v>
      </c>
      <c r="I425" s="2" t="s">
        <v>613</v>
      </c>
      <c r="J425" s="43">
        <f>VLOOKUP(Table1[[#This Row],[Status]],Auxiliar!$B$16:$C$24,2,0)</f>
        <v>1</v>
      </c>
      <c r="K425" s="2" t="s">
        <v>1247</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81</v>
      </c>
      <c r="H426" s="57" t="str">
        <f>Table1[[#This Row],[Tabela]]&amp;Table1[[#This Row],[Campo]]</f>
        <v>RESPONSIBILITY_PROCESS_RELPRODUCT_ID</v>
      </c>
      <c r="I426" s="2" t="s">
        <v>613</v>
      </c>
      <c r="J426" s="43">
        <f>VLOOKUP(Table1[[#This Row],[Status]],Auxiliar!$B$16:$C$24,2,0)</f>
        <v>1</v>
      </c>
      <c r="K426" s="2" t="s">
        <v>1249</v>
      </c>
      <c r="L426" s="29" t="s">
        <v>1252</v>
      </c>
      <c r="M426" s="21" t="s">
        <v>1254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7" hidden="1" customHeight="1">
      <c r="B427" s="2" t="s">
        <v>26</v>
      </c>
      <c r="C427" s="2" t="s">
        <v>54</v>
      </c>
      <c r="D427" s="2" t="s">
        <v>38</v>
      </c>
      <c r="E427" s="2" t="s">
        <v>38</v>
      </c>
      <c r="F427" s="2" t="s">
        <v>74</v>
      </c>
      <c r="G427" s="2" t="s">
        <v>82</v>
      </c>
      <c r="H427" s="57" t="str">
        <f>Table1[[#This Row],[Tabela]]&amp;Table1[[#This Row],[Campo]]</f>
        <v>RESPONSIBILITY_PROCESS_RELcod_sit</v>
      </c>
      <c r="I427" s="2" t="s">
        <v>612</v>
      </c>
      <c r="J427" s="43">
        <f>VLOOKUP(Table1[[#This Row],[Status]],Auxiliar!$B$16:$C$24,2,0)</f>
        <v>0</v>
      </c>
      <c r="K427" s="2" t="s">
        <v>1246</v>
      </c>
      <c r="L427" s="29" t="s">
        <v>1264</v>
      </c>
      <c r="M427" s="21" t="s">
        <v>1254</v>
      </c>
      <c r="N427" s="48">
        <v>45485</v>
      </c>
      <c r="O427" s="21">
        <f>INDEX(Auxiliar!$D$5:$F$13,MATCH(Table1[[#This Row],[Tipologia_Testes]],Auxiliar!$B$5:$B$13,0),MATCH(Table1[[#This Row],[Complexidade]],Auxiliar!$D$4:$F$4,0))</f>
        <v>4</v>
      </c>
      <c r="P427" s="2" t="s">
        <v>1272</v>
      </c>
      <c r="Q427" s="2"/>
      <c r="R427" s="152">
        <v>45425</v>
      </c>
      <c r="S427" s="152"/>
      <c r="T427" s="152"/>
      <c r="U427" s="152"/>
      <c r="V427" s="152"/>
      <c r="W427" s="2">
        <f>VLOOKUP(Table1[[#This Row],[Status]],Auxiliar!$B$16:$D$24,3,0)*Table1[[#This Row],[Estimação (horas)]]</f>
        <v>0</v>
      </c>
      <c r="X427" s="2"/>
    </row>
    <row r="428" spans="2:24" ht="17.7" hidden="1" customHeight="1">
      <c r="B428" s="2" t="s">
        <v>26</v>
      </c>
      <c r="C428" s="2" t="s">
        <v>54</v>
      </c>
      <c r="D428" s="2" t="s">
        <v>38</v>
      </c>
      <c r="E428" s="2" t="s">
        <v>38</v>
      </c>
      <c r="F428" s="2" t="s">
        <v>74</v>
      </c>
      <c r="G428" s="2" t="s">
        <v>83</v>
      </c>
      <c r="H428" s="57" t="str">
        <f>Table1[[#This Row],[Tabela]]&amp;Table1[[#This Row],[Campo]]</f>
        <v>RESPONSIBILITY_PROCESS_RELSUBPRODUCT_ID</v>
      </c>
      <c r="I428" s="2" t="s">
        <v>613</v>
      </c>
      <c r="J428" s="43">
        <f>VLOOKUP(Table1[[#This Row],[Status]],Auxiliar!$B$16:$C$24,2,0)</f>
        <v>1</v>
      </c>
      <c r="K428" s="2" t="s">
        <v>1246</v>
      </c>
      <c r="L428" s="29" t="s">
        <v>1252</v>
      </c>
      <c r="M428" s="21" t="s">
        <v>1254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83</v>
      </c>
      <c r="H429" s="57" t="str">
        <f>Table1[[#This Row],[Tabela]]&amp;Table1[[#This Row],[Campo]]</f>
        <v>RESPONSIBILITY_PROCESS_RELSUBPRODUCT_ID</v>
      </c>
      <c r="I429" s="2" t="s">
        <v>613</v>
      </c>
      <c r="J429" s="43">
        <f>VLOOKUP(Table1[[#This Row],[Status]],Auxiliar!$B$16:$C$24,2,0)</f>
        <v>1</v>
      </c>
      <c r="K429" s="2" t="s">
        <v>1247</v>
      </c>
      <c r="L429" s="29" t="s">
        <v>1252</v>
      </c>
      <c r="M429" s="21" t="s">
        <v>1254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83</v>
      </c>
      <c r="H430" s="57" t="str">
        <f>Table1[[#This Row],[Tabela]]&amp;Table1[[#This Row],[Campo]]</f>
        <v>RESPONSIBILITY_PROCESS_RELSUBPRODUCT_ID</v>
      </c>
      <c r="I430" s="2" t="s">
        <v>613</v>
      </c>
      <c r="J430" s="43">
        <f>VLOOKUP(Table1[[#This Row],[Status]],Auxiliar!$B$16:$C$24,2,0)</f>
        <v>1</v>
      </c>
      <c r="K430" s="2" t="s">
        <v>1249</v>
      </c>
      <c r="L430" s="29" t="s">
        <v>1252</v>
      </c>
      <c r="M430" s="21" t="s">
        <v>1254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67</v>
      </c>
      <c r="H431" s="57" t="str">
        <f>Table1[[#This Row],[Tabela]]&amp;Table1[[#This Row],[Campo]]</f>
        <v>RESPONSIBILITY_PROCESS_RELPROCESS_REFERENCE_CODE</v>
      </c>
      <c r="I431" s="2" t="s">
        <v>613</v>
      </c>
      <c r="J431" s="43">
        <f>VLOOKUP(Table1[[#This Row],[Status]],Auxiliar!$B$16:$C$24,2,0)</f>
        <v>1</v>
      </c>
      <c r="K431" s="2" t="s">
        <v>1246</v>
      </c>
      <c r="L431" s="29" t="s">
        <v>1244</v>
      </c>
      <c r="M431" s="21" t="s">
        <v>1254</v>
      </c>
      <c r="N431" s="48">
        <v>45512</v>
      </c>
      <c r="O431" s="21">
        <f>INDEX(Auxiliar!$D$5:$F$13,MATCH(Table1[[#This Row],[Tipologia_Testes]],Auxiliar!$B$5:$B$13,0),MATCH(Table1[[#This Row],[Complexidade]],Auxiliar!$D$4:$F$4,0))</f>
        <v>4</v>
      </c>
      <c r="P431" s="2" t="s">
        <v>1274</v>
      </c>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67</v>
      </c>
      <c r="H432" s="57" t="str">
        <f>Table1[[#This Row],[Tabela]]&amp;Table1[[#This Row],[Campo]]</f>
        <v>RESPONSIBILITY_PROCESS_RELPROCESS_REFERENCE_CODE</v>
      </c>
      <c r="I432" s="2" t="s">
        <v>613</v>
      </c>
      <c r="J432" s="43">
        <f>VLOOKUP(Table1[[#This Row],[Status]],Auxiliar!$B$16:$C$24,2,0)</f>
        <v>1</v>
      </c>
      <c r="K432" s="2" t="s">
        <v>1247</v>
      </c>
      <c r="L432" s="29" t="s">
        <v>1244</v>
      </c>
      <c r="M432" s="21" t="s">
        <v>1254</v>
      </c>
      <c r="N432" s="48">
        <v>45512</v>
      </c>
      <c r="O432" s="21">
        <f>INDEX(Auxiliar!$D$5:$F$13,MATCH(Table1[[#This Row],[Tipologia_Testes]],Auxiliar!$B$5:$B$13,0),MATCH(Table1[[#This Row],[Complexidade]],Auxiliar!$D$4:$F$4,0))</f>
        <v>4</v>
      </c>
      <c r="P432" s="2" t="s">
        <v>1274</v>
      </c>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67</v>
      </c>
      <c r="H433" s="57" t="str">
        <f>Table1[[#This Row],[Tabela]]&amp;Table1[[#This Row],[Campo]]</f>
        <v>RESPONSIBILITY_PROCESS_RELPROCESS_REFERENCE_CODE</v>
      </c>
      <c r="I433" s="2" t="s">
        <v>613</v>
      </c>
      <c r="J433" s="43">
        <f>VLOOKUP(Table1[[#This Row],[Status]],Auxiliar!$B$16:$C$24,2,0)</f>
        <v>1</v>
      </c>
      <c r="K433" s="2" t="s">
        <v>1249</v>
      </c>
      <c r="L433" s="29" t="s">
        <v>1244</v>
      </c>
      <c r="M433" s="21" t="s">
        <v>1254</v>
      </c>
      <c r="N433" s="48">
        <v>45512</v>
      </c>
      <c r="O433" s="21">
        <f>INDEX(Auxiliar!$D$5:$F$13,MATCH(Table1[[#This Row],[Tipologia_Testes]],Auxiliar!$B$5:$B$13,0),MATCH(Table1[[#This Row],[Complexidade]],Auxiliar!$D$4:$F$4,0))</f>
        <v>0.1</v>
      </c>
      <c r="P433" s="2" t="s">
        <v>1274</v>
      </c>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84</v>
      </c>
      <c r="H434" s="57" t="str">
        <f>Table1[[#This Row],[Tabela]]&amp;Table1[[#This Row],[Campo]]</f>
        <v>RESPONSIBILITY_PROCESS_RELEFFECTIVE_RELATION_END_DATE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84</v>
      </c>
      <c r="H435" s="57" t="str">
        <f>Table1[[#This Row],[Tabela]]&amp;Table1[[#This Row],[Campo]]</f>
        <v>RESPONSIBILITY_PROCESS_RELEFFECTIVE_RELATION_END_DATE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84</v>
      </c>
      <c r="H436" s="57" t="str">
        <f>Table1[[#This Row],[Tabela]]&amp;Table1[[#This Row],[Campo]]</f>
        <v>RESPONSIBILITY_PROCESS_RELEFFECTIVE_RELATION_END_DATE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68</v>
      </c>
      <c r="H437" s="57" t="str">
        <f>Table1[[#This Row],[Tabela]]&amp;Table1[[#This Row],[Campo]]</f>
        <v>RESPONSIBILITY_PROCESS_RELPROCESS_START_DATE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68</v>
      </c>
      <c r="H438" s="57" t="str">
        <f>Table1[[#This Row],[Tabela]]&amp;Table1[[#This Row],[Campo]]</f>
        <v>RESPONSIBILITY_PROCESS_RELPROCESS_START_DATE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68</v>
      </c>
      <c r="H439" s="57" t="str">
        <f>Table1[[#This Row],[Tabela]]&amp;Table1[[#This Row],[Campo]]</f>
        <v>RESPONSIBILITY_PROCESS_RELPROCESS_START_DATE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69</v>
      </c>
      <c r="H440" s="57" t="str">
        <f>Table1[[#This Row],[Tabela]]&amp;Table1[[#This Row],[Campo]]</f>
        <v>RESPONSIBILITY_PROCESS_RELPROCESS_DUE_DATE</v>
      </c>
      <c r="I440" s="2" t="s">
        <v>613</v>
      </c>
      <c r="J440" s="43">
        <f>VLOOKUP(Table1[[#This Row],[Status]],Auxiliar!$B$16:$C$24,2,0)</f>
        <v>1</v>
      </c>
      <c r="K440" s="2" t="s">
        <v>1246</v>
      </c>
      <c r="L440" s="29" t="s">
        <v>1252</v>
      </c>
      <c r="M440" s="21" t="s">
        <v>1254</v>
      </c>
      <c r="N440" s="48">
        <v>45485</v>
      </c>
      <c r="O440" s="21">
        <f>INDEX(Auxiliar!$D$5:$F$13,MATCH(Table1[[#This Row],[Tipologia_Testes]],Auxiliar!$B$5:$B$13,0),MATCH(Table1[[#This Row],[Complexidade]],Auxiliar!$D$4:$F$4,0))</f>
        <v>4</v>
      </c>
      <c r="P440" s="2"/>
      <c r="Q440" s="2"/>
      <c r="R440" s="152">
        <v>45261</v>
      </c>
      <c r="S440" s="152"/>
      <c r="T440" s="152"/>
      <c r="U440" s="152"/>
      <c r="V440" s="152"/>
      <c r="W440" s="2">
        <f>VLOOKUP(Table1[[#This Row],[Status]],Auxiliar!$B$16:$D$24,3,0)*Table1[[#This Row],[Estimação (horas)]]</f>
        <v>4</v>
      </c>
      <c r="X440" s="2"/>
    </row>
    <row r="441" spans="2:24" ht="17.7" hidden="1" customHeight="1">
      <c r="B441" s="2" t="s">
        <v>26</v>
      </c>
      <c r="C441" s="2" t="s">
        <v>54</v>
      </c>
      <c r="D441" s="2" t="s">
        <v>38</v>
      </c>
      <c r="E441" s="2" t="s">
        <v>38</v>
      </c>
      <c r="F441" s="2" t="s">
        <v>74</v>
      </c>
      <c r="G441" s="2" t="s">
        <v>69</v>
      </c>
      <c r="H441" s="57" t="str">
        <f>Table1[[#This Row],[Tabela]]&amp;Table1[[#This Row],[Campo]]</f>
        <v>RESPONSIBILITY_PROCESS_RELPROCESS_DUE_DATE</v>
      </c>
      <c r="I441" s="2" t="s">
        <v>613</v>
      </c>
      <c r="J441" s="43">
        <f>VLOOKUP(Table1[[#This Row],[Status]],Auxiliar!$B$16:$C$24,2,0)</f>
        <v>1</v>
      </c>
      <c r="K441" s="2" t="s">
        <v>1247</v>
      </c>
      <c r="L441" s="29" t="s">
        <v>1252</v>
      </c>
      <c r="M441" s="21" t="s">
        <v>1254</v>
      </c>
      <c r="N441" s="48">
        <v>45485</v>
      </c>
      <c r="O441" s="21">
        <f>INDEX(Auxiliar!$D$5:$F$13,MATCH(Table1[[#This Row],[Tipologia_Testes]],Auxiliar!$B$5:$B$13,0),MATCH(Table1[[#This Row],[Complexidade]],Auxiliar!$D$4:$F$4,0))</f>
        <v>4</v>
      </c>
      <c r="P441" s="2"/>
      <c r="Q441" s="2"/>
      <c r="R441" s="152">
        <v>45261</v>
      </c>
      <c r="S441" s="152"/>
      <c r="T441" s="152"/>
      <c r="U441" s="152"/>
      <c r="V441" s="152"/>
      <c r="W441" s="2">
        <f>VLOOKUP(Table1[[#This Row],[Status]],Auxiliar!$B$16:$D$24,3,0)*Table1[[#This Row],[Estimação (horas)]]</f>
        <v>4</v>
      </c>
      <c r="X441" s="2"/>
    </row>
    <row r="442" spans="2:24" ht="17.7" hidden="1" customHeight="1">
      <c r="B442" s="2" t="s">
        <v>26</v>
      </c>
      <c r="C442" s="2" t="s">
        <v>54</v>
      </c>
      <c r="D442" s="2" t="s">
        <v>38</v>
      </c>
      <c r="E442" s="2" t="s">
        <v>38</v>
      </c>
      <c r="F442" s="2" t="s">
        <v>74</v>
      </c>
      <c r="G442" s="2" t="s">
        <v>69</v>
      </c>
      <c r="H442" s="57" t="str">
        <f>Table1[[#This Row],[Tabela]]&amp;Table1[[#This Row],[Campo]]</f>
        <v>RESPONSIBILITY_PROCESS_RELPROCESS_DUE_DATE</v>
      </c>
      <c r="I442" s="2" t="s">
        <v>613</v>
      </c>
      <c r="J442" s="43">
        <f>VLOOKUP(Table1[[#This Row],[Status]],Auxiliar!$B$16:$C$24,2,0)</f>
        <v>1</v>
      </c>
      <c r="K442" s="2" t="s">
        <v>1249</v>
      </c>
      <c r="L442" s="29" t="s">
        <v>1252</v>
      </c>
      <c r="M442" s="21" t="s">
        <v>1254</v>
      </c>
      <c r="N442" s="48">
        <v>45485</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7" hidden="1" customHeight="1">
      <c r="B443" s="2" t="s">
        <v>26</v>
      </c>
      <c r="C443" s="2" t="s">
        <v>54</v>
      </c>
      <c r="D443" s="2" t="s">
        <v>38</v>
      </c>
      <c r="E443" s="2" t="s">
        <v>38</v>
      </c>
      <c r="F443" s="2" t="s">
        <v>74</v>
      </c>
      <c r="G443" s="2" t="s">
        <v>85</v>
      </c>
      <c r="H443" s="57" t="str">
        <f>Table1[[#This Row],[Tabela]]&amp;Table1[[#This Row],[Campo]]</f>
        <v>RESPONSIBILITY_PROCESS_RELidetgar</v>
      </c>
      <c r="I443" s="2" t="s">
        <v>612</v>
      </c>
      <c r="J443" s="43">
        <f>VLOOKUP(Table1[[#This Row],[Status]],Auxiliar!$B$16:$C$24,2,0)</f>
        <v>0</v>
      </c>
      <c r="K443" s="2" t="s">
        <v>1246</v>
      </c>
      <c r="L443" s="29" t="s">
        <v>1264</v>
      </c>
      <c r="M443" s="21" t="s">
        <v>1254</v>
      </c>
      <c r="N443" s="48">
        <v>45485</v>
      </c>
      <c r="O443" s="21">
        <f>INDEX(Auxiliar!$D$5:$F$13,MATCH(Table1[[#This Row],[Tipologia_Testes]],Auxiliar!$B$5:$B$13,0),MATCH(Table1[[#This Row],[Complexidade]],Auxiliar!$D$4:$F$4,0))</f>
        <v>4</v>
      </c>
      <c r="P443" s="2" t="s">
        <v>1272</v>
      </c>
      <c r="Q443" s="2"/>
      <c r="R443" s="152">
        <v>45425</v>
      </c>
      <c r="S443" s="152"/>
      <c r="T443" s="152"/>
      <c r="U443" s="152"/>
      <c r="V443" s="152"/>
      <c r="W443" s="2">
        <f>VLOOKUP(Table1[[#This Row],[Status]],Auxiliar!$B$16:$D$24,3,0)*Table1[[#This Row],[Estimação (horas)]]</f>
        <v>0</v>
      </c>
      <c r="X443" s="2"/>
    </row>
    <row r="444" spans="2:24" ht="17.7" hidden="1" customHeight="1">
      <c r="B444" s="2" t="s">
        <v>26</v>
      </c>
      <c r="C444" s="2" t="s">
        <v>54</v>
      </c>
      <c r="D444" s="2" t="s">
        <v>38</v>
      </c>
      <c r="E444" s="2" t="s">
        <v>38</v>
      </c>
      <c r="F444" s="2" t="s">
        <v>74</v>
      </c>
      <c r="G444" s="2" t="s">
        <v>86</v>
      </c>
      <c r="H444" s="57" t="str">
        <f>Table1[[#This Row],[Tabela]]&amp;Table1[[#This Row],[Campo]]</f>
        <v>RESPONSIBILITY_PROCESS_RELnum_prop</v>
      </c>
      <c r="I444" s="2" t="s">
        <v>612</v>
      </c>
      <c r="J444" s="43">
        <f>VLOOKUP(Table1[[#This Row],[Status]],Auxiliar!$B$16:$C$24,2,0)</f>
        <v>0</v>
      </c>
      <c r="K444" s="2" t="s">
        <v>1246</v>
      </c>
      <c r="L444" s="29" t="s">
        <v>1264</v>
      </c>
      <c r="M444" s="21" t="s">
        <v>1254</v>
      </c>
      <c r="N444" s="48">
        <v>45485</v>
      </c>
      <c r="O444" s="21">
        <f>INDEX(Auxiliar!$D$5:$F$13,MATCH(Table1[[#This Row],[Tipologia_Testes]],Auxiliar!$B$5:$B$13,0),MATCH(Table1[[#This Row],[Complexidade]],Auxiliar!$D$4:$F$4,0))</f>
        <v>4</v>
      </c>
      <c r="P444" s="2" t="s">
        <v>1272</v>
      </c>
      <c r="Q444" s="2"/>
      <c r="R444" s="152">
        <v>45425</v>
      </c>
      <c r="S444" s="152"/>
      <c r="T444" s="152"/>
      <c r="U444" s="152"/>
      <c r="V444" s="152"/>
      <c r="W444" s="2">
        <f>VLOOKUP(Table1[[#This Row],[Status]],Auxiliar!$B$16:$D$24,3,0)*Table1[[#This Row],[Estimação (horas)]]</f>
        <v>0</v>
      </c>
      <c r="X444" s="2"/>
    </row>
    <row r="445" spans="2:24" ht="17.7" hidden="1" customHeight="1">
      <c r="B445" s="2" t="s">
        <v>26</v>
      </c>
      <c r="C445" s="2" t="s">
        <v>54</v>
      </c>
      <c r="D445" s="2" t="s">
        <v>38</v>
      </c>
      <c r="E445" s="2" t="s">
        <v>38</v>
      </c>
      <c r="F445" s="2" t="s">
        <v>74</v>
      </c>
      <c r="G445" s="2" t="s">
        <v>87</v>
      </c>
      <c r="H445" s="57" t="str">
        <f>Table1[[#This Row],[Tabela]]&amp;Table1[[#This Row],[Campo]]</f>
        <v>RESPONSIBILITY_PROCESS_RELSOURCE_CODE</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87</v>
      </c>
      <c r="H446" s="57" t="str">
        <f>Table1[[#This Row],[Tabela]]&amp;Table1[[#This Row],[Campo]]</f>
        <v>RESPONSIBILITY_PROCESS_RELSOURCE_CODE</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87</v>
      </c>
      <c r="H447" s="57" t="str">
        <f>Table1[[#This Row],[Tabela]]&amp;Table1[[#This Row],[Campo]]</f>
        <v>RESPONSIBILITY_PROCESS_RELSOURCE_CODE</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17.7" hidden="1" customHeight="1">
      <c r="B448" s="2" t="s">
        <v>26</v>
      </c>
      <c r="C448" s="2" t="s">
        <v>54</v>
      </c>
      <c r="D448" s="2" t="s">
        <v>38</v>
      </c>
      <c r="E448" s="2" t="s">
        <v>38</v>
      </c>
      <c r="F448" s="2" t="s">
        <v>74</v>
      </c>
      <c r="G448" s="2" t="s">
        <v>73</v>
      </c>
      <c r="H448" s="57" t="str">
        <f>Table1[[#This Row],[Tabela]]&amp;Table1[[#This Row],[Campo]]</f>
        <v>RESPONSIBILITY_PROCESS_RELDATA_DATE_PART</v>
      </c>
      <c r="I448" s="2" t="s">
        <v>613</v>
      </c>
      <c r="J448" s="43">
        <f>VLOOKUP(Table1[[#This Row],[Status]],Auxiliar!$B$16:$C$24,2,0)</f>
        <v>1</v>
      </c>
      <c r="K448" s="2" t="s">
        <v>1246</v>
      </c>
      <c r="L448" s="29" t="s">
        <v>1252</v>
      </c>
      <c r="M448" s="21" t="s">
        <v>1253</v>
      </c>
      <c r="N448" s="48">
        <v>45512</v>
      </c>
      <c r="O448" s="21">
        <f>INDEX(Auxiliar!$D$5:$F$13,MATCH(Table1[[#This Row],[Tipologia_Testes]],Auxiliar!$B$5:$B$13,0),MATCH(Table1[[#This Row],[Complexidade]],Auxiliar!$D$4:$F$4,0))</f>
        <v>2</v>
      </c>
      <c r="P448" s="2"/>
      <c r="Q448" s="2"/>
      <c r="R448" s="152">
        <v>45261</v>
      </c>
      <c r="S448" s="152"/>
      <c r="T448" s="152"/>
      <c r="U448" s="152"/>
      <c r="V448" s="152"/>
      <c r="W448" s="2">
        <f>VLOOKUP(Table1[[#This Row],[Status]],Auxiliar!$B$16:$D$24,3,0)*Table1[[#This Row],[Estimação (horas)]]</f>
        <v>2</v>
      </c>
      <c r="X448" s="2"/>
    </row>
    <row r="449" spans="2:24" ht="17.7" hidden="1" customHeight="1">
      <c r="B449" s="2" t="s">
        <v>26</v>
      </c>
      <c r="C449" s="2" t="s">
        <v>54</v>
      </c>
      <c r="D449" s="2" t="s">
        <v>38</v>
      </c>
      <c r="E449" s="2" t="s">
        <v>38</v>
      </c>
      <c r="F449" s="2" t="s">
        <v>74</v>
      </c>
      <c r="G449" s="2" t="s">
        <v>73</v>
      </c>
      <c r="H449" s="57" t="str">
        <f>Table1[[#This Row],[Tabela]]&amp;Table1[[#This Row],[Campo]]</f>
        <v>RESPONSIBILITY_PROCESS_RELDATA_DATE_PART</v>
      </c>
      <c r="I449" s="2" t="s">
        <v>613</v>
      </c>
      <c r="J449" s="43">
        <f>VLOOKUP(Table1[[#This Row],[Status]],Auxiliar!$B$16:$C$24,2,0)</f>
        <v>1</v>
      </c>
      <c r="K449" s="2" t="s">
        <v>1247</v>
      </c>
      <c r="L449" s="29" t="s">
        <v>1252</v>
      </c>
      <c r="M449" s="21" t="s">
        <v>1253</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74</v>
      </c>
      <c r="G450" s="2" t="s">
        <v>73</v>
      </c>
      <c r="H450" s="57" t="str">
        <f>Table1[[#This Row],[Tabela]]&amp;Table1[[#This Row],[Campo]]</f>
        <v>RESPONSIBILITY_PROCESS_RELDATA_DATE_PART</v>
      </c>
      <c r="I450" s="2" t="s">
        <v>613</v>
      </c>
      <c r="J450" s="43">
        <f>VLOOKUP(Table1[[#This Row],[Status]],Auxiliar!$B$16:$C$24,2,0)</f>
        <v>1</v>
      </c>
      <c r="K450" s="2" t="s">
        <v>1249</v>
      </c>
      <c r="L450" s="29" t="s">
        <v>1252</v>
      </c>
      <c r="M450" s="21" t="s">
        <v>1253</v>
      </c>
      <c r="N450" s="48">
        <v>45512</v>
      </c>
      <c r="O450" s="21">
        <f>INDEX(Auxiliar!$D$5:$F$13,MATCH(Table1[[#This Row],[Tipologia_Testes]],Auxiliar!$B$5:$B$13,0),MATCH(Table1[[#This Row],[Complexidade]],Auxiliar!$D$4:$F$4,0))</f>
        <v>0.1</v>
      </c>
      <c r="P450" s="2"/>
      <c r="Q450" s="2"/>
      <c r="R450" s="152">
        <v>45261</v>
      </c>
      <c r="S450" s="152"/>
      <c r="T450" s="152"/>
      <c r="U450" s="152"/>
      <c r="V450" s="152"/>
      <c r="W450" s="2">
        <f>VLOOKUP(Table1[[#This Row],[Status]],Auxiliar!$B$16:$D$24,3,0)*Table1[[#This Row],[Estimação (horas)]]</f>
        <v>0.1</v>
      </c>
      <c r="X450" s="2"/>
    </row>
    <row r="451" spans="2:24" ht="69.599999999999994" hidden="1" customHeight="1">
      <c r="B451" s="2" t="s">
        <v>26</v>
      </c>
      <c r="C451" s="2" t="s">
        <v>54</v>
      </c>
      <c r="D451" s="2" t="s">
        <v>38</v>
      </c>
      <c r="E451" s="2" t="s">
        <v>38</v>
      </c>
      <c r="F451" s="2" t="s">
        <v>88</v>
      </c>
      <c r="G451" s="2" t="s">
        <v>38</v>
      </c>
      <c r="H451" s="57" t="str">
        <f>Table1[[#This Row],[Tabela]]&amp;Table1[[#This Row],[Campo]]</f>
        <v>PROCESS_PROPERTY_RELn.a.</v>
      </c>
      <c r="I451" s="2" t="s">
        <v>613</v>
      </c>
      <c r="J451" s="43">
        <f>VLOOKUP(Table1[[#This Row],[Status]],Auxiliar!$B$16:$C$24,2,0)</f>
        <v>1</v>
      </c>
      <c r="K451" s="2" t="s">
        <v>1243</v>
      </c>
      <c r="L451" s="29" t="s">
        <v>1244</v>
      </c>
      <c r="M451" s="21" t="s">
        <v>1245</v>
      </c>
      <c r="N451" s="48">
        <v>45485</v>
      </c>
      <c r="O451" s="21">
        <f>INDEX(Auxiliar!$D$5:$F$13,MATCH(Table1[[#This Row],[Tipologia_Testes]],Auxiliar!$B$5:$B$13,0),MATCH(Table1[[#This Row],[Complexidade]],Auxiliar!$D$4:$F$4,0))</f>
        <v>8</v>
      </c>
      <c r="P451" s="23" t="s">
        <v>1273</v>
      </c>
      <c r="Q451" s="2"/>
      <c r="R451" s="152">
        <v>45261</v>
      </c>
      <c r="S451" s="152"/>
      <c r="T451" s="152"/>
      <c r="U451" s="152"/>
      <c r="V451" s="152"/>
      <c r="W451" s="2">
        <f>VLOOKUP(Table1[[#This Row],[Status]],Auxiliar!$B$16:$D$24,3,0)*Table1[[#This Row],[Estimação (horas)]]</f>
        <v>8</v>
      </c>
      <c r="X451" s="2"/>
    </row>
    <row r="452" spans="2:24" ht="17.7" hidden="1" customHeight="1">
      <c r="B452" s="2" t="s">
        <v>26</v>
      </c>
      <c r="C452" s="2" t="s">
        <v>54</v>
      </c>
      <c r="D452" s="2" t="s">
        <v>38</v>
      </c>
      <c r="E452" s="2" t="s">
        <v>38</v>
      </c>
      <c r="F452" s="2" t="s">
        <v>88</v>
      </c>
      <c r="G452" s="2" t="s">
        <v>41</v>
      </c>
      <c r="H452" s="57" t="str">
        <f>Table1[[#This Row],[Tabela]]&amp;Table1[[#This Row],[Campo]]</f>
        <v>PROCESS_PROPERTY_RELPROPERTY_BANK_ID</v>
      </c>
      <c r="I452" s="3" t="s">
        <v>613</v>
      </c>
      <c r="J452" s="55">
        <f>VLOOKUP(Table1[[#This Row],[Status]],Auxiliar!$B$16:$C$24,2,0)</f>
        <v>1</v>
      </c>
      <c r="K452" s="2" t="s">
        <v>1246</v>
      </c>
      <c r="L452" s="29" t="s">
        <v>1252</v>
      </c>
      <c r="M452" s="21" t="s">
        <v>1253</v>
      </c>
      <c r="N452" s="48">
        <v>45485</v>
      </c>
      <c r="O452" s="21">
        <f>INDEX(Auxiliar!$D$5:$F$13,MATCH(Table1[[#This Row],[Tipologia_Testes]],Auxiliar!$B$5:$B$13,0),MATCH(Table1[[#This Row],[Complexidade]],Auxiliar!$D$4:$F$4,0))</f>
        <v>2</v>
      </c>
      <c r="P452" s="2" t="s">
        <v>1266</v>
      </c>
      <c r="Q452" s="2" t="s">
        <v>1263</v>
      </c>
      <c r="R452" s="152">
        <v>45261</v>
      </c>
      <c r="S452" s="152"/>
      <c r="T452" s="152"/>
      <c r="U452" s="152"/>
      <c r="V452" s="152"/>
      <c r="W452" s="2">
        <f>VLOOKUP(Table1[[#This Row],[Status]],Auxiliar!$B$16:$D$24,3,0)*Table1[[#This Row],[Estimação (horas)]]</f>
        <v>2</v>
      </c>
      <c r="X452" s="2"/>
    </row>
    <row r="453" spans="2:24" ht="17.7" hidden="1" customHeight="1">
      <c r="B453" s="2" t="s">
        <v>26</v>
      </c>
      <c r="C453" s="2" t="s">
        <v>54</v>
      </c>
      <c r="D453" s="2" t="s">
        <v>38</v>
      </c>
      <c r="E453" s="2" t="s">
        <v>38</v>
      </c>
      <c r="F453" s="2" t="s">
        <v>88</v>
      </c>
      <c r="G453" s="2" t="s">
        <v>41</v>
      </c>
      <c r="H453" s="57" t="str">
        <f>Table1[[#This Row],[Tabela]]&amp;Table1[[#This Row],[Campo]]</f>
        <v>PROCESS_PROPERTY_RELPROPERTY_BANK_ID</v>
      </c>
      <c r="I453" s="3" t="s">
        <v>613</v>
      </c>
      <c r="J453" s="55">
        <f>VLOOKUP(Table1[[#This Row],[Status]],Auxiliar!$B$16:$C$24,2,0)</f>
        <v>1</v>
      </c>
      <c r="K453" s="2" t="s">
        <v>1247</v>
      </c>
      <c r="L453" s="29" t="s">
        <v>1252</v>
      </c>
      <c r="M453" s="21" t="s">
        <v>1253</v>
      </c>
      <c r="N453" s="48">
        <v>45485</v>
      </c>
      <c r="O453" s="21">
        <f>INDEX(Auxiliar!$D$5:$F$13,MATCH(Table1[[#This Row],[Tipologia_Testes]],Auxiliar!$B$5:$B$13,0),MATCH(Table1[[#This Row],[Complexidade]],Auxiliar!$D$4:$F$4,0))</f>
        <v>2</v>
      </c>
      <c r="P453" s="2" t="s">
        <v>1266</v>
      </c>
      <c r="Q453" s="2" t="s">
        <v>1263</v>
      </c>
      <c r="R453" s="152">
        <v>45261</v>
      </c>
      <c r="S453" s="152"/>
      <c r="T453" s="152"/>
      <c r="U453" s="152"/>
      <c r="V453" s="152"/>
      <c r="W453" s="2">
        <f>VLOOKUP(Table1[[#This Row],[Status]],Auxiliar!$B$16:$D$24,3,0)*Table1[[#This Row],[Estimação (horas)]]</f>
        <v>2</v>
      </c>
      <c r="X453" s="2"/>
    </row>
    <row r="454" spans="2:24" ht="17.7" hidden="1" customHeight="1">
      <c r="B454" s="2" t="s">
        <v>26</v>
      </c>
      <c r="C454" s="2" t="s">
        <v>54</v>
      </c>
      <c r="D454" s="2" t="s">
        <v>38</v>
      </c>
      <c r="E454" s="2" t="s">
        <v>38</v>
      </c>
      <c r="F454" s="2" t="s">
        <v>88</v>
      </c>
      <c r="G454" s="2" t="s">
        <v>41</v>
      </c>
      <c r="H454" s="57" t="str">
        <f>Table1[[#This Row],[Tabela]]&amp;Table1[[#This Row],[Campo]]</f>
        <v>PROCESS_PROPERTY_RELPROPERTY_BANK_ID</v>
      </c>
      <c r="I454" s="3" t="s">
        <v>613</v>
      </c>
      <c r="J454" s="55">
        <f>VLOOKUP(Table1[[#This Row],[Status]],Auxiliar!$B$16:$C$24,2,0)</f>
        <v>1</v>
      </c>
      <c r="K454" s="2" t="s">
        <v>1249</v>
      </c>
      <c r="L454" s="29" t="s">
        <v>1252</v>
      </c>
      <c r="M454" s="21" t="s">
        <v>1253</v>
      </c>
      <c r="N454" s="48">
        <v>45485</v>
      </c>
      <c r="O454" s="21">
        <f>INDEX(Auxiliar!$D$5:$F$13,MATCH(Table1[[#This Row],[Tipologia_Testes]],Auxiliar!$B$5:$B$13,0),MATCH(Table1[[#This Row],[Complexidade]],Auxiliar!$D$4:$F$4,0))</f>
        <v>0.1</v>
      </c>
      <c r="P454" s="2" t="s">
        <v>1266</v>
      </c>
      <c r="Q454" s="2" t="s">
        <v>1263</v>
      </c>
      <c r="R454" s="152">
        <v>45261</v>
      </c>
      <c r="S454" s="152"/>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57</v>
      </c>
      <c r="H455" s="57" t="str">
        <f>Table1[[#This Row],[Tabela]]&amp;Table1[[#This Row],[Campo]]</f>
        <v>PROCESS_PROPERTY_RELPROCESS_BANK_ID</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57</v>
      </c>
      <c r="H456" s="57" t="str">
        <f>Table1[[#This Row],[Tabela]]&amp;Table1[[#This Row],[Campo]]</f>
        <v>PROCESS_PROPERTY_RELPROCESS_BANK_ID</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57</v>
      </c>
      <c r="H457" s="57" t="str">
        <f>Table1[[#This Row],[Tabela]]&amp;Table1[[#This Row],[Campo]]</f>
        <v>PROCESS_PROPERTY_RELPROCESS_BANK_ID</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43</v>
      </c>
      <c r="H458" s="57" t="str">
        <f>Table1[[#This Row],[Tabela]]&amp;Table1[[#This Row],[Campo]]</f>
        <v>PROCESS_PROPERTY_RELPROPERTY_BRANCH_CODE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43</v>
      </c>
      <c r="H459" s="57" t="str">
        <f>Table1[[#This Row],[Tabela]]&amp;Table1[[#This Row],[Campo]]</f>
        <v>PROCESS_PROPERTY_RELPROPERTY_BRANCH_CODE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43</v>
      </c>
      <c r="H460" s="57" t="str">
        <f>Table1[[#This Row],[Tabela]]&amp;Table1[[#This Row],[Campo]]</f>
        <v>PROCESS_PROPERTY_RELPROPERTY_BRANCH_CODE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58</v>
      </c>
      <c r="H461" s="57" t="str">
        <f>Table1[[#This Row],[Tabela]]&amp;Table1[[#This Row],[Campo]]</f>
        <v>PROCESS_PROPERTY_RELPROCESS_BRANCH_CODE</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58</v>
      </c>
      <c r="H462" s="57" t="str">
        <f>Table1[[#This Row],[Tabela]]&amp;Table1[[#This Row],[Campo]]</f>
        <v>PROCESS_PROPERTY_RELPROCESS_BRANCH_CODE</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58</v>
      </c>
      <c r="H463" s="57" t="str">
        <f>Table1[[#This Row],[Tabela]]&amp;Table1[[#This Row],[Campo]]</f>
        <v>PROCESS_PROPERTY_RELPROCESS_BRANCH_CODE</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44</v>
      </c>
      <c r="H464" s="57" t="str">
        <f>Table1[[#This Row],[Tabela]]&amp;Table1[[#This Row],[Campo]]</f>
        <v>PROCESS_PROPERTY_RELPROPERTY_CONTRACT_ID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44</v>
      </c>
      <c r="H465" s="57" t="str">
        <f>Table1[[#This Row],[Tabela]]&amp;Table1[[#This Row],[Campo]]</f>
        <v>PROCESS_PROPERTY_RELPROPERTY_CONTRACT_ID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44</v>
      </c>
      <c r="H466" s="57" t="str">
        <f>Table1[[#This Row],[Tabela]]&amp;Table1[[#This Row],[Campo]]</f>
        <v>PROCESS_PROPERTY_RELPROPERTY_CONTRACT_ID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59</v>
      </c>
      <c r="H467" s="57" t="str">
        <f>Table1[[#This Row],[Tabela]]&amp;Table1[[#This Row],[Campo]]</f>
        <v>PROCESS_PROPERTY_RELPROCESS_ACCOUNT_ID</v>
      </c>
      <c r="I467" s="2" t="s">
        <v>613</v>
      </c>
      <c r="J467" s="43">
        <f>VLOOKUP(Table1[[#This Row],[Status]],Auxiliar!$B$16:$C$24,2,0)</f>
        <v>1</v>
      </c>
      <c r="K467" s="2" t="s">
        <v>1246</v>
      </c>
      <c r="L467" s="29" t="s">
        <v>1244</v>
      </c>
      <c r="M467" s="21" t="s">
        <v>1254</v>
      </c>
      <c r="N467" s="48">
        <v>45499</v>
      </c>
      <c r="O467" s="21">
        <f>INDEX(Auxiliar!$D$5:$F$13,MATCH(Table1[[#This Row],[Tipologia_Testes]],Auxiliar!$B$5:$B$13,0),MATCH(Table1[[#This Row],[Complexidade]],Auxiliar!$D$4:$F$4,0))</f>
        <v>4</v>
      </c>
      <c r="P467" s="2" t="s">
        <v>1266</v>
      </c>
      <c r="Q467" s="2" t="s">
        <v>1263</v>
      </c>
      <c r="R467" s="152">
        <v>45261</v>
      </c>
      <c r="S467" s="152">
        <v>45495</v>
      </c>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59</v>
      </c>
      <c r="H468" s="57" t="str">
        <f>Table1[[#This Row],[Tabela]]&amp;Table1[[#This Row],[Campo]]</f>
        <v>PROCESS_PROPERTY_RELPROCESS_ACCOUNT_ID</v>
      </c>
      <c r="I468" s="2" t="s">
        <v>613</v>
      </c>
      <c r="J468" s="43">
        <f>VLOOKUP(Table1[[#This Row],[Status]],Auxiliar!$B$16:$C$24,2,0)</f>
        <v>1</v>
      </c>
      <c r="K468" s="2" t="s">
        <v>1247</v>
      </c>
      <c r="L468" s="29" t="s">
        <v>1244</v>
      </c>
      <c r="M468" s="21" t="s">
        <v>1254</v>
      </c>
      <c r="N468" s="48">
        <v>45499</v>
      </c>
      <c r="O468" s="21">
        <f>INDEX(Auxiliar!$D$5:$F$13,MATCH(Table1[[#This Row],[Tipologia_Testes]],Auxiliar!$B$5:$B$13,0),MATCH(Table1[[#This Row],[Complexidade]],Auxiliar!$D$4:$F$4,0))</f>
        <v>4</v>
      </c>
      <c r="P468" s="2" t="s">
        <v>1266</v>
      </c>
      <c r="Q468" s="2" t="s">
        <v>1263</v>
      </c>
      <c r="R468" s="152">
        <v>45261</v>
      </c>
      <c r="S468" s="152">
        <v>45495</v>
      </c>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59</v>
      </c>
      <c r="H469" s="57" t="str">
        <f>Table1[[#This Row],[Tabela]]&amp;Table1[[#This Row],[Campo]]</f>
        <v>PROCESS_PROPERTY_RELPROCESS_ACCOUNT_ID</v>
      </c>
      <c r="I469" s="2" t="s">
        <v>613</v>
      </c>
      <c r="J469" s="43">
        <f>VLOOKUP(Table1[[#This Row],[Status]],Auxiliar!$B$16:$C$24,2,0)</f>
        <v>1</v>
      </c>
      <c r="K469" s="2" t="s">
        <v>1249</v>
      </c>
      <c r="L469" s="29" t="s">
        <v>1244</v>
      </c>
      <c r="M469" s="21" t="s">
        <v>1254</v>
      </c>
      <c r="N469" s="48">
        <v>45499</v>
      </c>
      <c r="O469" s="21">
        <f>INDEX(Auxiliar!$D$5:$F$13,MATCH(Table1[[#This Row],[Tipologia_Testes]],Auxiliar!$B$5:$B$13,0),MATCH(Table1[[#This Row],[Complexidade]],Auxiliar!$D$4:$F$4,0))</f>
        <v>0.1</v>
      </c>
      <c r="P469" s="2" t="s">
        <v>1266</v>
      </c>
      <c r="Q469" s="2" t="s">
        <v>1263</v>
      </c>
      <c r="R469" s="152">
        <v>45261</v>
      </c>
      <c r="S469" s="152">
        <v>45495</v>
      </c>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45</v>
      </c>
      <c r="H470" s="57" t="str">
        <f>Table1[[#This Row],[Tabela]]&amp;Table1[[#This Row],[Campo]]</f>
        <v>PROCESS_PROPERTY_RELPROPERTY_REFERENCE_CODE</v>
      </c>
      <c r="I470" s="3" t="s">
        <v>613</v>
      </c>
      <c r="J470" s="55">
        <f>VLOOKUP(Table1[[#This Row],[Status]],Auxiliar!$B$16:$C$24,2,0)</f>
        <v>1</v>
      </c>
      <c r="K470" s="2" t="s">
        <v>1246</v>
      </c>
      <c r="L470" s="29" t="s">
        <v>1252</v>
      </c>
      <c r="M470" s="21" t="s">
        <v>1253</v>
      </c>
      <c r="N470" s="48">
        <v>45485</v>
      </c>
      <c r="O470" s="21">
        <f>INDEX(Auxiliar!$D$5:$F$13,MATCH(Table1[[#This Row],[Tipologia_Testes]],Auxiliar!$B$5:$B$13,0),MATCH(Table1[[#This Row],[Complexidade]],Auxiliar!$D$4:$F$4,0))</f>
        <v>2</v>
      </c>
      <c r="P470" s="2" t="s">
        <v>1266</v>
      </c>
      <c r="Q470" s="2" t="s">
        <v>1263</v>
      </c>
      <c r="R470" s="152">
        <v>45261</v>
      </c>
      <c r="S470" s="152"/>
      <c r="T470" s="152"/>
      <c r="U470" s="152"/>
      <c r="V470" s="152"/>
      <c r="W470" s="2">
        <f>VLOOKUP(Table1[[#This Row],[Status]],Auxiliar!$B$16:$D$24,3,0)*Table1[[#This Row],[Estimação (horas)]]</f>
        <v>2</v>
      </c>
      <c r="X470" s="2"/>
    </row>
    <row r="471" spans="2:24" ht="17.7" hidden="1" customHeight="1">
      <c r="B471" s="2" t="s">
        <v>26</v>
      </c>
      <c r="C471" s="2" t="s">
        <v>54</v>
      </c>
      <c r="D471" s="2" t="s">
        <v>38</v>
      </c>
      <c r="E471" s="2" t="s">
        <v>38</v>
      </c>
      <c r="F471" s="2" t="s">
        <v>88</v>
      </c>
      <c r="G471" s="2" t="s">
        <v>45</v>
      </c>
      <c r="H471" s="57" t="str">
        <f>Table1[[#This Row],[Tabela]]&amp;Table1[[#This Row],[Campo]]</f>
        <v>PROCESS_PROPERTY_RELPROPERTY_REFERENCE_CODE</v>
      </c>
      <c r="I471" s="3" t="s">
        <v>613</v>
      </c>
      <c r="J471" s="55">
        <f>VLOOKUP(Table1[[#This Row],[Status]],Auxiliar!$B$16:$C$24,2,0)</f>
        <v>1</v>
      </c>
      <c r="K471" s="2" t="s">
        <v>1247</v>
      </c>
      <c r="L471" s="29" t="s">
        <v>1252</v>
      </c>
      <c r="M471" s="21" t="s">
        <v>1253</v>
      </c>
      <c r="N471" s="48">
        <v>45485</v>
      </c>
      <c r="O471" s="21">
        <f>INDEX(Auxiliar!$D$5:$F$13,MATCH(Table1[[#This Row],[Tipologia_Testes]],Auxiliar!$B$5:$B$13,0),MATCH(Table1[[#This Row],[Complexidade]],Auxiliar!$D$4:$F$4,0))</f>
        <v>2</v>
      </c>
      <c r="P471" s="2" t="s">
        <v>1266</v>
      </c>
      <c r="Q471" s="2" t="s">
        <v>1263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45</v>
      </c>
      <c r="H472" s="57" t="str">
        <f>Table1[[#This Row],[Tabela]]&amp;Table1[[#This Row],[Campo]]</f>
        <v>PROCESS_PROPERTY_RELPROPERTY_REFERENCE_CODE</v>
      </c>
      <c r="I472" s="3" t="s">
        <v>613</v>
      </c>
      <c r="J472" s="55">
        <f>VLOOKUP(Table1[[#This Row],[Status]],Auxiliar!$B$16:$C$24,2,0)</f>
        <v>1</v>
      </c>
      <c r="K472" s="2" t="s">
        <v>1249</v>
      </c>
      <c r="L472" s="29" t="s">
        <v>1252</v>
      </c>
      <c r="M472" s="21" t="s">
        <v>1253</v>
      </c>
      <c r="N472" s="48">
        <v>45485</v>
      </c>
      <c r="O472" s="21">
        <f>INDEX(Auxiliar!$D$5:$F$13,MATCH(Table1[[#This Row],[Tipologia_Testes]],Auxiliar!$B$5:$B$13,0),MATCH(Table1[[#This Row],[Complexidade]],Auxiliar!$D$4:$F$4,0))</f>
        <v>0.1</v>
      </c>
      <c r="P472" s="2" t="s">
        <v>1266</v>
      </c>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67</v>
      </c>
      <c r="H473" s="57" t="str">
        <f>Table1[[#This Row],[Tabela]]&amp;Table1[[#This Row],[Campo]]</f>
        <v>PROCESS_PROPERTY_RELPROCESS_REFERENCE_CODE</v>
      </c>
      <c r="I473" s="3" t="s">
        <v>613</v>
      </c>
      <c r="J473" s="43">
        <f>VLOOKUP(Table1[[#This Row],[Status]],Auxiliar!$B$16:$C$24,2,0)</f>
        <v>1</v>
      </c>
      <c r="K473" s="2" t="s">
        <v>1246</v>
      </c>
      <c r="L473" s="29" t="s">
        <v>1244</v>
      </c>
      <c r="M473" s="21" t="s">
        <v>1254</v>
      </c>
      <c r="N473" s="48">
        <v>45505</v>
      </c>
      <c r="O473" s="21">
        <f>INDEX(Auxiliar!$D$5:$F$13,MATCH(Table1[[#This Row],[Tipologia_Testes]],Auxiliar!$B$5:$B$13,0),MATCH(Table1[[#This Row],[Complexidade]],Auxiliar!$D$4:$F$4,0))</f>
        <v>4</v>
      </c>
      <c r="P473" s="2"/>
      <c r="Q473" s="2" t="s">
        <v>1263</v>
      </c>
      <c r="R473" s="152">
        <v>45261</v>
      </c>
      <c r="S473" s="152"/>
      <c r="T473" s="152"/>
      <c r="U473" s="152"/>
      <c r="V473" s="152"/>
      <c r="W473" s="2">
        <f>VLOOKUP(Table1[[#This Row],[Status]],Auxiliar!$B$16:$D$24,3,0)*Table1[[#This Row],[Estimação (horas)]]</f>
        <v>4</v>
      </c>
      <c r="X473" s="2"/>
    </row>
    <row r="474" spans="2:24" ht="17.7" hidden="1" customHeight="1">
      <c r="B474" s="2" t="s">
        <v>26</v>
      </c>
      <c r="C474" s="2" t="s">
        <v>54</v>
      </c>
      <c r="D474" s="2" t="s">
        <v>38</v>
      </c>
      <c r="E474" s="2" t="s">
        <v>38</v>
      </c>
      <c r="F474" s="2" t="s">
        <v>88</v>
      </c>
      <c r="G474" s="2" t="s">
        <v>67</v>
      </c>
      <c r="H474" s="57" t="str">
        <f>Table1[[#This Row],[Tabela]]&amp;Table1[[#This Row],[Campo]]</f>
        <v>PROCESS_PROPERTY_RELPROCESS_REFERENCE_CODE</v>
      </c>
      <c r="I474" s="3" t="s">
        <v>613</v>
      </c>
      <c r="J474" s="43">
        <f>VLOOKUP(Table1[[#This Row],[Status]],Auxiliar!$B$16:$C$24,2,0)</f>
        <v>1</v>
      </c>
      <c r="K474" s="2" t="s">
        <v>1247</v>
      </c>
      <c r="L474" s="29" t="s">
        <v>1244</v>
      </c>
      <c r="M474" s="21" t="s">
        <v>1254</v>
      </c>
      <c r="N474" s="48">
        <v>45505</v>
      </c>
      <c r="O474" s="21">
        <f>INDEX(Auxiliar!$D$5:$F$13,MATCH(Table1[[#This Row],[Tipologia_Testes]],Auxiliar!$B$5:$B$13,0),MATCH(Table1[[#This Row],[Complexidade]],Auxiliar!$D$4:$F$4,0))</f>
        <v>4</v>
      </c>
      <c r="P474" s="2"/>
      <c r="Q474" s="2" t="s">
        <v>1263</v>
      </c>
      <c r="R474" s="152">
        <v>45261</v>
      </c>
      <c r="S474" s="152"/>
      <c r="T474" s="152"/>
      <c r="U474" s="152"/>
      <c r="V474" s="152"/>
      <c r="W474" s="2">
        <f>VLOOKUP(Table1[[#This Row],[Status]],Auxiliar!$B$16:$D$24,3,0)*Table1[[#This Row],[Estimação (horas)]]</f>
        <v>4</v>
      </c>
      <c r="X474" s="2"/>
    </row>
    <row r="475" spans="2:24" ht="17.7" hidden="1" customHeight="1">
      <c r="B475" s="2" t="s">
        <v>26</v>
      </c>
      <c r="C475" s="2" t="s">
        <v>54</v>
      </c>
      <c r="D475" s="2" t="s">
        <v>38</v>
      </c>
      <c r="E475" s="2" t="s">
        <v>38</v>
      </c>
      <c r="F475" s="2" t="s">
        <v>88</v>
      </c>
      <c r="G475" s="2" t="s">
        <v>67</v>
      </c>
      <c r="H475" s="57" t="str">
        <f>Table1[[#This Row],[Tabela]]&amp;Table1[[#This Row],[Campo]]</f>
        <v>PROCESS_PROPERTY_RELPROCESS_REFERENCE_CODE</v>
      </c>
      <c r="I475" s="3" t="s">
        <v>613</v>
      </c>
      <c r="J475" s="43">
        <f>VLOOKUP(Table1[[#This Row],[Status]],Auxiliar!$B$16:$C$24,2,0)</f>
        <v>1</v>
      </c>
      <c r="K475" s="2" t="s">
        <v>1249</v>
      </c>
      <c r="L475" s="29" t="s">
        <v>1244</v>
      </c>
      <c r="M475" s="21" t="s">
        <v>1254</v>
      </c>
      <c r="N475" s="48">
        <v>45505</v>
      </c>
      <c r="O475" s="21">
        <f>INDEX(Auxiliar!$D$5:$F$13,MATCH(Table1[[#This Row],[Tipologia_Testes]],Auxiliar!$B$5:$B$13,0),MATCH(Table1[[#This Row],[Complexidade]],Auxiliar!$D$4:$F$4,0))</f>
        <v>0.1</v>
      </c>
      <c r="P475" s="2"/>
      <c r="Q475" s="2" t="s">
        <v>1263</v>
      </c>
      <c r="R475" s="152">
        <v>45261</v>
      </c>
      <c r="S475" s="152"/>
      <c r="T475" s="152"/>
      <c r="U475" s="152"/>
      <c r="V475" s="152"/>
      <c r="W475" s="2">
        <f>VLOOKUP(Table1[[#This Row],[Status]],Auxiliar!$B$16:$D$24,3,0)*Table1[[#This Row],[Estimação (horas)]]</f>
        <v>0.1</v>
      </c>
      <c r="X475" s="2"/>
    </row>
    <row r="476" spans="2:24" ht="17.7" hidden="1" customHeight="1">
      <c r="B476" s="2" t="s">
        <v>26</v>
      </c>
      <c r="C476" s="2" t="s">
        <v>54</v>
      </c>
      <c r="D476" s="2" t="s">
        <v>38</v>
      </c>
      <c r="E476" s="2" t="s">
        <v>38</v>
      </c>
      <c r="F476" s="2" t="s">
        <v>88</v>
      </c>
      <c r="G476" s="2" t="s">
        <v>89</v>
      </c>
      <c r="H476" s="57" t="str">
        <f>Table1[[#This Row],[Tabela]]&amp;Table1[[#This Row],[Campo]]</f>
        <v>PROCESS_PROPERTY_RELdata_assc</v>
      </c>
      <c r="I476" s="2" t="s">
        <v>612</v>
      </c>
      <c r="J476" s="43">
        <f>VLOOKUP(Table1[[#This Row],[Status]],Auxiliar!$B$16:$C$24,2,0)</f>
        <v>0</v>
      </c>
      <c r="K476" s="2" t="s">
        <v>1246</v>
      </c>
      <c r="L476" s="29" t="s">
        <v>1264</v>
      </c>
      <c r="M476" s="21" t="s">
        <v>1254</v>
      </c>
      <c r="N476" s="48">
        <v>45485</v>
      </c>
      <c r="O476" s="21">
        <f>INDEX(Auxiliar!$D$5:$F$13,MATCH(Table1[[#This Row],[Tipologia_Testes]],Auxiliar!$B$5:$B$13,0),MATCH(Table1[[#This Row],[Complexidade]],Auxiliar!$D$4:$F$4,0))</f>
        <v>4</v>
      </c>
      <c r="P476" s="2" t="s">
        <v>1272</v>
      </c>
      <c r="Q476" s="2" t="s">
        <v>1263</v>
      </c>
      <c r="R476" s="152">
        <v>45425</v>
      </c>
      <c r="S476" s="152"/>
      <c r="T476" s="152"/>
      <c r="U476" s="152"/>
      <c r="V476" s="152"/>
      <c r="W476" s="2">
        <f>VLOOKUP(Table1[[#This Row],[Status]],Auxiliar!$B$16:$D$24,3,0)*Table1[[#This Row],[Estimação (horas)]]</f>
        <v>0</v>
      </c>
      <c r="X476" s="2"/>
    </row>
    <row r="477" spans="2:24" ht="17.7" hidden="1" customHeight="1">
      <c r="B477" s="2" t="s">
        <v>26</v>
      </c>
      <c r="C477" s="2" t="s">
        <v>54</v>
      </c>
      <c r="D477" s="2" t="s">
        <v>38</v>
      </c>
      <c r="E477" s="2" t="s">
        <v>38</v>
      </c>
      <c r="F477" s="2" t="s">
        <v>88</v>
      </c>
      <c r="G477" s="2" t="s">
        <v>90</v>
      </c>
      <c r="H477" s="57" t="str">
        <f>Table1[[#This Row],[Tabela]]&amp;Table1[[#This Row],[Campo]]</f>
        <v>PROCESS_PROPERTY_RELSEIZED_PROPERTY_IND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90</v>
      </c>
      <c r="H478" s="57" t="str">
        <f>Table1[[#This Row],[Tabela]]&amp;Table1[[#This Row],[Campo]]</f>
        <v>PROCESS_PROPERTY_RELSEIZED_PROPERTY_IND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90</v>
      </c>
      <c r="H479" s="57" t="str">
        <f>Table1[[#This Row],[Tabela]]&amp;Table1[[#This Row],[Campo]]</f>
        <v>PROCESS_PROPERTY_RELSEIZED_PROPERTY_IND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91</v>
      </c>
      <c r="H480" s="57" t="str">
        <f>Table1[[#This Row],[Tabela]]&amp;Table1[[#This Row],[Campo]]</f>
        <v>PROCESS_PROPERTY_RELCOLLATERAL_PROPERTY_IND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91</v>
      </c>
      <c r="H481" s="57" t="str">
        <f>Table1[[#This Row],[Tabela]]&amp;Table1[[#This Row],[Campo]]</f>
        <v>PROCESS_PROPERTY_RELCOLLATERAL_PROPERTY_IND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91</v>
      </c>
      <c r="H482" s="57" t="str">
        <f>Table1[[#This Row],[Tabela]]&amp;Table1[[#This Row],[Campo]]</f>
        <v>PROCESS_PROPERTY_RELCOLLATERAL_PROPERTY_IND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92</v>
      </c>
      <c r="H483" s="57" t="str">
        <f>Table1[[#This Row],[Tabela]]&amp;Table1[[#This Row],[Campo]]</f>
        <v>PROCESS_PROPERTY_RELFINANCED_PROPERTY_IND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92</v>
      </c>
      <c r="H484" s="57" t="str">
        <f>Table1[[#This Row],[Tabela]]&amp;Table1[[#This Row],[Campo]]</f>
        <v>PROCESS_PROPERTY_RELFINANCED_PROPERTY_IND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92</v>
      </c>
      <c r="H485" s="57" t="str">
        <f>Table1[[#This Row],[Tabela]]&amp;Table1[[#This Row],[Campo]]</f>
        <v>PROCESS_PROPERTY_RELFINANCED_PROPERTY_IND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93</v>
      </c>
      <c r="H486" s="57" t="str">
        <f>Table1[[#This Row],[Tabela]]&amp;Table1[[#This Row],[Campo]]</f>
        <v>PROCESS_PROPERTY_RELOWNED_PROPERTY_IND</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93</v>
      </c>
      <c r="H487" s="57" t="str">
        <f>Table1[[#This Row],[Tabela]]&amp;Table1[[#This Row],[Campo]]</f>
        <v>PROCESS_PROPERTY_RELOWNED_PROPERTY_IND</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93</v>
      </c>
      <c r="H488" s="57" t="str">
        <f>Table1[[#This Row],[Tabela]]&amp;Table1[[#This Row],[Campo]]</f>
        <v>PROCESS_PROPERTY_RELOWNED_PROPERTY_IND</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87</v>
      </c>
      <c r="H489" s="57" t="str">
        <f>Table1[[#This Row],[Tabela]]&amp;Table1[[#This Row],[Campo]]</f>
        <v>PROCESS_PROPERTY_RELSOURCE_CODE</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87</v>
      </c>
      <c r="H490" s="57" t="str">
        <f>Table1[[#This Row],[Tabela]]&amp;Table1[[#This Row],[Campo]]</f>
        <v>PROCESS_PROPERTY_RELSOURCE_CODE</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87</v>
      </c>
      <c r="H491" s="57" t="str">
        <f>Table1[[#This Row],[Tabela]]&amp;Table1[[#This Row],[Campo]]</f>
        <v>PROCESS_PROPERTY_RELSOURCE_CODE</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17.7" hidden="1" customHeight="1">
      <c r="B492" s="2" t="s">
        <v>26</v>
      </c>
      <c r="C492" s="2" t="s">
        <v>54</v>
      </c>
      <c r="D492" s="2" t="s">
        <v>38</v>
      </c>
      <c r="E492" s="2" t="s">
        <v>38</v>
      </c>
      <c r="F492" s="2" t="s">
        <v>88</v>
      </c>
      <c r="G492" s="2" t="s">
        <v>73</v>
      </c>
      <c r="H492" s="57" t="str">
        <f>Table1[[#This Row],[Tabela]]&amp;Table1[[#This Row],[Campo]]</f>
        <v>PROCESS_PROPERTY_RELDATA_DATE_PART</v>
      </c>
      <c r="I492" s="3" t="s">
        <v>613</v>
      </c>
      <c r="J492" s="55">
        <f>VLOOKUP(Table1[[#This Row],[Status]],Auxiliar!$B$16:$C$24,2,0)</f>
        <v>1</v>
      </c>
      <c r="K492" s="2" t="s">
        <v>1246</v>
      </c>
      <c r="L492" s="29" t="s">
        <v>1252</v>
      </c>
      <c r="M492" s="21" t="s">
        <v>1253</v>
      </c>
      <c r="N492" s="48">
        <v>45485</v>
      </c>
      <c r="O492" s="21">
        <f>INDEX(Auxiliar!$D$5:$F$13,MATCH(Table1[[#This Row],[Tipologia_Testes]],Auxiliar!$B$5:$B$13,0),MATCH(Table1[[#This Row],[Complexidade]],Auxiliar!$D$4:$F$4,0))</f>
        <v>2</v>
      </c>
      <c r="P492" s="2"/>
      <c r="Q492" s="2" t="s">
        <v>1263</v>
      </c>
      <c r="R492" s="152">
        <v>45261</v>
      </c>
      <c r="S492" s="152"/>
      <c r="T492" s="152"/>
      <c r="U492" s="152"/>
      <c r="V492" s="152"/>
      <c r="W492" s="2">
        <f>VLOOKUP(Table1[[#This Row],[Status]],Auxiliar!$B$16:$D$24,3,0)*Table1[[#This Row],[Estimação (horas)]]</f>
        <v>2</v>
      </c>
      <c r="X492" s="2"/>
    </row>
    <row r="493" spans="2:24" ht="17.7" hidden="1" customHeight="1">
      <c r="B493" s="2" t="s">
        <v>26</v>
      </c>
      <c r="C493" s="2" t="s">
        <v>54</v>
      </c>
      <c r="D493" s="2" t="s">
        <v>38</v>
      </c>
      <c r="E493" s="2" t="s">
        <v>38</v>
      </c>
      <c r="F493" s="2" t="s">
        <v>88</v>
      </c>
      <c r="G493" s="2" t="s">
        <v>73</v>
      </c>
      <c r="H493" s="57" t="str">
        <f>Table1[[#This Row],[Tabela]]&amp;Table1[[#This Row],[Campo]]</f>
        <v>PROCESS_PROPERTY_RELDATA_DATE_PART</v>
      </c>
      <c r="I493" s="3" t="s">
        <v>613</v>
      </c>
      <c r="J493" s="55">
        <f>VLOOKUP(Table1[[#This Row],[Status]],Auxiliar!$B$16:$C$24,2,0)</f>
        <v>1</v>
      </c>
      <c r="K493" s="2" t="s">
        <v>1247</v>
      </c>
      <c r="L493" s="29" t="s">
        <v>1252</v>
      </c>
      <c r="M493" s="21" t="s">
        <v>1253</v>
      </c>
      <c r="N493" s="48">
        <v>45485</v>
      </c>
      <c r="O493" s="21">
        <f>INDEX(Auxiliar!$D$5:$F$13,MATCH(Table1[[#This Row],[Tipologia_Testes]],Auxiliar!$B$5:$B$13,0),MATCH(Table1[[#This Row],[Complexidade]],Auxiliar!$D$4:$F$4,0))</f>
        <v>2</v>
      </c>
      <c r="P493" s="2"/>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54</v>
      </c>
      <c r="D494" s="2" t="s">
        <v>38</v>
      </c>
      <c r="E494" s="2" t="s">
        <v>38</v>
      </c>
      <c r="F494" s="2" t="s">
        <v>88</v>
      </c>
      <c r="G494" s="2" t="s">
        <v>73</v>
      </c>
      <c r="H494" s="57" t="str">
        <f>Table1[[#This Row],[Tabela]]&amp;Table1[[#This Row],[Campo]]</f>
        <v>PROCESS_PROPERTY_RELDATA_DATE_PART</v>
      </c>
      <c r="I494" s="3" t="s">
        <v>613</v>
      </c>
      <c r="J494" s="55">
        <f>VLOOKUP(Table1[[#This Row],[Status]],Auxiliar!$B$16:$C$24,2,0)</f>
        <v>1</v>
      </c>
      <c r="K494" s="2" t="s">
        <v>1249</v>
      </c>
      <c r="L494" s="29" t="s">
        <v>1252</v>
      </c>
      <c r="M494" s="21" t="s">
        <v>1253</v>
      </c>
      <c r="N494" s="48">
        <v>45485</v>
      </c>
      <c r="O494" s="21">
        <f>INDEX(Auxiliar!$D$5:$F$13,MATCH(Table1[[#This Row],[Tipologia_Testes]],Auxiliar!$B$5:$B$13,0),MATCH(Table1[[#This Row],[Complexidade]],Auxiliar!$D$4:$F$4,0))</f>
        <v>0.1</v>
      </c>
      <c r="P494" s="2"/>
      <c r="Q494" s="2" t="s">
        <v>1263</v>
      </c>
      <c r="R494" s="152">
        <v>45261</v>
      </c>
      <c r="S494" s="152"/>
      <c r="T494" s="152"/>
      <c r="U494" s="152"/>
      <c r="V494" s="152"/>
      <c r="W494" s="2">
        <f>VLOOKUP(Table1[[#This Row],[Status]],Auxiliar!$B$16:$D$24,3,0)*Table1[[#This Row],[Estimação (horas)]]</f>
        <v>0.1</v>
      </c>
      <c r="X494" s="2"/>
    </row>
    <row r="495" spans="2:24" ht="34.950000000000003" hidden="1" customHeight="1">
      <c r="B495" s="2" t="s">
        <v>26</v>
      </c>
      <c r="C495" s="2" t="s">
        <v>311</v>
      </c>
      <c r="D495" s="2" t="s">
        <v>313</v>
      </c>
      <c r="E495" s="2" t="s">
        <v>38</v>
      </c>
      <c r="F495" s="2" t="s">
        <v>312</v>
      </c>
      <c r="G495" s="2" t="s">
        <v>38</v>
      </c>
      <c r="H495" s="57" t="str">
        <f>Table1[[#This Row],[Tabela]]&amp;Table1[[#This Row],[Campo]]</f>
        <v>modesg_out_bens_imoveisn.a.</v>
      </c>
      <c r="I495" s="3" t="s">
        <v>613</v>
      </c>
      <c r="J495" s="56">
        <f>VLOOKUP(Table1[[#This Row],[Status]],Auxiliar!$B$16:$C$24,2,0)</f>
        <v>1</v>
      </c>
      <c r="K495" s="2" t="s">
        <v>1243</v>
      </c>
      <c r="L495" s="29" t="s">
        <v>1252</v>
      </c>
      <c r="M495" s="21" t="s">
        <v>1253</v>
      </c>
      <c r="N495" s="48">
        <v>45505</v>
      </c>
      <c r="O495" s="21">
        <f>INDEX(Auxiliar!$D$5:$F$13,MATCH(Table1[[#This Row],[Tipologia_Testes]],Auxiliar!$B$5:$B$13,0),MATCH(Table1[[#This Row],[Complexidade]],Auxiliar!$D$4:$F$4,0))</f>
        <v>8</v>
      </c>
      <c r="P495" s="23" t="s">
        <v>1275</v>
      </c>
      <c r="Q495" s="2"/>
      <c r="R495" s="152">
        <v>45261</v>
      </c>
      <c r="S495" s="152"/>
      <c r="T495" s="152"/>
      <c r="U495" s="152"/>
      <c r="V495" s="152"/>
      <c r="W495" s="2">
        <f>VLOOKUP(Table1[[#This Row],[Status]],Auxiliar!$B$16:$D$24,3,0)*Table1[[#This Row],[Estimação (horas)]]</f>
        <v>8</v>
      </c>
      <c r="X495" s="2"/>
    </row>
    <row r="496" spans="2:24" ht="17.7" hidden="1" customHeight="1">
      <c r="B496" s="2" t="s">
        <v>26</v>
      </c>
      <c r="C496" s="2" t="s">
        <v>311</v>
      </c>
      <c r="D496" s="2" t="s">
        <v>313</v>
      </c>
      <c r="E496" s="2" t="s">
        <v>38</v>
      </c>
      <c r="F496" s="2" t="s">
        <v>312</v>
      </c>
      <c r="G496" s="2" t="s">
        <v>314</v>
      </c>
      <c r="H496" s="57" t="str">
        <f>Table1[[#This Row],[Tabela]]&amp;Table1[[#This Row],[Campo]]</f>
        <v>modesg_out_bens_imoveiscempbem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314</v>
      </c>
      <c r="H497" s="57" t="str">
        <f>Table1[[#This Row],[Tabela]]&amp;Table1[[#This Row],[Campo]]</f>
        <v>modesg_out_bens_imoveiscempbem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314</v>
      </c>
      <c r="H498" s="57" t="str">
        <f>Table1[[#This Row],[Tabela]]&amp;Table1[[#This Row],[Campo]]</f>
        <v>modesg_out_bens_imoveiscempbem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315</v>
      </c>
      <c r="H499" s="57" t="str">
        <f>Table1[[#This Row],[Tabela]]&amp;Table1[[#This Row],[Campo]]</f>
        <v>modesg_out_bens_imoveisckbalbem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315</v>
      </c>
      <c r="H500" s="57" t="str">
        <f>Table1[[#This Row],[Tabela]]&amp;Table1[[#This Row],[Campo]]</f>
        <v>modesg_out_bens_imoveisckbalbem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315</v>
      </c>
      <c r="H501" s="57" t="str">
        <f>Table1[[#This Row],[Tabela]]&amp;Table1[[#This Row],[Campo]]</f>
        <v>modesg_out_bens_imoveisckbalbem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316</v>
      </c>
      <c r="H502" s="57" t="str">
        <f>Table1[[#This Row],[Tabela]]&amp;Table1[[#This Row],[Campo]]</f>
        <v>modesg_out_bens_imoveisckctabem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316</v>
      </c>
      <c r="H503" s="57" t="str">
        <f>Table1[[#This Row],[Tabela]]&amp;Table1[[#This Row],[Campo]]</f>
        <v>modesg_out_bens_imoveisckctabem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316</v>
      </c>
      <c r="H504" s="57" t="str">
        <f>Table1[[#This Row],[Tabela]]&amp;Table1[[#This Row],[Campo]]</f>
        <v>modesg_out_bens_imoveisckctabem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317</v>
      </c>
      <c r="H505" s="57" t="str">
        <f>Table1[[#This Row],[Tabela]]&amp;Table1[[#This Row],[Campo]]</f>
        <v>modesg_out_bens_imoveisckrefbem</v>
      </c>
      <c r="I505" s="3" t="s">
        <v>613</v>
      </c>
      <c r="J505" s="55">
        <f>VLOOKUP(Table1[[#This Row],[Status]],Auxiliar!$B$16:$C$24,2,0)</f>
        <v>1</v>
      </c>
      <c r="K505" s="2" t="s">
        <v>1246</v>
      </c>
      <c r="L505" s="29" t="s">
        <v>1252</v>
      </c>
      <c r="M505" s="21" t="s">
        <v>1253</v>
      </c>
      <c r="N505" s="48">
        <v>45485</v>
      </c>
      <c r="O505" s="21">
        <f>INDEX(Auxiliar!$D$5:$F$13,MATCH(Table1[[#This Row],[Tipologia_Testes]],Auxiliar!$B$5:$B$13,0),MATCH(Table1[[#This Row],[Complexidade]],Auxiliar!$D$4:$F$4,0))</f>
        <v>2</v>
      </c>
      <c r="P505" s="2" t="s">
        <v>1266</v>
      </c>
      <c r="Q505" s="2" t="s">
        <v>1263</v>
      </c>
      <c r="R505" s="152">
        <v>45261</v>
      </c>
      <c r="S505" s="152"/>
      <c r="T505" s="152"/>
      <c r="U505" s="152"/>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317</v>
      </c>
      <c r="H506" s="57" t="str">
        <f>Table1[[#This Row],[Tabela]]&amp;Table1[[#This Row],[Campo]]</f>
        <v>modesg_out_bens_imoveisckrefbem</v>
      </c>
      <c r="I506" s="3" t="s">
        <v>613</v>
      </c>
      <c r="J506" s="55">
        <f>VLOOKUP(Table1[[#This Row],[Status]],Auxiliar!$B$16:$C$24,2,0)</f>
        <v>1</v>
      </c>
      <c r="K506" s="2" t="s">
        <v>1247</v>
      </c>
      <c r="L506" s="29" t="s">
        <v>1252</v>
      </c>
      <c r="M506" s="21" t="s">
        <v>1253</v>
      </c>
      <c r="N506" s="48">
        <v>45485</v>
      </c>
      <c r="O506" s="21">
        <f>INDEX(Auxiliar!$D$5:$F$13,MATCH(Table1[[#This Row],[Tipologia_Testes]],Auxiliar!$B$5:$B$13,0),MATCH(Table1[[#This Row],[Complexidade]],Auxiliar!$D$4:$F$4,0))</f>
        <v>2</v>
      </c>
      <c r="P506" s="2" t="s">
        <v>1266</v>
      </c>
      <c r="Q506" s="2" t="s">
        <v>1263</v>
      </c>
      <c r="R506" s="152">
        <v>45261</v>
      </c>
      <c r="S506" s="152"/>
      <c r="T506" s="152"/>
      <c r="U506" s="152"/>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317</v>
      </c>
      <c r="H507" s="57" t="str">
        <f>Table1[[#This Row],[Tabela]]&amp;Table1[[#This Row],[Campo]]</f>
        <v>modesg_out_bens_imoveisckrefbem</v>
      </c>
      <c r="I507" s="3" t="s">
        <v>613</v>
      </c>
      <c r="J507" s="55">
        <f>VLOOKUP(Table1[[#This Row],[Status]],Auxiliar!$B$16:$C$24,2,0)</f>
        <v>1</v>
      </c>
      <c r="K507" s="2" t="s">
        <v>1249</v>
      </c>
      <c r="L507" s="29" t="s">
        <v>1252</v>
      </c>
      <c r="M507" s="21" t="s">
        <v>1253</v>
      </c>
      <c r="N507" s="48">
        <v>45485</v>
      </c>
      <c r="O507" s="21">
        <f>INDEX(Auxiliar!$D$5:$F$13,MATCH(Table1[[#This Row],[Tipologia_Testes]],Auxiliar!$B$5:$B$13,0),MATCH(Table1[[#This Row],[Complexidade]],Auxiliar!$D$4:$F$4,0))</f>
        <v>0.1</v>
      </c>
      <c r="P507" s="2" t="s">
        <v>1266</v>
      </c>
      <c r="Q507" s="2" t="s">
        <v>1263</v>
      </c>
      <c r="R507" s="152">
        <v>45261</v>
      </c>
      <c r="S507" s="152"/>
      <c r="T507" s="152"/>
      <c r="U507" s="152"/>
      <c r="V507" s="152"/>
      <c r="W507" s="2">
        <f>VLOOKUP(Table1[[#This Row],[Status]],Auxiliar!$B$16:$D$24,3,0)*Table1[[#This Row],[Estimação (horas)]]</f>
        <v>0.1</v>
      </c>
      <c r="X507" s="2"/>
    </row>
    <row r="508" spans="2:24" ht="17.7" hidden="1" customHeight="1">
      <c r="B508" s="2" t="s">
        <v>26</v>
      </c>
      <c r="C508" s="2" t="s">
        <v>311</v>
      </c>
      <c r="D508" s="2" t="s">
        <v>313</v>
      </c>
      <c r="E508" s="2" t="s">
        <v>38</v>
      </c>
      <c r="F508" s="2" t="s">
        <v>312</v>
      </c>
      <c r="G508" s="2" t="s">
        <v>283</v>
      </c>
      <c r="H508" s="57" t="str">
        <f>Table1[[#This Row],[Tabela]]&amp;Table1[[#This Row],[Campo]]</f>
        <v>modesg_out_bens_imoveisflg_rsc_fsc_agd</v>
      </c>
      <c r="I508" s="2" t="s">
        <v>613</v>
      </c>
      <c r="J508" s="43">
        <f>VLOOKUP(Table1[[#This Row],[Status]],Auxiliar!$B$16:$C$24,2,0)</f>
        <v>1</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8</v>
      </c>
      <c r="X508" s="2"/>
    </row>
    <row r="509" spans="2:24" ht="17.7" hidden="1" customHeight="1">
      <c r="B509" s="2" t="s">
        <v>26</v>
      </c>
      <c r="C509" s="2" t="s">
        <v>311</v>
      </c>
      <c r="D509" s="2" t="s">
        <v>313</v>
      </c>
      <c r="E509" s="2" t="s">
        <v>38</v>
      </c>
      <c r="F509" s="2" t="s">
        <v>312</v>
      </c>
      <c r="G509" s="2" t="s">
        <v>283</v>
      </c>
      <c r="H509" s="57" t="str">
        <f>Table1[[#This Row],[Tabela]]&amp;Table1[[#This Row],[Campo]]</f>
        <v>modesg_out_bens_imoveisflg_rsc_fsc_agd</v>
      </c>
      <c r="I509" s="2" t="s">
        <v>613</v>
      </c>
      <c r="J509" s="43">
        <f>VLOOKUP(Table1[[#This Row],[Status]],Auxiliar!$B$16:$C$24,2,0)</f>
        <v>1</v>
      </c>
      <c r="K509" s="2" t="s">
        <v>1247</v>
      </c>
      <c r="L509" s="29" t="s">
        <v>1252</v>
      </c>
      <c r="M509" s="21" t="s">
        <v>1245</v>
      </c>
      <c r="N509" s="48">
        <v>45674</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8</v>
      </c>
      <c r="X509" s="2"/>
    </row>
    <row r="510" spans="2:24" ht="17.7" hidden="1" customHeight="1">
      <c r="B510" s="2" t="s">
        <v>26</v>
      </c>
      <c r="C510" s="2" t="s">
        <v>311</v>
      </c>
      <c r="D510" s="2" t="s">
        <v>313</v>
      </c>
      <c r="E510" s="2" t="s">
        <v>38</v>
      </c>
      <c r="F510" s="2" t="s">
        <v>312</v>
      </c>
      <c r="G510" s="2" t="s">
        <v>283</v>
      </c>
      <c r="H510" s="57" t="str">
        <f>Table1[[#This Row],[Tabela]]&amp;Table1[[#This Row],[Campo]]</f>
        <v>modesg_out_bens_imoveisflg_rsc_fsc_agd</v>
      </c>
      <c r="I510" s="2" t="s">
        <v>613</v>
      </c>
      <c r="J510" s="43">
        <f>VLOOKUP(Table1[[#This Row],[Status]],Auxiliar!$B$16:$C$24,2,0)</f>
        <v>1</v>
      </c>
      <c r="K510" s="2" t="s">
        <v>1249</v>
      </c>
      <c r="L510" s="29" t="s">
        <v>1252</v>
      </c>
      <c r="M510" s="21" t="s">
        <v>1245</v>
      </c>
      <c r="N510" s="48">
        <v>45674</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0.1</v>
      </c>
      <c r="X510" s="2"/>
    </row>
    <row r="511" spans="2:24" ht="17.7" hidden="1" customHeight="1">
      <c r="B511" s="2" t="s">
        <v>26</v>
      </c>
      <c r="C511" s="2" t="s">
        <v>311</v>
      </c>
      <c r="D511" s="2" t="s">
        <v>313</v>
      </c>
      <c r="E511" s="2" t="s">
        <v>38</v>
      </c>
      <c r="F511" s="2" t="s">
        <v>312</v>
      </c>
      <c r="G511" s="2" t="s">
        <v>284</v>
      </c>
      <c r="H511" s="57" t="str">
        <f>Table1[[#This Row],[Tabela]]&amp;Table1[[#This Row],[Campo]]</f>
        <v>modesg_out_bens_imoveisflg_rsc_fsc_crnc</v>
      </c>
      <c r="I511" s="2" t="s">
        <v>613</v>
      </c>
      <c r="J511" s="43">
        <f>VLOOKUP(Table1[[#This Row],[Status]],Auxiliar!$B$16:$C$24,2,0)</f>
        <v>1</v>
      </c>
      <c r="K511" s="2" t="s">
        <v>1246</v>
      </c>
      <c r="L511" s="29" t="s">
        <v>1252</v>
      </c>
      <c r="M511" s="21" t="s">
        <v>1245</v>
      </c>
      <c r="N511" s="48">
        <v>45674</v>
      </c>
      <c r="O511" s="21">
        <f>INDEX(Auxiliar!$D$5:$F$13,MATCH(Table1[[#This Row],[Tipologia_Testes]],Auxiliar!$B$5:$B$13,0),MATCH(Table1[[#This Row],[Complexidade]],Auxiliar!$D$4:$F$4,0))</f>
        <v>8</v>
      </c>
      <c r="P511" s="2"/>
      <c r="Q511" s="2"/>
      <c r="R511" s="152">
        <v>45561</v>
      </c>
      <c r="S511" s="152"/>
      <c r="T511" s="152">
        <v>45569</v>
      </c>
      <c r="U511" s="152">
        <v>45621</v>
      </c>
      <c r="V511" s="152">
        <v>45631</v>
      </c>
      <c r="W511" s="2">
        <f>VLOOKUP(Table1[[#This Row],[Status]],Auxiliar!$B$16:$D$24,3,0)*Table1[[#This Row],[Estimação (horas)]]</f>
        <v>8</v>
      </c>
      <c r="X511" s="2"/>
    </row>
    <row r="512" spans="2:24" ht="17.7" hidden="1" customHeight="1">
      <c r="B512" s="2" t="s">
        <v>26</v>
      </c>
      <c r="C512" s="2" t="s">
        <v>311</v>
      </c>
      <c r="D512" s="2" t="s">
        <v>313</v>
      </c>
      <c r="E512" s="2" t="s">
        <v>38</v>
      </c>
      <c r="F512" s="2" t="s">
        <v>312</v>
      </c>
      <c r="G512" s="2" t="s">
        <v>284</v>
      </c>
      <c r="H512" s="57" t="str">
        <f>Table1[[#This Row],[Tabela]]&amp;Table1[[#This Row],[Campo]]</f>
        <v>modesg_out_bens_imoveisflg_rsc_fsc_crnc</v>
      </c>
      <c r="I512" s="2" t="s">
        <v>613</v>
      </c>
      <c r="J512" s="43">
        <f>VLOOKUP(Table1[[#This Row],[Status]],Auxiliar!$B$16:$C$24,2,0)</f>
        <v>1</v>
      </c>
      <c r="K512" s="2" t="s">
        <v>1247</v>
      </c>
      <c r="L512" s="29" t="s">
        <v>1252</v>
      </c>
      <c r="M512" s="21" t="s">
        <v>1245</v>
      </c>
      <c r="N512" s="48">
        <v>45674</v>
      </c>
      <c r="O512" s="21">
        <f>INDEX(Auxiliar!$D$5:$F$13,MATCH(Table1[[#This Row],[Tipologia_Testes]],Auxiliar!$B$5:$B$13,0),MATCH(Table1[[#This Row],[Complexidade]],Auxiliar!$D$4:$F$4,0))</f>
        <v>8</v>
      </c>
      <c r="P512" s="2"/>
      <c r="Q512" s="2"/>
      <c r="R512" s="152">
        <v>45561</v>
      </c>
      <c r="S512" s="152"/>
      <c r="T512" s="152">
        <v>45569</v>
      </c>
      <c r="U512" s="152">
        <v>45621</v>
      </c>
      <c r="V512" s="152">
        <v>45631</v>
      </c>
      <c r="W512" s="2">
        <f>VLOOKUP(Table1[[#This Row],[Status]],Auxiliar!$B$16:$D$24,3,0)*Table1[[#This Row],[Estimação (horas)]]</f>
        <v>8</v>
      </c>
      <c r="X512" s="2"/>
    </row>
    <row r="513" spans="2:24" ht="17.7" hidden="1" customHeight="1">
      <c r="B513" s="2" t="s">
        <v>26</v>
      </c>
      <c r="C513" s="2" t="s">
        <v>311</v>
      </c>
      <c r="D513" s="2" t="s">
        <v>313</v>
      </c>
      <c r="E513" s="2" t="s">
        <v>38</v>
      </c>
      <c r="F513" s="2" t="s">
        <v>312</v>
      </c>
      <c r="G513" s="2" t="s">
        <v>284</v>
      </c>
      <c r="H513" s="57" t="str">
        <f>Table1[[#This Row],[Tabela]]&amp;Table1[[#This Row],[Campo]]</f>
        <v>modesg_out_bens_imoveisflg_rsc_fsc_crnc</v>
      </c>
      <c r="I513" s="2" t="s">
        <v>613</v>
      </c>
      <c r="J513" s="43">
        <f>VLOOKUP(Table1[[#This Row],[Status]],Auxiliar!$B$16:$C$24,2,0)</f>
        <v>1</v>
      </c>
      <c r="K513" s="2" t="s">
        <v>1249</v>
      </c>
      <c r="L513" s="29" t="s">
        <v>1252</v>
      </c>
      <c r="M513" s="21" t="s">
        <v>1245</v>
      </c>
      <c r="N513" s="48">
        <v>45674</v>
      </c>
      <c r="O513" s="21">
        <f>INDEX(Auxiliar!$D$5:$F$13,MATCH(Table1[[#This Row],[Tipologia_Testes]],Auxiliar!$B$5:$B$13,0),MATCH(Table1[[#This Row],[Complexidade]],Auxiliar!$D$4:$F$4,0))</f>
        <v>0.1</v>
      </c>
      <c r="P513" s="2"/>
      <c r="Q513" s="2"/>
      <c r="R513" s="152">
        <v>45561</v>
      </c>
      <c r="S513" s="152"/>
      <c r="T513" s="152">
        <v>45569</v>
      </c>
      <c r="U513" s="152">
        <v>45621</v>
      </c>
      <c r="V513" s="152">
        <v>45631</v>
      </c>
      <c r="W513" s="2">
        <f>VLOOKUP(Table1[[#This Row],[Status]],Auxiliar!$B$16:$D$24,3,0)*Table1[[#This Row],[Estimação (horas)]]</f>
        <v>0.1</v>
      </c>
      <c r="X513" s="2"/>
    </row>
    <row r="514" spans="2:24" ht="52.2" hidden="1" customHeight="1">
      <c r="B514" s="2" t="s">
        <v>26</v>
      </c>
      <c r="C514" s="2" t="s">
        <v>311</v>
      </c>
      <c r="D514" s="2" t="s">
        <v>313</v>
      </c>
      <c r="E514" s="2" t="s">
        <v>38</v>
      </c>
      <c r="F514" s="2" t="s">
        <v>312</v>
      </c>
      <c r="G514" s="2" t="s">
        <v>318</v>
      </c>
      <c r="H514" s="57" t="str">
        <f>Table1[[#This Row],[Tabela]]&amp;Table1[[#This Row],[Campo]]</f>
        <v>modesg_out_bens_imoveisorigem_flg_rsc_fsc_agd</v>
      </c>
      <c r="I514" s="2" t="s">
        <v>613</v>
      </c>
      <c r="J514" s="43">
        <f>VLOOKUP(Table1[[#This Row],[Status]],Auxiliar!$B$16:$C$24,2,0)</f>
        <v>1</v>
      </c>
      <c r="K514" s="2" t="s">
        <v>1246</v>
      </c>
      <c r="L514" s="29" t="s">
        <v>1244</v>
      </c>
      <c r="M514" s="21" t="s">
        <v>1253</v>
      </c>
      <c r="N514" s="48">
        <v>45674</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2</v>
      </c>
      <c r="X514" s="2"/>
    </row>
    <row r="515" spans="2:24" ht="52.2" hidden="1" customHeight="1">
      <c r="B515" s="2" t="s">
        <v>26</v>
      </c>
      <c r="C515" s="2" t="s">
        <v>311</v>
      </c>
      <c r="D515" s="2" t="s">
        <v>313</v>
      </c>
      <c r="E515" s="2" t="s">
        <v>38</v>
      </c>
      <c r="F515" s="2" t="s">
        <v>312</v>
      </c>
      <c r="G515" s="2" t="s">
        <v>318</v>
      </c>
      <c r="H515" s="57" t="str">
        <f>Table1[[#This Row],[Tabela]]&amp;Table1[[#This Row],[Campo]]</f>
        <v>modesg_out_bens_imoveisorigem_flg_rsc_fsc_agd</v>
      </c>
      <c r="I515" s="2" t="s">
        <v>613</v>
      </c>
      <c r="J515" s="43">
        <f>VLOOKUP(Table1[[#This Row],[Status]],Auxiliar!$B$16:$C$24,2,0)</f>
        <v>1</v>
      </c>
      <c r="K515" s="2" t="s">
        <v>1247</v>
      </c>
      <c r="L515" s="29" t="s">
        <v>1244</v>
      </c>
      <c r="M515" s="21" t="s">
        <v>1253</v>
      </c>
      <c r="N515" s="48">
        <v>45674</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2</v>
      </c>
      <c r="X515" s="2"/>
    </row>
    <row r="516" spans="2:24" ht="52.2" hidden="1" customHeight="1">
      <c r="B516" s="2" t="s">
        <v>26</v>
      </c>
      <c r="C516" s="2" t="s">
        <v>311</v>
      </c>
      <c r="D516" s="2" t="s">
        <v>313</v>
      </c>
      <c r="E516" s="2" t="s">
        <v>38</v>
      </c>
      <c r="F516" s="2" t="s">
        <v>312</v>
      </c>
      <c r="G516" s="2" t="s">
        <v>318</v>
      </c>
      <c r="H516" s="57" t="str">
        <f>Table1[[#This Row],[Tabela]]&amp;Table1[[#This Row],[Campo]]</f>
        <v>modesg_out_bens_imoveisorigem_flg_rsc_fsc_agd</v>
      </c>
      <c r="I516" s="2" t="s">
        <v>613</v>
      </c>
      <c r="J516" s="43">
        <f>VLOOKUP(Table1[[#This Row],[Status]],Auxiliar!$B$16:$C$24,2,0)</f>
        <v>1</v>
      </c>
      <c r="K516" s="2" t="s">
        <v>1249</v>
      </c>
      <c r="L516" s="29" t="s">
        <v>1244</v>
      </c>
      <c r="M516" s="21" t="s">
        <v>1253</v>
      </c>
      <c r="N516" s="48">
        <v>45674</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0.1</v>
      </c>
      <c r="X516" s="2"/>
    </row>
    <row r="517" spans="2:24" ht="52.2" hidden="1" customHeight="1">
      <c r="B517" s="2" t="s">
        <v>26</v>
      </c>
      <c r="C517" s="2" t="s">
        <v>311</v>
      </c>
      <c r="D517" s="2" t="s">
        <v>313</v>
      </c>
      <c r="E517" s="2" t="s">
        <v>38</v>
      </c>
      <c r="F517" s="2" t="s">
        <v>312</v>
      </c>
      <c r="G517" s="2" t="s">
        <v>319</v>
      </c>
      <c r="H517" s="57" t="str">
        <f>Table1[[#This Row],[Tabela]]&amp;Table1[[#This Row],[Campo]]</f>
        <v>modesg_out_bens_imoveisorigem_flg_rsc_fsc_crnc</v>
      </c>
      <c r="I517" s="2" t="s">
        <v>613</v>
      </c>
      <c r="J517" s="43">
        <f>VLOOKUP(Table1[[#This Row],[Status]],Auxiliar!$B$16:$C$24,2,0)</f>
        <v>1</v>
      </c>
      <c r="K517" s="2" t="s">
        <v>1246</v>
      </c>
      <c r="L517" s="29" t="s">
        <v>1244</v>
      </c>
      <c r="M517" s="21" t="s">
        <v>1253</v>
      </c>
      <c r="N517" s="48">
        <v>45674</v>
      </c>
      <c r="O517" s="21">
        <f>INDEX(Auxiliar!$D$5:$F$13,MATCH(Table1[[#This Row],[Tipologia_Testes]],Auxiliar!$B$5:$B$13,0),MATCH(Table1[[#This Row],[Complexidade]],Auxiliar!$D$4:$F$4,0))</f>
        <v>2</v>
      </c>
      <c r="P517" s="23" t="s">
        <v>1276</v>
      </c>
      <c r="Q517" s="2"/>
      <c r="R517" s="152">
        <v>45561</v>
      </c>
      <c r="S517" s="152"/>
      <c r="T517" s="152">
        <v>45569</v>
      </c>
      <c r="U517" s="152">
        <v>45621</v>
      </c>
      <c r="V517" s="152">
        <v>45631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319</v>
      </c>
      <c r="H518" s="57" t="str">
        <f>Table1[[#This Row],[Tabela]]&amp;Table1[[#This Row],[Campo]]</f>
        <v>modesg_out_bens_imoveisorigem_flg_rsc_fsc_crnc</v>
      </c>
      <c r="I518" s="2" t="s">
        <v>613</v>
      </c>
      <c r="J518" s="43">
        <f>VLOOKUP(Table1[[#This Row],[Status]],Auxiliar!$B$16:$C$24,2,0)</f>
        <v>1</v>
      </c>
      <c r="K518" s="2" t="s">
        <v>1247</v>
      </c>
      <c r="L518" s="29" t="s">
        <v>1244</v>
      </c>
      <c r="M518" s="21" t="s">
        <v>1253</v>
      </c>
      <c r="N518" s="48">
        <v>45674</v>
      </c>
      <c r="O518" s="21">
        <f>INDEX(Auxiliar!$D$5:$F$13,MATCH(Table1[[#This Row],[Tipologia_Testes]],Auxiliar!$B$5:$B$13,0),MATCH(Table1[[#This Row],[Complexidade]],Auxiliar!$D$4:$F$4,0))</f>
        <v>2</v>
      </c>
      <c r="P518" s="23" t="s">
        <v>1276</v>
      </c>
      <c r="Q518" s="2"/>
      <c r="R518" s="152">
        <v>45561</v>
      </c>
      <c r="S518" s="152"/>
      <c r="T518" s="152">
        <v>45569</v>
      </c>
      <c r="U518" s="152">
        <v>45621</v>
      </c>
      <c r="V518" s="152">
        <v>45631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319</v>
      </c>
      <c r="H519" s="57" t="str">
        <f>Table1[[#This Row],[Tabela]]&amp;Table1[[#This Row],[Campo]]</f>
        <v>modesg_out_bens_imoveisorigem_flg_rsc_fsc_crnc</v>
      </c>
      <c r="I519" s="2" t="s">
        <v>613</v>
      </c>
      <c r="J519" s="43">
        <f>VLOOKUP(Table1[[#This Row],[Status]],Auxiliar!$B$16:$C$24,2,0)</f>
        <v>1</v>
      </c>
      <c r="K519" s="2" t="s">
        <v>1249</v>
      </c>
      <c r="L519" s="29" t="s">
        <v>1244</v>
      </c>
      <c r="M519" s="21" t="s">
        <v>1253</v>
      </c>
      <c r="N519" s="48">
        <v>45674</v>
      </c>
      <c r="O519" s="21">
        <f>INDEX(Auxiliar!$D$5:$F$13,MATCH(Table1[[#This Row],[Tipologia_Testes]],Auxiliar!$B$5:$B$13,0),MATCH(Table1[[#This Row],[Complexidade]],Auxiliar!$D$4:$F$4,0))</f>
        <v>0.1</v>
      </c>
      <c r="P519" s="23" t="s">
        <v>1276</v>
      </c>
      <c r="Q519" s="2"/>
      <c r="R519" s="152">
        <v>45561</v>
      </c>
      <c r="S519" s="152"/>
      <c r="T519" s="152">
        <v>45569</v>
      </c>
      <c r="U519" s="152">
        <v>45621</v>
      </c>
      <c r="V519" s="152">
        <v>45631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320</v>
      </c>
      <c r="H520" s="57" t="str">
        <f>Table1[[#This Row],[Tabela]]&amp;Table1[[#This Row],[Campo]]</f>
        <v>modesg_out_bens_imoveisorigem_scp1_emss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320</v>
      </c>
      <c r="H521" s="57" t="str">
        <f>Table1[[#This Row],[Tabela]]&amp;Table1[[#This Row],[Campo]]</f>
        <v>modesg_out_bens_imoveisorigem_scp1_emss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320</v>
      </c>
      <c r="H522" s="57" t="str">
        <f>Table1[[#This Row],[Tabela]]&amp;Table1[[#This Row],[Campo]]</f>
        <v>modesg_out_bens_imoveisorigem_scp1_emss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321</v>
      </c>
      <c r="H523" s="57" t="str">
        <f>Table1[[#This Row],[Tabela]]&amp;Table1[[#This Row],[Campo]]</f>
        <v>modesg_out_bens_imoveisorigem_scp2_emss</v>
      </c>
      <c r="I523" s="2" t="s">
        <v>613</v>
      </c>
      <c r="J523" s="43">
        <f>VLOOKUP(Table1[[#This Row],[Status]],Auxiliar!$B$16:$C$24,2,0)</f>
        <v>1</v>
      </c>
      <c r="K523" s="2" t="s">
        <v>1246</v>
      </c>
      <c r="L523" s="29" t="s">
        <v>1244</v>
      </c>
      <c r="M523" s="21" t="s">
        <v>1253</v>
      </c>
      <c r="N523" s="48">
        <v>45611</v>
      </c>
      <c r="O523" s="21">
        <f>INDEX(Auxiliar!$D$5:$F$13,MATCH(Table1[[#This Row],[Tipologia_Testes]],Auxiliar!$B$5:$B$13,0),MATCH(Table1[[#This Row],[Complexidade]],Auxiliar!$D$4:$F$4,0))</f>
        <v>2</v>
      </c>
      <c r="P523" s="23"/>
      <c r="Q523" s="2"/>
      <c r="R523" s="152">
        <v>45569</v>
      </c>
      <c r="S523" s="152"/>
      <c r="T523" s="152">
        <v>45604</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321</v>
      </c>
      <c r="H524" s="57" t="str">
        <f>Table1[[#This Row],[Tabela]]&amp;Table1[[#This Row],[Campo]]</f>
        <v>modesg_out_bens_imoveisorigem_scp2_emss</v>
      </c>
      <c r="I524" s="2" t="s">
        <v>613</v>
      </c>
      <c r="J524" s="43">
        <f>VLOOKUP(Table1[[#This Row],[Status]],Auxiliar!$B$16:$C$24,2,0)</f>
        <v>1</v>
      </c>
      <c r="K524" s="2" t="s">
        <v>1247</v>
      </c>
      <c r="L524" s="29" t="s">
        <v>1244</v>
      </c>
      <c r="M524" s="21" t="s">
        <v>1253</v>
      </c>
      <c r="N524" s="48">
        <v>45611</v>
      </c>
      <c r="O524" s="21">
        <f>INDEX(Auxiliar!$D$5:$F$13,MATCH(Table1[[#This Row],[Tipologia_Testes]],Auxiliar!$B$5:$B$13,0),MATCH(Table1[[#This Row],[Complexidade]],Auxiliar!$D$4:$F$4,0))</f>
        <v>2</v>
      </c>
      <c r="P524" s="23"/>
      <c r="Q524" s="2"/>
      <c r="R524" s="152">
        <v>45569</v>
      </c>
      <c r="S524" s="152"/>
      <c r="T524" s="152">
        <v>45604</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321</v>
      </c>
      <c r="H525" s="57" t="str">
        <f>Table1[[#This Row],[Tabela]]&amp;Table1[[#This Row],[Campo]]</f>
        <v>modesg_out_bens_imoveisorigem_scp2_emss</v>
      </c>
      <c r="I525" s="2" t="s">
        <v>613</v>
      </c>
      <c r="J525" s="43">
        <f>VLOOKUP(Table1[[#This Row],[Status]],Auxiliar!$B$16:$C$24,2,0)</f>
        <v>1</v>
      </c>
      <c r="K525" s="2" t="s">
        <v>1249</v>
      </c>
      <c r="L525" s="29" t="s">
        <v>1244</v>
      </c>
      <c r="M525" s="21" t="s">
        <v>1253</v>
      </c>
      <c r="N525" s="48">
        <v>45611</v>
      </c>
      <c r="O525" s="21">
        <f>INDEX(Auxiliar!$D$5:$F$13,MATCH(Table1[[#This Row],[Tipologia_Testes]],Auxiliar!$B$5:$B$13,0),MATCH(Table1[[#This Row],[Complexidade]],Auxiliar!$D$4:$F$4,0))</f>
        <v>0.1</v>
      </c>
      <c r="P525" s="23"/>
      <c r="Q525" s="2"/>
      <c r="R525" s="152">
        <v>45569</v>
      </c>
      <c r="S525" s="152"/>
      <c r="T525" s="152">
        <v>45604</v>
      </c>
      <c r="U525" s="152">
        <v>45600</v>
      </c>
      <c r="V525" s="152">
        <v>45601</v>
      </c>
      <c r="W525" s="2">
        <f>VLOOKUP(Table1[[#This Row],[Status]],Auxiliar!$B$16:$D$24,3,0)*Table1[[#This Row],[Estimação (horas)]]</f>
        <v>0.1</v>
      </c>
      <c r="X525" s="2"/>
    </row>
    <row r="526" spans="2:24" ht="52.2" hidden="1" customHeight="1">
      <c r="B526" s="2" t="s">
        <v>26</v>
      </c>
      <c r="C526" s="2" t="s">
        <v>311</v>
      </c>
      <c r="D526" s="2" t="s">
        <v>313</v>
      </c>
      <c r="E526" s="2" t="s">
        <v>38</v>
      </c>
      <c r="F526" s="2" t="s">
        <v>312</v>
      </c>
      <c r="G526" s="2" t="s">
        <v>322</v>
      </c>
      <c r="H526" s="57" t="str">
        <f>Table1[[#This Row],[Tabela]]&amp;Table1[[#This Row],[Campo]]</f>
        <v>modesg_out_bens_imoveisorigem_scp3_emss</v>
      </c>
      <c r="I526" s="2" t="s">
        <v>613</v>
      </c>
      <c r="J526" s="43">
        <f>VLOOKUP(Table1[[#This Row],[Status]],Auxiliar!$B$16:$C$24,2,0)</f>
        <v>1</v>
      </c>
      <c r="K526" s="2" t="s">
        <v>1246</v>
      </c>
      <c r="L526" s="29" t="s">
        <v>1252</v>
      </c>
      <c r="M526" s="21" t="s">
        <v>1253</v>
      </c>
      <c r="N526" s="48">
        <v>45604</v>
      </c>
      <c r="O526" s="21">
        <f>INDEX(Auxiliar!$D$5:$F$13,MATCH(Table1[[#This Row],[Tipologia_Testes]],Auxiliar!$B$5:$B$13,0),MATCH(Table1[[#This Row],[Complexidade]],Auxiliar!$D$4:$F$4,0))</f>
        <v>2</v>
      </c>
      <c r="P526" s="23"/>
      <c r="Q526" s="2"/>
      <c r="R526" s="152">
        <v>45569</v>
      </c>
      <c r="S526" s="152"/>
      <c r="T526" s="152">
        <v>45569</v>
      </c>
      <c r="U526" s="152">
        <v>45600</v>
      </c>
      <c r="V526" s="152">
        <v>45601</v>
      </c>
      <c r="W526" s="2">
        <f>VLOOKUP(Table1[[#This Row],[Status]],Auxiliar!$B$16:$D$24,3,0)*Table1[[#This Row],[Estimação (horas)]]</f>
        <v>2</v>
      </c>
      <c r="X526" s="2"/>
    </row>
    <row r="527" spans="2:24" ht="52.2" hidden="1" customHeight="1">
      <c r="B527" s="2" t="s">
        <v>26</v>
      </c>
      <c r="C527" s="2" t="s">
        <v>311</v>
      </c>
      <c r="D527" s="2" t="s">
        <v>313</v>
      </c>
      <c r="E527" s="2" t="s">
        <v>38</v>
      </c>
      <c r="F527" s="2" t="s">
        <v>312</v>
      </c>
      <c r="G527" s="2" t="s">
        <v>322</v>
      </c>
      <c r="H527" s="57" t="str">
        <f>Table1[[#This Row],[Tabela]]&amp;Table1[[#This Row],[Campo]]</f>
        <v>modesg_out_bens_imoveisorigem_scp3_emss</v>
      </c>
      <c r="I527" s="2" t="s">
        <v>613</v>
      </c>
      <c r="J527" s="43">
        <f>VLOOKUP(Table1[[#This Row],[Status]],Auxiliar!$B$16:$C$24,2,0)</f>
        <v>1</v>
      </c>
      <c r="K527" s="2" t="s">
        <v>1247</v>
      </c>
      <c r="L527" s="29" t="s">
        <v>1252</v>
      </c>
      <c r="M527" s="21" t="s">
        <v>1253</v>
      </c>
      <c r="N527" s="48">
        <v>45604</v>
      </c>
      <c r="O527" s="21">
        <f>INDEX(Auxiliar!$D$5:$F$13,MATCH(Table1[[#This Row],[Tipologia_Testes]],Auxiliar!$B$5:$B$13,0),MATCH(Table1[[#This Row],[Complexidade]],Auxiliar!$D$4:$F$4,0))</f>
        <v>2</v>
      </c>
      <c r="P527" s="23"/>
      <c r="Q527" s="2"/>
      <c r="R527" s="152">
        <v>45569</v>
      </c>
      <c r="S527" s="152"/>
      <c r="T527" s="152">
        <v>45569</v>
      </c>
      <c r="U527" s="152">
        <v>45600</v>
      </c>
      <c r="V527" s="152">
        <v>45601</v>
      </c>
      <c r="W527" s="2">
        <f>VLOOKUP(Table1[[#This Row],[Status]],Auxiliar!$B$16:$D$24,3,0)*Table1[[#This Row],[Estimação (horas)]]</f>
        <v>2</v>
      </c>
      <c r="X527" s="2"/>
    </row>
    <row r="528" spans="2:24" ht="52.2" hidden="1" customHeight="1">
      <c r="B528" s="2" t="s">
        <v>26</v>
      </c>
      <c r="C528" s="2" t="s">
        <v>311</v>
      </c>
      <c r="D528" s="2" t="s">
        <v>313</v>
      </c>
      <c r="E528" s="2" t="s">
        <v>38</v>
      </c>
      <c r="F528" s="2" t="s">
        <v>312</v>
      </c>
      <c r="G528" s="2" t="s">
        <v>322</v>
      </c>
      <c r="H528" s="57" t="str">
        <f>Table1[[#This Row],[Tabela]]&amp;Table1[[#This Row],[Campo]]</f>
        <v>modesg_out_bens_imoveisorigem_scp3_emss</v>
      </c>
      <c r="I528" s="2" t="s">
        <v>613</v>
      </c>
      <c r="J528" s="43">
        <f>VLOOKUP(Table1[[#This Row],[Status]],Auxiliar!$B$16:$C$24,2,0)</f>
        <v>1</v>
      </c>
      <c r="K528" s="2" t="s">
        <v>1249</v>
      </c>
      <c r="L528" s="29" t="s">
        <v>1252</v>
      </c>
      <c r="M528" s="21" t="s">
        <v>1253</v>
      </c>
      <c r="N528" s="48">
        <v>45604</v>
      </c>
      <c r="O528" s="21">
        <f>INDEX(Auxiliar!$D$5:$F$13,MATCH(Table1[[#This Row],[Tipologia_Testes]],Auxiliar!$B$5:$B$13,0),MATCH(Table1[[#This Row],[Complexidade]],Auxiliar!$D$4:$F$4,0))</f>
        <v>0.1</v>
      </c>
      <c r="P528" s="23"/>
      <c r="Q528" s="2"/>
      <c r="R528" s="152">
        <v>45569</v>
      </c>
      <c r="S528" s="152"/>
      <c r="T528" s="152">
        <v>45569</v>
      </c>
      <c r="U528" s="152">
        <v>45600</v>
      </c>
      <c r="V528" s="152">
        <v>45601</v>
      </c>
      <c r="W528" s="2">
        <f>VLOOKUP(Table1[[#This Row],[Status]],Auxiliar!$B$16:$D$24,3,0)*Table1[[#This Row],[Estimação (horas)]]</f>
        <v>0.1</v>
      </c>
      <c r="X528" s="2"/>
    </row>
    <row r="529" spans="2:24" ht="17.7" hidden="1" customHeight="1">
      <c r="B529" s="2" t="s">
        <v>26</v>
      </c>
      <c r="C529" s="2" t="s">
        <v>311</v>
      </c>
      <c r="D529" s="2" t="s">
        <v>313</v>
      </c>
      <c r="E529" s="2" t="s">
        <v>38</v>
      </c>
      <c r="F529" s="2" t="s">
        <v>312</v>
      </c>
      <c r="G529" s="2" t="s">
        <v>208</v>
      </c>
      <c r="H529" s="57" t="str">
        <f>Table1[[#This Row],[Tabela]]&amp;Table1[[#This Row],[Campo]]</f>
        <v>modesg_out_bens_imoveisref_date</v>
      </c>
      <c r="I529" s="3" t="s">
        <v>613</v>
      </c>
      <c r="J529" s="55">
        <f>VLOOKUP(Table1[[#This Row],[Status]],Auxiliar!$B$16:$C$24,2,0)</f>
        <v>1</v>
      </c>
      <c r="K529" s="2" t="s">
        <v>1246</v>
      </c>
      <c r="L529" s="29" t="s">
        <v>1252</v>
      </c>
      <c r="M529" s="21" t="s">
        <v>1253</v>
      </c>
      <c r="N529" s="48">
        <v>45485</v>
      </c>
      <c r="O529" s="21">
        <f>INDEX(Auxiliar!$D$5:$F$13,MATCH(Table1[[#This Row],[Tipologia_Testes]],Auxiliar!$B$5:$B$13,0),MATCH(Table1[[#This Row],[Complexidade]],Auxiliar!$D$4:$F$4,0))</f>
        <v>2</v>
      </c>
      <c r="P529" s="2"/>
      <c r="Q529" s="2" t="s">
        <v>1263</v>
      </c>
      <c r="R529" s="152">
        <v>45261</v>
      </c>
      <c r="S529" s="152"/>
      <c r="T529" s="152"/>
      <c r="U529" s="152"/>
      <c r="V529" s="152"/>
      <c r="W529" s="2">
        <f>VLOOKUP(Table1[[#This Row],[Status]],Auxiliar!$B$16:$D$24,3,0)*Table1[[#This Row],[Estimação (horas)]]</f>
        <v>2</v>
      </c>
      <c r="X529" s="2"/>
    </row>
    <row r="530" spans="2:24" ht="17.7" hidden="1" customHeight="1">
      <c r="B530" s="2" t="s">
        <v>26</v>
      </c>
      <c r="C530" s="2" t="s">
        <v>311</v>
      </c>
      <c r="D530" s="2" t="s">
        <v>313</v>
      </c>
      <c r="E530" s="2" t="s">
        <v>38</v>
      </c>
      <c r="F530" s="2" t="s">
        <v>312</v>
      </c>
      <c r="G530" s="2" t="s">
        <v>208</v>
      </c>
      <c r="H530" s="57" t="str">
        <f>Table1[[#This Row],[Tabela]]&amp;Table1[[#This Row],[Campo]]</f>
        <v>modesg_out_bens_imoveisref_date</v>
      </c>
      <c r="I530" s="3" t="s">
        <v>613</v>
      </c>
      <c r="J530" s="55">
        <f>VLOOKUP(Table1[[#This Row],[Status]],Auxiliar!$B$16:$C$24,2,0)</f>
        <v>1</v>
      </c>
      <c r="K530" s="2" t="s">
        <v>1247</v>
      </c>
      <c r="L530" s="29" t="s">
        <v>1252</v>
      </c>
      <c r="M530" s="21" t="s">
        <v>1253</v>
      </c>
      <c r="N530" s="48">
        <v>45485</v>
      </c>
      <c r="O530" s="21">
        <f>INDEX(Auxiliar!$D$5:$F$13,MATCH(Table1[[#This Row],[Tipologia_Testes]],Auxiliar!$B$5:$B$13,0),MATCH(Table1[[#This Row],[Complexidade]],Auxiliar!$D$4:$F$4,0))</f>
        <v>2</v>
      </c>
      <c r="P530" s="2"/>
      <c r="Q530" s="2" t="s">
        <v>1263</v>
      </c>
      <c r="R530" s="152">
        <v>45261</v>
      </c>
      <c r="S530" s="152"/>
      <c r="T530" s="152"/>
      <c r="U530" s="152"/>
      <c r="V530" s="152"/>
      <c r="W530" s="2">
        <f>VLOOKUP(Table1[[#This Row],[Status]],Auxiliar!$B$16:$D$24,3,0)*Table1[[#This Row],[Estimação (horas)]]</f>
        <v>2</v>
      </c>
      <c r="X530" s="2"/>
    </row>
    <row r="531" spans="2:24" ht="17.7" hidden="1" customHeight="1">
      <c r="B531" s="2" t="s">
        <v>26</v>
      </c>
      <c r="C531" s="2" t="s">
        <v>311</v>
      </c>
      <c r="D531" s="2" t="s">
        <v>313</v>
      </c>
      <c r="E531" s="2" t="s">
        <v>38</v>
      </c>
      <c r="F531" s="2" t="s">
        <v>312</v>
      </c>
      <c r="G531" s="2" t="s">
        <v>208</v>
      </c>
      <c r="H531" s="57" t="str">
        <f>Table1[[#This Row],[Tabela]]&amp;Table1[[#This Row],[Campo]]</f>
        <v>modesg_out_bens_imoveisref_date</v>
      </c>
      <c r="I531" s="3" t="s">
        <v>613</v>
      </c>
      <c r="J531" s="55">
        <f>VLOOKUP(Table1[[#This Row],[Status]],Auxiliar!$B$16:$C$24,2,0)</f>
        <v>1</v>
      </c>
      <c r="K531" s="2" t="s">
        <v>1249</v>
      </c>
      <c r="L531" s="29" t="s">
        <v>1252</v>
      </c>
      <c r="M531" s="21" t="s">
        <v>1253</v>
      </c>
      <c r="N531" s="48">
        <v>45485</v>
      </c>
      <c r="O531" s="21">
        <f>INDEX(Auxiliar!$D$5:$F$13,MATCH(Table1[[#This Row],[Tipologia_Testes]],Auxiliar!$B$5:$B$13,0),MATCH(Table1[[#This Row],[Complexidade]],Auxiliar!$D$4:$F$4,0))</f>
        <v>0.1</v>
      </c>
      <c r="P531" s="2"/>
      <c r="Q531" s="2" t="s">
        <v>1263</v>
      </c>
      <c r="R531" s="152">
        <v>45261</v>
      </c>
      <c r="S531" s="152"/>
      <c r="T531" s="152"/>
      <c r="U531" s="152"/>
      <c r="V531" s="152"/>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286</v>
      </c>
      <c r="H532" s="57" t="str">
        <f>Table1[[#This Row],[Tabela]]&amp;Table1[[#This Row],[Campo]]</f>
        <v>modesg_out_bens_imoveisscp1_emss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286</v>
      </c>
      <c r="H533" s="57" t="str">
        <f>Table1[[#This Row],[Tabela]]&amp;Table1[[#This Row],[Campo]]</f>
        <v>modesg_out_bens_imoveisscp1_emss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286</v>
      </c>
      <c r="H534" s="57" t="str">
        <f>Table1[[#This Row],[Tabela]]&amp;Table1[[#This Row],[Campo]]</f>
        <v>modesg_out_bens_imoveisscp1_emss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69.599999999999994" hidden="1" customHeight="1">
      <c r="B535" s="2" t="s">
        <v>26</v>
      </c>
      <c r="C535" s="2" t="s">
        <v>311</v>
      </c>
      <c r="D535" s="2" t="s">
        <v>313</v>
      </c>
      <c r="E535" s="2" t="s">
        <v>38</v>
      </c>
      <c r="F535" s="2" t="s">
        <v>312</v>
      </c>
      <c r="G535" s="2" t="s">
        <v>287</v>
      </c>
      <c r="H535" s="57" t="str">
        <f>Table1[[#This Row],[Tabela]]&amp;Table1[[#This Row],[Campo]]</f>
        <v>modesg_out_bens_imoveisscp2_emss</v>
      </c>
      <c r="I535" s="2" t="s">
        <v>613</v>
      </c>
      <c r="J535" s="43">
        <f>VLOOKUP(Table1[[#This Row],[Status]],Auxiliar!$B$16:$C$24,2,0)</f>
        <v>1</v>
      </c>
      <c r="K535" s="2" t="s">
        <v>1246</v>
      </c>
      <c r="L535" s="29" t="s">
        <v>1244</v>
      </c>
      <c r="M535" s="21" t="s">
        <v>1254</v>
      </c>
      <c r="N535" s="48">
        <v>45611</v>
      </c>
      <c r="O535" s="21">
        <f>INDEX(Auxiliar!$D$5:$F$13,MATCH(Table1[[#This Row],[Tipologia_Testes]],Auxiliar!$B$5:$B$13,0),MATCH(Table1[[#This Row],[Complexidade]],Auxiliar!$D$4:$F$4,0))</f>
        <v>4</v>
      </c>
      <c r="P535" s="23"/>
      <c r="Q535" s="2"/>
      <c r="R535" s="152">
        <v>45569</v>
      </c>
      <c r="S535" s="152"/>
      <c r="T535" s="152">
        <v>45604</v>
      </c>
      <c r="U535" s="152">
        <v>45600</v>
      </c>
      <c r="V535" s="152">
        <v>45601</v>
      </c>
      <c r="W535" s="2">
        <f>VLOOKUP(Table1[[#This Row],[Status]],Auxiliar!$B$16:$D$24,3,0)*Table1[[#This Row],[Estimação (horas)]]</f>
        <v>4</v>
      </c>
      <c r="X535" s="2"/>
    </row>
    <row r="536" spans="2:24" ht="69.599999999999994" hidden="1" customHeight="1">
      <c r="B536" s="2" t="s">
        <v>26</v>
      </c>
      <c r="C536" s="2" t="s">
        <v>311</v>
      </c>
      <c r="D536" s="2" t="s">
        <v>313</v>
      </c>
      <c r="E536" s="2" t="s">
        <v>38</v>
      </c>
      <c r="F536" s="2" t="s">
        <v>312</v>
      </c>
      <c r="G536" s="2" t="s">
        <v>287</v>
      </c>
      <c r="H536" s="57" t="str">
        <f>Table1[[#This Row],[Tabela]]&amp;Table1[[#This Row],[Campo]]</f>
        <v>modesg_out_bens_imoveisscp2_emss</v>
      </c>
      <c r="I536" s="2" t="s">
        <v>613</v>
      </c>
      <c r="J536" s="43">
        <f>VLOOKUP(Table1[[#This Row],[Status]],Auxiliar!$B$16:$C$24,2,0)</f>
        <v>1</v>
      </c>
      <c r="K536" s="2" t="s">
        <v>1247</v>
      </c>
      <c r="L536" s="29" t="s">
        <v>1244</v>
      </c>
      <c r="M536" s="21" t="s">
        <v>1254</v>
      </c>
      <c r="N536" s="48">
        <v>45611</v>
      </c>
      <c r="O536" s="21">
        <f>INDEX(Auxiliar!$D$5:$F$13,MATCH(Table1[[#This Row],[Tipologia_Testes]],Auxiliar!$B$5:$B$13,0),MATCH(Table1[[#This Row],[Complexidade]],Auxiliar!$D$4:$F$4,0))</f>
        <v>4</v>
      </c>
      <c r="P536" s="23"/>
      <c r="Q536" s="2"/>
      <c r="R536" s="152">
        <v>45569</v>
      </c>
      <c r="S536" s="152"/>
      <c r="T536" s="152">
        <v>45604</v>
      </c>
      <c r="U536" s="152">
        <v>45600</v>
      </c>
      <c r="V536" s="152">
        <v>45601</v>
      </c>
      <c r="W536" s="2">
        <f>VLOOKUP(Table1[[#This Row],[Status]],Auxiliar!$B$16:$D$24,3,0)*Table1[[#This Row],[Estimação (horas)]]</f>
        <v>4</v>
      </c>
      <c r="X536" s="2"/>
    </row>
    <row r="537" spans="2:24" ht="69.599999999999994" hidden="1" customHeight="1">
      <c r="B537" s="2" t="s">
        <v>26</v>
      </c>
      <c r="C537" s="2" t="s">
        <v>311</v>
      </c>
      <c r="D537" s="2" t="s">
        <v>313</v>
      </c>
      <c r="E537" s="2" t="s">
        <v>38</v>
      </c>
      <c r="F537" s="2" t="s">
        <v>312</v>
      </c>
      <c r="G537" s="2" t="s">
        <v>287</v>
      </c>
      <c r="H537" s="57" t="str">
        <f>Table1[[#This Row],[Tabela]]&amp;Table1[[#This Row],[Campo]]</f>
        <v>modesg_out_bens_imoveisscp2_emss</v>
      </c>
      <c r="I537" s="2" t="s">
        <v>613</v>
      </c>
      <c r="J537" s="43">
        <f>VLOOKUP(Table1[[#This Row],[Status]],Auxiliar!$B$16:$C$24,2,0)</f>
        <v>1</v>
      </c>
      <c r="K537" s="2" t="s">
        <v>1249</v>
      </c>
      <c r="L537" s="29" t="s">
        <v>1244</v>
      </c>
      <c r="M537" s="21" t="s">
        <v>1254</v>
      </c>
      <c r="N537" s="48">
        <v>45611</v>
      </c>
      <c r="O537" s="21">
        <f>INDEX(Auxiliar!$D$5:$F$13,MATCH(Table1[[#This Row],[Tipologia_Testes]],Auxiliar!$B$5:$B$13,0),MATCH(Table1[[#This Row],[Complexidade]],Auxiliar!$D$4:$F$4,0))</f>
        <v>0.1</v>
      </c>
      <c r="P537" s="23"/>
      <c r="Q537" s="2"/>
      <c r="R537" s="152">
        <v>45569</v>
      </c>
      <c r="S537" s="152"/>
      <c r="T537" s="152">
        <v>45604</v>
      </c>
      <c r="U537" s="152">
        <v>45600</v>
      </c>
      <c r="V537" s="152">
        <v>45601</v>
      </c>
      <c r="W537" s="2">
        <f>VLOOKUP(Table1[[#This Row],[Status]],Auxiliar!$B$16:$D$24,3,0)*Table1[[#This Row],[Estimação (horas)]]</f>
        <v>0.1</v>
      </c>
      <c r="X537" s="2"/>
    </row>
    <row r="538" spans="2:24" ht="17.7" hidden="1" customHeight="1">
      <c r="B538" s="2" t="s">
        <v>26</v>
      </c>
      <c r="C538" s="2" t="s">
        <v>311</v>
      </c>
      <c r="D538" s="2" t="s">
        <v>313</v>
      </c>
      <c r="E538" s="2" t="s">
        <v>38</v>
      </c>
      <c r="F538" s="2" t="s">
        <v>312</v>
      </c>
      <c r="G538" s="2" t="s">
        <v>288</v>
      </c>
      <c r="H538" s="57" t="str">
        <f>Table1[[#This Row],[Tabela]]&amp;Table1[[#This Row],[Campo]]</f>
        <v>modesg_out_bens_imoveisscp3_emss</v>
      </c>
      <c r="I538" s="3" t="s">
        <v>613</v>
      </c>
      <c r="J538" s="55">
        <f>VLOOKUP(Table1[[#This Row],[Status]],Auxiliar!$B$16:$C$24,2,0)</f>
        <v>1</v>
      </c>
      <c r="K538" s="2" t="s">
        <v>1246</v>
      </c>
      <c r="L538" s="29" t="s">
        <v>1252</v>
      </c>
      <c r="M538" s="21" t="s">
        <v>1253</v>
      </c>
      <c r="N538" s="48">
        <v>45485</v>
      </c>
      <c r="O538" s="21">
        <f>INDEX(Auxiliar!$D$5:$F$13,MATCH(Table1[[#This Row],[Tipologia_Testes]],Auxiliar!$B$5:$B$13,0),MATCH(Table1[[#This Row],[Complexidade]],Auxiliar!$D$4:$F$4,0))</f>
        <v>2</v>
      </c>
      <c r="P538" s="23"/>
      <c r="Q538" s="2" t="s">
        <v>1263</v>
      </c>
      <c r="R538" s="152">
        <v>45261</v>
      </c>
      <c r="S538" s="152"/>
      <c r="T538" s="152"/>
      <c r="U538" s="152"/>
      <c r="V538" s="152"/>
      <c r="W538" s="2">
        <f>VLOOKUP(Table1[[#This Row],[Status]],Auxiliar!$B$16:$D$24,3,0)*Table1[[#This Row],[Estimação (horas)]]</f>
        <v>2</v>
      </c>
      <c r="X538" s="2"/>
    </row>
    <row r="539" spans="2:24" ht="17.7" hidden="1" customHeight="1">
      <c r="B539" s="2" t="s">
        <v>26</v>
      </c>
      <c r="C539" s="2" t="s">
        <v>311</v>
      </c>
      <c r="D539" s="2" t="s">
        <v>313</v>
      </c>
      <c r="E539" s="2" t="s">
        <v>38</v>
      </c>
      <c r="F539" s="2" t="s">
        <v>312</v>
      </c>
      <c r="G539" s="2" t="s">
        <v>288</v>
      </c>
      <c r="H539" s="57" t="str">
        <f>Table1[[#This Row],[Tabela]]&amp;Table1[[#This Row],[Campo]]</f>
        <v>modesg_out_bens_imoveisscp3_emss</v>
      </c>
      <c r="I539" s="3" t="s">
        <v>613</v>
      </c>
      <c r="J539" s="55">
        <f>VLOOKUP(Table1[[#This Row],[Status]],Auxiliar!$B$16:$C$24,2,0)</f>
        <v>1</v>
      </c>
      <c r="K539" s="2" t="s">
        <v>1247</v>
      </c>
      <c r="L539" s="29" t="s">
        <v>1252</v>
      </c>
      <c r="M539" s="21" t="s">
        <v>1253</v>
      </c>
      <c r="N539" s="48">
        <v>45485</v>
      </c>
      <c r="O539" s="21">
        <f>INDEX(Auxiliar!$D$5:$F$13,MATCH(Table1[[#This Row],[Tipologia_Testes]],Auxiliar!$B$5:$B$13,0),MATCH(Table1[[#This Row],[Complexidade]],Auxiliar!$D$4:$F$4,0))</f>
        <v>2</v>
      </c>
      <c r="P539" s="23"/>
      <c r="Q539" s="2" t="s">
        <v>1263</v>
      </c>
      <c r="R539" s="152">
        <v>45261</v>
      </c>
      <c r="S539" s="152"/>
      <c r="T539" s="152"/>
      <c r="U539" s="152"/>
      <c r="V539" s="152"/>
      <c r="W539" s="2">
        <f>VLOOKUP(Table1[[#This Row],[Status]],Auxiliar!$B$16:$D$24,3,0)*Table1[[#This Row],[Estimação (horas)]]</f>
        <v>2</v>
      </c>
      <c r="X539" s="2"/>
    </row>
    <row r="540" spans="2:24" ht="17.7" hidden="1" customHeight="1">
      <c r="B540" s="2" t="s">
        <v>26</v>
      </c>
      <c r="C540" s="2" t="s">
        <v>311</v>
      </c>
      <c r="D540" s="2" t="s">
        <v>313</v>
      </c>
      <c r="E540" s="2" t="s">
        <v>38</v>
      </c>
      <c r="F540" s="2" t="s">
        <v>312</v>
      </c>
      <c r="G540" s="2" t="s">
        <v>288</v>
      </c>
      <c r="H540" s="57" t="str">
        <f>Table1[[#This Row],[Tabela]]&amp;Table1[[#This Row],[Campo]]</f>
        <v>modesg_out_bens_imoveisscp3_emss</v>
      </c>
      <c r="I540" s="3" t="s">
        <v>613</v>
      </c>
      <c r="J540" s="55">
        <f>VLOOKUP(Table1[[#This Row],[Status]],Auxiliar!$B$16:$C$24,2,0)</f>
        <v>1</v>
      </c>
      <c r="K540" s="2" t="s">
        <v>1249</v>
      </c>
      <c r="L540" s="29" t="s">
        <v>1252</v>
      </c>
      <c r="M540" s="21" t="s">
        <v>1253</v>
      </c>
      <c r="N540" s="48">
        <v>45485</v>
      </c>
      <c r="O540" s="21">
        <f>INDEX(Auxiliar!$D$5:$F$13,MATCH(Table1[[#This Row],[Tipologia_Testes]],Auxiliar!$B$5:$B$13,0),MATCH(Table1[[#This Row],[Complexidade]],Auxiliar!$D$4:$F$4,0))</f>
        <v>0.1</v>
      </c>
      <c r="P540" s="23"/>
      <c r="Q540" s="2" t="s">
        <v>1263</v>
      </c>
      <c r="R540" s="152">
        <v>45261</v>
      </c>
      <c r="S540" s="152"/>
      <c r="T540" s="152"/>
      <c r="U540" s="152"/>
      <c r="V540" s="152"/>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323</v>
      </c>
      <c r="H541" s="57" t="str">
        <f>Table1[[#This Row],[Tabela]]&amp;Table1[[#This Row],[Campo]]</f>
        <v>modesg_out_bens_imoveisunidade_funcional_scp1_emss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323</v>
      </c>
      <c r="H542" s="57" t="str">
        <f>Table1[[#This Row],[Tabela]]&amp;Table1[[#This Row],[Campo]]</f>
        <v>modesg_out_bens_imoveisunidade_funcional_scp1_emss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323</v>
      </c>
      <c r="H543" s="57" t="str">
        <f>Table1[[#This Row],[Tabela]]&amp;Table1[[#This Row],[Campo]]</f>
        <v>modesg_out_bens_imoveisunidade_funcional_scp1_emss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324</v>
      </c>
      <c r="H544" s="57" t="str">
        <f>Table1[[#This Row],[Tabela]]&amp;Table1[[#This Row],[Campo]]</f>
        <v>modesg_out_bens_imoveisunidade_funcional_scp2_emss</v>
      </c>
      <c r="I544" s="2" t="s">
        <v>613</v>
      </c>
      <c r="J544" s="43">
        <f>VLOOKUP(Table1[[#This Row],[Status]],Auxiliar!$B$16:$C$24,2,0)</f>
        <v>1</v>
      </c>
      <c r="K544" s="2" t="s">
        <v>1246</v>
      </c>
      <c r="L544" s="29" t="s">
        <v>1244</v>
      </c>
      <c r="M544" s="21" t="s">
        <v>1253</v>
      </c>
      <c r="N544" s="48">
        <v>45611</v>
      </c>
      <c r="O544" s="21">
        <f>INDEX(Auxiliar!$D$5:$F$13,MATCH(Table1[[#This Row],[Tipologia_Testes]],Auxiliar!$B$5:$B$13,0),MATCH(Table1[[#This Row],[Complexidade]],Auxiliar!$D$4:$F$4,0))</f>
        <v>2</v>
      </c>
      <c r="P544" s="23"/>
      <c r="Q544" s="2"/>
      <c r="R544" s="152">
        <v>45569</v>
      </c>
      <c r="S544" s="152"/>
      <c r="T544" s="152">
        <v>45604</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324</v>
      </c>
      <c r="H545" s="57" t="str">
        <f>Table1[[#This Row],[Tabela]]&amp;Table1[[#This Row],[Campo]]</f>
        <v>modesg_out_bens_imoveisunidade_funcional_scp2_emss</v>
      </c>
      <c r="I545" s="2" t="s">
        <v>613</v>
      </c>
      <c r="J545" s="43">
        <f>VLOOKUP(Table1[[#This Row],[Status]],Auxiliar!$B$16:$C$24,2,0)</f>
        <v>1</v>
      </c>
      <c r="K545" s="2" t="s">
        <v>1247</v>
      </c>
      <c r="L545" s="29" t="s">
        <v>1244</v>
      </c>
      <c r="M545" s="21" t="s">
        <v>1253</v>
      </c>
      <c r="N545" s="48">
        <v>45611</v>
      </c>
      <c r="O545" s="21">
        <f>INDEX(Auxiliar!$D$5:$F$13,MATCH(Table1[[#This Row],[Tipologia_Testes]],Auxiliar!$B$5:$B$13,0),MATCH(Table1[[#This Row],[Complexidade]],Auxiliar!$D$4:$F$4,0))</f>
        <v>2</v>
      </c>
      <c r="P545" s="23"/>
      <c r="Q545" s="2"/>
      <c r="R545" s="152">
        <v>45569</v>
      </c>
      <c r="S545" s="152"/>
      <c r="T545" s="152">
        <v>45604</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324</v>
      </c>
      <c r="H546" s="57" t="str">
        <f>Table1[[#This Row],[Tabela]]&amp;Table1[[#This Row],[Campo]]</f>
        <v>modesg_out_bens_imoveisunidade_funcional_scp2_emss</v>
      </c>
      <c r="I546" s="2" t="s">
        <v>613</v>
      </c>
      <c r="J546" s="43">
        <f>VLOOKUP(Table1[[#This Row],[Status]],Auxiliar!$B$16:$C$24,2,0)</f>
        <v>1</v>
      </c>
      <c r="K546" s="2" t="s">
        <v>1249</v>
      </c>
      <c r="L546" s="29" t="s">
        <v>1244</v>
      </c>
      <c r="M546" s="21" t="s">
        <v>1253</v>
      </c>
      <c r="N546" s="48">
        <v>45611</v>
      </c>
      <c r="O546" s="21">
        <f>INDEX(Auxiliar!$D$5:$F$13,MATCH(Table1[[#This Row],[Tipologia_Testes]],Auxiliar!$B$5:$B$13,0),MATCH(Table1[[#This Row],[Complexidade]],Auxiliar!$D$4:$F$4,0))</f>
        <v>0.1</v>
      </c>
      <c r="P546" s="23"/>
      <c r="Q546" s="2"/>
      <c r="R546" s="152">
        <v>45569</v>
      </c>
      <c r="S546" s="152"/>
      <c r="T546" s="152">
        <v>45604</v>
      </c>
      <c r="U546" s="152">
        <v>45600</v>
      </c>
      <c r="V546" s="152">
        <v>45601</v>
      </c>
      <c r="W546" s="2">
        <f>VLOOKUP(Table1[[#This Row],[Status]],Auxiliar!$B$16:$D$24,3,0)*Table1[[#This Row],[Estimação (horas)]]</f>
        <v>0.1</v>
      </c>
      <c r="X546" s="2"/>
    </row>
    <row r="547" spans="2:24" ht="52.2" hidden="1" customHeight="1">
      <c r="B547" s="2" t="s">
        <v>26</v>
      </c>
      <c r="C547" s="2" t="s">
        <v>311</v>
      </c>
      <c r="D547" s="2" t="s">
        <v>313</v>
      </c>
      <c r="E547" s="2" t="s">
        <v>38</v>
      </c>
      <c r="F547" s="2" t="s">
        <v>312</v>
      </c>
      <c r="G547" s="2" t="s">
        <v>325</v>
      </c>
      <c r="H547" s="57" t="str">
        <f>Table1[[#This Row],[Tabela]]&amp;Table1[[#This Row],[Campo]]</f>
        <v>modesg_out_bens_imoveisunidade_funcional_scp3_emss</v>
      </c>
      <c r="I547" s="2" t="s">
        <v>613</v>
      </c>
      <c r="J547" s="43">
        <f>VLOOKUP(Table1[[#This Row],[Status]],Auxiliar!$B$16:$C$24,2,0)</f>
        <v>1</v>
      </c>
      <c r="K547" s="2" t="s">
        <v>1246</v>
      </c>
      <c r="L547" s="29" t="s">
        <v>1244</v>
      </c>
      <c r="M547" s="21" t="s">
        <v>1253</v>
      </c>
      <c r="N547" s="48">
        <v>45604</v>
      </c>
      <c r="O547" s="21">
        <f>INDEX(Auxiliar!$D$5:$F$13,MATCH(Table1[[#This Row],[Tipologia_Testes]],Auxiliar!$B$5:$B$13,0),MATCH(Table1[[#This Row],[Complexidade]],Auxiliar!$D$4:$F$4,0))</f>
        <v>2</v>
      </c>
      <c r="P547" s="23"/>
      <c r="Q547" s="2"/>
      <c r="R547" s="152">
        <v>45569</v>
      </c>
      <c r="S547" s="152"/>
      <c r="T547" s="152">
        <v>45569</v>
      </c>
      <c r="U547" s="152">
        <v>45600</v>
      </c>
      <c r="V547" s="152">
        <v>45601</v>
      </c>
      <c r="W547" s="2">
        <f>VLOOKUP(Table1[[#This Row],[Status]],Auxiliar!$B$16:$D$24,3,0)*Table1[[#This Row],[Estimação (horas)]]</f>
        <v>2</v>
      </c>
      <c r="X547" s="2"/>
    </row>
    <row r="548" spans="2:24" ht="52.2" hidden="1" customHeight="1">
      <c r="B548" s="2" t="s">
        <v>26</v>
      </c>
      <c r="C548" s="2" t="s">
        <v>311</v>
      </c>
      <c r="D548" s="2" t="s">
        <v>313</v>
      </c>
      <c r="E548" s="2" t="s">
        <v>38</v>
      </c>
      <c r="F548" s="2" t="s">
        <v>312</v>
      </c>
      <c r="G548" s="2" t="s">
        <v>325</v>
      </c>
      <c r="H548" s="57" t="str">
        <f>Table1[[#This Row],[Tabela]]&amp;Table1[[#This Row],[Campo]]</f>
        <v>modesg_out_bens_imoveisunidade_funcional_scp3_emss</v>
      </c>
      <c r="I548" s="2" t="s">
        <v>613</v>
      </c>
      <c r="J548" s="43">
        <f>VLOOKUP(Table1[[#This Row],[Status]],Auxiliar!$B$16:$C$24,2,0)</f>
        <v>1</v>
      </c>
      <c r="K548" s="2" t="s">
        <v>1247</v>
      </c>
      <c r="L548" s="29" t="s">
        <v>1244</v>
      </c>
      <c r="M548" s="21" t="s">
        <v>1253</v>
      </c>
      <c r="N548" s="48">
        <v>45604</v>
      </c>
      <c r="O548" s="21">
        <f>INDEX(Auxiliar!$D$5:$F$13,MATCH(Table1[[#This Row],[Tipologia_Testes]],Auxiliar!$B$5:$B$13,0),MATCH(Table1[[#This Row],[Complexidade]],Auxiliar!$D$4:$F$4,0))</f>
        <v>2</v>
      </c>
      <c r="P548" s="23"/>
      <c r="Q548" s="2"/>
      <c r="R548" s="152">
        <v>45569</v>
      </c>
      <c r="S548" s="152"/>
      <c r="T548" s="152">
        <v>45569</v>
      </c>
      <c r="U548" s="152">
        <v>45600</v>
      </c>
      <c r="V548" s="152">
        <v>45601</v>
      </c>
      <c r="W548" s="2">
        <f>VLOOKUP(Table1[[#This Row],[Status]],Auxiliar!$B$16:$D$24,3,0)*Table1[[#This Row],[Estimação (horas)]]</f>
        <v>2</v>
      </c>
      <c r="X548" s="2"/>
    </row>
    <row r="549" spans="2:24" ht="52.2" hidden="1" customHeight="1">
      <c r="B549" s="2" t="s">
        <v>26</v>
      </c>
      <c r="C549" s="2" t="s">
        <v>311</v>
      </c>
      <c r="D549" s="2" t="s">
        <v>313</v>
      </c>
      <c r="E549" s="2" t="s">
        <v>38</v>
      </c>
      <c r="F549" s="2" t="s">
        <v>312</v>
      </c>
      <c r="G549" s="2" t="s">
        <v>325</v>
      </c>
      <c r="H549" s="57" t="str">
        <f>Table1[[#This Row],[Tabela]]&amp;Table1[[#This Row],[Campo]]</f>
        <v>modesg_out_bens_imoveisunidade_funcional_scp3_emss</v>
      </c>
      <c r="I549" s="2" t="s">
        <v>613</v>
      </c>
      <c r="J549" s="43">
        <f>VLOOKUP(Table1[[#This Row],[Status]],Auxiliar!$B$16:$C$24,2,0)</f>
        <v>1</v>
      </c>
      <c r="K549" s="2" t="s">
        <v>1249</v>
      </c>
      <c r="L549" s="29" t="s">
        <v>1244</v>
      </c>
      <c r="M549" s="21" t="s">
        <v>1253</v>
      </c>
      <c r="N549" s="48">
        <v>45604</v>
      </c>
      <c r="O549" s="21">
        <f>INDEX(Auxiliar!$D$5:$F$13,MATCH(Table1[[#This Row],[Tipologia_Testes]],Auxiliar!$B$5:$B$13,0),MATCH(Table1[[#This Row],[Complexidade]],Auxiliar!$D$4:$F$4,0))</f>
        <v>0.1</v>
      </c>
      <c r="P549" s="23"/>
      <c r="Q549" s="2"/>
      <c r="R549" s="152">
        <v>45569</v>
      </c>
      <c r="S549" s="152"/>
      <c r="T549" s="152">
        <v>45569</v>
      </c>
      <c r="U549" s="152">
        <v>45600</v>
      </c>
      <c r="V549" s="152">
        <v>45601</v>
      </c>
      <c r="W549" s="2">
        <f>VLOOKUP(Table1[[#This Row],[Status]],Auxiliar!$B$16:$D$24,3,0)*Table1[[#This Row],[Estimação (horas)]]</f>
        <v>0.1</v>
      </c>
      <c r="X549" s="2"/>
    </row>
    <row r="550" spans="2:24" ht="16.95" hidden="1" customHeight="1">
      <c r="B550" s="2" t="s">
        <v>26</v>
      </c>
      <c r="C550" s="2" t="s">
        <v>311</v>
      </c>
      <c r="D550" s="2" t="s">
        <v>327</v>
      </c>
      <c r="E550" s="2" t="s">
        <v>38</v>
      </c>
      <c r="F550" s="2" t="s">
        <v>326</v>
      </c>
      <c r="G550" s="2" t="s">
        <v>38</v>
      </c>
      <c r="H550" s="57" t="str">
        <f>Table1[[#This Row],[Tabela]]&amp;Table1[[#This Row],[Campo]]</f>
        <v>modesg_out_empr_info_nfinn.a.</v>
      </c>
      <c r="I550" s="3" t="s">
        <v>613</v>
      </c>
      <c r="J550" s="55">
        <f>VLOOKUP(Table1[[#This Row],[Status]],Auxiliar!$B$16:$C$24,2,0)</f>
        <v>1</v>
      </c>
      <c r="K550" s="2" t="s">
        <v>1243</v>
      </c>
      <c r="L550" s="29" t="s">
        <v>1252</v>
      </c>
      <c r="M550" s="21" t="s">
        <v>1254</v>
      </c>
      <c r="N550" s="48">
        <v>45561</v>
      </c>
      <c r="O550" s="21">
        <f>INDEX(Auxiliar!$D$5:$F$13,MATCH(Table1[[#This Row],[Tipologia_Testes]],Auxiliar!$B$5:$B$13,0),MATCH(Table1[[#This Row],[Complexidade]],Auxiliar!$D$4:$F$4,0))</f>
        <v>8</v>
      </c>
      <c r="P550" s="23" t="s">
        <v>1277</v>
      </c>
      <c r="Q550" s="2"/>
      <c r="R550" s="152">
        <v>45512</v>
      </c>
      <c r="S550" s="152"/>
      <c r="T550" s="152">
        <v>45512</v>
      </c>
      <c r="U550" s="152"/>
      <c r="V550" s="152"/>
      <c r="W550" s="2">
        <f>VLOOKUP(Table1[[#This Row],[Status]],Auxiliar!$B$16:$D$24,3,0)*Table1[[#This Row],[Estimação (horas)]]</f>
        <v>8</v>
      </c>
      <c r="X550" s="2"/>
    </row>
    <row r="551" spans="2:24" ht="17.7" hidden="1" customHeight="1">
      <c r="B551" s="2" t="s">
        <v>26</v>
      </c>
      <c r="C551" s="2" t="s">
        <v>311</v>
      </c>
      <c r="D551" s="2" t="s">
        <v>327</v>
      </c>
      <c r="E551" s="2" t="s">
        <v>38</v>
      </c>
      <c r="F551" s="2" t="s">
        <v>326</v>
      </c>
      <c r="G551" s="2" t="s">
        <v>250</v>
      </c>
      <c r="H551" s="57" t="str">
        <f>Table1[[#This Row],[Tabela]]&amp;Table1[[#This Row],[Campo]]</f>
        <v>modesg_out_empr_info_nfincca_capex_enblng_algnd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250</v>
      </c>
      <c r="H552" s="57" t="str">
        <f>Table1[[#This Row],[Tabela]]&amp;Table1[[#This Row],[Campo]]</f>
        <v>modesg_out_empr_info_nfincca_capex_enblng_algnd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250</v>
      </c>
      <c r="H553" s="57" t="str">
        <f>Table1[[#This Row],[Tabela]]&amp;Table1[[#This Row],[Campo]]</f>
        <v>modesg_out_empr_info_nfincca_capex_enblng_algnd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251</v>
      </c>
      <c r="H554" s="57" t="str">
        <f>Table1[[#This Row],[Tabela]]&amp;Table1[[#This Row],[Campo]]</f>
        <v>modesg_out_empr_info_nfincca_capex_own_prfrmnce_algnd</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251</v>
      </c>
      <c r="H555" s="57" t="str">
        <f>Table1[[#This Row],[Tabela]]&amp;Table1[[#This Row],[Campo]]</f>
        <v>modesg_out_empr_info_nfincca_capex_own_prfrmnce_algnd</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251</v>
      </c>
      <c r="H556" s="57" t="str">
        <f>Table1[[#This Row],[Tabela]]&amp;Table1[[#This Row],[Campo]]</f>
        <v>modesg_out_empr_info_nfincca_capex_own_prfrmnce_algnd</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249</v>
      </c>
      <c r="H557" s="57" t="str">
        <f>Table1[[#This Row],[Tabela]]&amp;Table1[[#This Row],[Campo]]</f>
        <v>modesg_out_empr_info_nfincca_capex_ttl_elgbl</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249</v>
      </c>
      <c r="H558" s="57" t="str">
        <f>Table1[[#This Row],[Tabela]]&amp;Table1[[#This Row],[Campo]]</f>
        <v>modesg_out_empr_info_nfincca_capex_ttl_elgbl</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249</v>
      </c>
      <c r="H559" s="57" t="str">
        <f>Table1[[#This Row],[Tabela]]&amp;Table1[[#This Row],[Campo]]</f>
        <v>modesg_out_empr_info_nfincca_capex_ttl_elgbl</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247</v>
      </c>
      <c r="H560" s="57" t="str">
        <f>Table1[[#This Row],[Tabela]]&amp;Table1[[#This Row],[Campo]]</f>
        <v>modesg_out_empr_info_nfincca_trnvr_enblng_alignd</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247</v>
      </c>
      <c r="H561" s="57" t="str">
        <f>Table1[[#This Row],[Tabela]]&amp;Table1[[#This Row],[Campo]]</f>
        <v>modesg_out_empr_info_nfincca_trnvr_enblng_alignd</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247</v>
      </c>
      <c r="H562" s="57" t="str">
        <f>Table1[[#This Row],[Tabela]]&amp;Table1[[#This Row],[Campo]]</f>
        <v>modesg_out_empr_info_nfincca_trnvr_enblng_alignd</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246</v>
      </c>
      <c r="H563" s="57" t="str">
        <f>Table1[[#This Row],[Tabela]]&amp;Table1[[#This Row],[Campo]]</f>
        <v>modesg_out_empr_info_nfincca_trnvr_ttl_elgbl</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246</v>
      </c>
      <c r="H564" s="57" t="str">
        <f>Table1[[#This Row],[Tabela]]&amp;Table1[[#This Row],[Campo]]</f>
        <v>modesg_out_empr_info_nfincca_trnvr_ttl_elgbl</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246</v>
      </c>
      <c r="H565" s="57" t="str">
        <f>Table1[[#This Row],[Tabela]]&amp;Table1[[#This Row],[Campo]]</f>
        <v>modesg_out_empr_info_nfincca_trnvr_ttl_elgbl</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248</v>
      </c>
      <c r="H566" s="57" t="str">
        <f>Table1[[#This Row],[Tabela]]&amp;Table1[[#This Row],[Campo]]</f>
        <v>modesg_out_empr_info_nfincca_turnover_own_prfrmnce_algnd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248</v>
      </c>
      <c r="H567" s="57" t="str">
        <f>Table1[[#This Row],[Tabela]]&amp;Table1[[#This Row],[Campo]]</f>
        <v>modesg_out_empr_info_nfincca_turnover_own_prfrmnce_algnd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248</v>
      </c>
      <c r="H568" s="57" t="str">
        <f>Table1[[#This Row],[Tabela]]&amp;Table1[[#This Row],[Campo]]</f>
        <v>modesg_out_empr_info_nfincca_turnover_own_prfrmnce_algnd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257</v>
      </c>
      <c r="H569" s="57" t="str">
        <f>Table1[[#This Row],[Tabela]]&amp;Table1[[#This Row],[Campo]]</f>
        <v>modesg_out_empr_info_nfinccm_capex_enblng_algnd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257</v>
      </c>
      <c r="H570" s="57" t="str">
        <f>Table1[[#This Row],[Tabela]]&amp;Table1[[#This Row],[Campo]]</f>
        <v>modesg_out_empr_info_nfinccm_capex_enblng_algnd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257</v>
      </c>
      <c r="H571" s="57" t="str">
        <f>Table1[[#This Row],[Tabela]]&amp;Table1[[#This Row],[Campo]]</f>
        <v>modesg_out_empr_info_nfinccm_capex_enblng_algnd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259</v>
      </c>
      <c r="H572" s="57" t="str">
        <f>Table1[[#This Row],[Tabela]]&amp;Table1[[#This Row],[Campo]]</f>
        <v>modesg_out_empr_info_nfinccm_capex_own_prfrmnce_algnd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259</v>
      </c>
      <c r="H573" s="57" t="str">
        <f>Table1[[#This Row],[Tabela]]&amp;Table1[[#This Row],[Campo]]</f>
        <v>modesg_out_empr_info_nfinccm_capex_own_prfrmnce_algnd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259</v>
      </c>
      <c r="H574" s="57" t="str">
        <f>Table1[[#This Row],[Tabela]]&amp;Table1[[#This Row],[Campo]]</f>
        <v>modesg_out_empr_info_nfinccm_capex_own_prfrmnce_algnd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258</v>
      </c>
      <c r="H575" s="57" t="str">
        <f>Table1[[#This Row],[Tabela]]&amp;Table1[[#This Row],[Campo]]</f>
        <v>modesg_out_empr_info_nfinccm_capex_trnstn_algnd</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258</v>
      </c>
      <c r="H576" s="57" t="str">
        <f>Table1[[#This Row],[Tabela]]&amp;Table1[[#This Row],[Campo]]</f>
        <v>modesg_out_empr_info_nfinccm_capex_trnstn_algnd</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258</v>
      </c>
      <c r="H577" s="57" t="str">
        <f>Table1[[#This Row],[Tabela]]&amp;Table1[[#This Row],[Campo]]</f>
        <v>modesg_out_empr_info_nfinccm_capex_trnstn_algnd</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256</v>
      </c>
      <c r="H578" s="57" t="str">
        <f>Table1[[#This Row],[Tabela]]&amp;Table1[[#This Row],[Campo]]</f>
        <v>modesg_out_empr_info_nfinccm_capex_ttl_elgbl</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256</v>
      </c>
      <c r="H579" s="57" t="str">
        <f>Table1[[#This Row],[Tabela]]&amp;Table1[[#This Row],[Campo]]</f>
        <v>modesg_out_empr_info_nfinccm_capex_ttl_elgbl</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256</v>
      </c>
      <c r="H580" s="57" t="str">
        <f>Table1[[#This Row],[Tabela]]&amp;Table1[[#This Row],[Campo]]</f>
        <v>modesg_out_empr_info_nfinccm_capex_ttl_elgbl</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253</v>
      </c>
      <c r="H581" s="57" t="str">
        <f>Table1[[#This Row],[Tabela]]&amp;Table1[[#This Row],[Campo]]</f>
        <v>modesg_out_empr_info_nfinccm_trnvr_enblng_algnd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253</v>
      </c>
      <c r="H582" s="57" t="str">
        <f>Table1[[#This Row],[Tabela]]&amp;Table1[[#This Row],[Campo]]</f>
        <v>modesg_out_empr_info_nfinccm_trnvr_enblng_algnd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253</v>
      </c>
      <c r="H583" s="57" t="str">
        <f>Table1[[#This Row],[Tabela]]&amp;Table1[[#This Row],[Campo]]</f>
        <v>modesg_out_empr_info_nfinccm_trnvr_enblng_algnd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255</v>
      </c>
      <c r="H584" s="57" t="str">
        <f>Table1[[#This Row],[Tabela]]&amp;Table1[[#This Row],[Campo]]</f>
        <v>modesg_out_empr_info_nfinccm_trnvr_own_prfrmnce_algnd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255</v>
      </c>
      <c r="H585" s="57" t="str">
        <f>Table1[[#This Row],[Tabela]]&amp;Table1[[#This Row],[Campo]]</f>
        <v>modesg_out_empr_info_nfinccm_trnvr_own_prfrmnce_algnd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255</v>
      </c>
      <c r="H586" s="57" t="str">
        <f>Table1[[#This Row],[Tabela]]&amp;Table1[[#This Row],[Campo]]</f>
        <v>modesg_out_empr_info_nfinccm_trnvr_own_prfrmnce_algnd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254</v>
      </c>
      <c r="H587" s="57" t="str">
        <f>Table1[[#This Row],[Tabela]]&amp;Table1[[#This Row],[Campo]]</f>
        <v>modesg_out_empr_info_nfinccm_trnvr_trnstn_alignd</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254</v>
      </c>
      <c r="H588" s="57" t="str">
        <f>Table1[[#This Row],[Tabela]]&amp;Table1[[#This Row],[Campo]]</f>
        <v>modesg_out_empr_info_nfinccm_trnvr_trnstn_alignd</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254</v>
      </c>
      <c r="H589" s="57" t="str">
        <f>Table1[[#This Row],[Tabela]]&amp;Table1[[#This Row],[Campo]]</f>
        <v>modesg_out_empr_info_nfinccm_trnvr_trnstn_alignd</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252</v>
      </c>
      <c r="H590" s="57" t="str">
        <f>Table1[[#This Row],[Tabela]]&amp;Table1[[#This Row],[Campo]]</f>
        <v>modesg_out_empr_info_nfinccm_trnvr_ttl_elgbl</v>
      </c>
      <c r="I590" s="2" t="s">
        <v>613</v>
      </c>
      <c r="J590" s="43">
        <f>VLOOKUP(Table1[[#This Row],[Status]],Auxiliar!$B$16:$C$24,2,0)</f>
        <v>1</v>
      </c>
      <c r="K590" s="2" t="s">
        <v>1246</v>
      </c>
      <c r="L590" s="29" t="s">
        <v>1252</v>
      </c>
      <c r="M590" s="21" t="s">
        <v>1245</v>
      </c>
      <c r="N590" s="48">
        <v>45642</v>
      </c>
      <c r="O590" s="21">
        <f>INDEX(Auxiliar!$D$5:$F$13,MATCH(Table1[[#This Row],[Tipologia_Testes]],Auxiliar!$B$5:$B$13,0),MATCH(Table1[[#This Row],[Complexidade]],Auxiliar!$D$4:$F$4,0))</f>
        <v>8</v>
      </c>
      <c r="P590" s="2"/>
      <c r="Q590" s="2"/>
      <c r="R590" s="152">
        <v>45561</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252</v>
      </c>
      <c r="H591" s="57" t="str">
        <f>Table1[[#This Row],[Tabela]]&amp;Table1[[#This Row],[Campo]]</f>
        <v>modesg_out_empr_info_nfinccm_trnvr_ttl_elgbl</v>
      </c>
      <c r="I591" s="2" t="s">
        <v>613</v>
      </c>
      <c r="J591" s="43">
        <f>VLOOKUP(Table1[[#This Row],[Status]],Auxiliar!$B$16:$C$24,2,0)</f>
        <v>1</v>
      </c>
      <c r="K591" s="2" t="s">
        <v>1247</v>
      </c>
      <c r="L591" s="29" t="s">
        <v>1252</v>
      </c>
      <c r="M591" s="21" t="s">
        <v>1245</v>
      </c>
      <c r="N591" s="48">
        <v>45642</v>
      </c>
      <c r="O591" s="21">
        <f>INDEX(Auxiliar!$D$5:$F$13,MATCH(Table1[[#This Row],[Tipologia_Testes]],Auxiliar!$B$5:$B$13,0),MATCH(Table1[[#This Row],[Complexidade]],Auxiliar!$D$4:$F$4,0))</f>
        <v>8</v>
      </c>
      <c r="P591" s="2"/>
      <c r="Q591" s="2"/>
      <c r="R591" s="152">
        <v>45561</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252</v>
      </c>
      <c r="H592" s="57" t="str">
        <f>Table1[[#This Row],[Tabela]]&amp;Table1[[#This Row],[Campo]]</f>
        <v>modesg_out_empr_info_nfinccm_trnvr_ttl_elgbl</v>
      </c>
      <c r="I592" s="2" t="s">
        <v>613</v>
      </c>
      <c r="J592" s="43">
        <f>VLOOKUP(Table1[[#This Row],[Status]],Auxiliar!$B$16:$C$24,2,0)</f>
        <v>1</v>
      </c>
      <c r="K592" s="2" t="s">
        <v>1249</v>
      </c>
      <c r="L592" s="29" t="s">
        <v>1252</v>
      </c>
      <c r="M592" s="21" t="s">
        <v>1245</v>
      </c>
      <c r="N592" s="48">
        <v>45642</v>
      </c>
      <c r="O592" s="21">
        <f>INDEX(Auxiliar!$D$5:$F$13,MATCH(Table1[[#This Row],[Tipologia_Testes]],Auxiliar!$B$5:$B$13,0),MATCH(Table1[[#This Row],[Complexidade]],Auxiliar!$D$4:$F$4,0))</f>
        <v>0.1</v>
      </c>
      <c r="P592" s="2"/>
      <c r="Q592" s="2"/>
      <c r="R592" s="152">
        <v>45561</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282</v>
      </c>
      <c r="H593" s="57" t="str">
        <f>Table1[[#This Row],[Tabela]]&amp;Table1[[#This Row],[Campo]]</f>
        <v>modesg_out_empr_info_nfincod_nace_esg</v>
      </c>
      <c r="I593" s="2" t="s">
        <v>1922</v>
      </c>
      <c r="J593" s="43">
        <f>VLOOKUP(Table1[[#This Row],[Status]],Auxiliar!$B$16:$C$24,2,0)</f>
        <v>3</v>
      </c>
      <c r="K593" s="2" t="s">
        <v>1246</v>
      </c>
      <c r="L593" s="29" t="s">
        <v>1244</v>
      </c>
      <c r="M593" s="21" t="s">
        <v>1245</v>
      </c>
      <c r="N593" s="48">
        <v>45301</v>
      </c>
      <c r="O593" s="21">
        <f>INDEX(Auxiliar!$D$5:$F$13,MATCH(Table1[[#This Row],[Tipologia_Testes]],Auxiliar!$B$5:$B$13,0),MATCH(Table1[[#This Row],[Complexidade]],Auxiliar!$D$4:$F$4,0))</f>
        <v>8</v>
      </c>
      <c r="P593" s="2"/>
      <c r="Q593" s="2"/>
      <c r="R593" s="152">
        <v>45560</v>
      </c>
      <c r="S593" s="152"/>
      <c r="T593" s="152">
        <v>45561</v>
      </c>
      <c r="U593" s="152">
        <v>45614</v>
      </c>
      <c r="V593" s="152">
        <v>45615</v>
      </c>
      <c r="W593" s="2">
        <f>VLOOKUP(Table1[[#This Row],[Status]],Auxiliar!$B$16:$D$24,3,0)*Table1[[#This Row],[Estimação (horas)]]</f>
        <v>4</v>
      </c>
      <c r="X593" s="2"/>
    </row>
    <row r="594" spans="2:24" ht="17.7" hidden="1" customHeight="1">
      <c r="B594" s="2" t="s">
        <v>26</v>
      </c>
      <c r="C594" s="2" t="s">
        <v>311</v>
      </c>
      <c r="D594" s="2" t="s">
        <v>327</v>
      </c>
      <c r="E594" s="2" t="s">
        <v>38</v>
      </c>
      <c r="F594" s="2" t="s">
        <v>326</v>
      </c>
      <c r="G594" s="2" t="s">
        <v>282</v>
      </c>
      <c r="H594" s="57" t="str">
        <f>Table1[[#This Row],[Tabela]]&amp;Table1[[#This Row],[Campo]]</f>
        <v>modesg_out_empr_info_nfincod_nace_esg</v>
      </c>
      <c r="I594" s="2" t="s">
        <v>1922</v>
      </c>
      <c r="J594" s="43">
        <f>VLOOKUP(Table1[[#This Row],[Status]],Auxiliar!$B$16:$C$24,2,0)</f>
        <v>3</v>
      </c>
      <c r="K594" s="2" t="s">
        <v>1247</v>
      </c>
      <c r="L594" s="29" t="s">
        <v>1244</v>
      </c>
      <c r="M594" s="21" t="s">
        <v>1245</v>
      </c>
      <c r="N594" s="48">
        <v>45301</v>
      </c>
      <c r="O594" s="21">
        <f>INDEX(Auxiliar!$D$5:$F$13,MATCH(Table1[[#This Row],[Tipologia_Testes]],Auxiliar!$B$5:$B$13,0),MATCH(Table1[[#This Row],[Complexidade]],Auxiliar!$D$4:$F$4,0))</f>
        <v>8</v>
      </c>
      <c r="P594" s="2"/>
      <c r="Q594" s="2"/>
      <c r="R594" s="152">
        <v>45560</v>
      </c>
      <c r="S594" s="152"/>
      <c r="T594" s="152">
        <v>45561</v>
      </c>
      <c r="U594" s="152">
        <v>45614</v>
      </c>
      <c r="V594" s="152">
        <v>45615</v>
      </c>
      <c r="W594" s="2">
        <f>VLOOKUP(Table1[[#This Row],[Status]],Auxiliar!$B$16:$D$24,3,0)*Table1[[#This Row],[Estimação (horas)]]</f>
        <v>4</v>
      </c>
      <c r="X594" s="2"/>
    </row>
    <row r="595" spans="2:24" ht="17.7" hidden="1" customHeight="1">
      <c r="B595" s="2" t="s">
        <v>26</v>
      </c>
      <c r="C595" s="2" t="s">
        <v>311</v>
      </c>
      <c r="D595" s="2" t="s">
        <v>327</v>
      </c>
      <c r="E595" s="2" t="s">
        <v>38</v>
      </c>
      <c r="F595" s="2" t="s">
        <v>326</v>
      </c>
      <c r="G595" s="2" t="s">
        <v>282</v>
      </c>
      <c r="H595" s="57" t="str">
        <f>Table1[[#This Row],[Tabela]]&amp;Table1[[#This Row],[Campo]]</f>
        <v>modesg_out_empr_info_nfincod_nace_esg</v>
      </c>
      <c r="I595" s="2" t="s">
        <v>1922</v>
      </c>
      <c r="J595" s="43">
        <f>VLOOKUP(Table1[[#This Row],[Status]],Auxiliar!$B$16:$C$24,2,0)</f>
        <v>3</v>
      </c>
      <c r="K595" s="2" t="s">
        <v>1249</v>
      </c>
      <c r="L595" s="29" t="s">
        <v>1244</v>
      </c>
      <c r="M595" s="21" t="s">
        <v>1245</v>
      </c>
      <c r="N595" s="48">
        <v>45301</v>
      </c>
      <c r="O595" s="21">
        <f>INDEX(Auxiliar!$D$5:$F$13,MATCH(Table1[[#This Row],[Tipologia_Testes]],Auxiliar!$B$5:$B$13,0),MATCH(Table1[[#This Row],[Complexidade]],Auxiliar!$D$4:$F$4,0))</f>
        <v>0.1</v>
      </c>
      <c r="P595" s="2"/>
      <c r="Q595" s="2"/>
      <c r="R595" s="152">
        <v>45560</v>
      </c>
      <c r="S595" s="152"/>
      <c r="T595" s="152">
        <v>45561</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328</v>
      </c>
      <c r="H596" s="57" t="str">
        <f>Table1[[#This Row],[Tabela]]&amp;Table1[[#This Row],[Campo]]</f>
        <v>modesg_out_empr_info_nfinflg_emprs_excl_paris</v>
      </c>
      <c r="I596" s="2" t="s">
        <v>613</v>
      </c>
      <c r="J596" s="43">
        <f>VLOOKUP(Table1[[#This Row],[Status]],Auxiliar!$B$16:$C$24,2,0)</f>
        <v>1</v>
      </c>
      <c r="K596" s="2" t="s">
        <v>1246</v>
      </c>
      <c r="L596" s="29" t="s">
        <v>1252</v>
      </c>
      <c r="M596" s="21" t="s">
        <v>1254</v>
      </c>
      <c r="N596" s="48">
        <v>45674</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4</v>
      </c>
      <c r="X596" s="2"/>
    </row>
    <row r="597" spans="2:24" ht="17.7" hidden="1" customHeight="1">
      <c r="B597" s="2" t="s">
        <v>26</v>
      </c>
      <c r="C597" s="2" t="s">
        <v>311</v>
      </c>
      <c r="D597" s="2" t="s">
        <v>327</v>
      </c>
      <c r="E597" s="2" t="s">
        <v>38</v>
      </c>
      <c r="F597" s="2" t="s">
        <v>326</v>
      </c>
      <c r="G597" s="2" t="s">
        <v>328</v>
      </c>
      <c r="H597" s="57" t="str">
        <f>Table1[[#This Row],[Tabela]]&amp;Table1[[#This Row],[Campo]]</f>
        <v>modesg_out_empr_info_nfinflg_emprs_excl_paris</v>
      </c>
      <c r="I597" s="2" t="s">
        <v>613</v>
      </c>
      <c r="J597" s="43">
        <f>VLOOKUP(Table1[[#This Row],[Status]],Auxiliar!$B$16:$C$24,2,0)</f>
        <v>1</v>
      </c>
      <c r="K597" s="2" t="s">
        <v>1247</v>
      </c>
      <c r="L597" s="29" t="s">
        <v>1252</v>
      </c>
      <c r="M597" s="21" t="s">
        <v>1254</v>
      </c>
      <c r="N597" s="48">
        <v>45674</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4</v>
      </c>
      <c r="X597" s="2"/>
    </row>
    <row r="598" spans="2:24" ht="17.7" hidden="1" customHeight="1">
      <c r="B598" s="2" t="s">
        <v>26</v>
      </c>
      <c r="C598" s="2" t="s">
        <v>311</v>
      </c>
      <c r="D598" s="2" t="s">
        <v>327</v>
      </c>
      <c r="E598" s="2" t="s">
        <v>38</v>
      </c>
      <c r="F598" s="2" t="s">
        <v>326</v>
      </c>
      <c r="G598" s="2" t="s">
        <v>328</v>
      </c>
      <c r="H598" s="57" t="str">
        <f>Table1[[#This Row],[Tabela]]&amp;Table1[[#This Row],[Campo]]</f>
        <v>modesg_out_empr_info_nfinflg_emprs_excl_paris</v>
      </c>
      <c r="I598" s="2" t="s">
        <v>613</v>
      </c>
      <c r="J598" s="43">
        <f>VLOOKUP(Table1[[#This Row],[Status]],Auxiliar!$B$16:$C$24,2,0)</f>
        <v>1</v>
      </c>
      <c r="K598" s="2" t="s">
        <v>1249</v>
      </c>
      <c r="L598" s="29" t="s">
        <v>1252</v>
      </c>
      <c r="M598" s="21" t="s">
        <v>1254</v>
      </c>
      <c r="N598" s="48">
        <v>45674</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0.1</v>
      </c>
      <c r="X598" s="2"/>
    </row>
    <row r="599" spans="2:24" ht="17.7" hidden="1" customHeight="1">
      <c r="B599" s="2" t="s">
        <v>26</v>
      </c>
      <c r="C599" s="2" t="s">
        <v>311</v>
      </c>
      <c r="D599" s="2" t="s">
        <v>327</v>
      </c>
      <c r="E599" s="2" t="s">
        <v>38</v>
      </c>
      <c r="F599" s="2" t="s">
        <v>326</v>
      </c>
      <c r="G599" s="2" t="s">
        <v>245</v>
      </c>
      <c r="H599" s="57" t="str">
        <f>Table1[[#This Row],[Tabela]]&amp;Table1[[#This Row],[Campo]]</f>
        <v>modesg_out_empr_info_nfinflg_nfrd</v>
      </c>
      <c r="I599" s="2" t="s">
        <v>613</v>
      </c>
      <c r="J599" s="43">
        <f>VLOOKUP(Table1[[#This Row],[Status]],Auxiliar!$B$16:$C$24,2,0)</f>
        <v>1</v>
      </c>
      <c r="K599" s="2" t="s">
        <v>1246</v>
      </c>
      <c r="L599" s="29" t="s">
        <v>1252</v>
      </c>
      <c r="M599" s="21" t="s">
        <v>1254</v>
      </c>
      <c r="N599" s="48">
        <v>45674</v>
      </c>
      <c r="O599" s="21">
        <f>INDEX(Auxiliar!$D$5:$F$13,MATCH(Table1[[#This Row],[Tipologia_Testes]],Auxiliar!$B$5:$B$13,0),MATCH(Table1[[#This Row],[Complexidade]],Auxiliar!$D$4:$F$4,0))</f>
        <v>4</v>
      </c>
      <c r="P599" s="175" t="s">
        <v>1278</v>
      </c>
      <c r="Q599" s="2"/>
      <c r="R599" s="152">
        <v>45553</v>
      </c>
      <c r="S599" s="152"/>
      <c r="T599" s="152">
        <v>45553</v>
      </c>
      <c r="U599" s="152">
        <v>45614</v>
      </c>
      <c r="V599" s="152">
        <v>45615</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245</v>
      </c>
      <c r="H600" s="57" t="str">
        <f>Table1[[#This Row],[Tabela]]&amp;Table1[[#This Row],[Campo]]</f>
        <v>modesg_out_empr_info_nfinflg_nfrd</v>
      </c>
      <c r="I600" s="2" t="s">
        <v>613</v>
      </c>
      <c r="J600" s="43">
        <f>VLOOKUP(Table1[[#This Row],[Status]],Auxiliar!$B$16:$C$24,2,0)</f>
        <v>1</v>
      </c>
      <c r="K600" s="2" t="s">
        <v>1247</v>
      </c>
      <c r="L600" s="29" t="s">
        <v>1252</v>
      </c>
      <c r="M600" s="21" t="s">
        <v>1254</v>
      </c>
      <c r="N600" s="48">
        <v>45674</v>
      </c>
      <c r="O600" s="21">
        <f>INDEX(Auxiliar!$D$5:$F$13,MATCH(Table1[[#This Row],[Tipologia_Testes]],Auxiliar!$B$5:$B$13,0),MATCH(Table1[[#This Row],[Complexidade]],Auxiliar!$D$4:$F$4,0))</f>
        <v>4</v>
      </c>
      <c r="P600" s="175" t="s">
        <v>1278</v>
      </c>
      <c r="Q600" s="2"/>
      <c r="R600" s="152">
        <v>45553</v>
      </c>
      <c r="S600" s="152"/>
      <c r="T600" s="152">
        <v>45553</v>
      </c>
      <c r="U600" s="152">
        <v>45614</v>
      </c>
      <c r="V600" s="152">
        <v>45615</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245</v>
      </c>
      <c r="H601" s="57" t="str">
        <f>Table1[[#This Row],[Tabela]]&amp;Table1[[#This Row],[Campo]]</f>
        <v>modesg_out_empr_info_nfinflg_nfrd</v>
      </c>
      <c r="I601" s="2" t="s">
        <v>613</v>
      </c>
      <c r="J601" s="43">
        <f>VLOOKUP(Table1[[#This Row],[Status]],Auxiliar!$B$16:$C$24,2,0)</f>
        <v>1</v>
      </c>
      <c r="K601" s="2" t="s">
        <v>1249</v>
      </c>
      <c r="L601" s="29" t="s">
        <v>1252</v>
      </c>
      <c r="M601" s="21" t="s">
        <v>1254</v>
      </c>
      <c r="N601" s="48">
        <v>45674</v>
      </c>
      <c r="O601" s="21">
        <f>INDEX(Auxiliar!$D$5:$F$13,MATCH(Table1[[#This Row],[Tipologia_Testes]],Auxiliar!$B$5:$B$13,0),MATCH(Table1[[#This Row],[Complexidade]],Auxiliar!$D$4:$F$4,0))</f>
        <v>0.1</v>
      </c>
      <c r="P601" s="175" t="s">
        <v>1278</v>
      </c>
      <c r="Q601" s="2"/>
      <c r="R601" s="152">
        <v>45553</v>
      </c>
      <c r="S601" s="152"/>
      <c r="T601" s="152">
        <v>45553</v>
      </c>
      <c r="U601" s="152">
        <v>45614</v>
      </c>
      <c r="V601" s="152">
        <v>45615</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283</v>
      </c>
      <c r="H602" s="57" t="str">
        <f>Table1[[#This Row],[Tabela]]&amp;Table1[[#This Row],[Campo]]</f>
        <v>modesg_out_empr_info_nfinflg_rsc_fsc_agd</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283</v>
      </c>
      <c r="H603" s="57" t="str">
        <f>Table1[[#This Row],[Tabela]]&amp;Table1[[#This Row],[Campo]]</f>
        <v>modesg_out_empr_info_nfinflg_rsc_fsc_agd</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283</v>
      </c>
      <c r="H604" s="57" t="str">
        <f>Table1[[#This Row],[Tabela]]&amp;Table1[[#This Row],[Campo]]</f>
        <v>modesg_out_empr_info_nfinflg_rsc_fsc_agd</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284</v>
      </c>
      <c r="H605" s="57" t="str">
        <f>Table1[[#This Row],[Tabela]]&amp;Table1[[#This Row],[Campo]]</f>
        <v>modesg_out_empr_info_nfinflg_rsc_fsc_crnc</v>
      </c>
      <c r="I605" s="2" t="s">
        <v>613</v>
      </c>
      <c r="J605" s="43">
        <f>VLOOKUP(Table1[[#This Row],[Status]],Auxiliar!$B$16:$C$24,2,0)</f>
        <v>1</v>
      </c>
      <c r="K605" s="2" t="s">
        <v>1246</v>
      </c>
      <c r="L605" s="29" t="s">
        <v>1244</v>
      </c>
      <c r="M605" s="21" t="s">
        <v>1245</v>
      </c>
      <c r="N605" s="48">
        <v>45649</v>
      </c>
      <c r="O605" s="21">
        <f>INDEX(Auxiliar!$D$5:$F$13,MATCH(Table1[[#This Row],[Tipologia_Testes]],Auxiliar!$B$5:$B$13,0),MATCH(Table1[[#This Row],[Complexidade]],Auxiliar!$D$4:$F$4,0))</f>
        <v>8</v>
      </c>
      <c r="P605" s="2"/>
      <c r="Q605" s="2"/>
      <c r="R605" s="152">
        <v>45569</v>
      </c>
      <c r="S605" s="152"/>
      <c r="T605" s="152">
        <v>45569</v>
      </c>
      <c r="U605" s="152">
        <v>45624</v>
      </c>
      <c r="V605" s="152">
        <v>45639</v>
      </c>
      <c r="W605" s="2">
        <f>VLOOKUP(Table1[[#This Row],[Status]],Auxiliar!$B$16:$D$24,3,0)*Table1[[#This Row],[Estimação (horas)]]</f>
        <v>8</v>
      </c>
      <c r="X605" s="2"/>
    </row>
    <row r="606" spans="2:24" ht="17.7" hidden="1" customHeight="1">
      <c r="B606" s="2" t="s">
        <v>26</v>
      </c>
      <c r="C606" s="2" t="s">
        <v>311</v>
      </c>
      <c r="D606" s="2" t="s">
        <v>327</v>
      </c>
      <c r="E606" s="2" t="s">
        <v>38</v>
      </c>
      <c r="F606" s="2" t="s">
        <v>326</v>
      </c>
      <c r="G606" s="2" t="s">
        <v>284</v>
      </c>
      <c r="H606" s="57" t="str">
        <f>Table1[[#This Row],[Tabela]]&amp;Table1[[#This Row],[Campo]]</f>
        <v>modesg_out_empr_info_nfinflg_rsc_fsc_crnc</v>
      </c>
      <c r="I606" s="2" t="s">
        <v>613</v>
      </c>
      <c r="J606" s="43">
        <f>VLOOKUP(Table1[[#This Row],[Status]],Auxiliar!$B$16:$C$24,2,0)</f>
        <v>1</v>
      </c>
      <c r="K606" s="2" t="s">
        <v>1247</v>
      </c>
      <c r="L606" s="29" t="s">
        <v>1244</v>
      </c>
      <c r="M606" s="21" t="s">
        <v>1245</v>
      </c>
      <c r="N606" s="48">
        <v>45649</v>
      </c>
      <c r="O606" s="21">
        <f>INDEX(Auxiliar!$D$5:$F$13,MATCH(Table1[[#This Row],[Tipologia_Testes]],Auxiliar!$B$5:$B$13,0),MATCH(Table1[[#This Row],[Complexidade]],Auxiliar!$D$4:$F$4,0))</f>
        <v>8</v>
      </c>
      <c r="P606" s="2"/>
      <c r="Q606" s="2"/>
      <c r="R606" s="152">
        <v>45569</v>
      </c>
      <c r="S606" s="152"/>
      <c r="T606" s="152">
        <v>45569</v>
      </c>
      <c r="U606" s="152">
        <v>45624</v>
      </c>
      <c r="V606" s="152">
        <v>45639</v>
      </c>
      <c r="W606" s="2">
        <f>VLOOKUP(Table1[[#This Row],[Status]],Auxiliar!$B$16:$D$24,3,0)*Table1[[#This Row],[Estimação (horas)]]</f>
        <v>8</v>
      </c>
      <c r="X606" s="2"/>
    </row>
    <row r="607" spans="2:24" ht="17.7" hidden="1" customHeight="1">
      <c r="B607" s="2" t="s">
        <v>26</v>
      </c>
      <c r="C607" s="2" t="s">
        <v>311</v>
      </c>
      <c r="D607" s="2" t="s">
        <v>327</v>
      </c>
      <c r="E607" s="2" t="s">
        <v>38</v>
      </c>
      <c r="F607" s="2" t="s">
        <v>326</v>
      </c>
      <c r="G607" s="2" t="s">
        <v>284</v>
      </c>
      <c r="H607" s="57" t="str">
        <f>Table1[[#This Row],[Tabela]]&amp;Table1[[#This Row],[Campo]]</f>
        <v>modesg_out_empr_info_nfinflg_rsc_fsc_crnc</v>
      </c>
      <c r="I607" s="2" t="s">
        <v>613</v>
      </c>
      <c r="J607" s="43">
        <f>VLOOKUP(Table1[[#This Row],[Status]],Auxiliar!$B$16:$C$24,2,0)</f>
        <v>1</v>
      </c>
      <c r="K607" s="2" t="s">
        <v>1249</v>
      </c>
      <c r="L607" s="29" t="s">
        <v>1244</v>
      </c>
      <c r="M607" s="21" t="s">
        <v>1245</v>
      </c>
      <c r="N607" s="48">
        <v>45649</v>
      </c>
      <c r="O607" s="21">
        <f>INDEX(Auxiliar!$D$5:$F$13,MATCH(Table1[[#This Row],[Tipologia_Testes]],Auxiliar!$B$5:$B$13,0),MATCH(Table1[[#This Row],[Complexidade]],Auxiliar!$D$4:$F$4,0))</f>
        <v>0.1</v>
      </c>
      <c r="P607" s="2"/>
      <c r="Q607" s="2"/>
      <c r="R607" s="152">
        <v>45569</v>
      </c>
      <c r="S607" s="152"/>
      <c r="T607" s="152">
        <v>45569</v>
      </c>
      <c r="U607" s="152">
        <v>45624</v>
      </c>
      <c r="V607" s="152">
        <v>45639</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329</v>
      </c>
      <c r="H608" s="57" t="str">
        <f>Table1[[#This Row],[Tabela]]&amp;Table1[[#This Row],[Campo]]</f>
        <v>modesg_out_empr_info_nfinorigem_alinhamentos</v>
      </c>
      <c r="I608" s="2" t="s">
        <v>613</v>
      </c>
      <c r="J608" s="43">
        <f>VLOOKUP(Table1[[#This Row],[Status]],Auxiliar!$B$16:$C$24,2,0)</f>
        <v>1</v>
      </c>
      <c r="K608" s="2" t="s">
        <v>1246</v>
      </c>
      <c r="L608" s="29" t="s">
        <v>1252</v>
      </c>
      <c r="M608" s="21" t="s">
        <v>1253</v>
      </c>
      <c r="N608" s="48">
        <v>45667</v>
      </c>
      <c r="O608" s="21">
        <f>INDEX(Auxiliar!$D$5:$F$13,MATCH(Table1[[#This Row],[Tipologia_Testes]],Auxiliar!$B$5:$B$13,0),MATCH(Table1[[#This Row],[Complexidade]],Auxiliar!$D$4:$F$4,0))</f>
        <v>2</v>
      </c>
      <c r="P608" s="2"/>
      <c r="Q608" s="2"/>
      <c r="R608" s="152">
        <v>45569</v>
      </c>
      <c r="S608" s="152"/>
      <c r="T608" s="152">
        <v>45569</v>
      </c>
      <c r="U608" s="152">
        <v>45614</v>
      </c>
      <c r="V608" s="152">
        <v>45615</v>
      </c>
      <c r="W608" s="2">
        <f>VLOOKUP(Table1[[#This Row],[Status]],Auxiliar!$B$16:$D$24,3,0)*Table1[[#This Row],[Estimação (horas)]]</f>
        <v>2</v>
      </c>
      <c r="X608" s="2"/>
    </row>
    <row r="609" spans="2:24" ht="17.7" hidden="1" customHeight="1">
      <c r="B609" s="2" t="s">
        <v>26</v>
      </c>
      <c r="C609" s="2" t="s">
        <v>311</v>
      </c>
      <c r="D609" s="2" t="s">
        <v>327</v>
      </c>
      <c r="E609" s="2" t="s">
        <v>38</v>
      </c>
      <c r="F609" s="2" t="s">
        <v>326</v>
      </c>
      <c r="G609" s="2" t="s">
        <v>329</v>
      </c>
      <c r="H609" s="57" t="str">
        <f>Table1[[#This Row],[Tabela]]&amp;Table1[[#This Row],[Campo]]</f>
        <v>modesg_out_empr_info_nfinorigem_alinhamentos</v>
      </c>
      <c r="I609" s="2" t="s">
        <v>613</v>
      </c>
      <c r="J609" s="43">
        <f>VLOOKUP(Table1[[#This Row],[Status]],Auxiliar!$B$16:$C$24,2,0)</f>
        <v>1</v>
      </c>
      <c r="K609" s="2" t="s">
        <v>1247</v>
      </c>
      <c r="L609" s="29" t="s">
        <v>1252</v>
      </c>
      <c r="M609" s="21" t="s">
        <v>1253</v>
      </c>
      <c r="N609" s="48">
        <v>45667</v>
      </c>
      <c r="O609" s="21">
        <f>INDEX(Auxiliar!$D$5:$F$13,MATCH(Table1[[#This Row],[Tipologia_Testes]],Auxiliar!$B$5:$B$13,0),MATCH(Table1[[#This Row],[Complexidade]],Auxiliar!$D$4:$F$4,0))</f>
        <v>2</v>
      </c>
      <c r="P609" s="2"/>
      <c r="Q609" s="2"/>
      <c r="R609" s="152">
        <v>45569</v>
      </c>
      <c r="S609" s="152"/>
      <c r="T609" s="152">
        <v>45569</v>
      </c>
      <c r="U609" s="152">
        <v>45614</v>
      </c>
      <c r="V609" s="152">
        <v>45615</v>
      </c>
      <c r="W609" s="2">
        <f>VLOOKUP(Table1[[#This Row],[Status]],Auxiliar!$B$16:$D$24,3,0)*Table1[[#This Row],[Estimação (horas)]]</f>
        <v>2</v>
      </c>
      <c r="X609" s="2"/>
    </row>
    <row r="610" spans="2:24" ht="17.7" hidden="1" customHeight="1">
      <c r="B610" s="2" t="s">
        <v>26</v>
      </c>
      <c r="C610" s="2" t="s">
        <v>311</v>
      </c>
      <c r="D610" s="2" t="s">
        <v>327</v>
      </c>
      <c r="E610" s="2" t="s">
        <v>38</v>
      </c>
      <c r="F610" s="2" t="s">
        <v>326</v>
      </c>
      <c r="G610" s="2" t="s">
        <v>329</v>
      </c>
      <c r="H610" s="57" t="str">
        <f>Table1[[#This Row],[Tabela]]&amp;Table1[[#This Row],[Campo]]</f>
        <v>modesg_out_empr_info_nfinorigem_alinhamentos</v>
      </c>
      <c r="I610" s="2" t="s">
        <v>613</v>
      </c>
      <c r="J610" s="43">
        <f>VLOOKUP(Table1[[#This Row],[Status]],Auxiliar!$B$16:$C$24,2,0)</f>
        <v>1</v>
      </c>
      <c r="K610" s="2" t="s">
        <v>1249</v>
      </c>
      <c r="L610" s="29" t="s">
        <v>1252</v>
      </c>
      <c r="M610" s="21" t="s">
        <v>1253</v>
      </c>
      <c r="N610" s="48">
        <v>45667</v>
      </c>
      <c r="O610" s="21">
        <f>INDEX(Auxiliar!$D$5:$F$13,MATCH(Table1[[#This Row],[Tipologia_Testes]],Auxiliar!$B$5:$B$13,0),MATCH(Table1[[#This Row],[Complexidade]],Auxiliar!$D$4:$F$4,0))</f>
        <v>0.1</v>
      </c>
      <c r="P610" s="2"/>
      <c r="Q610" s="2"/>
      <c r="R610" s="152">
        <v>45569</v>
      </c>
      <c r="S610" s="152"/>
      <c r="T610" s="152">
        <v>45569</v>
      </c>
      <c r="U610" s="152">
        <v>45614</v>
      </c>
      <c r="V610" s="152">
        <v>45615</v>
      </c>
      <c r="W610" s="2">
        <f>VLOOKUP(Table1[[#This Row],[Status]],Auxiliar!$B$16:$D$24,3,0)*Table1[[#This Row],[Estimação (horas)]]</f>
        <v>0.1</v>
      </c>
      <c r="X610" s="2"/>
    </row>
    <row r="611" spans="2:24" ht="17.7" hidden="1" customHeight="1">
      <c r="B611" s="2" t="s">
        <v>26</v>
      </c>
      <c r="C611" s="2" t="s">
        <v>311</v>
      </c>
      <c r="D611" s="2" t="s">
        <v>327</v>
      </c>
      <c r="E611" s="2" t="s">
        <v>38</v>
      </c>
      <c r="F611" s="2" t="s">
        <v>326</v>
      </c>
      <c r="G611" s="2" t="s">
        <v>330</v>
      </c>
      <c r="H611" s="57" t="str">
        <f>Table1[[#This Row],[Tabela]]&amp;Table1[[#This Row],[Campo]]</f>
        <v>modesg_out_empr_info_nfinorigem_flg_emprs_excl_paris</v>
      </c>
      <c r="I611" s="2" t="s">
        <v>613</v>
      </c>
      <c r="J611" s="43">
        <f>VLOOKUP(Table1[[#This Row],[Status]],Auxiliar!$B$16:$C$24,2,0)</f>
        <v>1</v>
      </c>
      <c r="K611" s="2" t="s">
        <v>1246</v>
      </c>
      <c r="L611" s="29" t="s">
        <v>1252</v>
      </c>
      <c r="M611" s="21" t="s">
        <v>1253</v>
      </c>
      <c r="N611" s="48">
        <v>45674</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330</v>
      </c>
      <c r="H612" s="57" t="str">
        <f>Table1[[#This Row],[Tabela]]&amp;Table1[[#This Row],[Campo]]</f>
        <v>modesg_out_empr_info_nfinorigem_flg_emprs_excl_paris</v>
      </c>
      <c r="I612" s="2" t="s">
        <v>613</v>
      </c>
      <c r="J612" s="43">
        <f>VLOOKUP(Table1[[#This Row],[Status]],Auxiliar!$B$16:$C$24,2,0)</f>
        <v>1</v>
      </c>
      <c r="K612" s="2" t="s">
        <v>1247</v>
      </c>
      <c r="L612" s="29" t="s">
        <v>1252</v>
      </c>
      <c r="M612" s="21" t="s">
        <v>1253</v>
      </c>
      <c r="N612" s="48">
        <v>45674</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330</v>
      </c>
      <c r="H613" s="57" t="str">
        <f>Table1[[#This Row],[Tabela]]&amp;Table1[[#This Row],[Campo]]</f>
        <v>modesg_out_empr_info_nfinorigem_flg_emprs_excl_paris</v>
      </c>
      <c r="I613" s="2" t="s">
        <v>613</v>
      </c>
      <c r="J613" s="43">
        <f>VLOOKUP(Table1[[#This Row],[Status]],Auxiliar!$B$16:$C$24,2,0)</f>
        <v>1</v>
      </c>
      <c r="K613" s="2" t="s">
        <v>1249</v>
      </c>
      <c r="L613" s="29" t="s">
        <v>1252</v>
      </c>
      <c r="M613" s="21" t="s">
        <v>1253</v>
      </c>
      <c r="N613" s="48">
        <v>45674</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331</v>
      </c>
      <c r="H614" s="57" t="str">
        <f>Table1[[#This Row],[Tabela]]&amp;Table1[[#This Row],[Campo]]</f>
        <v>modesg_out_empr_info_nfinorigem_flg_nfrd</v>
      </c>
      <c r="I614" s="2" t="s">
        <v>613</v>
      </c>
      <c r="J614" s="43">
        <f>VLOOKUP(Table1[[#This Row],[Status]],Auxiliar!$B$16:$C$24,2,0)</f>
        <v>1</v>
      </c>
      <c r="K614" s="2" t="s">
        <v>1246</v>
      </c>
      <c r="L614" s="29" t="s">
        <v>1252</v>
      </c>
      <c r="M614" s="21" t="s">
        <v>1253</v>
      </c>
      <c r="N614" s="48">
        <v>45667</v>
      </c>
      <c r="O614" s="21">
        <f>INDEX(Auxiliar!$D$5:$F$13,MATCH(Table1[[#This Row],[Tipologia_Testes]],Auxiliar!$B$5:$B$13,0),MATCH(Table1[[#This Row],[Complexidade]],Auxiliar!$D$4:$F$4,0))</f>
        <v>2</v>
      </c>
      <c r="P614" s="175" t="s">
        <v>1278</v>
      </c>
      <c r="Q614" s="2"/>
      <c r="R614" s="152">
        <v>45553</v>
      </c>
      <c r="S614" s="152"/>
      <c r="T614" s="152">
        <v>45553</v>
      </c>
      <c r="U614" s="152">
        <v>45614</v>
      </c>
      <c r="V614" s="152">
        <v>45615</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331</v>
      </c>
      <c r="H615" s="57" t="str">
        <f>Table1[[#This Row],[Tabela]]&amp;Table1[[#This Row],[Campo]]</f>
        <v>modesg_out_empr_info_nfinorigem_flg_nfrd</v>
      </c>
      <c r="I615" s="2" t="s">
        <v>613</v>
      </c>
      <c r="J615" s="43">
        <f>VLOOKUP(Table1[[#This Row],[Status]],Auxiliar!$B$16:$C$24,2,0)</f>
        <v>1</v>
      </c>
      <c r="K615" s="2" t="s">
        <v>1247</v>
      </c>
      <c r="L615" s="29" t="s">
        <v>1252</v>
      </c>
      <c r="M615" s="21" t="s">
        <v>1253</v>
      </c>
      <c r="N615" s="48">
        <v>45667</v>
      </c>
      <c r="O615" s="21">
        <f>INDEX(Auxiliar!$D$5:$F$13,MATCH(Table1[[#This Row],[Tipologia_Testes]],Auxiliar!$B$5:$B$13,0),MATCH(Table1[[#This Row],[Complexidade]],Auxiliar!$D$4:$F$4,0))</f>
        <v>2</v>
      </c>
      <c r="P615" s="175" t="s">
        <v>1278</v>
      </c>
      <c r="Q615" s="2"/>
      <c r="R615" s="152">
        <v>45553</v>
      </c>
      <c r="S615" s="152"/>
      <c r="T615" s="152">
        <v>45553</v>
      </c>
      <c r="U615" s="152">
        <v>45614</v>
      </c>
      <c r="V615" s="152">
        <v>45615</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331</v>
      </c>
      <c r="H616" s="57" t="str">
        <f>Table1[[#This Row],[Tabela]]&amp;Table1[[#This Row],[Campo]]</f>
        <v>modesg_out_empr_info_nfinorigem_flg_nfrd</v>
      </c>
      <c r="I616" s="2" t="s">
        <v>613</v>
      </c>
      <c r="J616" s="43">
        <f>VLOOKUP(Table1[[#This Row],[Status]],Auxiliar!$B$16:$C$24,2,0)</f>
        <v>1</v>
      </c>
      <c r="K616" s="2" t="s">
        <v>1249</v>
      </c>
      <c r="L616" s="29" t="s">
        <v>1252</v>
      </c>
      <c r="M616" s="21" t="s">
        <v>1253</v>
      </c>
      <c r="N616" s="48">
        <v>45667</v>
      </c>
      <c r="O616" s="21">
        <f>INDEX(Auxiliar!$D$5:$F$13,MATCH(Table1[[#This Row],[Tipologia_Testes]],Auxiliar!$B$5:$B$13,0),MATCH(Table1[[#This Row],[Complexidade]],Auxiliar!$D$4:$F$4,0))</f>
        <v>0.1</v>
      </c>
      <c r="P616" s="175" t="s">
        <v>1278</v>
      </c>
      <c r="Q616" s="2"/>
      <c r="R616" s="152">
        <v>45553</v>
      </c>
      <c r="S616" s="152"/>
      <c r="T616" s="152">
        <v>45553</v>
      </c>
      <c r="U616" s="152">
        <v>45614</v>
      </c>
      <c r="V616" s="152">
        <v>45615</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318</v>
      </c>
      <c r="H617" s="57" t="str">
        <f>Table1[[#This Row],[Tabela]]&amp;Table1[[#This Row],[Campo]]</f>
        <v>modesg_out_empr_info_nfinorigem_flg_rsc_fsc_agd</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318</v>
      </c>
      <c r="H618" s="57" t="str">
        <f>Table1[[#This Row],[Tabela]]&amp;Table1[[#This Row],[Campo]]</f>
        <v>modesg_out_empr_info_nfinorigem_flg_rsc_fsc_agd</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318</v>
      </c>
      <c r="H619" s="57" t="str">
        <f>Table1[[#This Row],[Tabela]]&amp;Table1[[#This Row],[Campo]]</f>
        <v>modesg_out_empr_info_nfinorigem_flg_rsc_fsc_agd</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319</v>
      </c>
      <c r="H620" s="57" t="str">
        <f>Table1[[#This Row],[Tabela]]&amp;Table1[[#This Row],[Campo]]</f>
        <v>modesg_out_empr_info_nfinorigem_flg_rsc_fsc_crnc</v>
      </c>
      <c r="I620" s="2" t="s">
        <v>613</v>
      </c>
      <c r="J620" s="43">
        <f>VLOOKUP(Table1[[#This Row],[Status]],Auxiliar!$B$16:$C$24,2,0)</f>
        <v>1</v>
      </c>
      <c r="K620" s="2" t="s">
        <v>1246</v>
      </c>
      <c r="L620" s="29" t="s">
        <v>1252</v>
      </c>
      <c r="M620" s="21" t="s">
        <v>1253</v>
      </c>
      <c r="N620" s="48">
        <v>45649</v>
      </c>
      <c r="O620" s="21">
        <f>INDEX(Auxiliar!$D$5:$F$13,MATCH(Table1[[#This Row],[Tipologia_Testes]],Auxiliar!$B$5:$B$13,0),MATCH(Table1[[#This Row],[Complexidade]],Auxiliar!$D$4:$F$4,0))</f>
        <v>2</v>
      </c>
      <c r="P620" s="2"/>
      <c r="Q620" s="2"/>
      <c r="R620" s="152">
        <v>45569</v>
      </c>
      <c r="S620" s="152"/>
      <c r="T620" s="152">
        <v>45569</v>
      </c>
      <c r="U620" s="152">
        <v>45624</v>
      </c>
      <c r="V620" s="152">
        <v>45639</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319</v>
      </c>
      <c r="H621" s="57" t="str">
        <f>Table1[[#This Row],[Tabela]]&amp;Table1[[#This Row],[Campo]]</f>
        <v>modesg_out_empr_info_nfinorigem_flg_rsc_fsc_crnc</v>
      </c>
      <c r="I621" s="2" t="s">
        <v>613</v>
      </c>
      <c r="J621" s="43">
        <f>VLOOKUP(Table1[[#This Row],[Status]],Auxiliar!$B$16:$C$24,2,0)</f>
        <v>1</v>
      </c>
      <c r="K621" s="2" t="s">
        <v>1247</v>
      </c>
      <c r="L621" s="29" t="s">
        <v>1252</v>
      </c>
      <c r="M621" s="21" t="s">
        <v>1253</v>
      </c>
      <c r="N621" s="48">
        <v>45649</v>
      </c>
      <c r="O621" s="21">
        <f>INDEX(Auxiliar!$D$5:$F$13,MATCH(Table1[[#This Row],[Tipologia_Testes]],Auxiliar!$B$5:$B$13,0),MATCH(Table1[[#This Row],[Complexidade]],Auxiliar!$D$4:$F$4,0))</f>
        <v>2</v>
      </c>
      <c r="P621" s="2"/>
      <c r="Q621" s="2"/>
      <c r="R621" s="152">
        <v>45569</v>
      </c>
      <c r="S621" s="152"/>
      <c r="T621" s="152">
        <v>45569</v>
      </c>
      <c r="U621" s="152">
        <v>45624</v>
      </c>
      <c r="V621" s="152">
        <v>45639</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319</v>
      </c>
      <c r="H622" s="57" t="str">
        <f>Table1[[#This Row],[Tabela]]&amp;Table1[[#This Row],[Campo]]</f>
        <v>modesg_out_empr_info_nfinorigem_flg_rsc_fsc_crnc</v>
      </c>
      <c r="I622" s="2" t="s">
        <v>613</v>
      </c>
      <c r="J622" s="43">
        <f>VLOOKUP(Table1[[#This Row],[Status]],Auxiliar!$B$16:$C$24,2,0)</f>
        <v>1</v>
      </c>
      <c r="K622" s="2" t="s">
        <v>1249</v>
      </c>
      <c r="L622" s="29" t="s">
        <v>1252</v>
      </c>
      <c r="M622" s="21" t="s">
        <v>1253</v>
      </c>
      <c r="N622" s="48">
        <v>45649</v>
      </c>
      <c r="O622" s="21">
        <f>INDEX(Auxiliar!$D$5:$F$13,MATCH(Table1[[#This Row],[Tipologia_Testes]],Auxiliar!$B$5:$B$13,0),MATCH(Table1[[#This Row],[Complexidade]],Auxiliar!$D$4:$F$4,0))</f>
        <v>0.1</v>
      </c>
      <c r="P622" s="2"/>
      <c r="Q622" s="2"/>
      <c r="R622" s="152">
        <v>45569</v>
      </c>
      <c r="S622" s="152"/>
      <c r="T622" s="152">
        <v>45569</v>
      </c>
      <c r="U622" s="152">
        <v>45624</v>
      </c>
      <c r="V622" s="152">
        <v>45639</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320</v>
      </c>
      <c r="H623" s="57" t="str">
        <f>Table1[[#This Row],[Tabela]]&amp;Table1[[#This Row],[Campo]]</f>
        <v>modesg_out_empr_info_nfinorigem_scp1_emss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320</v>
      </c>
      <c r="H624" s="57" t="str">
        <f>Table1[[#This Row],[Tabela]]&amp;Table1[[#This Row],[Campo]]</f>
        <v>modesg_out_empr_info_nfinorigem_scp1_emss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320</v>
      </c>
      <c r="H625" s="57" t="str">
        <f>Table1[[#This Row],[Tabela]]&amp;Table1[[#This Row],[Campo]]</f>
        <v>modesg_out_empr_info_nfinorigem_scp1_emss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321</v>
      </c>
      <c r="H626" s="57" t="str">
        <f>Table1[[#This Row],[Tabela]]&amp;Table1[[#This Row],[Campo]]</f>
        <v>modesg_out_empr_info_nfinorigem_scp2_emss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321</v>
      </c>
      <c r="H627" s="57" t="str">
        <f>Table1[[#This Row],[Tabela]]&amp;Table1[[#This Row],[Campo]]</f>
        <v>modesg_out_empr_info_nfinorigem_scp2_emss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321</v>
      </c>
      <c r="H628" s="57" t="str">
        <f>Table1[[#This Row],[Tabela]]&amp;Table1[[#This Row],[Campo]]</f>
        <v>modesg_out_empr_info_nfinorigem_scp2_emss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322</v>
      </c>
      <c r="H629" s="57" t="str">
        <f>Table1[[#This Row],[Tabela]]&amp;Table1[[#This Row],[Campo]]</f>
        <v>modesg_out_empr_info_nfinorigem_scp3_emss</v>
      </c>
      <c r="I629" s="2" t="s">
        <v>618</v>
      </c>
      <c r="J629" s="43">
        <f>VLOOKUP(Table1[[#This Row],[Status]],Auxiliar!$B$16:$C$24,2,0)</f>
        <v>7</v>
      </c>
      <c r="K629" s="2" t="s">
        <v>1246</v>
      </c>
      <c r="L629" s="29" t="s">
        <v>1252</v>
      </c>
      <c r="M629" s="21" t="s">
        <v>1253</v>
      </c>
      <c r="N629" s="48">
        <v>45667</v>
      </c>
      <c r="O629" s="21">
        <f>INDEX(Auxiliar!$D$5:$F$13,MATCH(Table1[[#This Row],[Tipologia_Testes]],Auxiliar!$B$5:$B$13,0),MATCH(Table1[[#This Row],[Complexidade]],Auxiliar!$D$4:$F$4,0))</f>
        <v>2</v>
      </c>
      <c r="P629" s="2"/>
      <c r="Q629" s="2"/>
      <c r="R629" s="152">
        <v>45569</v>
      </c>
      <c r="S629" s="152"/>
      <c r="T629" s="152">
        <v>45569</v>
      </c>
      <c r="U629" s="152">
        <v>45621</v>
      </c>
      <c r="V629" s="152">
        <v>45622</v>
      </c>
      <c r="W629" s="2">
        <f>VLOOKUP(Table1[[#This Row],[Status]],Auxiliar!$B$16:$D$24,3,0)*Table1[[#This Row],[Estimação (horas)]]</f>
        <v>0.5</v>
      </c>
      <c r="X629" s="2"/>
    </row>
    <row r="630" spans="2:24" ht="17.7" hidden="1" customHeight="1">
      <c r="B630" s="2" t="s">
        <v>26</v>
      </c>
      <c r="C630" s="2" t="s">
        <v>311</v>
      </c>
      <c r="D630" s="2" t="s">
        <v>327</v>
      </c>
      <c r="E630" s="2" t="s">
        <v>38</v>
      </c>
      <c r="F630" s="2" t="s">
        <v>326</v>
      </c>
      <c r="G630" s="2" t="s">
        <v>322</v>
      </c>
      <c r="H630" s="57" t="str">
        <f>Table1[[#This Row],[Tabela]]&amp;Table1[[#This Row],[Campo]]</f>
        <v>modesg_out_empr_info_nfinorigem_scp3_emss</v>
      </c>
      <c r="I630" s="2" t="s">
        <v>618</v>
      </c>
      <c r="J630" s="43">
        <f>VLOOKUP(Table1[[#This Row],[Status]],Auxiliar!$B$16:$C$24,2,0)</f>
        <v>7</v>
      </c>
      <c r="K630" s="2" t="s">
        <v>1247</v>
      </c>
      <c r="L630" s="29" t="s">
        <v>1252</v>
      </c>
      <c r="M630" s="21" t="s">
        <v>1253</v>
      </c>
      <c r="N630" s="48">
        <v>45667</v>
      </c>
      <c r="O630" s="21">
        <f>INDEX(Auxiliar!$D$5:$F$13,MATCH(Table1[[#This Row],[Tipologia_Testes]],Auxiliar!$B$5:$B$13,0),MATCH(Table1[[#This Row],[Complexidade]],Auxiliar!$D$4:$F$4,0))</f>
        <v>2</v>
      </c>
      <c r="P630" s="2"/>
      <c r="Q630" s="2"/>
      <c r="R630" s="152">
        <v>45569</v>
      </c>
      <c r="S630" s="152"/>
      <c r="T630" s="152">
        <v>45569</v>
      </c>
      <c r="U630" s="152">
        <v>45621</v>
      </c>
      <c r="V630" s="152">
        <v>45622</v>
      </c>
      <c r="W630" s="2">
        <f>VLOOKUP(Table1[[#This Row],[Status]],Auxiliar!$B$16:$D$24,3,0)*Table1[[#This Row],[Estimação (horas)]]</f>
        <v>0.5</v>
      </c>
      <c r="X630" s="2"/>
    </row>
    <row r="631" spans="2:24" ht="17.7" hidden="1" customHeight="1">
      <c r="B631" s="2" t="s">
        <v>26</v>
      </c>
      <c r="C631" s="2" t="s">
        <v>311</v>
      </c>
      <c r="D631" s="2" t="s">
        <v>327</v>
      </c>
      <c r="E631" s="2" t="s">
        <v>38</v>
      </c>
      <c r="F631" s="2" t="s">
        <v>326</v>
      </c>
      <c r="G631" s="2" t="s">
        <v>322</v>
      </c>
      <c r="H631" s="57" t="str">
        <f>Table1[[#This Row],[Tabela]]&amp;Table1[[#This Row],[Campo]]</f>
        <v>modesg_out_empr_info_nfinorigem_scp3_emss</v>
      </c>
      <c r="I631" s="2" t="s">
        <v>618</v>
      </c>
      <c r="J631" s="43">
        <f>VLOOKUP(Table1[[#This Row],[Status]],Auxiliar!$B$16:$C$24,2,0)</f>
        <v>7</v>
      </c>
      <c r="K631" s="2" t="s">
        <v>1249</v>
      </c>
      <c r="L631" s="29" t="s">
        <v>1252</v>
      </c>
      <c r="M631" s="21" t="s">
        <v>1253</v>
      </c>
      <c r="N631" s="48">
        <v>45667</v>
      </c>
      <c r="O631" s="21">
        <f>INDEX(Auxiliar!$D$5:$F$13,MATCH(Table1[[#This Row],[Tipologia_Testes]],Auxiliar!$B$5:$B$13,0),MATCH(Table1[[#This Row],[Complexidade]],Auxiliar!$D$4:$F$4,0))</f>
        <v>0.1</v>
      </c>
      <c r="P631" s="2"/>
      <c r="Q631" s="2"/>
      <c r="R631" s="152">
        <v>45569</v>
      </c>
      <c r="S631" s="152"/>
      <c r="T631" s="152">
        <v>45569</v>
      </c>
      <c r="U631" s="152">
        <v>45621</v>
      </c>
      <c r="V631" s="152">
        <v>45622</v>
      </c>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208</v>
      </c>
      <c r="H632" s="57" t="str">
        <f>Table1[[#This Row],[Tabela]]&amp;Table1[[#This Row],[Campo]]</f>
        <v>modesg_out_empr_info_nfinref_date</v>
      </c>
      <c r="I632" s="3" t="s">
        <v>613</v>
      </c>
      <c r="J632" s="55">
        <f>VLOOKUP(Table1[[#This Row],[Status]],Auxiliar!$B$16:$C$24,2,0)</f>
        <v>1</v>
      </c>
      <c r="K632" s="2" t="s">
        <v>1246</v>
      </c>
      <c r="L632" s="29" t="s">
        <v>1252</v>
      </c>
      <c r="M632" s="21" t="s">
        <v>1253</v>
      </c>
      <c r="N632" s="48">
        <v>45485</v>
      </c>
      <c r="O632" s="21">
        <f>INDEX(Auxiliar!$D$5:$F$13,MATCH(Table1[[#This Row],[Tipologia_Testes]],Auxiliar!$B$5:$B$13,0),MATCH(Table1[[#This Row],[Complexidade]],Auxiliar!$D$4:$F$4,0))</f>
        <v>2</v>
      </c>
      <c r="P632" s="2"/>
      <c r="Q632" s="2" t="s">
        <v>1263</v>
      </c>
      <c r="R632" s="152">
        <v>45261</v>
      </c>
      <c r="S632" s="152"/>
      <c r="T632" s="152"/>
      <c r="U632" s="152"/>
      <c r="V632" s="152"/>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208</v>
      </c>
      <c r="H633" s="57" t="str">
        <f>Table1[[#This Row],[Tabela]]&amp;Table1[[#This Row],[Campo]]</f>
        <v>modesg_out_empr_info_nfinref_date</v>
      </c>
      <c r="I633" s="3" t="s">
        <v>613</v>
      </c>
      <c r="J633" s="55">
        <f>VLOOKUP(Table1[[#This Row],[Status]],Auxiliar!$B$16:$C$24,2,0)</f>
        <v>1</v>
      </c>
      <c r="K633" s="2" t="s">
        <v>1247</v>
      </c>
      <c r="L633" s="29" t="s">
        <v>1252</v>
      </c>
      <c r="M633" s="21" t="s">
        <v>1253</v>
      </c>
      <c r="N633" s="48">
        <v>45485</v>
      </c>
      <c r="O633" s="21">
        <f>INDEX(Auxiliar!$D$5:$F$13,MATCH(Table1[[#This Row],[Tipologia_Testes]],Auxiliar!$B$5:$B$13,0),MATCH(Table1[[#This Row],[Complexidade]],Auxiliar!$D$4:$F$4,0))</f>
        <v>2</v>
      </c>
      <c r="P633" s="2"/>
      <c r="Q633" s="2" t="s">
        <v>1263</v>
      </c>
      <c r="R633" s="152">
        <v>45261</v>
      </c>
      <c r="S633" s="152"/>
      <c r="T633" s="152"/>
      <c r="U633" s="152"/>
      <c r="V633" s="152"/>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208</v>
      </c>
      <c r="H634" s="57" t="str">
        <f>Table1[[#This Row],[Tabela]]&amp;Table1[[#This Row],[Campo]]</f>
        <v>modesg_out_empr_info_nfinref_date</v>
      </c>
      <c r="I634" s="3" t="s">
        <v>613</v>
      </c>
      <c r="J634" s="55">
        <f>VLOOKUP(Table1[[#This Row],[Status]],Auxiliar!$B$16:$C$24,2,0)</f>
        <v>1</v>
      </c>
      <c r="K634" s="2" t="s">
        <v>1249</v>
      </c>
      <c r="L634" s="29" t="s">
        <v>1252</v>
      </c>
      <c r="M634" s="21" t="s">
        <v>1253</v>
      </c>
      <c r="N634" s="48">
        <v>45485</v>
      </c>
      <c r="O634" s="21">
        <f>INDEX(Auxiliar!$D$5:$F$13,MATCH(Table1[[#This Row],[Tipologia_Testes]],Auxiliar!$B$5:$B$13,0),MATCH(Table1[[#This Row],[Complexidade]],Auxiliar!$D$4:$F$4,0))</f>
        <v>0.1</v>
      </c>
      <c r="P634" s="2"/>
      <c r="Q634" s="2" t="s">
        <v>1263</v>
      </c>
      <c r="R634" s="152">
        <v>45261</v>
      </c>
      <c r="S634" s="152"/>
      <c r="T634" s="152"/>
      <c r="U634" s="152"/>
      <c r="V634" s="152"/>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286</v>
      </c>
      <c r="H635" s="57" t="str">
        <f>Table1[[#This Row],[Tabela]]&amp;Table1[[#This Row],[Campo]]</f>
        <v>modesg_out_empr_info_nfinscp1_emss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286</v>
      </c>
      <c r="H636" s="57" t="str">
        <f>Table1[[#This Row],[Tabela]]&amp;Table1[[#This Row],[Campo]]</f>
        <v>modesg_out_empr_info_nfinscp1_emss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286</v>
      </c>
      <c r="H637" s="57" t="str">
        <f>Table1[[#This Row],[Tabela]]&amp;Table1[[#This Row],[Campo]]</f>
        <v>modesg_out_empr_info_nfinscp1_emss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287</v>
      </c>
      <c r="H638" s="57" t="str">
        <f>Table1[[#This Row],[Tabela]]&amp;Table1[[#This Row],[Campo]]</f>
        <v>modesg_out_empr_info_nfinscp2_emss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287</v>
      </c>
      <c r="H639" s="57" t="str">
        <f>Table1[[#This Row],[Tabela]]&amp;Table1[[#This Row],[Campo]]</f>
        <v>modesg_out_empr_info_nfinscp2_emss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287</v>
      </c>
      <c r="H640" s="57" t="str">
        <f>Table1[[#This Row],[Tabela]]&amp;Table1[[#This Row],[Campo]]</f>
        <v>modesg_out_empr_info_nfinscp2_emss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288</v>
      </c>
      <c r="H641" s="57" t="str">
        <f>Table1[[#This Row],[Tabela]]&amp;Table1[[#This Row],[Campo]]</f>
        <v>modesg_out_empr_info_nfinscp3_emss</v>
      </c>
      <c r="I641" s="2" t="s">
        <v>618</v>
      </c>
      <c r="J641" s="43">
        <f>VLOOKUP(Table1[[#This Row],[Status]],Auxiliar!$B$16:$C$24,2,0)</f>
        <v>7</v>
      </c>
      <c r="K641" s="2" t="s">
        <v>1246</v>
      </c>
      <c r="L641" s="29" t="s">
        <v>1252</v>
      </c>
      <c r="M641" s="21" t="s">
        <v>1254</v>
      </c>
      <c r="N641" s="48">
        <v>45667</v>
      </c>
      <c r="O641" s="21">
        <f>INDEX(Auxiliar!$D$5:$F$13,MATCH(Table1[[#This Row],[Tipologia_Testes]],Auxiliar!$B$5:$B$13,0),MATCH(Table1[[#This Row],[Complexidade]],Auxiliar!$D$4:$F$4,0))</f>
        <v>4</v>
      </c>
      <c r="P641" s="2"/>
      <c r="Q641" s="2"/>
      <c r="R641" s="152">
        <v>45569</v>
      </c>
      <c r="S641" s="152"/>
      <c r="T641" s="152">
        <v>45569</v>
      </c>
      <c r="U641" s="152">
        <v>45621</v>
      </c>
      <c r="V641" s="152">
        <v>45622</v>
      </c>
      <c r="W641" s="2">
        <f>VLOOKUP(Table1[[#This Row],[Status]],Auxiliar!$B$16:$D$24,3,0)*Table1[[#This Row],[Estimação (horas)]]</f>
        <v>1</v>
      </c>
      <c r="X641" s="2"/>
    </row>
    <row r="642" spans="2:24" ht="17.7" hidden="1" customHeight="1">
      <c r="B642" s="2" t="s">
        <v>26</v>
      </c>
      <c r="C642" s="2" t="s">
        <v>311</v>
      </c>
      <c r="D642" s="2" t="s">
        <v>327</v>
      </c>
      <c r="E642" s="2" t="s">
        <v>38</v>
      </c>
      <c r="F642" s="2" t="s">
        <v>326</v>
      </c>
      <c r="G642" s="2" t="s">
        <v>288</v>
      </c>
      <c r="H642" s="57" t="str">
        <f>Table1[[#This Row],[Tabela]]&amp;Table1[[#This Row],[Campo]]</f>
        <v>modesg_out_empr_info_nfinscp3_emss</v>
      </c>
      <c r="I642" s="2" t="s">
        <v>618</v>
      </c>
      <c r="J642" s="43">
        <f>VLOOKUP(Table1[[#This Row],[Status]],Auxiliar!$B$16:$C$24,2,0)</f>
        <v>7</v>
      </c>
      <c r="K642" s="2" t="s">
        <v>1247</v>
      </c>
      <c r="L642" s="29" t="s">
        <v>1252</v>
      </c>
      <c r="M642" s="21" t="s">
        <v>1254</v>
      </c>
      <c r="N642" s="48">
        <v>45667</v>
      </c>
      <c r="O642" s="21">
        <f>INDEX(Auxiliar!$D$5:$F$13,MATCH(Table1[[#This Row],[Tipologia_Testes]],Auxiliar!$B$5:$B$13,0),MATCH(Table1[[#This Row],[Complexidade]],Auxiliar!$D$4:$F$4,0))</f>
        <v>4</v>
      </c>
      <c r="P642" s="2"/>
      <c r="Q642" s="2"/>
      <c r="R642" s="152">
        <v>45569</v>
      </c>
      <c r="S642" s="152"/>
      <c r="T642" s="152">
        <v>45569</v>
      </c>
      <c r="U642" s="152">
        <v>45621</v>
      </c>
      <c r="V642" s="152">
        <v>45622</v>
      </c>
      <c r="W642" s="2">
        <f>VLOOKUP(Table1[[#This Row],[Status]],Auxiliar!$B$16:$D$24,3,0)*Table1[[#This Row],[Estimação (horas)]]</f>
        <v>1</v>
      </c>
      <c r="X642" s="2"/>
    </row>
    <row r="643" spans="2:24" ht="17.7" hidden="1" customHeight="1">
      <c r="B643" s="2" t="s">
        <v>26</v>
      </c>
      <c r="C643" s="2" t="s">
        <v>311</v>
      </c>
      <c r="D643" s="2" t="s">
        <v>327</v>
      </c>
      <c r="E643" s="2" t="s">
        <v>38</v>
      </c>
      <c r="F643" s="2" t="s">
        <v>326</v>
      </c>
      <c r="G643" s="2" t="s">
        <v>288</v>
      </c>
      <c r="H643" s="57" t="str">
        <f>Table1[[#This Row],[Tabela]]&amp;Table1[[#This Row],[Campo]]</f>
        <v>modesg_out_empr_info_nfinscp3_emss</v>
      </c>
      <c r="I643" s="2" t="s">
        <v>618</v>
      </c>
      <c r="J643" s="43">
        <f>VLOOKUP(Table1[[#This Row],[Status]],Auxiliar!$B$16:$C$24,2,0)</f>
        <v>7</v>
      </c>
      <c r="K643" s="2" t="s">
        <v>1249</v>
      </c>
      <c r="L643" s="29" t="s">
        <v>1252</v>
      </c>
      <c r="M643" s="21" t="s">
        <v>1254</v>
      </c>
      <c r="N643" s="48">
        <v>45667</v>
      </c>
      <c r="O643" s="21">
        <f>INDEX(Auxiliar!$D$5:$F$13,MATCH(Table1[[#This Row],[Tipologia_Testes]],Auxiliar!$B$5:$B$13,0),MATCH(Table1[[#This Row],[Complexidade]],Auxiliar!$D$4:$F$4,0))</f>
        <v>0.1</v>
      </c>
      <c r="P643" s="2"/>
      <c r="Q643" s="2"/>
      <c r="R643" s="152">
        <v>45569</v>
      </c>
      <c r="S643" s="152"/>
      <c r="T643" s="152">
        <v>45569</v>
      </c>
      <c r="U643" s="152">
        <v>45621</v>
      </c>
      <c r="V643" s="152">
        <v>45622</v>
      </c>
      <c r="W643" s="2">
        <f>VLOOKUP(Table1[[#This Row],[Status]],Auxiliar!$B$16:$D$24,3,0)*Table1[[#This Row],[Estimação (horas)]]</f>
        <v>2.5000000000000001E-2</v>
      </c>
      <c r="X643" s="2"/>
    </row>
    <row r="644" spans="2:24" ht="17.7" hidden="1" customHeight="1">
      <c r="B644" s="2" t="s">
        <v>26</v>
      </c>
      <c r="C644" s="2" t="s">
        <v>311</v>
      </c>
      <c r="D644" s="2" t="s">
        <v>327</v>
      </c>
      <c r="E644" s="2" t="s">
        <v>38</v>
      </c>
      <c r="F644" s="2" t="s">
        <v>326</v>
      </c>
      <c r="G644" s="2" t="s">
        <v>209</v>
      </c>
      <c r="H644" s="57" t="str">
        <f>Table1[[#This Row],[Tabela]]&amp;Table1[[#This Row],[Campo]]</f>
        <v>modesg_out_empr_info_nfinzcliente</v>
      </c>
      <c r="I644" s="2" t="s">
        <v>613</v>
      </c>
      <c r="J644" s="55">
        <f>VLOOKUP(Table1[[#This Row],[Status]],Auxiliar!$B$16:$C$24,2,0)</f>
        <v>1</v>
      </c>
      <c r="K644" s="2" t="s">
        <v>1246</v>
      </c>
      <c r="L644" s="29" t="s">
        <v>1252</v>
      </c>
      <c r="M644" s="21" t="s">
        <v>1253</v>
      </c>
      <c r="N644" s="48">
        <v>45561</v>
      </c>
      <c r="O644" s="21">
        <f>INDEX(Auxiliar!$D$5:$F$13,MATCH(Table1[[#This Row],[Tipologia_Testes]],Auxiliar!$B$5:$B$13,0),MATCH(Table1[[#This Row],[Complexidade]],Auxiliar!$D$4:$F$4,0))</f>
        <v>2</v>
      </c>
      <c r="P644" s="2" t="s">
        <v>1279</v>
      </c>
      <c r="Q644" s="2"/>
      <c r="R644" s="152"/>
      <c r="S644" s="152"/>
      <c r="T644" s="152"/>
      <c r="U644" s="152"/>
      <c r="V644" s="152"/>
      <c r="W644" s="2">
        <f>VLOOKUP(Table1[[#This Row],[Status]],Auxiliar!$B$16:$D$24,3,0)*Table1[[#This Row],[Estimação (horas)]]</f>
        <v>2</v>
      </c>
      <c r="X644" s="2"/>
    </row>
    <row r="645" spans="2:24" ht="17.7" hidden="1" customHeight="1">
      <c r="B645" s="2" t="s">
        <v>26</v>
      </c>
      <c r="C645" s="2" t="s">
        <v>311</v>
      </c>
      <c r="D645" s="2" t="s">
        <v>327</v>
      </c>
      <c r="E645" s="2" t="s">
        <v>38</v>
      </c>
      <c r="F645" s="2" t="s">
        <v>326</v>
      </c>
      <c r="G645" s="2" t="s">
        <v>209</v>
      </c>
      <c r="H645" s="57" t="str">
        <f>Table1[[#This Row],[Tabela]]&amp;Table1[[#This Row],[Campo]]</f>
        <v>modesg_out_empr_info_nfinzcliente</v>
      </c>
      <c r="I645" s="2" t="s">
        <v>613</v>
      </c>
      <c r="J645" s="55">
        <f>VLOOKUP(Table1[[#This Row],[Status]],Auxiliar!$B$16:$C$24,2,0)</f>
        <v>1</v>
      </c>
      <c r="K645" s="2" t="s">
        <v>1247</v>
      </c>
      <c r="L645" s="29" t="s">
        <v>1252</v>
      </c>
      <c r="M645" s="21" t="s">
        <v>1253</v>
      </c>
      <c r="N645" s="48">
        <v>45561</v>
      </c>
      <c r="O645" s="21">
        <f>INDEX(Auxiliar!$D$5:$F$13,MATCH(Table1[[#This Row],[Tipologia_Testes]],Auxiliar!$B$5:$B$13,0),MATCH(Table1[[#This Row],[Complexidade]],Auxiliar!$D$4:$F$4,0))</f>
        <v>2</v>
      </c>
      <c r="P645" s="2" t="s">
        <v>1279</v>
      </c>
      <c r="Q645" s="2"/>
      <c r="R645" s="152"/>
      <c r="S645" s="152"/>
      <c r="T645" s="152"/>
      <c r="U645" s="152"/>
      <c r="V645" s="152"/>
      <c r="W645" s="2">
        <f>VLOOKUP(Table1[[#This Row],[Status]],Auxiliar!$B$16:$D$24,3,0)*Table1[[#This Row],[Estimação (horas)]]</f>
        <v>2</v>
      </c>
      <c r="X645" s="2"/>
    </row>
    <row r="646" spans="2:24" ht="17.7" hidden="1" customHeight="1">
      <c r="B646" s="2" t="s">
        <v>26</v>
      </c>
      <c r="C646" s="2" t="s">
        <v>311</v>
      </c>
      <c r="D646" s="2" t="s">
        <v>327</v>
      </c>
      <c r="E646" s="2" t="s">
        <v>38</v>
      </c>
      <c r="F646" s="2" t="s">
        <v>326</v>
      </c>
      <c r="G646" s="2" t="s">
        <v>209</v>
      </c>
      <c r="H646" s="57" t="str">
        <f>Table1[[#This Row],[Tabela]]&amp;Table1[[#This Row],[Campo]]</f>
        <v>modesg_out_empr_info_nfinzcliente</v>
      </c>
      <c r="I646" s="2" t="s">
        <v>613</v>
      </c>
      <c r="J646" s="55">
        <f>VLOOKUP(Table1[[#This Row],[Status]],Auxiliar!$B$16:$C$24,2,0)</f>
        <v>1</v>
      </c>
      <c r="K646" s="2" t="s">
        <v>1249</v>
      </c>
      <c r="L646" s="29" t="s">
        <v>1252</v>
      </c>
      <c r="M646" s="21" t="s">
        <v>1253</v>
      </c>
      <c r="N646" s="48">
        <v>45561</v>
      </c>
      <c r="O646" s="21">
        <f>INDEX(Auxiliar!$D$5:$F$13,MATCH(Table1[[#This Row],[Tipologia_Testes]],Auxiliar!$B$5:$B$13,0),MATCH(Table1[[#This Row],[Complexidade]],Auxiliar!$D$4:$F$4,0))</f>
        <v>0.1</v>
      </c>
      <c r="P646" s="2" t="s">
        <v>1279</v>
      </c>
      <c r="Q646" s="2"/>
      <c r="R646" s="152"/>
      <c r="S646" s="152"/>
      <c r="T646" s="152"/>
      <c r="U646" s="152"/>
      <c r="V646" s="152"/>
      <c r="W646" s="2">
        <f>VLOOKUP(Table1[[#This Row],[Status]],Auxiliar!$B$16:$D$24,3,0)*Table1[[#This Row],[Estimação (horas)]]</f>
        <v>0.1</v>
      </c>
      <c r="X646" s="2"/>
    </row>
    <row r="647" spans="2:24" ht="23.7" hidden="1" customHeight="1">
      <c r="B647" s="2" t="s">
        <v>26</v>
      </c>
      <c r="C647" s="2" t="s">
        <v>311</v>
      </c>
      <c r="D647" s="2" t="s">
        <v>333</v>
      </c>
      <c r="E647" s="2" t="s">
        <v>38</v>
      </c>
      <c r="F647" s="2" t="s">
        <v>332</v>
      </c>
      <c r="G647" s="2" t="s">
        <v>38</v>
      </c>
      <c r="H647" s="57" t="str">
        <f>Table1[[#This Row],[Tabela]]&amp;Table1[[#This Row],[Campo]]</f>
        <v>modesg_out_emss_vclsn.a.</v>
      </c>
      <c r="I647" s="3" t="s">
        <v>613</v>
      </c>
      <c r="J647" s="43">
        <f>VLOOKUP(Table1[[#This Row],[Status]],Auxiliar!$B$16:$C$24,2,0)</f>
        <v>1</v>
      </c>
      <c r="K647" s="2" t="s">
        <v>1243</v>
      </c>
      <c r="L647" s="29" t="s">
        <v>1252</v>
      </c>
      <c r="M647" s="21" t="s">
        <v>1253</v>
      </c>
      <c r="N647" s="48">
        <v>45632</v>
      </c>
      <c r="O647" s="21">
        <f>INDEX(Auxiliar!$D$5:$F$13,MATCH(Table1[[#This Row],[Tipologia_Testes]],Auxiliar!$B$5:$B$13,0),MATCH(Table1[[#This Row],[Complexidade]],Auxiliar!$D$4:$F$4,0))</f>
        <v>8</v>
      </c>
      <c r="P647" s="23" t="s">
        <v>1280</v>
      </c>
      <c r="Q647" s="2"/>
      <c r="R647" s="152">
        <v>45560</v>
      </c>
      <c r="S647" s="152"/>
      <c r="T647" s="152">
        <v>45560</v>
      </c>
      <c r="U647" s="152">
        <v>45607</v>
      </c>
      <c r="V647" s="152">
        <v>45608</v>
      </c>
      <c r="W647" s="2">
        <f>VLOOKUP(Table1[[#This Row],[Status]],Auxiliar!$B$16:$D$24,3,0)*Table1[[#This Row],[Estimação (horas)]]</f>
        <v>8</v>
      </c>
      <c r="X647" s="2"/>
    </row>
    <row r="648" spans="2:24" ht="17.7" hidden="1" customHeight="1">
      <c r="B648" s="2" t="s">
        <v>26</v>
      </c>
      <c r="C648" s="2" t="s">
        <v>311</v>
      </c>
      <c r="D648" s="2" t="s">
        <v>333</v>
      </c>
      <c r="E648" s="2" t="s">
        <v>38</v>
      </c>
      <c r="F648" s="2" t="s">
        <v>332</v>
      </c>
      <c r="G648" s="2" t="s">
        <v>314</v>
      </c>
      <c r="H648" s="57" t="str">
        <f>Table1[[#This Row],[Tabela]]&amp;Table1[[#This Row],[Campo]]</f>
        <v>modesg_out_emss_vclscempbem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314</v>
      </c>
      <c r="H649" s="57" t="str">
        <f>Table1[[#This Row],[Tabela]]&amp;Table1[[#This Row],[Campo]]</f>
        <v>modesg_out_emss_vclscempbem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314</v>
      </c>
      <c r="H650" s="57" t="str">
        <f>Table1[[#This Row],[Tabela]]&amp;Table1[[#This Row],[Campo]]</f>
        <v>modesg_out_emss_vclscempbem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315</v>
      </c>
      <c r="H651" s="57" t="str">
        <f>Table1[[#This Row],[Tabela]]&amp;Table1[[#This Row],[Campo]]</f>
        <v>modesg_out_emss_vclsckbalbem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315</v>
      </c>
      <c r="H652" s="57" t="str">
        <f>Table1[[#This Row],[Tabela]]&amp;Table1[[#This Row],[Campo]]</f>
        <v>modesg_out_emss_vclsckbalbem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315</v>
      </c>
      <c r="H653" s="57" t="str">
        <f>Table1[[#This Row],[Tabela]]&amp;Table1[[#This Row],[Campo]]</f>
        <v>modesg_out_emss_vclsckbalbem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316</v>
      </c>
      <c r="H654" s="57" t="str">
        <f>Table1[[#This Row],[Tabela]]&amp;Table1[[#This Row],[Campo]]</f>
        <v>modesg_out_emss_vclsckctabem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316</v>
      </c>
      <c r="H655" s="57" t="str">
        <f>Table1[[#This Row],[Tabela]]&amp;Table1[[#This Row],[Campo]]</f>
        <v>modesg_out_emss_vclsckctabem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316</v>
      </c>
      <c r="H656" s="57" t="str">
        <f>Table1[[#This Row],[Tabela]]&amp;Table1[[#This Row],[Campo]]</f>
        <v>modesg_out_emss_vclsckctabem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317</v>
      </c>
      <c r="H657" s="57" t="str">
        <f>Table1[[#This Row],[Tabela]]&amp;Table1[[#This Row],[Campo]]</f>
        <v>modesg_out_emss_vclsckrefbem</v>
      </c>
      <c r="I657" s="3" t="s">
        <v>613</v>
      </c>
      <c r="J657" s="55">
        <f>VLOOKUP(Table1[[#This Row],[Status]],Auxiliar!$B$16:$C$24,2,0)</f>
        <v>1</v>
      </c>
      <c r="K657" s="2" t="s">
        <v>1246</v>
      </c>
      <c r="L657" s="29" t="s">
        <v>1252</v>
      </c>
      <c r="M657" s="21" t="s">
        <v>1253</v>
      </c>
      <c r="N657" s="48">
        <v>45485</v>
      </c>
      <c r="O657" s="21">
        <f>INDEX(Auxiliar!$D$5:$F$13,MATCH(Table1[[#This Row],[Tipologia_Testes]],Auxiliar!$B$5:$B$13,0),MATCH(Table1[[#This Row],[Complexidade]],Auxiliar!$D$4:$F$4,0))</f>
        <v>2</v>
      </c>
      <c r="P657" s="2"/>
      <c r="Q657" s="2"/>
      <c r="R657" s="152">
        <v>45261</v>
      </c>
      <c r="S657" s="152"/>
      <c r="T657" s="152"/>
      <c r="U657" s="152"/>
      <c r="V657" s="152"/>
      <c r="W657" s="2">
        <f>VLOOKUP(Table1[[#This Row],[Status]],Auxiliar!$B$16:$D$24,3,0)*Table1[[#This Row],[Estimação (horas)]]</f>
        <v>2</v>
      </c>
      <c r="X657" s="2"/>
    </row>
    <row r="658" spans="2:24" ht="17.7" hidden="1" customHeight="1">
      <c r="B658" s="2" t="s">
        <v>26</v>
      </c>
      <c r="C658" s="2" t="s">
        <v>311</v>
      </c>
      <c r="D658" s="2" t="s">
        <v>333</v>
      </c>
      <c r="E658" s="2" t="s">
        <v>38</v>
      </c>
      <c r="F658" s="2" t="s">
        <v>332</v>
      </c>
      <c r="G658" s="2" t="s">
        <v>317</v>
      </c>
      <c r="H658" s="57" t="str">
        <f>Table1[[#This Row],[Tabela]]&amp;Table1[[#This Row],[Campo]]</f>
        <v>modesg_out_emss_vclsckrefbem</v>
      </c>
      <c r="I658" s="3" t="s">
        <v>613</v>
      </c>
      <c r="J658" s="55">
        <f>VLOOKUP(Table1[[#This Row],[Status]],Auxiliar!$B$16:$C$24,2,0)</f>
        <v>1</v>
      </c>
      <c r="K658" s="2" t="s">
        <v>1247</v>
      </c>
      <c r="L658" s="29" t="s">
        <v>1252</v>
      </c>
      <c r="M658" s="21" t="s">
        <v>1253</v>
      </c>
      <c r="N658" s="48">
        <v>45485</v>
      </c>
      <c r="O658" s="21">
        <f>INDEX(Auxiliar!$D$5:$F$13,MATCH(Table1[[#This Row],[Tipologia_Testes]],Auxiliar!$B$5:$B$13,0),MATCH(Table1[[#This Row],[Complexidade]],Auxiliar!$D$4:$F$4,0))</f>
        <v>2</v>
      </c>
      <c r="P658" s="2"/>
      <c r="Q658" s="2"/>
      <c r="R658" s="152">
        <v>45261</v>
      </c>
      <c r="S658" s="152"/>
      <c r="T658" s="152"/>
      <c r="U658" s="152"/>
      <c r="V658" s="152"/>
      <c r="W658" s="2">
        <f>VLOOKUP(Table1[[#This Row],[Status]],Auxiliar!$B$16:$D$24,3,0)*Table1[[#This Row],[Estimação (horas)]]</f>
        <v>2</v>
      </c>
      <c r="X658" s="2"/>
    </row>
    <row r="659" spans="2:24" ht="17.7" hidden="1" customHeight="1">
      <c r="B659" s="2" t="s">
        <v>26</v>
      </c>
      <c r="C659" s="2" t="s">
        <v>311</v>
      </c>
      <c r="D659" s="2" t="s">
        <v>333</v>
      </c>
      <c r="E659" s="2" t="s">
        <v>38</v>
      </c>
      <c r="F659" s="2" t="s">
        <v>332</v>
      </c>
      <c r="G659" s="2" t="s">
        <v>317</v>
      </c>
      <c r="H659" s="57" t="str">
        <f>Table1[[#This Row],[Tabela]]&amp;Table1[[#This Row],[Campo]]</f>
        <v>modesg_out_emss_vclsckrefbem</v>
      </c>
      <c r="I659" s="3" t="s">
        <v>613</v>
      </c>
      <c r="J659" s="55">
        <f>VLOOKUP(Table1[[#This Row],[Status]],Auxiliar!$B$16:$C$24,2,0)</f>
        <v>1</v>
      </c>
      <c r="K659" s="2" t="s">
        <v>1249</v>
      </c>
      <c r="L659" s="29" t="s">
        <v>1252</v>
      </c>
      <c r="M659" s="21" t="s">
        <v>1253</v>
      </c>
      <c r="N659" s="48">
        <v>45485</v>
      </c>
      <c r="O659" s="21">
        <f>INDEX(Auxiliar!$D$5:$F$13,MATCH(Table1[[#This Row],[Tipologia_Testes]],Auxiliar!$B$5:$B$13,0),MATCH(Table1[[#This Row],[Complexidade]],Auxiliar!$D$4:$F$4,0))</f>
        <v>0.1</v>
      </c>
      <c r="P659" s="2"/>
      <c r="Q659" s="2"/>
      <c r="R659" s="152">
        <v>45261</v>
      </c>
      <c r="S659" s="152"/>
      <c r="T659" s="152"/>
      <c r="U659" s="152"/>
      <c r="V659" s="152"/>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188</v>
      </c>
      <c r="H660" s="57" t="str">
        <f>Table1[[#This Row],[Tabela]]&amp;Table1[[#This Row],[Campo]]</f>
        <v>modesg_out_emss_vclscnsm_co2</v>
      </c>
      <c r="I660" s="2" t="s">
        <v>613</v>
      </c>
      <c r="J660" s="43">
        <f>VLOOKUP(Table1[[#This Row],[Status]],Auxiliar!$B$16:$C$24,2,0)</f>
        <v>1</v>
      </c>
      <c r="K660" s="2" t="s">
        <v>1246</v>
      </c>
      <c r="L660" s="29" t="s">
        <v>1244</v>
      </c>
      <c r="M660" s="21" t="s">
        <v>1254</v>
      </c>
      <c r="N660" s="48">
        <v>45618</v>
      </c>
      <c r="O660" s="21">
        <f>INDEX(Auxiliar!$D$5:$F$13,MATCH(Table1[[#This Row],[Tipologia_Testes]],Auxiliar!$B$5:$B$13,0),MATCH(Table1[[#This Row],[Complexidade]],Auxiliar!$D$4:$F$4,0))</f>
        <v>4</v>
      </c>
      <c r="P660" s="2" t="s">
        <v>1281</v>
      </c>
      <c r="Q660" s="2"/>
      <c r="R660" s="152">
        <v>45559</v>
      </c>
      <c r="S660" s="152"/>
      <c r="T660" s="152">
        <v>45559</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188</v>
      </c>
      <c r="H661" s="57" t="str">
        <f>Table1[[#This Row],[Tabela]]&amp;Table1[[#This Row],[Campo]]</f>
        <v>modesg_out_emss_vclscnsm_co2</v>
      </c>
      <c r="I661" s="2" t="s">
        <v>613</v>
      </c>
      <c r="J661" s="43">
        <f>VLOOKUP(Table1[[#This Row],[Status]],Auxiliar!$B$16:$C$24,2,0)</f>
        <v>1</v>
      </c>
      <c r="K661" s="2" t="s">
        <v>1247</v>
      </c>
      <c r="L661" s="29" t="s">
        <v>1244</v>
      </c>
      <c r="M661" s="21" t="s">
        <v>1254</v>
      </c>
      <c r="N661" s="48">
        <v>45618</v>
      </c>
      <c r="O661" s="21">
        <f>INDEX(Auxiliar!$D$5:$F$13,MATCH(Table1[[#This Row],[Tipologia_Testes]],Auxiliar!$B$5:$B$13,0),MATCH(Table1[[#This Row],[Complexidade]],Auxiliar!$D$4:$F$4,0))</f>
        <v>4</v>
      </c>
      <c r="P661" s="2" t="s">
        <v>1281</v>
      </c>
      <c r="Q661" s="2"/>
      <c r="R661" s="152">
        <v>45559</v>
      </c>
      <c r="S661" s="152"/>
      <c r="T661" s="152">
        <v>45559</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188</v>
      </c>
      <c r="H662" s="57" t="str">
        <f>Table1[[#This Row],[Tabela]]&amp;Table1[[#This Row],[Campo]]</f>
        <v>modesg_out_emss_vclscnsm_co2</v>
      </c>
      <c r="I662" s="2" t="s">
        <v>613</v>
      </c>
      <c r="J662" s="43">
        <f>VLOOKUP(Table1[[#This Row],[Status]],Auxiliar!$B$16:$C$24,2,0)</f>
        <v>1</v>
      </c>
      <c r="K662" s="2" t="s">
        <v>1249</v>
      </c>
      <c r="L662" s="29" t="s">
        <v>1244</v>
      </c>
      <c r="M662" s="21" t="s">
        <v>1254</v>
      </c>
      <c r="N662" s="48">
        <v>45618</v>
      </c>
      <c r="O662" s="21">
        <f>INDEX(Auxiliar!$D$5:$F$13,MATCH(Table1[[#This Row],[Tipologia_Testes]],Auxiliar!$B$5:$B$13,0),MATCH(Table1[[#This Row],[Complexidade]],Auxiliar!$D$4:$F$4,0))</f>
        <v>0.1</v>
      </c>
      <c r="P662" s="2" t="s">
        <v>1281</v>
      </c>
      <c r="Q662" s="2"/>
      <c r="R662" s="152">
        <v>45559</v>
      </c>
      <c r="S662" s="152"/>
      <c r="T662" s="152">
        <v>45559</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320</v>
      </c>
      <c r="H663" s="57" t="str">
        <f>Table1[[#This Row],[Tabela]]&amp;Table1[[#This Row],[Campo]]</f>
        <v>modesg_out_emss_vclsorigem_scp1_emss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320</v>
      </c>
      <c r="H664" s="57" t="str">
        <f>Table1[[#This Row],[Tabela]]&amp;Table1[[#This Row],[Campo]]</f>
        <v>modesg_out_emss_vclsorigem_scp1_emss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320</v>
      </c>
      <c r="H665" s="57" t="str">
        <f>Table1[[#This Row],[Tabela]]&amp;Table1[[#This Row],[Campo]]</f>
        <v>modesg_out_emss_vclsorigem_scp1_emss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321</v>
      </c>
      <c r="H666" s="57" t="str">
        <f>Table1[[#This Row],[Tabela]]&amp;Table1[[#This Row],[Campo]]</f>
        <v>modesg_out_emss_vclsorigem_scp2_emss</v>
      </c>
      <c r="I666" s="2" t="s">
        <v>613</v>
      </c>
      <c r="J666" s="43">
        <f>VLOOKUP(Table1[[#This Row],[Status]],Auxiliar!$B$16:$C$24,2,0)</f>
        <v>1</v>
      </c>
      <c r="K666" s="2" t="s">
        <v>1246</v>
      </c>
      <c r="L666" s="29" t="s">
        <v>1244</v>
      </c>
      <c r="M666" s="21" t="s">
        <v>1254</v>
      </c>
      <c r="N666" s="48">
        <v>45632</v>
      </c>
      <c r="O666" s="21">
        <f>INDEX(Auxiliar!$D$5:$F$13,MATCH(Table1[[#This Row],[Tipologia_Testes]],Auxiliar!$B$5:$B$13,0),MATCH(Table1[[#This Row],[Complexidade]],Auxiliar!$D$4:$F$4,0))</f>
        <v>4</v>
      </c>
      <c r="P666" s="2"/>
      <c r="Q666" s="2"/>
      <c r="R666" s="152">
        <v>45566</v>
      </c>
      <c r="S666" s="152"/>
      <c r="T666" s="152">
        <v>45621</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321</v>
      </c>
      <c r="H667" s="57" t="str">
        <f>Table1[[#This Row],[Tabela]]&amp;Table1[[#This Row],[Campo]]</f>
        <v>modesg_out_emss_vclsorigem_scp2_emss</v>
      </c>
      <c r="I667" s="2" t="s">
        <v>613</v>
      </c>
      <c r="J667" s="43">
        <f>VLOOKUP(Table1[[#This Row],[Status]],Auxiliar!$B$16:$C$24,2,0)</f>
        <v>1</v>
      </c>
      <c r="K667" s="2" t="s">
        <v>1247</v>
      </c>
      <c r="L667" s="29" t="s">
        <v>1244</v>
      </c>
      <c r="M667" s="21" t="s">
        <v>1254</v>
      </c>
      <c r="N667" s="48">
        <v>45632</v>
      </c>
      <c r="O667" s="21">
        <f>INDEX(Auxiliar!$D$5:$F$13,MATCH(Table1[[#This Row],[Tipologia_Testes]],Auxiliar!$B$5:$B$13,0),MATCH(Table1[[#This Row],[Complexidade]],Auxiliar!$D$4:$F$4,0))</f>
        <v>4</v>
      </c>
      <c r="P667" s="2"/>
      <c r="Q667" s="2"/>
      <c r="R667" s="152">
        <v>45566</v>
      </c>
      <c r="S667" s="152"/>
      <c r="T667" s="152">
        <v>45621</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321</v>
      </c>
      <c r="H668" s="57" t="str">
        <f>Table1[[#This Row],[Tabela]]&amp;Table1[[#This Row],[Campo]]</f>
        <v>modesg_out_emss_vclsorigem_scp2_emss</v>
      </c>
      <c r="I668" s="2" t="s">
        <v>613</v>
      </c>
      <c r="J668" s="43">
        <f>VLOOKUP(Table1[[#This Row],[Status]],Auxiliar!$B$16:$C$24,2,0)</f>
        <v>1</v>
      </c>
      <c r="K668" s="2" t="s">
        <v>1249</v>
      </c>
      <c r="L668" s="29" t="s">
        <v>1244</v>
      </c>
      <c r="M668" s="21" t="s">
        <v>1254</v>
      </c>
      <c r="N668" s="48">
        <v>45632</v>
      </c>
      <c r="O668" s="21">
        <f>INDEX(Auxiliar!$D$5:$F$13,MATCH(Table1[[#This Row],[Tipologia_Testes]],Auxiliar!$B$5:$B$13,0),MATCH(Table1[[#This Row],[Complexidade]],Auxiliar!$D$4:$F$4,0))</f>
        <v>0.1</v>
      </c>
      <c r="P668" s="2"/>
      <c r="Q668" s="2"/>
      <c r="R668" s="152">
        <v>45566</v>
      </c>
      <c r="S668" s="152"/>
      <c r="T668" s="152">
        <v>45621</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322</v>
      </c>
      <c r="H669" s="57" t="str">
        <f>Table1[[#This Row],[Tabela]]&amp;Table1[[#This Row],[Campo]]</f>
        <v>modesg_out_emss_vclsorigem_scp3_emss</v>
      </c>
      <c r="I669" s="2" t="s">
        <v>613</v>
      </c>
      <c r="J669" s="43">
        <f>VLOOKUP(Table1[[#This Row],[Status]],Auxiliar!$B$16:$C$24,2,0)</f>
        <v>1</v>
      </c>
      <c r="K669" s="2" t="s">
        <v>1246</v>
      </c>
      <c r="L669" s="29" t="s">
        <v>1244</v>
      </c>
      <c r="M669" s="21" t="s">
        <v>1254</v>
      </c>
      <c r="N669" s="48">
        <v>45618</v>
      </c>
      <c r="O669" s="21">
        <f>INDEX(Auxiliar!$D$5:$F$13,MATCH(Table1[[#This Row],[Tipologia_Testes]],Auxiliar!$B$5:$B$13,0),MATCH(Table1[[#This Row],[Complexidade]],Auxiliar!$D$4:$F$4,0))</f>
        <v>4</v>
      </c>
      <c r="P669" s="2"/>
      <c r="Q669" s="2"/>
      <c r="R669" s="152">
        <v>45566</v>
      </c>
      <c r="S669" s="152"/>
      <c r="T669" s="152">
        <v>45569</v>
      </c>
      <c r="U669" s="152">
        <v>45607</v>
      </c>
      <c r="V669" s="152">
        <v>45608</v>
      </c>
      <c r="W669" s="2">
        <f>VLOOKUP(Table1[[#This Row],[Status]],Auxiliar!$B$16:$D$24,3,0)*Table1[[#This Row],[Estimação (horas)]]</f>
        <v>4</v>
      </c>
      <c r="X669" s="2"/>
    </row>
    <row r="670" spans="2:24" ht="17.7" hidden="1" customHeight="1">
      <c r="B670" s="2" t="s">
        <v>26</v>
      </c>
      <c r="C670" s="2" t="s">
        <v>311</v>
      </c>
      <c r="D670" s="2" t="s">
        <v>333</v>
      </c>
      <c r="E670" s="2" t="s">
        <v>38</v>
      </c>
      <c r="F670" s="2" t="s">
        <v>332</v>
      </c>
      <c r="G670" s="2" t="s">
        <v>322</v>
      </c>
      <c r="H670" s="57" t="str">
        <f>Table1[[#This Row],[Tabela]]&amp;Table1[[#This Row],[Campo]]</f>
        <v>modesg_out_emss_vclsorigem_scp3_emss</v>
      </c>
      <c r="I670" s="2" t="s">
        <v>613</v>
      </c>
      <c r="J670" s="43">
        <f>VLOOKUP(Table1[[#This Row],[Status]],Auxiliar!$B$16:$C$24,2,0)</f>
        <v>1</v>
      </c>
      <c r="K670" s="2" t="s">
        <v>1247</v>
      </c>
      <c r="L670" s="29" t="s">
        <v>1244</v>
      </c>
      <c r="M670" s="21" t="s">
        <v>1254</v>
      </c>
      <c r="N670" s="48">
        <v>45618</v>
      </c>
      <c r="O670" s="21">
        <f>INDEX(Auxiliar!$D$5:$F$13,MATCH(Table1[[#This Row],[Tipologia_Testes]],Auxiliar!$B$5:$B$13,0),MATCH(Table1[[#This Row],[Complexidade]],Auxiliar!$D$4:$F$4,0))</f>
        <v>4</v>
      </c>
      <c r="P670" s="2"/>
      <c r="Q670" s="2"/>
      <c r="R670" s="152">
        <v>45566</v>
      </c>
      <c r="S670" s="152"/>
      <c r="T670" s="152">
        <v>45569</v>
      </c>
      <c r="U670" s="152">
        <v>45607</v>
      </c>
      <c r="V670" s="152">
        <v>45608</v>
      </c>
      <c r="W670" s="2">
        <f>VLOOKUP(Table1[[#This Row],[Status]],Auxiliar!$B$16:$D$24,3,0)*Table1[[#This Row],[Estimação (horas)]]</f>
        <v>4</v>
      </c>
      <c r="X670" s="2"/>
    </row>
    <row r="671" spans="2:24" ht="17.7" hidden="1" customHeight="1">
      <c r="B671" s="2" t="s">
        <v>26</v>
      </c>
      <c r="C671" s="2" t="s">
        <v>311</v>
      </c>
      <c r="D671" s="2" t="s">
        <v>333</v>
      </c>
      <c r="E671" s="2" t="s">
        <v>38</v>
      </c>
      <c r="F671" s="2" t="s">
        <v>332</v>
      </c>
      <c r="G671" s="2" t="s">
        <v>322</v>
      </c>
      <c r="H671" s="57" t="str">
        <f>Table1[[#This Row],[Tabela]]&amp;Table1[[#This Row],[Campo]]</f>
        <v>modesg_out_emss_vclsorigem_scp3_emss</v>
      </c>
      <c r="I671" s="2" t="s">
        <v>613</v>
      </c>
      <c r="J671" s="43">
        <f>VLOOKUP(Table1[[#This Row],[Status]],Auxiliar!$B$16:$C$24,2,0)</f>
        <v>1</v>
      </c>
      <c r="K671" s="2" t="s">
        <v>1249</v>
      </c>
      <c r="L671" s="29" t="s">
        <v>1244</v>
      </c>
      <c r="M671" s="21" t="s">
        <v>1254</v>
      </c>
      <c r="N671" s="48">
        <v>45618</v>
      </c>
      <c r="O671" s="21">
        <f>INDEX(Auxiliar!$D$5:$F$13,MATCH(Table1[[#This Row],[Tipologia_Testes]],Auxiliar!$B$5:$B$13,0),MATCH(Table1[[#This Row],[Complexidade]],Auxiliar!$D$4:$F$4,0))</f>
        <v>0.1</v>
      </c>
      <c r="P671" s="2"/>
      <c r="Q671" s="2"/>
      <c r="R671" s="152">
        <v>45566</v>
      </c>
      <c r="S671" s="152"/>
      <c r="T671" s="152">
        <v>45569</v>
      </c>
      <c r="U671" s="152">
        <v>45607</v>
      </c>
      <c r="V671" s="152">
        <v>45608</v>
      </c>
      <c r="W671" s="2">
        <f>VLOOKUP(Table1[[#This Row],[Status]],Auxiliar!$B$16:$D$24,3,0)*Table1[[#This Row],[Estimação (horas)]]</f>
        <v>0.1</v>
      </c>
      <c r="X671" s="2"/>
    </row>
    <row r="672" spans="2:24" ht="17.7" hidden="1" customHeight="1">
      <c r="B672" s="2" t="s">
        <v>26</v>
      </c>
      <c r="C672" s="2" t="s">
        <v>311</v>
      </c>
      <c r="D672" s="2" t="s">
        <v>333</v>
      </c>
      <c r="E672" s="2" t="s">
        <v>38</v>
      </c>
      <c r="F672" s="2" t="s">
        <v>332</v>
      </c>
      <c r="G672" s="2" t="s">
        <v>208</v>
      </c>
      <c r="H672" s="57" t="str">
        <f>Table1[[#This Row],[Tabela]]&amp;Table1[[#This Row],[Campo]]</f>
        <v>modesg_out_emss_vclsref_date</v>
      </c>
      <c r="I672" s="3" t="s">
        <v>613</v>
      </c>
      <c r="J672" s="55">
        <f>VLOOKUP(Table1[[#This Row],[Status]],Auxiliar!$B$16:$C$24,2,0)</f>
        <v>1</v>
      </c>
      <c r="K672" s="2" t="s">
        <v>1246</v>
      </c>
      <c r="L672" s="29" t="s">
        <v>1252</v>
      </c>
      <c r="M672" s="21" t="s">
        <v>1253</v>
      </c>
      <c r="N672" s="48">
        <v>45485</v>
      </c>
      <c r="O672" s="21">
        <f>INDEX(Auxiliar!$D$5:$F$13,MATCH(Table1[[#This Row],[Tipologia_Testes]],Auxiliar!$B$5:$B$13,0),MATCH(Table1[[#This Row],[Complexidade]],Auxiliar!$D$4:$F$4,0))</f>
        <v>2</v>
      </c>
      <c r="P672" s="2"/>
      <c r="Q672" s="2"/>
      <c r="R672" s="152">
        <v>45261</v>
      </c>
      <c r="S672" s="152"/>
      <c r="T672" s="152"/>
      <c r="U672" s="152"/>
      <c r="V672" s="152"/>
      <c r="W672" s="2">
        <f>VLOOKUP(Table1[[#This Row],[Status]],Auxiliar!$B$16:$D$24,3,0)*Table1[[#This Row],[Estimação (horas)]]</f>
        <v>2</v>
      </c>
      <c r="X672" s="2"/>
    </row>
    <row r="673" spans="2:24" ht="17.7" hidden="1" customHeight="1">
      <c r="B673" s="2" t="s">
        <v>26</v>
      </c>
      <c r="C673" s="2" t="s">
        <v>311</v>
      </c>
      <c r="D673" s="2" t="s">
        <v>333</v>
      </c>
      <c r="E673" s="2" t="s">
        <v>38</v>
      </c>
      <c r="F673" s="2" t="s">
        <v>332</v>
      </c>
      <c r="G673" s="2" t="s">
        <v>208</v>
      </c>
      <c r="H673" s="57" t="str">
        <f>Table1[[#This Row],[Tabela]]&amp;Table1[[#This Row],[Campo]]</f>
        <v>modesg_out_emss_vclsref_date</v>
      </c>
      <c r="I673" s="3" t="s">
        <v>613</v>
      </c>
      <c r="J673" s="55">
        <f>VLOOKUP(Table1[[#This Row],[Status]],Auxiliar!$B$16:$C$24,2,0)</f>
        <v>1</v>
      </c>
      <c r="K673" s="2" t="s">
        <v>1247</v>
      </c>
      <c r="L673" s="29" t="s">
        <v>1252</v>
      </c>
      <c r="M673" s="21" t="s">
        <v>1253</v>
      </c>
      <c r="N673" s="48">
        <v>45485</v>
      </c>
      <c r="O673" s="21">
        <f>INDEX(Auxiliar!$D$5:$F$13,MATCH(Table1[[#This Row],[Tipologia_Testes]],Auxiliar!$B$5:$B$13,0),MATCH(Table1[[#This Row],[Complexidade]],Auxiliar!$D$4:$F$4,0))</f>
        <v>2</v>
      </c>
      <c r="P673" s="2"/>
      <c r="Q673" s="2"/>
      <c r="R673" s="152">
        <v>45261</v>
      </c>
      <c r="S673" s="152"/>
      <c r="T673" s="152"/>
      <c r="U673" s="152"/>
      <c r="V673" s="152"/>
      <c r="W673" s="2">
        <f>VLOOKUP(Table1[[#This Row],[Status]],Auxiliar!$B$16:$D$24,3,0)*Table1[[#This Row],[Estimação (horas)]]</f>
        <v>2</v>
      </c>
      <c r="X673" s="2"/>
    </row>
    <row r="674" spans="2:24" ht="17.7" hidden="1" customHeight="1">
      <c r="B674" s="2" t="s">
        <v>26</v>
      </c>
      <c r="C674" s="2" t="s">
        <v>311</v>
      </c>
      <c r="D674" s="2" t="s">
        <v>333</v>
      </c>
      <c r="E674" s="2" t="s">
        <v>38</v>
      </c>
      <c r="F674" s="2" t="s">
        <v>332</v>
      </c>
      <c r="G674" s="2" t="s">
        <v>208</v>
      </c>
      <c r="H674" s="57" t="str">
        <f>Table1[[#This Row],[Tabela]]&amp;Table1[[#This Row],[Campo]]</f>
        <v>modesg_out_emss_vclsref_date</v>
      </c>
      <c r="I674" s="3" t="s">
        <v>613</v>
      </c>
      <c r="J674" s="55">
        <f>VLOOKUP(Table1[[#This Row],[Status]],Auxiliar!$B$16:$C$24,2,0)</f>
        <v>1</v>
      </c>
      <c r="K674" s="2" t="s">
        <v>1249</v>
      </c>
      <c r="L674" s="29" t="s">
        <v>1252</v>
      </c>
      <c r="M674" s="21" t="s">
        <v>1253</v>
      </c>
      <c r="N674" s="48">
        <v>45485</v>
      </c>
      <c r="O674" s="21">
        <f>INDEX(Auxiliar!$D$5:$F$13,MATCH(Table1[[#This Row],[Tipologia_Testes]],Auxiliar!$B$5:$B$13,0),MATCH(Table1[[#This Row],[Complexidade]],Auxiliar!$D$4:$F$4,0))</f>
        <v>0.1</v>
      </c>
      <c r="P674" s="2"/>
      <c r="Q674" s="2"/>
      <c r="R674" s="152">
        <v>45261</v>
      </c>
      <c r="S674" s="152"/>
      <c r="T674" s="152"/>
      <c r="U674" s="152"/>
      <c r="V674" s="152"/>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286</v>
      </c>
      <c r="H675" s="57" t="str">
        <f>Table1[[#This Row],[Tabela]]&amp;Table1[[#This Row],[Campo]]</f>
        <v>modesg_out_emss_vclsscp1_emss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286</v>
      </c>
      <c r="H676" s="57" t="str">
        <f>Table1[[#This Row],[Tabela]]&amp;Table1[[#This Row],[Campo]]</f>
        <v>modesg_out_emss_vclsscp1_emss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286</v>
      </c>
      <c r="H677" s="57" t="str">
        <f>Table1[[#This Row],[Tabela]]&amp;Table1[[#This Row],[Campo]]</f>
        <v>modesg_out_emss_vclsscp1_emss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287</v>
      </c>
      <c r="H678" s="57" t="str">
        <f>Table1[[#This Row],[Tabela]]&amp;Table1[[#This Row],[Campo]]</f>
        <v>modesg_out_emss_vclsscp2_emss</v>
      </c>
      <c r="I678" s="3" t="s">
        <v>613</v>
      </c>
      <c r="J678" s="43">
        <f>VLOOKUP(Table1[[#This Row],[Status]],Auxiliar!$B$16:$C$24,2,0)</f>
        <v>1</v>
      </c>
      <c r="K678" s="2" t="s">
        <v>1246</v>
      </c>
      <c r="L678" s="29" t="s">
        <v>1244</v>
      </c>
      <c r="M678" s="21" t="s">
        <v>1245</v>
      </c>
      <c r="N678" s="48">
        <v>45632</v>
      </c>
      <c r="O678" s="21">
        <f>INDEX(Auxiliar!$D$5:$F$13,MATCH(Table1[[#This Row],[Tipologia_Testes]],Auxiliar!$B$5:$B$13,0),MATCH(Table1[[#This Row],[Complexidade]],Auxiliar!$D$4:$F$4,0))</f>
        <v>8</v>
      </c>
      <c r="P678" s="23" t="s">
        <v>1282</v>
      </c>
      <c r="Q678" s="2"/>
      <c r="R678" s="152">
        <v>45566</v>
      </c>
      <c r="S678" s="152"/>
      <c r="T678" s="152">
        <v>45621</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287</v>
      </c>
      <c r="H679" s="57" t="str">
        <f>Table1[[#This Row],[Tabela]]&amp;Table1[[#This Row],[Campo]]</f>
        <v>modesg_out_emss_vclsscp2_emss</v>
      </c>
      <c r="I679" s="3" t="s">
        <v>613</v>
      </c>
      <c r="J679" s="43">
        <f>VLOOKUP(Table1[[#This Row],[Status]],Auxiliar!$B$16:$C$24,2,0)</f>
        <v>1</v>
      </c>
      <c r="K679" s="2" t="s">
        <v>1247</v>
      </c>
      <c r="L679" s="29" t="s">
        <v>1244</v>
      </c>
      <c r="M679" s="21" t="s">
        <v>1245</v>
      </c>
      <c r="N679" s="48">
        <v>45632</v>
      </c>
      <c r="O679" s="21">
        <f>INDEX(Auxiliar!$D$5:$F$13,MATCH(Table1[[#This Row],[Tipologia_Testes]],Auxiliar!$B$5:$B$13,0),MATCH(Table1[[#This Row],[Complexidade]],Auxiliar!$D$4:$F$4,0))</f>
        <v>8</v>
      </c>
      <c r="P679" s="23" t="s">
        <v>1282</v>
      </c>
      <c r="Q679" s="2"/>
      <c r="R679" s="152">
        <v>45566</v>
      </c>
      <c r="S679" s="152"/>
      <c r="T679" s="152">
        <v>45621</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287</v>
      </c>
      <c r="H680" s="57" t="str">
        <f>Table1[[#This Row],[Tabela]]&amp;Table1[[#This Row],[Campo]]</f>
        <v>modesg_out_emss_vclsscp2_emss</v>
      </c>
      <c r="I680" s="3" t="s">
        <v>613</v>
      </c>
      <c r="J680" s="43">
        <f>VLOOKUP(Table1[[#This Row],[Status]],Auxiliar!$B$16:$C$24,2,0)</f>
        <v>1</v>
      </c>
      <c r="K680" s="2" t="s">
        <v>1249</v>
      </c>
      <c r="L680" s="29" t="s">
        <v>1244</v>
      </c>
      <c r="M680" s="21" t="s">
        <v>1245</v>
      </c>
      <c r="N680" s="48">
        <v>45632</v>
      </c>
      <c r="O680" s="21">
        <f>INDEX(Auxiliar!$D$5:$F$13,MATCH(Table1[[#This Row],[Tipologia_Testes]],Auxiliar!$B$5:$B$13,0),MATCH(Table1[[#This Row],[Complexidade]],Auxiliar!$D$4:$F$4,0))</f>
        <v>0.1</v>
      </c>
      <c r="P680" s="23" t="s">
        <v>1282</v>
      </c>
      <c r="Q680" s="2"/>
      <c r="R680" s="152">
        <v>45566</v>
      </c>
      <c r="S680" s="152"/>
      <c r="T680" s="152">
        <v>45621</v>
      </c>
      <c r="U680" s="152">
        <v>45607</v>
      </c>
      <c r="V680" s="152">
        <v>45608</v>
      </c>
      <c r="W680" s="2">
        <f>VLOOKUP(Table1[[#This Row],[Status]],Auxiliar!$B$16:$D$24,3,0)*Table1[[#This Row],[Estimação (horas)]]</f>
        <v>0.1</v>
      </c>
      <c r="X680" s="2"/>
    </row>
    <row r="681" spans="2:24" ht="69.599999999999994" hidden="1" customHeight="1">
      <c r="B681" s="2" t="s">
        <v>26</v>
      </c>
      <c r="C681" s="2" t="s">
        <v>311</v>
      </c>
      <c r="D681" s="2" t="s">
        <v>333</v>
      </c>
      <c r="E681" s="2" t="s">
        <v>38</v>
      </c>
      <c r="F681" s="2" t="s">
        <v>332</v>
      </c>
      <c r="G681" s="2" t="s">
        <v>288</v>
      </c>
      <c r="H681" s="57" t="str">
        <f>Table1[[#This Row],[Tabela]]&amp;Table1[[#This Row],[Campo]]</f>
        <v>modesg_out_emss_vclsscp3_emss</v>
      </c>
      <c r="I681" s="2" t="s">
        <v>613</v>
      </c>
      <c r="J681" s="43">
        <f>VLOOKUP(Table1[[#This Row],[Status]],Auxiliar!$B$16:$C$24,2,0)</f>
        <v>1</v>
      </c>
      <c r="K681" s="2" t="s">
        <v>1246</v>
      </c>
      <c r="L681" s="29" t="s">
        <v>1244</v>
      </c>
      <c r="M681" s="21" t="s">
        <v>1245</v>
      </c>
      <c r="N681" s="48">
        <v>45618</v>
      </c>
      <c r="O681" s="21">
        <f>INDEX(Auxiliar!$D$5:$F$13,MATCH(Table1[[#This Row],[Tipologia_Testes]],Auxiliar!$B$5:$B$13,0),MATCH(Table1[[#This Row],[Complexidade]],Auxiliar!$D$4:$F$4,0))</f>
        <v>8</v>
      </c>
      <c r="P681" s="23" t="s">
        <v>1282</v>
      </c>
      <c r="Q681" s="2"/>
      <c r="R681" s="152">
        <v>45566</v>
      </c>
      <c r="S681" s="152"/>
      <c r="T681" s="152">
        <v>45569</v>
      </c>
      <c r="U681" s="152">
        <v>45607</v>
      </c>
      <c r="V681" s="152">
        <v>45608</v>
      </c>
      <c r="W681" s="2">
        <f>VLOOKUP(Table1[[#This Row],[Status]],Auxiliar!$B$16:$D$24,3,0)*Table1[[#This Row],[Estimação (horas)]]</f>
        <v>8</v>
      </c>
      <c r="X681" s="2"/>
    </row>
    <row r="682" spans="2:24" ht="69.599999999999994" hidden="1" customHeight="1">
      <c r="B682" s="2" t="s">
        <v>26</v>
      </c>
      <c r="C682" s="2" t="s">
        <v>311</v>
      </c>
      <c r="D682" s="2" t="s">
        <v>333</v>
      </c>
      <c r="E682" s="2" t="s">
        <v>38</v>
      </c>
      <c r="F682" s="2" t="s">
        <v>332</v>
      </c>
      <c r="G682" s="2" t="s">
        <v>288</v>
      </c>
      <c r="H682" s="57" t="str">
        <f>Table1[[#This Row],[Tabela]]&amp;Table1[[#This Row],[Campo]]</f>
        <v>modesg_out_emss_vclsscp3_emss</v>
      </c>
      <c r="I682" s="2" t="s">
        <v>613</v>
      </c>
      <c r="J682" s="43">
        <f>VLOOKUP(Table1[[#This Row],[Status]],Auxiliar!$B$16:$C$24,2,0)</f>
        <v>1</v>
      </c>
      <c r="K682" s="2" t="s">
        <v>1247</v>
      </c>
      <c r="L682" s="29" t="s">
        <v>1244</v>
      </c>
      <c r="M682" s="21" t="s">
        <v>1245</v>
      </c>
      <c r="N682" s="48">
        <v>45618</v>
      </c>
      <c r="O682" s="21">
        <f>INDEX(Auxiliar!$D$5:$F$13,MATCH(Table1[[#This Row],[Tipologia_Testes]],Auxiliar!$B$5:$B$13,0),MATCH(Table1[[#This Row],[Complexidade]],Auxiliar!$D$4:$F$4,0))</f>
        <v>8</v>
      </c>
      <c r="P682" s="23" t="s">
        <v>1282</v>
      </c>
      <c r="Q682" s="2"/>
      <c r="R682" s="152">
        <v>45566</v>
      </c>
      <c r="S682" s="152"/>
      <c r="T682" s="152">
        <v>45569</v>
      </c>
      <c r="U682" s="152">
        <v>45607</v>
      </c>
      <c r="V682" s="152">
        <v>45608</v>
      </c>
      <c r="W682" s="2">
        <f>VLOOKUP(Table1[[#This Row],[Status]],Auxiliar!$B$16:$D$24,3,0)*Table1[[#This Row],[Estimação (horas)]]</f>
        <v>8</v>
      </c>
      <c r="X682" s="2"/>
    </row>
    <row r="683" spans="2:24" ht="69.599999999999994" hidden="1" customHeight="1">
      <c r="B683" s="2" t="s">
        <v>26</v>
      </c>
      <c r="C683" s="2" t="s">
        <v>311</v>
      </c>
      <c r="D683" s="2" t="s">
        <v>333</v>
      </c>
      <c r="E683" s="2" t="s">
        <v>38</v>
      </c>
      <c r="F683" s="2" t="s">
        <v>332</v>
      </c>
      <c r="G683" s="2" t="s">
        <v>288</v>
      </c>
      <c r="H683" s="57" t="str">
        <f>Table1[[#This Row],[Tabela]]&amp;Table1[[#This Row],[Campo]]</f>
        <v>modesg_out_emss_vclsscp3_emss</v>
      </c>
      <c r="I683" s="2" t="s">
        <v>613</v>
      </c>
      <c r="J683" s="43">
        <f>VLOOKUP(Table1[[#This Row],[Status]],Auxiliar!$B$16:$C$24,2,0)</f>
        <v>1</v>
      </c>
      <c r="K683" s="2" t="s">
        <v>1249</v>
      </c>
      <c r="L683" s="29" t="s">
        <v>1244</v>
      </c>
      <c r="M683" s="21" t="s">
        <v>1245</v>
      </c>
      <c r="N683" s="48">
        <v>45618</v>
      </c>
      <c r="O683" s="21">
        <f>INDEX(Auxiliar!$D$5:$F$13,MATCH(Table1[[#This Row],[Tipologia_Testes]],Auxiliar!$B$5:$B$13,0),MATCH(Table1[[#This Row],[Complexidade]],Auxiliar!$D$4:$F$4,0))</f>
        <v>0.1</v>
      </c>
      <c r="P683" s="23" t="s">
        <v>1282</v>
      </c>
      <c r="Q683" s="2"/>
      <c r="R683" s="152">
        <v>45566</v>
      </c>
      <c r="S683" s="152"/>
      <c r="T683" s="152">
        <v>45569</v>
      </c>
      <c r="U683" s="152">
        <v>45607</v>
      </c>
      <c r="V683" s="152">
        <v>45608</v>
      </c>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323</v>
      </c>
      <c r="H684" s="57" t="str">
        <f>Table1[[#This Row],[Tabela]]&amp;Table1[[#This Row],[Campo]]</f>
        <v>modesg_out_emss_vclsunidade_funcional_scp1_emss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323</v>
      </c>
      <c r="H685" s="57" t="str">
        <f>Table1[[#This Row],[Tabela]]&amp;Table1[[#This Row],[Campo]]</f>
        <v>modesg_out_emss_vclsunidade_funcional_scp1_emss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323</v>
      </c>
      <c r="H686" s="57" t="str">
        <f>Table1[[#This Row],[Tabela]]&amp;Table1[[#This Row],[Campo]]</f>
        <v>modesg_out_emss_vclsunidade_funcional_scp1_emss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324</v>
      </c>
      <c r="H687" s="57" t="str">
        <f>Table1[[#This Row],[Tabela]]&amp;Table1[[#This Row],[Campo]]</f>
        <v>modesg_out_emss_vclsunidade_funcional_scp2_emss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324</v>
      </c>
      <c r="H688" s="57" t="str">
        <f>Table1[[#This Row],[Tabela]]&amp;Table1[[#This Row],[Campo]]</f>
        <v>modesg_out_emss_vclsunidade_funcional_scp2_emss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324</v>
      </c>
      <c r="H689" s="57" t="str">
        <f>Table1[[#This Row],[Tabela]]&amp;Table1[[#This Row],[Campo]]</f>
        <v>modesg_out_emss_vclsunidade_funcional_scp2_emss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7.7" hidden="1" customHeight="1">
      <c r="B690" s="2" t="s">
        <v>26</v>
      </c>
      <c r="C690" s="2" t="s">
        <v>311</v>
      </c>
      <c r="D690" s="2" t="s">
        <v>333</v>
      </c>
      <c r="E690" s="2" t="s">
        <v>38</v>
      </c>
      <c r="F690" s="2" t="s">
        <v>332</v>
      </c>
      <c r="G690" s="2" t="s">
        <v>325</v>
      </c>
      <c r="H690" s="57" t="str">
        <f>Table1[[#This Row],[Tabela]]&amp;Table1[[#This Row],[Campo]]</f>
        <v>modesg_out_emss_vclsunidade_funcional_scp3_emss</v>
      </c>
      <c r="I690" s="3" t="s">
        <v>613</v>
      </c>
      <c r="J690" s="55">
        <f>VLOOKUP(Table1[[#This Row],[Status]],Auxiliar!$B$16:$C$24,2,0)</f>
        <v>1</v>
      </c>
      <c r="K690" s="2" t="s">
        <v>1246</v>
      </c>
      <c r="L690" s="29" t="s">
        <v>1252</v>
      </c>
      <c r="M690" s="21" t="s">
        <v>1253</v>
      </c>
      <c r="N690" s="48">
        <v>45485</v>
      </c>
      <c r="O690" s="21">
        <f>INDEX(Auxiliar!$D$5:$F$13,MATCH(Table1[[#This Row],[Tipologia_Testes]],Auxiliar!$B$5:$B$13,0),MATCH(Table1[[#This Row],[Complexidade]],Auxiliar!$D$4:$F$4,0))</f>
        <v>2</v>
      </c>
      <c r="P690" s="2"/>
      <c r="Q690" s="2"/>
      <c r="R690" s="152">
        <v>45261</v>
      </c>
      <c r="S690" s="152"/>
      <c r="T690" s="152"/>
      <c r="U690" s="152"/>
      <c r="V690" s="152"/>
      <c r="W690" s="2">
        <f>VLOOKUP(Table1[[#This Row],[Status]],Auxiliar!$B$16:$D$24,3,0)*Table1[[#This Row],[Estimação (horas)]]</f>
        <v>2</v>
      </c>
      <c r="X690" s="2"/>
    </row>
    <row r="691" spans="2:24" ht="17.7" hidden="1" customHeight="1">
      <c r="B691" s="2" t="s">
        <v>26</v>
      </c>
      <c r="C691" s="2" t="s">
        <v>311</v>
      </c>
      <c r="D691" s="2" t="s">
        <v>333</v>
      </c>
      <c r="E691" s="2" t="s">
        <v>38</v>
      </c>
      <c r="F691" s="2" t="s">
        <v>332</v>
      </c>
      <c r="G691" s="2" t="s">
        <v>325</v>
      </c>
      <c r="H691" s="57" t="str">
        <f>Table1[[#This Row],[Tabela]]&amp;Table1[[#This Row],[Campo]]</f>
        <v>modesg_out_emss_vclsunidade_funcional_scp3_emss</v>
      </c>
      <c r="I691" s="3" t="s">
        <v>613</v>
      </c>
      <c r="J691" s="55">
        <f>VLOOKUP(Table1[[#This Row],[Status]],Auxiliar!$B$16:$C$24,2,0)</f>
        <v>1</v>
      </c>
      <c r="K691" s="2" t="s">
        <v>1247</v>
      </c>
      <c r="L691" s="29" t="s">
        <v>1252</v>
      </c>
      <c r="M691" s="21" t="s">
        <v>1253</v>
      </c>
      <c r="N691" s="48">
        <v>45485</v>
      </c>
      <c r="O691" s="21">
        <f>INDEX(Auxiliar!$D$5:$F$13,MATCH(Table1[[#This Row],[Tipologia_Testes]],Auxiliar!$B$5:$B$13,0),MATCH(Table1[[#This Row],[Complexidade]],Auxiliar!$D$4:$F$4,0))</f>
        <v>2</v>
      </c>
      <c r="P691" s="2"/>
      <c r="Q691" s="2"/>
      <c r="R691" s="152">
        <v>45261</v>
      </c>
      <c r="S691" s="152"/>
      <c r="T691" s="152"/>
      <c r="U691" s="152"/>
      <c r="V691" s="152"/>
      <c r="W691" s="2">
        <f>VLOOKUP(Table1[[#This Row],[Status]],Auxiliar!$B$16:$D$24,3,0)*Table1[[#This Row],[Estimação (horas)]]</f>
        <v>2</v>
      </c>
      <c r="X691" s="2"/>
    </row>
    <row r="692" spans="2:24" ht="17.7" hidden="1" customHeight="1">
      <c r="B692" s="2" t="s">
        <v>26</v>
      </c>
      <c r="C692" s="2" t="s">
        <v>311</v>
      </c>
      <c r="D692" s="2" t="s">
        <v>333</v>
      </c>
      <c r="E692" s="2" t="s">
        <v>38</v>
      </c>
      <c r="F692" s="2" t="s">
        <v>332</v>
      </c>
      <c r="G692" s="2" t="s">
        <v>325</v>
      </c>
      <c r="H692" s="57" t="str">
        <f>Table1[[#This Row],[Tabela]]&amp;Table1[[#This Row],[Campo]]</f>
        <v>modesg_out_emss_vclsunidade_funcional_scp3_emss</v>
      </c>
      <c r="I692" s="3" t="s">
        <v>613</v>
      </c>
      <c r="J692" s="55">
        <f>VLOOKUP(Table1[[#This Row],[Status]],Auxiliar!$B$16:$C$24,2,0)</f>
        <v>1</v>
      </c>
      <c r="K692" s="2" t="s">
        <v>1249</v>
      </c>
      <c r="L692" s="29" t="s">
        <v>1252</v>
      </c>
      <c r="M692" s="21" t="s">
        <v>1253</v>
      </c>
      <c r="N692" s="48">
        <v>45485</v>
      </c>
      <c r="O692" s="21">
        <f>INDEX(Auxiliar!$D$5:$F$13,MATCH(Table1[[#This Row],[Tipologia_Testes]],Auxiliar!$B$5:$B$13,0),MATCH(Table1[[#This Row],[Complexidade]],Auxiliar!$D$4:$F$4,0))</f>
        <v>0.1</v>
      </c>
      <c r="P692" s="2"/>
      <c r="Q692" s="2"/>
      <c r="R692" s="152">
        <v>45261</v>
      </c>
      <c r="S692" s="152"/>
      <c r="T692" s="152"/>
      <c r="U692" s="152"/>
      <c r="V692" s="152"/>
      <c r="W692" s="2">
        <f>VLOOKUP(Table1[[#This Row],[Status]],Auxiliar!$B$16:$D$24,3,0)*Table1[[#This Row],[Estimação (horas)]]</f>
        <v>0.1</v>
      </c>
      <c r="X692" s="2"/>
    </row>
    <row r="693" spans="2:24" ht="18" hidden="1" customHeight="1">
      <c r="B693" s="2" t="s">
        <v>26</v>
      </c>
      <c r="C693" s="2" t="s">
        <v>311</v>
      </c>
      <c r="D693" s="2" t="s">
        <v>335</v>
      </c>
      <c r="E693" s="2" t="s">
        <v>38</v>
      </c>
      <c r="F693" s="2" t="s">
        <v>334</v>
      </c>
      <c r="G693" s="2" t="s">
        <v>38</v>
      </c>
      <c r="H693" s="57" t="str">
        <f>Table1[[#This Row],[Tabela]]&amp;Table1[[#This Row],[Campo]]</f>
        <v>modesg_out_sfcs_taxon_europeian.a.</v>
      </c>
      <c r="I693" s="2" t="s">
        <v>615</v>
      </c>
      <c r="J693" s="43">
        <f>VLOOKUP(Table1[[#This Row],[Status]],Auxiliar!$B$16:$C$24,2,0)</f>
        <v>5</v>
      </c>
      <c r="K693" s="2" t="s">
        <v>1243</v>
      </c>
      <c r="L693" s="29" t="s">
        <v>1244</v>
      </c>
      <c r="M693" s="21" t="s">
        <v>1245</v>
      </c>
      <c r="N693" s="48">
        <v>45674</v>
      </c>
      <c r="O693" s="21">
        <f>INDEX(Auxiliar!$D$5:$F$13,MATCH(Table1[[#This Row],[Tipologia_Testes]],Auxiliar!$B$5:$B$13,0),MATCH(Table1[[#This Row],[Complexidade]],Auxiliar!$D$4:$F$4,0))</f>
        <v>8</v>
      </c>
      <c r="P693" s="23" t="s">
        <v>1283</v>
      </c>
      <c r="Q693" s="2"/>
      <c r="R693" s="152">
        <v>45563</v>
      </c>
      <c r="S693" s="152"/>
      <c r="T693" s="152">
        <v>45563</v>
      </c>
      <c r="U693" s="152">
        <v>45624</v>
      </c>
      <c r="V693" s="152">
        <v>45629</v>
      </c>
      <c r="W693" s="2">
        <f>VLOOKUP(Table1[[#This Row],[Status]],Auxiliar!$B$16:$D$24,3,0)*Table1[[#This Row],[Estimação (horas)]]</f>
        <v>2</v>
      </c>
      <c r="X693" s="2"/>
    </row>
    <row r="694" spans="2:24" ht="17.7" hidden="1" customHeight="1">
      <c r="B694" s="2" t="s">
        <v>26</v>
      </c>
      <c r="C694" s="2" t="s">
        <v>311</v>
      </c>
      <c r="D694" s="2" t="s">
        <v>335</v>
      </c>
      <c r="E694" s="2" t="s">
        <v>38</v>
      </c>
      <c r="F694" s="2" t="s">
        <v>334</v>
      </c>
      <c r="G694" s="2" t="s">
        <v>183</v>
      </c>
      <c r="H694" s="57" t="str">
        <f>Table1[[#This Row],[Tabela]]&amp;Table1[[#This Row],[Campo]]</f>
        <v>modesg_out_sfcs_taxon_europeiacbalcao</v>
      </c>
      <c r="I694" s="2" t="s">
        <v>615</v>
      </c>
      <c r="J694" s="43">
        <f>VLOOKUP(Table1[[#This Row],[Status]],Auxiliar!$B$16:$C$24,2,0)</f>
        <v>5</v>
      </c>
      <c r="K694" s="2" t="s">
        <v>1246</v>
      </c>
      <c r="L694" s="29" t="s">
        <v>1252</v>
      </c>
      <c r="M694" s="21" t="s">
        <v>1253</v>
      </c>
      <c r="N694" s="48">
        <v>45674</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183</v>
      </c>
      <c r="H695" s="57" t="str">
        <f>Table1[[#This Row],[Tabela]]&amp;Table1[[#This Row],[Campo]]</f>
        <v>modesg_out_sfcs_taxon_europeiacbalcao</v>
      </c>
      <c r="I695" s="2" t="s">
        <v>615</v>
      </c>
      <c r="J695" s="43">
        <f>VLOOKUP(Table1[[#This Row],[Status]],Auxiliar!$B$16:$C$24,2,0)</f>
        <v>5</v>
      </c>
      <c r="K695" s="2" t="s">
        <v>1247</v>
      </c>
      <c r="L695" s="29" t="s">
        <v>1252</v>
      </c>
      <c r="M695" s="21" t="s">
        <v>1253</v>
      </c>
      <c r="N695" s="48">
        <v>45674</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183</v>
      </c>
      <c r="H696" s="57" t="str">
        <f>Table1[[#This Row],[Tabela]]&amp;Table1[[#This Row],[Campo]]</f>
        <v>modesg_out_sfcs_taxon_europeiacbalcao</v>
      </c>
      <c r="I696" s="2" t="s">
        <v>615</v>
      </c>
      <c r="J696" s="43">
        <f>VLOOKUP(Table1[[#This Row],[Status]],Auxiliar!$B$16:$C$24,2,0)</f>
        <v>5</v>
      </c>
      <c r="K696" s="2" t="s">
        <v>1249</v>
      </c>
      <c r="L696" s="29" t="s">
        <v>1252</v>
      </c>
      <c r="M696" s="21" t="s">
        <v>1253</v>
      </c>
      <c r="N696" s="48">
        <v>45674</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184</v>
      </c>
      <c r="H697" s="57" t="str">
        <f>Table1[[#This Row],[Tabela]]&amp;Table1[[#This Row],[Campo]]</f>
        <v>modesg_out_sfcs_taxon_europeiacempresa</v>
      </c>
      <c r="I697" s="2" t="s">
        <v>615</v>
      </c>
      <c r="J697" s="43">
        <f>VLOOKUP(Table1[[#This Row],[Status]],Auxiliar!$B$16:$C$24,2,0)</f>
        <v>5</v>
      </c>
      <c r="K697" s="2" t="s">
        <v>1246</v>
      </c>
      <c r="L697" s="29" t="s">
        <v>1252</v>
      </c>
      <c r="M697" s="21" t="s">
        <v>1253</v>
      </c>
      <c r="N697" s="48">
        <v>45674</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184</v>
      </c>
      <c r="H698" s="57" t="str">
        <f>Table1[[#This Row],[Tabela]]&amp;Table1[[#This Row],[Campo]]</f>
        <v>modesg_out_sfcs_taxon_europeiacempresa</v>
      </c>
      <c r="I698" s="2" t="s">
        <v>615</v>
      </c>
      <c r="J698" s="43">
        <f>VLOOKUP(Table1[[#This Row],[Status]],Auxiliar!$B$16:$C$24,2,0)</f>
        <v>5</v>
      </c>
      <c r="K698" s="2" t="s">
        <v>1247</v>
      </c>
      <c r="L698" s="29" t="s">
        <v>1252</v>
      </c>
      <c r="M698" s="21" t="s">
        <v>1253</v>
      </c>
      <c r="N698" s="48">
        <v>45674</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184</v>
      </c>
      <c r="H699" s="57" t="str">
        <f>Table1[[#This Row],[Tabela]]&amp;Table1[[#This Row],[Campo]]</f>
        <v>modesg_out_sfcs_taxon_europeiacempresa</v>
      </c>
      <c r="I699" s="2" t="s">
        <v>615</v>
      </c>
      <c r="J699" s="43">
        <f>VLOOKUP(Table1[[#This Row],[Status]],Auxiliar!$B$16:$C$24,2,0)</f>
        <v>5</v>
      </c>
      <c r="K699" s="2" t="s">
        <v>1249</v>
      </c>
      <c r="L699" s="29" t="s">
        <v>1252</v>
      </c>
      <c r="M699" s="21" t="s">
        <v>1253</v>
      </c>
      <c r="N699" s="48">
        <v>45674</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189</v>
      </c>
      <c r="H700" s="57" t="str">
        <f>Table1[[#This Row],[Tabela]]&amp;Table1[[#This Row],[Campo]]</f>
        <v>modesg_out_sfcs_taxon_europeiacnumecta</v>
      </c>
      <c r="I700" s="2" t="s">
        <v>615</v>
      </c>
      <c r="J700" s="43">
        <f>VLOOKUP(Table1[[#This Row],[Status]],Auxiliar!$B$16:$C$24,2,0)</f>
        <v>5</v>
      </c>
      <c r="K700" s="2" t="s">
        <v>1246</v>
      </c>
      <c r="L700" s="29" t="s">
        <v>1252</v>
      </c>
      <c r="M700" s="21" t="s">
        <v>1253</v>
      </c>
      <c r="N700" s="48">
        <v>45674</v>
      </c>
      <c r="O700" s="21">
        <f>INDEX(Auxiliar!$D$5:$F$13,MATCH(Table1[[#This Row],[Tipologia_Testes]],Auxiliar!$B$5:$B$13,0),MATCH(Table1[[#This Row],[Complexidade]],Auxiliar!$D$4:$F$4,0))</f>
        <v>2</v>
      </c>
      <c r="P700" s="2"/>
      <c r="Q700" s="2"/>
      <c r="R700" s="152">
        <v>45563</v>
      </c>
      <c r="S700" s="152"/>
      <c r="T700" s="152">
        <v>45563</v>
      </c>
      <c r="U700" s="152">
        <v>45624</v>
      </c>
      <c r="V700" s="152">
        <v>45629</v>
      </c>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189</v>
      </c>
      <c r="H701" s="57" t="str">
        <f>Table1[[#This Row],[Tabela]]&amp;Table1[[#This Row],[Campo]]</f>
        <v>modesg_out_sfcs_taxon_europeiacnumecta</v>
      </c>
      <c r="I701" s="2" t="s">
        <v>615</v>
      </c>
      <c r="J701" s="43">
        <f>VLOOKUP(Table1[[#This Row],[Status]],Auxiliar!$B$16:$C$24,2,0)</f>
        <v>5</v>
      </c>
      <c r="K701" s="2" t="s">
        <v>1247</v>
      </c>
      <c r="L701" s="29" t="s">
        <v>1252</v>
      </c>
      <c r="M701" s="21" t="s">
        <v>1253</v>
      </c>
      <c r="N701" s="48">
        <v>45674</v>
      </c>
      <c r="O701" s="21">
        <f>INDEX(Auxiliar!$D$5:$F$13,MATCH(Table1[[#This Row],[Tipologia_Testes]],Auxiliar!$B$5:$B$13,0),MATCH(Table1[[#This Row],[Complexidade]],Auxiliar!$D$4:$F$4,0))</f>
        <v>2</v>
      </c>
      <c r="P701" s="2"/>
      <c r="Q701" s="2"/>
      <c r="R701" s="152">
        <v>45563</v>
      </c>
      <c r="S701" s="152"/>
      <c r="T701" s="152">
        <v>45563</v>
      </c>
      <c r="U701" s="152">
        <v>45624</v>
      </c>
      <c r="V701" s="152">
        <v>45629</v>
      </c>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189</v>
      </c>
      <c r="H702" s="57" t="str">
        <f>Table1[[#This Row],[Tabela]]&amp;Table1[[#This Row],[Campo]]</f>
        <v>modesg_out_sfcs_taxon_europeiacnumecta</v>
      </c>
      <c r="I702" s="2" t="s">
        <v>615</v>
      </c>
      <c r="J702" s="43">
        <f>VLOOKUP(Table1[[#This Row],[Status]],Auxiliar!$B$16:$C$24,2,0)</f>
        <v>5</v>
      </c>
      <c r="K702" s="2" t="s">
        <v>1249</v>
      </c>
      <c r="L702" s="29" t="s">
        <v>1252</v>
      </c>
      <c r="M702" s="21" t="s">
        <v>1253</v>
      </c>
      <c r="N702" s="48">
        <v>45674</v>
      </c>
      <c r="O702" s="21">
        <f>INDEX(Auxiliar!$D$5:$F$13,MATCH(Table1[[#This Row],[Tipologia_Testes]],Auxiliar!$B$5:$B$13,0),MATCH(Table1[[#This Row],[Complexidade]],Auxiliar!$D$4:$F$4,0))</f>
        <v>0.1</v>
      </c>
      <c r="P702" s="2"/>
      <c r="Q702" s="2"/>
      <c r="R702" s="152">
        <v>45563</v>
      </c>
      <c r="S702" s="152"/>
      <c r="T702" s="152">
        <v>45563</v>
      </c>
      <c r="U702" s="152">
        <v>45624</v>
      </c>
      <c r="V702" s="152">
        <v>45629</v>
      </c>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191</v>
      </c>
      <c r="H703" s="57" t="str">
        <f>Table1[[#This Row],[Tabela]]&amp;Table1[[#This Row],[Campo]]</f>
        <v>modesg_out_sfcs_taxon_europeiacod_regra</v>
      </c>
      <c r="I703" s="2" t="s">
        <v>615</v>
      </c>
      <c r="J703" s="43">
        <f>VLOOKUP(Table1[[#This Row],[Status]],Auxiliar!$B$16:$C$24,2,0)</f>
        <v>5</v>
      </c>
      <c r="K703" s="2" t="s">
        <v>1246</v>
      </c>
      <c r="L703" s="29" t="s">
        <v>1244</v>
      </c>
      <c r="M703" s="21" t="s">
        <v>1253</v>
      </c>
      <c r="N703" s="48">
        <v>45674</v>
      </c>
      <c r="O703" s="21">
        <f>INDEX(Auxiliar!$D$5:$F$13,MATCH(Table1[[#This Row],[Tipologia_Testes]],Auxiliar!$B$5:$B$13,0),MATCH(Table1[[#This Row],[Complexidade]],Auxiliar!$D$4:$F$4,0))</f>
        <v>2</v>
      </c>
      <c r="P703" s="2" t="s">
        <v>1284</v>
      </c>
      <c r="Q703" s="2"/>
      <c r="R703" s="152">
        <v>45563</v>
      </c>
      <c r="S703" s="152"/>
      <c r="T703" s="152">
        <v>45563</v>
      </c>
      <c r="U703" s="152">
        <v>45624</v>
      </c>
      <c r="V703" s="152">
        <v>45629</v>
      </c>
      <c r="W703" s="2">
        <f>VLOOKUP(Table1[[#This Row],[Status]],Auxiliar!$B$16:$D$24,3,0)*Table1[[#This Row],[Estimação (horas)]]</f>
        <v>0.5</v>
      </c>
      <c r="X703" s="2"/>
    </row>
    <row r="704" spans="2:24" ht="17.7" hidden="1" customHeight="1">
      <c r="B704" s="2" t="s">
        <v>26</v>
      </c>
      <c r="C704" s="2" t="s">
        <v>311</v>
      </c>
      <c r="D704" s="2" t="s">
        <v>335</v>
      </c>
      <c r="E704" s="2" t="s">
        <v>38</v>
      </c>
      <c r="F704" s="2" t="s">
        <v>334</v>
      </c>
      <c r="G704" s="2" t="s">
        <v>191</v>
      </c>
      <c r="H704" s="57" t="str">
        <f>Table1[[#This Row],[Tabela]]&amp;Table1[[#This Row],[Campo]]</f>
        <v>modesg_out_sfcs_taxon_europeiacod_regra</v>
      </c>
      <c r="I704" s="2" t="s">
        <v>615</v>
      </c>
      <c r="J704" s="43">
        <f>VLOOKUP(Table1[[#This Row],[Status]],Auxiliar!$B$16:$C$24,2,0)</f>
        <v>5</v>
      </c>
      <c r="K704" s="2" t="s">
        <v>1247</v>
      </c>
      <c r="L704" s="29" t="s">
        <v>1244</v>
      </c>
      <c r="M704" s="21" t="s">
        <v>1253</v>
      </c>
      <c r="N704" s="48">
        <v>45674</v>
      </c>
      <c r="O704" s="21">
        <f>INDEX(Auxiliar!$D$5:$F$13,MATCH(Table1[[#This Row],[Tipologia_Testes]],Auxiliar!$B$5:$B$13,0),MATCH(Table1[[#This Row],[Complexidade]],Auxiliar!$D$4:$F$4,0))</f>
        <v>2</v>
      </c>
      <c r="P704" s="2" t="s">
        <v>1284</v>
      </c>
      <c r="Q704" s="2"/>
      <c r="R704" s="152">
        <v>45563</v>
      </c>
      <c r="S704" s="152"/>
      <c r="T704" s="152">
        <v>45563</v>
      </c>
      <c r="U704" s="152">
        <v>45624</v>
      </c>
      <c r="V704" s="152">
        <v>45629</v>
      </c>
      <c r="W704" s="2">
        <f>VLOOKUP(Table1[[#This Row],[Status]],Auxiliar!$B$16:$D$24,3,0)*Table1[[#This Row],[Estimação (horas)]]</f>
        <v>0.5</v>
      </c>
      <c r="X704" s="2"/>
    </row>
    <row r="705" spans="2:24" ht="17.7" hidden="1" customHeight="1">
      <c r="B705" s="2" t="s">
        <v>26</v>
      </c>
      <c r="C705" s="2" t="s">
        <v>311</v>
      </c>
      <c r="D705" s="2" t="s">
        <v>335</v>
      </c>
      <c r="E705" s="2" t="s">
        <v>38</v>
      </c>
      <c r="F705" s="2" t="s">
        <v>334</v>
      </c>
      <c r="G705" s="2" t="s">
        <v>191</v>
      </c>
      <c r="H705" s="57" t="str">
        <f>Table1[[#This Row],[Tabela]]&amp;Table1[[#This Row],[Campo]]</f>
        <v>modesg_out_sfcs_taxon_europeiacod_regra</v>
      </c>
      <c r="I705" s="2" t="s">
        <v>615</v>
      </c>
      <c r="J705" s="43">
        <f>VLOOKUP(Table1[[#This Row],[Status]],Auxiliar!$B$16:$C$24,2,0)</f>
        <v>5</v>
      </c>
      <c r="K705" s="2" t="s">
        <v>1249</v>
      </c>
      <c r="L705" s="29" t="s">
        <v>1244</v>
      </c>
      <c r="M705" s="21" t="s">
        <v>1253</v>
      </c>
      <c r="N705" s="48">
        <v>45674</v>
      </c>
      <c r="O705" s="21">
        <f>INDEX(Auxiliar!$D$5:$F$13,MATCH(Table1[[#This Row],[Tipologia_Testes]],Auxiliar!$B$5:$B$13,0),MATCH(Table1[[#This Row],[Complexidade]],Auxiliar!$D$4:$F$4,0))</f>
        <v>0.1</v>
      </c>
      <c r="P705" s="2" t="s">
        <v>1284</v>
      </c>
      <c r="Q705" s="2"/>
      <c r="R705" s="152">
        <v>45563</v>
      </c>
      <c r="S705" s="152"/>
      <c r="T705" s="152">
        <v>45563</v>
      </c>
      <c r="U705" s="152">
        <v>45624</v>
      </c>
      <c r="V705" s="152">
        <v>45629</v>
      </c>
      <c r="W705" s="2">
        <f>VLOOKUP(Table1[[#This Row],[Status]],Auxiliar!$B$16:$D$24,3,0)*Table1[[#This Row],[Estimação (horas)]]</f>
        <v>2.5000000000000001E-2</v>
      </c>
      <c r="X705" s="2"/>
    </row>
    <row r="706" spans="2:24" ht="17.7" hidden="1" customHeight="1">
      <c r="B706" s="2" t="s">
        <v>26</v>
      </c>
      <c r="C706" s="2" t="s">
        <v>311</v>
      </c>
      <c r="D706" s="2" t="s">
        <v>335</v>
      </c>
      <c r="E706" s="2" t="s">
        <v>38</v>
      </c>
      <c r="F706" s="2" t="s">
        <v>334</v>
      </c>
      <c r="G706" s="2" t="s">
        <v>211</v>
      </c>
      <c r="H706" s="57" t="str">
        <f>Table1[[#This Row],[Tabela]]&amp;Table1[[#This Row],[Campo]]</f>
        <v>modesg_out_sfcs_taxon_europeiaordem</v>
      </c>
      <c r="I706" s="2" t="s">
        <v>612</v>
      </c>
      <c r="J706" s="43">
        <f>VLOOKUP(Table1[[#This Row],[Status]],Auxiliar!$B$16:$C$24,2,0)</f>
        <v>0</v>
      </c>
      <c r="K706" s="2" t="s">
        <v>1246</v>
      </c>
      <c r="L706" s="29" t="s">
        <v>1285</v>
      </c>
      <c r="M706" s="21" t="s">
        <v>1253</v>
      </c>
      <c r="N706" s="48">
        <v>45546</v>
      </c>
      <c r="O706" s="21">
        <f>INDEX(Auxiliar!$D$5:$F$13,MATCH(Table1[[#This Row],[Tipologia_Testes]],Auxiliar!$B$5:$B$13,0),MATCH(Table1[[#This Row],[Complexidade]],Auxiliar!$D$4:$F$4,0))</f>
        <v>2</v>
      </c>
      <c r="P706" s="2"/>
      <c r="Q706" s="2"/>
      <c r="R706" s="152">
        <v>45562</v>
      </c>
      <c r="S706" s="152"/>
      <c r="T706" s="152">
        <v>45562</v>
      </c>
      <c r="U706" s="152"/>
      <c r="V706" s="152"/>
      <c r="W706" s="2">
        <f>VLOOKUP(Table1[[#This Row],[Status]],Auxiliar!$B$16:$D$24,3,0)*Table1[[#This Row],[Estimação (horas)]]</f>
        <v>0</v>
      </c>
      <c r="X706" s="2"/>
    </row>
    <row r="707" spans="2:24" ht="17.7" hidden="1" customHeight="1">
      <c r="B707" s="2" t="s">
        <v>26</v>
      </c>
      <c r="C707" s="2" t="s">
        <v>311</v>
      </c>
      <c r="D707" s="2" t="s">
        <v>335</v>
      </c>
      <c r="E707" s="2" t="s">
        <v>38</v>
      </c>
      <c r="F707" s="2" t="s">
        <v>334</v>
      </c>
      <c r="G707" s="2" t="s">
        <v>211</v>
      </c>
      <c r="H707" s="57" t="str">
        <f>Table1[[#This Row],[Tabela]]&amp;Table1[[#This Row],[Campo]]</f>
        <v>modesg_out_sfcs_taxon_europeiaordem</v>
      </c>
      <c r="I707" s="2" t="s">
        <v>612</v>
      </c>
      <c r="J707" s="43">
        <f>VLOOKUP(Table1[[#This Row],[Status]],Auxiliar!$B$16:$C$24,2,0)</f>
        <v>0</v>
      </c>
      <c r="K707" s="2" t="s">
        <v>1247</v>
      </c>
      <c r="L707" s="29" t="s">
        <v>1285</v>
      </c>
      <c r="M707" s="21" t="s">
        <v>1253</v>
      </c>
      <c r="N707" s="48">
        <v>45546</v>
      </c>
      <c r="O707" s="21">
        <f>INDEX(Auxiliar!$D$5:$F$13,MATCH(Table1[[#This Row],[Tipologia_Testes]],Auxiliar!$B$5:$B$13,0),MATCH(Table1[[#This Row],[Complexidade]],Auxiliar!$D$4:$F$4,0))</f>
        <v>2</v>
      </c>
      <c r="P707" s="2"/>
      <c r="Q707" s="2"/>
      <c r="R707" s="152">
        <v>45562</v>
      </c>
      <c r="S707" s="152"/>
      <c r="T707" s="152">
        <v>45562</v>
      </c>
      <c r="U707" s="152"/>
      <c r="V707" s="152"/>
      <c r="W707" s="2">
        <f>VLOOKUP(Table1[[#This Row],[Status]],Auxiliar!$B$16:$D$24,3,0)*Table1[[#This Row],[Estimação (horas)]]</f>
        <v>0</v>
      </c>
      <c r="X707" s="2"/>
    </row>
    <row r="708" spans="2:24" ht="17.7" hidden="1" customHeight="1">
      <c r="B708" s="2" t="s">
        <v>26</v>
      </c>
      <c r="C708" s="2" t="s">
        <v>311</v>
      </c>
      <c r="D708" s="2" t="s">
        <v>335</v>
      </c>
      <c r="E708" s="2" t="s">
        <v>38</v>
      </c>
      <c r="F708" s="2" t="s">
        <v>334</v>
      </c>
      <c r="G708" s="2" t="s">
        <v>211</v>
      </c>
      <c r="H708" s="57" t="str">
        <f>Table1[[#This Row],[Tabela]]&amp;Table1[[#This Row],[Campo]]</f>
        <v>modesg_out_sfcs_taxon_europeiaordem</v>
      </c>
      <c r="I708" s="2" t="s">
        <v>612</v>
      </c>
      <c r="J708" s="43">
        <f>VLOOKUP(Table1[[#This Row],[Status]],Auxiliar!$B$16:$C$24,2,0)</f>
        <v>0</v>
      </c>
      <c r="K708" s="2" t="s">
        <v>1249</v>
      </c>
      <c r="L708" s="29" t="s">
        <v>1285</v>
      </c>
      <c r="M708" s="21" t="s">
        <v>1253</v>
      </c>
      <c r="N708" s="48">
        <v>45546</v>
      </c>
      <c r="O708" s="21">
        <f>INDEX(Auxiliar!$D$5:$F$13,MATCH(Table1[[#This Row],[Tipologia_Testes]],Auxiliar!$B$5:$B$13,0),MATCH(Table1[[#This Row],[Complexidade]],Auxiliar!$D$4:$F$4,0))</f>
        <v>0.1</v>
      </c>
      <c r="P708" s="2"/>
      <c r="Q708" s="2"/>
      <c r="R708" s="152">
        <v>45562</v>
      </c>
      <c r="S708" s="152"/>
      <c r="T708" s="152">
        <v>45562</v>
      </c>
      <c r="U708" s="152"/>
      <c r="V708" s="152"/>
      <c r="W708" s="2">
        <f>VLOOKUP(Table1[[#This Row],[Status]],Auxiliar!$B$16:$D$24,3,0)*Table1[[#This Row],[Estimação (horas)]]</f>
        <v>0</v>
      </c>
      <c r="X708" s="2"/>
    </row>
    <row r="709" spans="2:24" ht="139.19999999999999" hidden="1" customHeight="1">
      <c r="B709" s="2" t="s">
        <v>26</v>
      </c>
      <c r="C709" s="2" t="s">
        <v>311</v>
      </c>
      <c r="D709" s="2" t="s">
        <v>335</v>
      </c>
      <c r="E709" s="2" t="s">
        <v>38</v>
      </c>
      <c r="F709" s="2" t="s">
        <v>334</v>
      </c>
      <c r="G709" s="2" t="s">
        <v>202</v>
      </c>
      <c r="H709" s="57" t="str">
        <f>Table1[[#This Row],[Tabela]]&amp;Table1[[#This Row],[Campo]]</f>
        <v>modesg_out_sfcs_taxon_europeiamontante_pndrc</v>
      </c>
      <c r="I709" s="2" t="s">
        <v>615</v>
      </c>
      <c r="J709" s="43">
        <f>VLOOKUP(Table1[[#This Row],[Status]],Auxiliar!$B$16:$C$24,2,0)</f>
        <v>5</v>
      </c>
      <c r="K709" s="2" t="s">
        <v>1246</v>
      </c>
      <c r="L709" s="29" t="s">
        <v>1244</v>
      </c>
      <c r="M709" s="21" t="s">
        <v>1245</v>
      </c>
      <c r="N709" s="48">
        <v>45674</v>
      </c>
      <c r="O709" s="21">
        <f>INDEX(Auxiliar!$D$5:$F$13,MATCH(Table1[[#This Row],[Tipologia_Testes]],Auxiliar!$B$5:$B$13,0),MATCH(Table1[[#This Row],[Complexidade]],Auxiliar!$D$4:$F$4,0))</f>
        <v>8</v>
      </c>
      <c r="P709" s="23" t="s">
        <v>1286</v>
      </c>
      <c r="Q709" s="2"/>
      <c r="R709" s="152">
        <v>45563</v>
      </c>
      <c r="S709" s="152"/>
      <c r="T709" s="152">
        <v>45563</v>
      </c>
      <c r="U709" s="152">
        <v>45624</v>
      </c>
      <c r="V709" s="152">
        <v>45629</v>
      </c>
      <c r="W709" s="2">
        <f>VLOOKUP(Table1[[#This Row],[Status]],Auxiliar!$B$16:$D$24,3,0)*Table1[[#This Row],[Estimação (horas)]]</f>
        <v>2</v>
      </c>
      <c r="X709" s="2"/>
    </row>
    <row r="710" spans="2:24" ht="139.19999999999999" hidden="1" customHeight="1">
      <c r="B710" s="2" t="s">
        <v>26</v>
      </c>
      <c r="C710" s="2" t="s">
        <v>311</v>
      </c>
      <c r="D710" s="2" t="s">
        <v>335</v>
      </c>
      <c r="E710" s="2" t="s">
        <v>38</v>
      </c>
      <c r="F710" s="2" t="s">
        <v>334</v>
      </c>
      <c r="G710" s="2" t="s">
        <v>202</v>
      </c>
      <c r="H710" s="57" t="str">
        <f>Table1[[#This Row],[Tabela]]&amp;Table1[[#This Row],[Campo]]</f>
        <v>modesg_out_sfcs_taxon_europeiamontante_pndrc</v>
      </c>
      <c r="I710" s="2" t="s">
        <v>615</v>
      </c>
      <c r="J710" s="43">
        <f>VLOOKUP(Table1[[#This Row],[Status]],Auxiliar!$B$16:$C$24,2,0)</f>
        <v>5</v>
      </c>
      <c r="K710" s="2" t="s">
        <v>1247</v>
      </c>
      <c r="L710" s="29" t="s">
        <v>1244</v>
      </c>
      <c r="M710" s="21" t="s">
        <v>1245</v>
      </c>
      <c r="N710" s="48">
        <v>45674</v>
      </c>
      <c r="O710" s="21">
        <f>INDEX(Auxiliar!$D$5:$F$13,MATCH(Table1[[#This Row],[Tipologia_Testes]],Auxiliar!$B$5:$B$13,0),MATCH(Table1[[#This Row],[Complexidade]],Auxiliar!$D$4:$F$4,0))</f>
        <v>8</v>
      </c>
      <c r="P710" s="23" t="s">
        <v>1286</v>
      </c>
      <c r="Q710" s="2"/>
      <c r="R710" s="152">
        <v>45563</v>
      </c>
      <c r="S710" s="152"/>
      <c r="T710" s="152">
        <v>45563</v>
      </c>
      <c r="U710" s="152">
        <v>45624</v>
      </c>
      <c r="V710" s="152">
        <v>45629</v>
      </c>
      <c r="W710" s="2">
        <f>VLOOKUP(Table1[[#This Row],[Status]],Auxiliar!$B$16:$D$24,3,0)*Table1[[#This Row],[Estimação (horas)]]</f>
        <v>2</v>
      </c>
      <c r="X710" s="2"/>
    </row>
    <row r="711" spans="2:24" ht="139.19999999999999" hidden="1" customHeight="1">
      <c r="B711" s="2" t="s">
        <v>26</v>
      </c>
      <c r="C711" s="2" t="s">
        <v>311</v>
      </c>
      <c r="D711" s="2" t="s">
        <v>335</v>
      </c>
      <c r="E711" s="2" t="s">
        <v>38</v>
      </c>
      <c r="F711" s="2" t="s">
        <v>334</v>
      </c>
      <c r="G711" s="2" t="s">
        <v>202</v>
      </c>
      <c r="H711" s="57" t="str">
        <f>Table1[[#This Row],[Tabela]]&amp;Table1[[#This Row],[Campo]]</f>
        <v>modesg_out_sfcs_taxon_europeiamontante_pndrc</v>
      </c>
      <c r="I711" s="2" t="s">
        <v>615</v>
      </c>
      <c r="J711" s="43">
        <f>VLOOKUP(Table1[[#This Row],[Status]],Auxiliar!$B$16:$C$24,2,0)</f>
        <v>5</v>
      </c>
      <c r="K711" s="2" t="s">
        <v>1249</v>
      </c>
      <c r="L711" s="29" t="s">
        <v>1244</v>
      </c>
      <c r="M711" s="21" t="s">
        <v>1245</v>
      </c>
      <c r="N711" s="48">
        <v>45674</v>
      </c>
      <c r="O711" s="21">
        <f>INDEX(Auxiliar!$D$5:$F$13,MATCH(Table1[[#This Row],[Tipologia_Testes]],Auxiliar!$B$5:$B$13,0),MATCH(Table1[[#This Row],[Complexidade]],Auxiliar!$D$4:$F$4,0))</f>
        <v>0.1</v>
      </c>
      <c r="P711" s="23" t="s">
        <v>1286</v>
      </c>
      <c r="Q711" s="2"/>
      <c r="R711" s="152">
        <v>45563</v>
      </c>
      <c r="S711" s="152"/>
      <c r="T711" s="152">
        <v>45563</v>
      </c>
      <c r="U711" s="152">
        <v>45624</v>
      </c>
      <c r="V711" s="152">
        <v>45629</v>
      </c>
      <c r="W711" s="2">
        <f>VLOOKUP(Table1[[#This Row],[Status]],Auxiliar!$B$16:$D$24,3,0)*Table1[[#This Row],[Estimação (horas)]]</f>
        <v>2.5000000000000001E-2</v>
      </c>
      <c r="X711" s="2"/>
    </row>
    <row r="712" spans="2:24" ht="52.2" hidden="1" customHeight="1">
      <c r="B712" s="2" t="s">
        <v>26</v>
      </c>
      <c r="C712" s="2" t="s">
        <v>311</v>
      </c>
      <c r="D712" s="2" t="s">
        <v>335</v>
      </c>
      <c r="E712" s="2" t="s">
        <v>38</v>
      </c>
      <c r="F712" s="2" t="s">
        <v>334</v>
      </c>
      <c r="G712" s="2" t="s">
        <v>203</v>
      </c>
      <c r="H712" s="57" t="str">
        <f>Table1[[#This Row],[Tabela]]&amp;Table1[[#This Row],[Campo]]</f>
        <v>modesg_out_sfcs_taxon_europeianome_ctgr_sfcs</v>
      </c>
      <c r="I712" s="2" t="s">
        <v>615</v>
      </c>
      <c r="J712" s="43">
        <f>VLOOKUP(Table1[[#This Row],[Status]],Auxiliar!$B$16:$C$24,2,0)</f>
        <v>5</v>
      </c>
      <c r="K712" s="2" t="s">
        <v>1246</v>
      </c>
      <c r="L712" s="29" t="s">
        <v>1244</v>
      </c>
      <c r="M712" s="21" t="s">
        <v>1245</v>
      </c>
      <c r="N712" s="48">
        <v>45674</v>
      </c>
      <c r="O712" s="21">
        <f>INDEX(Auxiliar!$D$5:$F$13,MATCH(Table1[[#This Row],[Tipologia_Testes]],Auxiliar!$B$5:$B$13,0),MATCH(Table1[[#This Row],[Complexidade]],Auxiliar!$D$4:$F$4,0))</f>
        <v>8</v>
      </c>
      <c r="P712" s="23" t="s">
        <v>1287</v>
      </c>
      <c r="Q712" s="2"/>
      <c r="R712" s="152">
        <v>45562</v>
      </c>
      <c r="S712" s="152"/>
      <c r="T712" s="152">
        <v>45562</v>
      </c>
      <c r="U712" s="152">
        <v>45624</v>
      </c>
      <c r="V712" s="152">
        <v>45629</v>
      </c>
      <c r="W712" s="2">
        <f>VLOOKUP(Table1[[#This Row],[Status]],Auxiliar!$B$16:$D$24,3,0)*Table1[[#This Row],[Estimação (horas)]]</f>
        <v>2</v>
      </c>
      <c r="X712" s="2"/>
    </row>
    <row r="713" spans="2:24" ht="52.2" hidden="1" customHeight="1">
      <c r="B713" s="2" t="s">
        <v>26</v>
      </c>
      <c r="C713" s="2" t="s">
        <v>311</v>
      </c>
      <c r="D713" s="2" t="s">
        <v>335</v>
      </c>
      <c r="E713" s="2" t="s">
        <v>38</v>
      </c>
      <c r="F713" s="2" t="s">
        <v>334</v>
      </c>
      <c r="G713" s="2" t="s">
        <v>203</v>
      </c>
      <c r="H713" s="57" t="str">
        <f>Table1[[#This Row],[Tabela]]&amp;Table1[[#This Row],[Campo]]</f>
        <v>modesg_out_sfcs_taxon_europeianome_ctgr_sfcs</v>
      </c>
      <c r="I713" s="2" t="s">
        <v>615</v>
      </c>
      <c r="J713" s="43">
        <f>VLOOKUP(Table1[[#This Row],[Status]],Auxiliar!$B$16:$C$24,2,0)</f>
        <v>5</v>
      </c>
      <c r="K713" s="2" t="s">
        <v>1247</v>
      </c>
      <c r="L713" s="29" t="s">
        <v>1244</v>
      </c>
      <c r="M713" s="21" t="s">
        <v>1245</v>
      </c>
      <c r="N713" s="48">
        <v>45674</v>
      </c>
      <c r="O713" s="21">
        <f>INDEX(Auxiliar!$D$5:$F$13,MATCH(Table1[[#This Row],[Tipologia_Testes]],Auxiliar!$B$5:$B$13,0),MATCH(Table1[[#This Row],[Complexidade]],Auxiliar!$D$4:$F$4,0))</f>
        <v>8</v>
      </c>
      <c r="P713" s="23" t="s">
        <v>1287</v>
      </c>
      <c r="Q713" s="2"/>
      <c r="R713" s="152">
        <v>45562</v>
      </c>
      <c r="S713" s="152"/>
      <c r="T713" s="152">
        <v>45562</v>
      </c>
      <c r="U713" s="152">
        <v>45624</v>
      </c>
      <c r="V713" s="152">
        <v>45629</v>
      </c>
      <c r="W713" s="2">
        <f>VLOOKUP(Table1[[#This Row],[Status]],Auxiliar!$B$16:$D$24,3,0)*Table1[[#This Row],[Estimação (horas)]]</f>
        <v>2</v>
      </c>
      <c r="X713" s="2"/>
    </row>
    <row r="714" spans="2:24" ht="52.2" hidden="1" customHeight="1">
      <c r="B714" s="2" t="s">
        <v>26</v>
      </c>
      <c r="C714" s="2" t="s">
        <v>311</v>
      </c>
      <c r="D714" s="2" t="s">
        <v>335</v>
      </c>
      <c r="E714" s="2" t="s">
        <v>38</v>
      </c>
      <c r="F714" s="2" t="s">
        <v>334</v>
      </c>
      <c r="G714" s="2" t="s">
        <v>203</v>
      </c>
      <c r="H714" s="57" t="str">
        <f>Table1[[#This Row],[Tabela]]&amp;Table1[[#This Row],[Campo]]</f>
        <v>modesg_out_sfcs_taxon_europeianome_ctgr_sfcs</v>
      </c>
      <c r="I714" s="2" t="s">
        <v>615</v>
      </c>
      <c r="J714" s="43">
        <f>VLOOKUP(Table1[[#This Row],[Status]],Auxiliar!$B$16:$C$24,2,0)</f>
        <v>5</v>
      </c>
      <c r="K714" s="2" t="s">
        <v>1249</v>
      </c>
      <c r="L714" s="29" t="s">
        <v>1244</v>
      </c>
      <c r="M714" s="21" t="s">
        <v>1245</v>
      </c>
      <c r="N714" s="48">
        <v>45674</v>
      </c>
      <c r="O714" s="21">
        <f>INDEX(Auxiliar!$D$5:$F$13,MATCH(Table1[[#This Row],[Tipologia_Testes]],Auxiliar!$B$5:$B$13,0),MATCH(Table1[[#This Row],[Complexidade]],Auxiliar!$D$4:$F$4,0))</f>
        <v>0.1</v>
      </c>
      <c r="P714" s="23" t="s">
        <v>1287</v>
      </c>
      <c r="Q714" s="2"/>
      <c r="R714" s="152">
        <v>45562</v>
      </c>
      <c r="S714" s="152"/>
      <c r="T714" s="152">
        <v>45562</v>
      </c>
      <c r="U714" s="152">
        <v>45624</v>
      </c>
      <c r="V714" s="152">
        <v>45629</v>
      </c>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204</v>
      </c>
      <c r="H715" s="57" t="str">
        <f>Table1[[#This Row],[Tabela]]&amp;Table1[[#This Row],[Campo]]</f>
        <v>modesg_out_sfcs_taxon_europeianome_general_specific_purpose</v>
      </c>
      <c r="I715" s="2" t="s">
        <v>615</v>
      </c>
      <c r="J715" s="43">
        <f>VLOOKUP(Table1[[#This Row],[Status]],Auxiliar!$B$16:$C$24,2,0)</f>
        <v>5</v>
      </c>
      <c r="K715" s="2" t="s">
        <v>1246</v>
      </c>
      <c r="L715" s="29" t="s">
        <v>1244</v>
      </c>
      <c r="M715" s="21" t="s">
        <v>1254</v>
      </c>
      <c r="N715" s="48">
        <v>45674</v>
      </c>
      <c r="O715" s="21">
        <f>INDEX(Auxiliar!$D$5:$F$13,MATCH(Table1[[#This Row],[Tipologia_Testes]],Auxiliar!$B$5:$B$13,0),MATCH(Table1[[#This Row],[Complexidade]],Auxiliar!$D$4:$F$4,0))</f>
        <v>4</v>
      </c>
      <c r="P715" s="2" t="s">
        <v>1288</v>
      </c>
      <c r="Q715" s="2"/>
      <c r="R715" s="152">
        <v>45563</v>
      </c>
      <c r="S715" s="152"/>
      <c r="T715" s="152">
        <v>45563</v>
      </c>
      <c r="U715" s="152">
        <v>45624</v>
      </c>
      <c r="V715" s="152">
        <v>45629</v>
      </c>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204</v>
      </c>
      <c r="H716" s="57" t="str">
        <f>Table1[[#This Row],[Tabela]]&amp;Table1[[#This Row],[Campo]]</f>
        <v>modesg_out_sfcs_taxon_europeianome_general_specific_purpose</v>
      </c>
      <c r="I716" s="2" t="s">
        <v>615</v>
      </c>
      <c r="J716" s="43">
        <f>VLOOKUP(Table1[[#This Row],[Status]],Auxiliar!$B$16:$C$24,2,0)</f>
        <v>5</v>
      </c>
      <c r="K716" s="2" t="s">
        <v>1247</v>
      </c>
      <c r="L716" s="29" t="s">
        <v>1244</v>
      </c>
      <c r="M716" s="21" t="s">
        <v>1254</v>
      </c>
      <c r="N716" s="48">
        <v>45674</v>
      </c>
      <c r="O716" s="21">
        <f>INDEX(Auxiliar!$D$5:$F$13,MATCH(Table1[[#This Row],[Tipologia_Testes]],Auxiliar!$B$5:$B$13,0),MATCH(Table1[[#This Row],[Complexidade]],Auxiliar!$D$4:$F$4,0))</f>
        <v>4</v>
      </c>
      <c r="P716" s="2" t="s">
        <v>1288</v>
      </c>
      <c r="Q716" s="2"/>
      <c r="R716" s="152">
        <v>45563</v>
      </c>
      <c r="S716" s="152"/>
      <c r="T716" s="152">
        <v>45563</v>
      </c>
      <c r="U716" s="152">
        <v>45624</v>
      </c>
      <c r="V716" s="152">
        <v>45629</v>
      </c>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204</v>
      </c>
      <c r="H717" s="57" t="str">
        <f>Table1[[#This Row],[Tabela]]&amp;Table1[[#This Row],[Campo]]</f>
        <v>modesg_out_sfcs_taxon_europeianome_general_specific_purpose</v>
      </c>
      <c r="I717" s="2" t="s">
        <v>615</v>
      </c>
      <c r="J717" s="43">
        <f>VLOOKUP(Table1[[#This Row],[Status]],Auxiliar!$B$16:$C$24,2,0)</f>
        <v>5</v>
      </c>
      <c r="K717" s="2" t="s">
        <v>1249</v>
      </c>
      <c r="L717" s="29" t="s">
        <v>1244</v>
      </c>
      <c r="M717" s="21" t="s">
        <v>1254</v>
      </c>
      <c r="N717" s="48">
        <v>45674</v>
      </c>
      <c r="O717" s="21">
        <f>INDEX(Auxiliar!$D$5:$F$13,MATCH(Table1[[#This Row],[Tipologia_Testes]],Auxiliar!$B$5:$B$13,0),MATCH(Table1[[#This Row],[Complexidade]],Auxiliar!$D$4:$F$4,0))</f>
        <v>0.1</v>
      </c>
      <c r="P717" s="2" t="s">
        <v>1288</v>
      </c>
      <c r="Q717" s="2"/>
      <c r="R717" s="152">
        <v>45563</v>
      </c>
      <c r="S717" s="152"/>
      <c r="T717" s="152">
        <v>45563</v>
      </c>
      <c r="U717" s="152">
        <v>45624</v>
      </c>
      <c r="V717" s="152">
        <v>45629</v>
      </c>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205</v>
      </c>
      <c r="H718" s="57" t="str">
        <f>Table1[[#This Row],[Tabela]]&amp;Table1[[#This Row],[Campo]]</f>
        <v>modesg_out_sfcs_taxon_europeianome_purpose_esg</v>
      </c>
      <c r="I718" s="2" t="s">
        <v>615</v>
      </c>
      <c r="J718" s="43">
        <f>VLOOKUP(Table1[[#This Row],[Status]],Auxiliar!$B$16:$C$24,2,0)</f>
        <v>5</v>
      </c>
      <c r="K718" s="2" t="s">
        <v>1246</v>
      </c>
      <c r="L718" s="29" t="s">
        <v>1252</v>
      </c>
      <c r="M718" s="21" t="s">
        <v>1254</v>
      </c>
      <c r="N718" s="48">
        <v>45674</v>
      </c>
      <c r="O718" s="21">
        <f>INDEX(Auxiliar!$D$5:$F$13,MATCH(Table1[[#This Row],[Tipologia_Testes]],Auxiliar!$B$5:$B$13,0),MATCH(Table1[[#This Row],[Complexidade]],Auxiliar!$D$4:$F$4,0))</f>
        <v>4</v>
      </c>
      <c r="P718" s="2"/>
      <c r="Q718" s="2"/>
      <c r="R718" s="152">
        <v>45563</v>
      </c>
      <c r="S718" s="152"/>
      <c r="T718" s="152">
        <v>45563</v>
      </c>
      <c r="U718" s="152">
        <v>45624</v>
      </c>
      <c r="V718" s="152">
        <v>45629</v>
      </c>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205</v>
      </c>
      <c r="H719" s="57" t="str">
        <f>Table1[[#This Row],[Tabela]]&amp;Table1[[#This Row],[Campo]]</f>
        <v>modesg_out_sfcs_taxon_europeianome_purpose_esg</v>
      </c>
      <c r="I719" s="2" t="s">
        <v>615</v>
      </c>
      <c r="J719" s="43">
        <f>VLOOKUP(Table1[[#This Row],[Status]],Auxiliar!$B$16:$C$24,2,0)</f>
        <v>5</v>
      </c>
      <c r="K719" s="2" t="s">
        <v>1247</v>
      </c>
      <c r="L719" s="29" t="s">
        <v>1252</v>
      </c>
      <c r="M719" s="21" t="s">
        <v>1254</v>
      </c>
      <c r="N719" s="48">
        <v>45674</v>
      </c>
      <c r="O719" s="21">
        <f>INDEX(Auxiliar!$D$5:$F$13,MATCH(Table1[[#This Row],[Tipologia_Testes]],Auxiliar!$B$5:$B$13,0),MATCH(Table1[[#This Row],[Complexidade]],Auxiliar!$D$4:$F$4,0))</f>
        <v>4</v>
      </c>
      <c r="P719" s="2"/>
      <c r="Q719" s="2"/>
      <c r="R719" s="152">
        <v>45563</v>
      </c>
      <c r="S719" s="152"/>
      <c r="T719" s="152">
        <v>45563</v>
      </c>
      <c r="U719" s="152">
        <v>45624</v>
      </c>
      <c r="V719" s="152">
        <v>45629</v>
      </c>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205</v>
      </c>
      <c r="H720" s="57" t="str">
        <f>Table1[[#This Row],[Tabela]]&amp;Table1[[#This Row],[Campo]]</f>
        <v>modesg_out_sfcs_taxon_europeianome_purpose_esg</v>
      </c>
      <c r="I720" s="2" t="s">
        <v>615</v>
      </c>
      <c r="J720" s="43">
        <f>VLOOKUP(Table1[[#This Row],[Status]],Auxiliar!$B$16:$C$24,2,0)</f>
        <v>5</v>
      </c>
      <c r="K720" s="2" t="s">
        <v>1249</v>
      </c>
      <c r="L720" s="29" t="s">
        <v>1252</v>
      </c>
      <c r="M720" s="21" t="s">
        <v>1254</v>
      </c>
      <c r="N720" s="48">
        <v>45674</v>
      </c>
      <c r="O720" s="21">
        <f>INDEX(Auxiliar!$D$5:$F$13,MATCH(Table1[[#This Row],[Tipologia_Testes]],Auxiliar!$B$5:$B$13,0),MATCH(Table1[[#This Row],[Complexidade]],Auxiliar!$D$4:$F$4,0))</f>
        <v>0.1</v>
      </c>
      <c r="P720" s="2"/>
      <c r="Q720" s="2"/>
      <c r="R720" s="152">
        <v>45563</v>
      </c>
      <c r="S720" s="152"/>
      <c r="T720" s="152">
        <v>45563</v>
      </c>
      <c r="U720" s="152">
        <v>45624</v>
      </c>
      <c r="V720" s="152">
        <v>45629</v>
      </c>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206</v>
      </c>
      <c r="H721" s="57" t="str">
        <f>Table1[[#This Row],[Tabela]]&amp;Table1[[#This Row],[Campo]]</f>
        <v>modesg_out_sfcs_taxon_europeianome_specific_eligible</v>
      </c>
      <c r="I721" s="2" t="s">
        <v>615</v>
      </c>
      <c r="J721" s="43">
        <f>VLOOKUP(Table1[[#This Row],[Status]],Auxiliar!$B$16:$C$24,2,0)</f>
        <v>5</v>
      </c>
      <c r="K721" s="2" t="s">
        <v>1246</v>
      </c>
      <c r="L721" s="29" t="s">
        <v>1244</v>
      </c>
      <c r="M721" s="21" t="s">
        <v>1254</v>
      </c>
      <c r="N721" s="48">
        <v>45674</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206</v>
      </c>
      <c r="H722" s="57" t="str">
        <f>Table1[[#This Row],[Tabela]]&amp;Table1[[#This Row],[Campo]]</f>
        <v>modesg_out_sfcs_taxon_europeianome_specific_eligible</v>
      </c>
      <c r="I722" s="2" t="s">
        <v>615</v>
      </c>
      <c r="J722" s="43">
        <f>VLOOKUP(Table1[[#This Row],[Status]],Auxiliar!$B$16:$C$24,2,0)</f>
        <v>5</v>
      </c>
      <c r="K722" s="2" t="s">
        <v>1247</v>
      </c>
      <c r="L722" s="29" t="s">
        <v>1244</v>
      </c>
      <c r="M722" s="21" t="s">
        <v>1254</v>
      </c>
      <c r="N722" s="48">
        <v>45674</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206</v>
      </c>
      <c r="H723" s="57" t="str">
        <f>Table1[[#This Row],[Tabela]]&amp;Table1[[#This Row],[Campo]]</f>
        <v>modesg_out_sfcs_taxon_europeianome_specific_eligible</v>
      </c>
      <c r="I723" s="2" t="s">
        <v>615</v>
      </c>
      <c r="J723" s="43">
        <f>VLOOKUP(Table1[[#This Row],[Status]],Auxiliar!$B$16:$C$24,2,0)</f>
        <v>5</v>
      </c>
      <c r="K723" s="2" t="s">
        <v>1249</v>
      </c>
      <c r="L723" s="29" t="s">
        <v>1244</v>
      </c>
      <c r="M723" s="21" t="s">
        <v>1254</v>
      </c>
      <c r="N723" s="48">
        <v>45674</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207</v>
      </c>
      <c r="H724" s="57" t="str">
        <f>Table1[[#This Row],[Tabela]]&amp;Table1[[#This Row],[Campo]]</f>
        <v>modesg_out_sfcs_taxon_europeianome_specific_sustainable</v>
      </c>
      <c r="I724" s="2" t="s">
        <v>615</v>
      </c>
      <c r="J724" s="43">
        <f>VLOOKUP(Table1[[#This Row],[Status]],Auxiliar!$B$16:$C$24,2,0)</f>
        <v>5</v>
      </c>
      <c r="K724" s="2" t="s">
        <v>1246</v>
      </c>
      <c r="L724" s="29" t="s">
        <v>1244</v>
      </c>
      <c r="M724" s="21" t="s">
        <v>1254</v>
      </c>
      <c r="N724" s="48">
        <v>45674</v>
      </c>
      <c r="O724" s="21">
        <f>INDEX(Auxiliar!$D$5:$F$13,MATCH(Table1[[#This Row],[Tipologia_Testes]],Auxiliar!$B$5:$B$13,0),MATCH(Table1[[#This Row],[Complexidade]],Auxiliar!$D$4:$F$4,0))</f>
        <v>4</v>
      </c>
      <c r="P724" s="2" t="s">
        <v>1288</v>
      </c>
      <c r="Q724" s="2"/>
      <c r="R724" s="152">
        <v>45563</v>
      </c>
      <c r="S724" s="152"/>
      <c r="T724" s="152">
        <v>45563</v>
      </c>
      <c r="U724" s="152">
        <v>45624</v>
      </c>
      <c r="V724" s="152">
        <v>45629</v>
      </c>
      <c r="W724" s="2">
        <f>VLOOKUP(Table1[[#This Row],[Status]],Auxiliar!$B$16:$D$24,3,0)*Table1[[#This Row],[Estimação (horas)]]</f>
        <v>1</v>
      </c>
      <c r="X724" s="2"/>
    </row>
    <row r="725" spans="2:24" ht="17.7" hidden="1" customHeight="1">
      <c r="B725" s="2" t="s">
        <v>26</v>
      </c>
      <c r="C725" s="2" t="s">
        <v>311</v>
      </c>
      <c r="D725" s="2" t="s">
        <v>335</v>
      </c>
      <c r="E725" s="2" t="s">
        <v>38</v>
      </c>
      <c r="F725" s="2" t="s">
        <v>334</v>
      </c>
      <c r="G725" s="2" t="s">
        <v>207</v>
      </c>
      <c r="H725" s="57" t="str">
        <f>Table1[[#This Row],[Tabela]]&amp;Table1[[#This Row],[Campo]]</f>
        <v>modesg_out_sfcs_taxon_europeianome_specific_sustainable</v>
      </c>
      <c r="I725" s="2" t="s">
        <v>615</v>
      </c>
      <c r="J725" s="43">
        <f>VLOOKUP(Table1[[#This Row],[Status]],Auxiliar!$B$16:$C$24,2,0)</f>
        <v>5</v>
      </c>
      <c r="K725" s="2" t="s">
        <v>1247</v>
      </c>
      <c r="L725" s="29" t="s">
        <v>1244</v>
      </c>
      <c r="M725" s="21" t="s">
        <v>1254</v>
      </c>
      <c r="N725" s="48">
        <v>45674</v>
      </c>
      <c r="O725" s="21">
        <f>INDEX(Auxiliar!$D$5:$F$13,MATCH(Table1[[#This Row],[Tipologia_Testes]],Auxiliar!$B$5:$B$13,0),MATCH(Table1[[#This Row],[Complexidade]],Auxiliar!$D$4:$F$4,0))</f>
        <v>4</v>
      </c>
      <c r="P725" s="2" t="s">
        <v>1288</v>
      </c>
      <c r="Q725" s="2"/>
      <c r="R725" s="152">
        <v>45563</v>
      </c>
      <c r="S725" s="152"/>
      <c r="T725" s="152">
        <v>45563</v>
      </c>
      <c r="U725" s="152">
        <v>45624</v>
      </c>
      <c r="V725" s="152">
        <v>45629</v>
      </c>
      <c r="W725" s="2">
        <f>VLOOKUP(Table1[[#This Row],[Status]],Auxiliar!$B$16:$D$24,3,0)*Table1[[#This Row],[Estimação (horas)]]</f>
        <v>1</v>
      </c>
      <c r="X725" s="2"/>
    </row>
    <row r="726" spans="2:24" ht="17.7" hidden="1" customHeight="1">
      <c r="B726" s="2" t="s">
        <v>26</v>
      </c>
      <c r="C726" s="2" t="s">
        <v>311</v>
      </c>
      <c r="D726" s="2" t="s">
        <v>335</v>
      </c>
      <c r="E726" s="2" t="s">
        <v>38</v>
      </c>
      <c r="F726" s="2" t="s">
        <v>334</v>
      </c>
      <c r="G726" s="2" t="s">
        <v>207</v>
      </c>
      <c r="H726" s="57" t="str">
        <f>Table1[[#This Row],[Tabela]]&amp;Table1[[#This Row],[Campo]]</f>
        <v>modesg_out_sfcs_taxon_europeianome_specific_sustainable</v>
      </c>
      <c r="I726" s="2" t="s">
        <v>615</v>
      </c>
      <c r="J726" s="43">
        <f>VLOOKUP(Table1[[#This Row],[Status]],Auxiliar!$B$16:$C$24,2,0)</f>
        <v>5</v>
      </c>
      <c r="K726" s="2" t="s">
        <v>1249</v>
      </c>
      <c r="L726" s="29" t="s">
        <v>1244</v>
      </c>
      <c r="M726" s="21" t="s">
        <v>1254</v>
      </c>
      <c r="N726" s="48">
        <v>45674</v>
      </c>
      <c r="O726" s="21">
        <f>INDEX(Auxiliar!$D$5:$F$13,MATCH(Table1[[#This Row],[Tipologia_Testes]],Auxiliar!$B$5:$B$13,0),MATCH(Table1[[#This Row],[Complexidade]],Auxiliar!$D$4:$F$4,0))</f>
        <v>0.1</v>
      </c>
      <c r="P726" s="2" t="s">
        <v>1288</v>
      </c>
      <c r="Q726" s="2"/>
      <c r="R726" s="152">
        <v>45563</v>
      </c>
      <c r="S726" s="152"/>
      <c r="T726" s="152">
        <v>45563</v>
      </c>
      <c r="U726" s="152">
        <v>45624</v>
      </c>
      <c r="V726" s="152">
        <v>45629</v>
      </c>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72</v>
      </c>
      <c r="H727" s="57" t="str">
        <f>Table1[[#This Row],[Tabela]]&amp;Table1[[#This Row],[Campo]]</f>
        <v>modesg_out_sfcs_taxon_europeiaorigem</v>
      </c>
      <c r="I727" s="3" t="s">
        <v>613</v>
      </c>
      <c r="J727" s="55">
        <f>VLOOKUP(Table1[[#This Row],[Status]],Auxiliar!$B$16:$C$24,2,0)</f>
        <v>1</v>
      </c>
      <c r="K727" s="2" t="s">
        <v>1246</v>
      </c>
      <c r="L727" s="29" t="s">
        <v>1252</v>
      </c>
      <c r="M727" s="21" t="s">
        <v>1253</v>
      </c>
      <c r="N727" s="48">
        <v>45546</v>
      </c>
      <c r="O727" s="21">
        <f>INDEX(Auxiliar!$D$5:$F$13,MATCH(Table1[[#This Row],[Tipologia_Testes]],Auxiliar!$B$5:$B$13,0),MATCH(Table1[[#This Row],[Complexidade]],Auxiliar!$D$4:$F$4,0))</f>
        <v>2</v>
      </c>
      <c r="P727" s="2"/>
      <c r="Q727" s="2"/>
      <c r="R727" s="152">
        <v>45562</v>
      </c>
      <c r="S727" s="152"/>
      <c r="T727" s="152"/>
      <c r="U727" s="152"/>
      <c r="V727" s="152"/>
      <c r="W727" s="2">
        <f>VLOOKUP(Table1[[#This Row],[Status]],Auxiliar!$B$16:$D$24,3,0)*Table1[[#This Row],[Estimação (horas)]]</f>
        <v>2</v>
      </c>
      <c r="X727" s="2"/>
    </row>
    <row r="728" spans="2:24" ht="17.7" hidden="1" customHeight="1">
      <c r="B728" s="2" t="s">
        <v>26</v>
      </c>
      <c r="C728" s="2" t="s">
        <v>311</v>
      </c>
      <c r="D728" s="2" t="s">
        <v>335</v>
      </c>
      <c r="E728" s="2" t="s">
        <v>38</v>
      </c>
      <c r="F728" s="2" t="s">
        <v>334</v>
      </c>
      <c r="G728" s="2" t="s">
        <v>72</v>
      </c>
      <c r="H728" s="57" t="str">
        <f>Table1[[#This Row],[Tabela]]&amp;Table1[[#This Row],[Campo]]</f>
        <v>modesg_out_sfcs_taxon_europeiaorigem</v>
      </c>
      <c r="I728" s="3" t="s">
        <v>613</v>
      </c>
      <c r="J728" s="55">
        <f>VLOOKUP(Table1[[#This Row],[Status]],Auxiliar!$B$16:$C$24,2,0)</f>
        <v>1</v>
      </c>
      <c r="K728" s="2" t="s">
        <v>1247</v>
      </c>
      <c r="L728" s="29" t="s">
        <v>1252</v>
      </c>
      <c r="M728" s="21" t="s">
        <v>1253</v>
      </c>
      <c r="N728" s="48">
        <v>45546</v>
      </c>
      <c r="O728" s="21">
        <f>INDEX(Auxiliar!$D$5:$F$13,MATCH(Table1[[#This Row],[Tipologia_Testes]],Auxiliar!$B$5:$B$13,0),MATCH(Table1[[#This Row],[Complexidade]],Auxiliar!$D$4:$F$4,0))</f>
        <v>2</v>
      </c>
      <c r="P728" s="2"/>
      <c r="Q728" s="2"/>
      <c r="R728" s="152">
        <v>45562</v>
      </c>
      <c r="S728" s="152"/>
      <c r="T728" s="152"/>
      <c r="U728" s="152"/>
      <c r="V728" s="152"/>
      <c r="W728" s="2">
        <f>VLOOKUP(Table1[[#This Row],[Status]],Auxiliar!$B$16:$D$24,3,0)*Table1[[#This Row],[Estimação (horas)]]</f>
        <v>2</v>
      </c>
      <c r="X728" s="2"/>
    </row>
    <row r="729" spans="2:24" ht="17.7" hidden="1" customHeight="1">
      <c r="B729" s="2" t="s">
        <v>26</v>
      </c>
      <c r="C729" s="2" t="s">
        <v>311</v>
      </c>
      <c r="D729" s="2" t="s">
        <v>335</v>
      </c>
      <c r="E729" s="2" t="s">
        <v>38</v>
      </c>
      <c r="F729" s="2" t="s">
        <v>334</v>
      </c>
      <c r="G729" s="2" t="s">
        <v>72</v>
      </c>
      <c r="H729" s="57" t="str">
        <f>Table1[[#This Row],[Tabela]]&amp;Table1[[#This Row],[Campo]]</f>
        <v>modesg_out_sfcs_taxon_europeiaorigem</v>
      </c>
      <c r="I729" s="3" t="s">
        <v>613</v>
      </c>
      <c r="J729" s="55">
        <f>VLOOKUP(Table1[[#This Row],[Status]],Auxiliar!$B$16:$C$24,2,0)</f>
        <v>1</v>
      </c>
      <c r="K729" s="2" t="s">
        <v>1249</v>
      </c>
      <c r="L729" s="29" t="s">
        <v>1252</v>
      </c>
      <c r="M729" s="21" t="s">
        <v>1253</v>
      </c>
      <c r="N729" s="48">
        <v>45546</v>
      </c>
      <c r="O729" s="21">
        <f>INDEX(Auxiliar!$D$5:$F$13,MATCH(Table1[[#This Row],[Tipologia_Testes]],Auxiliar!$B$5:$B$13,0),MATCH(Table1[[#This Row],[Complexidade]],Auxiliar!$D$4:$F$4,0))</f>
        <v>0.1</v>
      </c>
      <c r="P729" s="2"/>
      <c r="Q729" s="2"/>
      <c r="R729" s="152">
        <v>45562</v>
      </c>
      <c r="S729" s="152"/>
      <c r="T729" s="152"/>
      <c r="U729" s="152"/>
      <c r="V729" s="152"/>
      <c r="W729" s="2">
        <f>VLOOKUP(Table1[[#This Row],[Status]],Auxiliar!$B$16:$D$24,3,0)*Table1[[#This Row],[Estimação (horas)]]</f>
        <v>0.1</v>
      </c>
      <c r="X729" s="2"/>
    </row>
    <row r="730" spans="2:24" ht="17.7" hidden="1" customHeight="1">
      <c r="B730" s="2" t="s">
        <v>26</v>
      </c>
      <c r="C730" s="2" t="s">
        <v>311</v>
      </c>
      <c r="D730" s="2" t="s">
        <v>335</v>
      </c>
      <c r="E730" s="2" t="s">
        <v>38</v>
      </c>
      <c r="F730" s="2" t="s">
        <v>334</v>
      </c>
      <c r="G730" s="2" t="s">
        <v>208</v>
      </c>
      <c r="H730" s="57" t="str">
        <f>Table1[[#This Row],[Tabela]]&amp;Table1[[#This Row],[Campo]]</f>
        <v>modesg_out_sfcs_taxon_europeiaref_date</v>
      </c>
      <c r="I730" s="2" t="s">
        <v>615</v>
      </c>
      <c r="J730" s="43">
        <f>VLOOKUP(Table1[[#This Row],[Status]],Auxiliar!$B$16:$C$24,2,0)</f>
        <v>5</v>
      </c>
      <c r="K730" s="2" t="s">
        <v>1246</v>
      </c>
      <c r="L730" s="29" t="s">
        <v>1252</v>
      </c>
      <c r="M730" s="21" t="s">
        <v>1253</v>
      </c>
      <c r="N730" s="48">
        <v>45674</v>
      </c>
      <c r="O730" s="21">
        <f>INDEX(Auxiliar!$D$5:$F$13,MATCH(Table1[[#This Row],[Tipologia_Testes]],Auxiliar!$B$5:$B$13,0),MATCH(Table1[[#This Row],[Complexidade]],Auxiliar!$D$4:$F$4,0))</f>
        <v>2</v>
      </c>
      <c r="P730" s="2"/>
      <c r="Q730" s="2"/>
      <c r="R730" s="152">
        <v>45563</v>
      </c>
      <c r="S730" s="152"/>
      <c r="T730" s="152">
        <v>45561</v>
      </c>
      <c r="U730" s="152">
        <v>45624</v>
      </c>
      <c r="V730" s="152">
        <v>45629</v>
      </c>
      <c r="W730" s="2">
        <f>VLOOKUP(Table1[[#This Row],[Status]],Auxiliar!$B$16:$D$24,3,0)*Table1[[#This Row],[Estimação (horas)]]</f>
        <v>0.5</v>
      </c>
      <c r="X730" s="2"/>
    </row>
    <row r="731" spans="2:24" ht="17.7" hidden="1" customHeight="1">
      <c r="B731" s="2" t="s">
        <v>26</v>
      </c>
      <c r="C731" s="2" t="s">
        <v>311</v>
      </c>
      <c r="D731" s="2" t="s">
        <v>335</v>
      </c>
      <c r="E731" s="2" t="s">
        <v>38</v>
      </c>
      <c r="F731" s="2" t="s">
        <v>334</v>
      </c>
      <c r="G731" s="2" t="s">
        <v>208</v>
      </c>
      <c r="H731" s="57" t="str">
        <f>Table1[[#This Row],[Tabela]]&amp;Table1[[#This Row],[Campo]]</f>
        <v>modesg_out_sfcs_taxon_europeiaref_date</v>
      </c>
      <c r="I731" s="2" t="s">
        <v>615</v>
      </c>
      <c r="J731" s="43">
        <f>VLOOKUP(Table1[[#This Row],[Status]],Auxiliar!$B$16:$C$24,2,0)</f>
        <v>5</v>
      </c>
      <c r="K731" s="2" t="s">
        <v>1247</v>
      </c>
      <c r="L731" s="29" t="s">
        <v>1252</v>
      </c>
      <c r="M731" s="21" t="s">
        <v>1253</v>
      </c>
      <c r="N731" s="48">
        <v>45674</v>
      </c>
      <c r="O731" s="21">
        <f>INDEX(Auxiliar!$D$5:$F$13,MATCH(Table1[[#This Row],[Tipologia_Testes]],Auxiliar!$B$5:$B$13,0),MATCH(Table1[[#This Row],[Complexidade]],Auxiliar!$D$4:$F$4,0))</f>
        <v>2</v>
      </c>
      <c r="P731" s="2"/>
      <c r="Q731" s="2"/>
      <c r="R731" s="152">
        <v>45563</v>
      </c>
      <c r="S731" s="152"/>
      <c r="T731" s="152">
        <v>45561</v>
      </c>
      <c r="U731" s="152">
        <v>45624</v>
      </c>
      <c r="V731" s="152">
        <v>45629</v>
      </c>
      <c r="W731" s="2">
        <f>VLOOKUP(Table1[[#This Row],[Status]],Auxiliar!$B$16:$D$24,3,0)*Table1[[#This Row],[Estimação (horas)]]</f>
        <v>0.5</v>
      </c>
      <c r="X731" s="2"/>
    </row>
    <row r="732" spans="2:24" ht="17.7" hidden="1" customHeight="1">
      <c r="B732" s="2" t="s">
        <v>26</v>
      </c>
      <c r="C732" s="2" t="s">
        <v>311</v>
      </c>
      <c r="D732" s="2" t="s">
        <v>335</v>
      </c>
      <c r="E732" s="2" t="s">
        <v>38</v>
      </c>
      <c r="F732" s="2" t="s">
        <v>334</v>
      </c>
      <c r="G732" s="2" t="s">
        <v>208</v>
      </c>
      <c r="H732" s="57" t="str">
        <f>Table1[[#This Row],[Tabela]]&amp;Table1[[#This Row],[Campo]]</f>
        <v>modesg_out_sfcs_taxon_europeiaref_date</v>
      </c>
      <c r="I732" s="2" t="s">
        <v>615</v>
      </c>
      <c r="J732" s="43">
        <f>VLOOKUP(Table1[[#This Row],[Status]],Auxiliar!$B$16:$C$24,2,0)</f>
        <v>5</v>
      </c>
      <c r="K732" s="2" t="s">
        <v>1249</v>
      </c>
      <c r="L732" s="29" t="s">
        <v>1252</v>
      </c>
      <c r="M732" s="21" t="s">
        <v>1253</v>
      </c>
      <c r="N732" s="48">
        <v>45674</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2.5000000000000001E-2</v>
      </c>
      <c r="X732" s="2"/>
    </row>
    <row r="733" spans="2:24" ht="17.7" hidden="1" customHeight="1">
      <c r="B733" s="2" t="s">
        <v>26</v>
      </c>
      <c r="C733" s="2" t="s">
        <v>311</v>
      </c>
      <c r="D733" s="2" t="s">
        <v>335</v>
      </c>
      <c r="E733" s="2" t="s">
        <v>38</v>
      </c>
      <c r="F733" s="2" t="s">
        <v>334</v>
      </c>
      <c r="G733" s="2" t="s">
        <v>210</v>
      </c>
      <c r="H733" s="57" t="str">
        <f>Table1[[#This Row],[Tabela]]&amp;Table1[[#This Row],[Campo]]</f>
        <v>modesg_out_sfcs_taxon_europeiazdeposit</v>
      </c>
      <c r="I733" s="2" t="s">
        <v>615</v>
      </c>
      <c r="J733" s="43">
        <f>VLOOKUP(Table1[[#This Row],[Status]],Auxiliar!$B$16:$C$24,2,0)</f>
        <v>5</v>
      </c>
      <c r="K733" s="2" t="s">
        <v>1246</v>
      </c>
      <c r="L733" s="29" t="s">
        <v>1252</v>
      </c>
      <c r="M733" s="21" t="s">
        <v>1254</v>
      </c>
      <c r="N733" s="48">
        <v>45674</v>
      </c>
      <c r="O733" s="21">
        <f>INDEX(Auxiliar!$D$5:$F$13,MATCH(Table1[[#This Row],[Tipologia_Testes]],Auxiliar!$B$5:$B$13,0),MATCH(Table1[[#This Row],[Complexidade]],Auxiliar!$D$4:$F$4,0))</f>
        <v>4</v>
      </c>
      <c r="P733" s="2"/>
      <c r="Q733" s="2"/>
      <c r="R733" s="152">
        <v>45563</v>
      </c>
      <c r="S733" s="152"/>
      <c r="T733" s="152">
        <v>45561</v>
      </c>
      <c r="U733" s="152">
        <v>45624</v>
      </c>
      <c r="V733" s="152">
        <v>45629</v>
      </c>
      <c r="W733" s="2">
        <f>VLOOKUP(Table1[[#This Row],[Status]],Auxiliar!$B$16:$D$24,3,0)*Table1[[#This Row],[Estimação (horas)]]</f>
        <v>1</v>
      </c>
      <c r="X733" s="2"/>
    </row>
    <row r="734" spans="2:24" ht="17.7" hidden="1" customHeight="1">
      <c r="B734" s="2" t="s">
        <v>26</v>
      </c>
      <c r="C734" s="2" t="s">
        <v>311</v>
      </c>
      <c r="D734" s="2" t="s">
        <v>335</v>
      </c>
      <c r="E734" s="2" t="s">
        <v>38</v>
      </c>
      <c r="F734" s="2" t="s">
        <v>334</v>
      </c>
      <c r="G734" s="2" t="s">
        <v>210</v>
      </c>
      <c r="H734" s="57" t="str">
        <f>Table1[[#This Row],[Tabela]]&amp;Table1[[#This Row],[Campo]]</f>
        <v>modesg_out_sfcs_taxon_europeiazdeposit</v>
      </c>
      <c r="I734" s="2" t="s">
        <v>615</v>
      </c>
      <c r="J734" s="43">
        <f>VLOOKUP(Table1[[#This Row],[Status]],Auxiliar!$B$16:$C$24,2,0)</f>
        <v>5</v>
      </c>
      <c r="K734" s="2" t="s">
        <v>1247</v>
      </c>
      <c r="L734" s="29" t="s">
        <v>1252</v>
      </c>
      <c r="M734" s="21" t="s">
        <v>1254</v>
      </c>
      <c r="N734" s="48">
        <v>45674</v>
      </c>
      <c r="O734" s="21">
        <f>INDEX(Auxiliar!$D$5:$F$13,MATCH(Table1[[#This Row],[Tipologia_Testes]],Auxiliar!$B$5:$B$13,0),MATCH(Table1[[#This Row],[Complexidade]],Auxiliar!$D$4:$F$4,0))</f>
        <v>4</v>
      </c>
      <c r="P734" s="2"/>
      <c r="Q734" s="2"/>
      <c r="R734" s="152">
        <v>45563</v>
      </c>
      <c r="S734" s="152"/>
      <c r="T734" s="152">
        <v>45561</v>
      </c>
      <c r="U734" s="152">
        <v>45624</v>
      </c>
      <c r="V734" s="152">
        <v>45629</v>
      </c>
      <c r="W734" s="2">
        <f>VLOOKUP(Table1[[#This Row],[Status]],Auxiliar!$B$16:$D$24,3,0)*Table1[[#This Row],[Estimação (horas)]]</f>
        <v>1</v>
      </c>
      <c r="X734" s="2"/>
    </row>
    <row r="735" spans="2:24" ht="17.7" hidden="1" customHeight="1">
      <c r="B735" s="2" t="s">
        <v>26</v>
      </c>
      <c r="C735" s="2" t="s">
        <v>311</v>
      </c>
      <c r="D735" s="2" t="s">
        <v>335</v>
      </c>
      <c r="E735" s="2" t="s">
        <v>38</v>
      </c>
      <c r="F735" s="2" t="s">
        <v>334</v>
      </c>
      <c r="G735" s="2" t="s">
        <v>210</v>
      </c>
      <c r="H735" s="57" t="str">
        <f>Table1[[#This Row],[Tabela]]&amp;Table1[[#This Row],[Campo]]</f>
        <v>modesg_out_sfcs_taxon_europeiazdeposit</v>
      </c>
      <c r="I735" s="2" t="s">
        <v>615</v>
      </c>
      <c r="J735" s="43">
        <f>VLOOKUP(Table1[[#This Row],[Status]],Auxiliar!$B$16:$C$24,2,0)</f>
        <v>5</v>
      </c>
      <c r="K735" s="2" t="s">
        <v>1249</v>
      </c>
      <c r="L735" s="29" t="s">
        <v>1252</v>
      </c>
      <c r="M735" s="21" t="s">
        <v>1254</v>
      </c>
      <c r="N735" s="48">
        <v>45674</v>
      </c>
      <c r="O735" s="21">
        <f>INDEX(Auxiliar!$D$5:$F$13,MATCH(Table1[[#This Row],[Tipologia_Testes]],Auxiliar!$B$5:$B$13,0),MATCH(Table1[[#This Row],[Complexidade]],Auxiliar!$D$4:$F$4,0))</f>
        <v>0.1</v>
      </c>
      <c r="P735" s="2"/>
      <c r="Q735" s="2"/>
      <c r="R735" s="152">
        <v>45563</v>
      </c>
      <c r="S735" s="152"/>
      <c r="T735" s="152">
        <v>45561</v>
      </c>
      <c r="U735" s="152">
        <v>45624</v>
      </c>
      <c r="V735" s="152">
        <v>45629</v>
      </c>
      <c r="W735" s="2">
        <f>VLOOKUP(Table1[[#This Row],[Status]],Auxiliar!$B$16:$D$24,3,0)*Table1[[#This Row],[Estimação (horas)]]</f>
        <v>2.5000000000000001E-2</v>
      </c>
      <c r="X735" s="2"/>
    </row>
    <row r="736" spans="2:24" ht="17.7" hidden="1" customHeight="1">
      <c r="B736" s="2" t="s">
        <v>26</v>
      </c>
      <c r="C736" s="2" t="s">
        <v>181</v>
      </c>
      <c r="D736" s="2" t="s">
        <v>1289</v>
      </c>
      <c r="E736" s="2" t="s">
        <v>38</v>
      </c>
      <c r="F736" s="2" t="s">
        <v>182</v>
      </c>
      <c r="G736" s="2" t="s">
        <v>38</v>
      </c>
      <c r="H736" s="57" t="str">
        <f>Table1[[#This Row],[Tabela]]&amp;Table1[[#This Row],[Campo]]</f>
        <v>modesg_param_sfcs_taxon_europeian.a.</v>
      </c>
      <c r="I736" s="2" t="s">
        <v>613</v>
      </c>
      <c r="J736" s="43">
        <f>VLOOKUP(Table1[[#This Row],[Status]],Auxiliar!$B$16:$C$24,2,0)</f>
        <v>1</v>
      </c>
      <c r="K736" s="2" t="s">
        <v>1243</v>
      </c>
      <c r="L736" s="29" t="s">
        <v>1252</v>
      </c>
      <c r="M736" s="21" t="s">
        <v>1245</v>
      </c>
      <c r="N736" s="48">
        <v>45611</v>
      </c>
      <c r="O736" s="21">
        <f>INDEX(Auxiliar!$D$5:$F$13,MATCH(Table1[[#This Row],[Tipologia_Testes]],Auxiliar!$B$5:$B$13,0),MATCH(Table1[[#This Row],[Complexidade]],Auxiliar!$D$4:$F$4,0))</f>
        <v>8</v>
      </c>
      <c r="P736" s="23"/>
      <c r="Q736" s="2"/>
      <c r="R736" s="152">
        <v>45563</v>
      </c>
      <c r="S736" s="152"/>
      <c r="T736" s="152">
        <v>45563</v>
      </c>
      <c r="U736" s="152">
        <v>45603</v>
      </c>
      <c r="V736" s="152">
        <v>45604</v>
      </c>
      <c r="W736" s="2">
        <f>VLOOKUP(Table1[[#This Row],[Status]],Auxiliar!$B$16:$D$24,3,0)*Table1[[#This Row],[Estimação (horas)]]</f>
        <v>8</v>
      </c>
      <c r="X736" s="2"/>
    </row>
    <row r="737" spans="2:24" ht="87" hidden="1" customHeight="1">
      <c r="B737" s="2" t="s">
        <v>26</v>
      </c>
      <c r="C737" s="2" t="s">
        <v>181</v>
      </c>
      <c r="D737" s="2" t="s">
        <v>1289</v>
      </c>
      <c r="E737" s="2" t="s">
        <v>38</v>
      </c>
      <c r="F737" s="2" t="s">
        <v>182</v>
      </c>
      <c r="G737" s="2" t="s">
        <v>38</v>
      </c>
      <c r="H737" s="57" t="str">
        <f>Table1[[#This Row],[Tabela]]&amp;Table1[[#This Row],[Campo]]</f>
        <v>modesg_param_sfcs_taxon_europeian.a.</v>
      </c>
      <c r="I737" s="2" t="s">
        <v>613</v>
      </c>
      <c r="J737" s="43">
        <f>VLOOKUP(Table1[[#This Row],[Status]],Auxiliar!$B$16:$C$24,2,0)</f>
        <v>1</v>
      </c>
      <c r="K737" s="2" t="s">
        <v>1290</v>
      </c>
      <c r="L737" s="29" t="s">
        <v>1252</v>
      </c>
      <c r="M737" s="21" t="s">
        <v>1253</v>
      </c>
      <c r="N737" s="48">
        <v>45611</v>
      </c>
      <c r="O737" s="21">
        <f>INDEX(Auxiliar!$D$5:$F$13,MATCH(Table1[[#This Row],[Tipologia_Testes]],Auxiliar!$B$5:$B$13,0),MATCH(Table1[[#This Row],[Complexidade]],Auxiliar!$D$4:$F$4,0))</f>
        <v>0.5</v>
      </c>
      <c r="P737" s="23" t="s">
        <v>1291</v>
      </c>
      <c r="Q737" s="2"/>
      <c r="R737" s="152">
        <v>45563</v>
      </c>
      <c r="S737" s="152"/>
      <c r="T737" s="152">
        <v>45563</v>
      </c>
      <c r="U737" s="152">
        <v>45603</v>
      </c>
      <c r="V737" s="152">
        <v>45604</v>
      </c>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183</v>
      </c>
      <c r="H738" s="57" t="str">
        <f>Table1[[#This Row],[Tabela]]&amp;Table1[[#This Row],[Campo]]</f>
        <v>modesg_param_sfcs_taxon_europeiacbalcao</v>
      </c>
      <c r="I738" s="3" t="s">
        <v>613</v>
      </c>
      <c r="J738" s="55">
        <f>VLOOKUP(Table1[[#This Row],[Status]],Auxiliar!$B$16:$C$24,2,0)</f>
        <v>1</v>
      </c>
      <c r="K738" s="2" t="s">
        <v>1257</v>
      </c>
      <c r="L738" s="29" t="s">
        <v>1252</v>
      </c>
      <c r="M738" s="21" t="s">
        <v>1253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1289</v>
      </c>
      <c r="E739" s="2" t="s">
        <v>38</v>
      </c>
      <c r="F739" s="2" t="s">
        <v>182</v>
      </c>
      <c r="G739" s="2" t="s">
        <v>183</v>
      </c>
      <c r="H739" s="57" t="str">
        <f>Table1[[#This Row],[Tabela]]&amp;Table1[[#This Row],[Campo]]</f>
        <v>modesg_param_sfcs_taxon_europeiacbalcao</v>
      </c>
      <c r="I739" s="3" t="s">
        <v>613</v>
      </c>
      <c r="J739" s="55">
        <f>VLOOKUP(Table1[[#This Row],[Status]],Auxiliar!$B$16:$C$24,2,0)</f>
        <v>1</v>
      </c>
      <c r="K739" s="2" t="s">
        <v>1249</v>
      </c>
      <c r="L739" s="29" t="s">
        <v>1252</v>
      </c>
      <c r="M739" s="21" t="s">
        <v>1253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1289</v>
      </c>
      <c r="E740" s="2" t="s">
        <v>38</v>
      </c>
      <c r="F740" s="2" t="s">
        <v>182</v>
      </c>
      <c r="G740" s="2" t="s">
        <v>184</v>
      </c>
      <c r="H740" s="57" t="str">
        <f>Table1[[#This Row],[Tabela]]&amp;Table1[[#This Row],[Campo]]</f>
        <v>modesg_param_sfcs_taxon_europeiacempresa</v>
      </c>
      <c r="I740" s="3" t="s">
        <v>613</v>
      </c>
      <c r="J740" s="55">
        <f>VLOOKUP(Table1[[#This Row],[Status]],Auxiliar!$B$16:$C$24,2,0)</f>
        <v>1</v>
      </c>
      <c r="K740" s="2" t="s">
        <v>1257</v>
      </c>
      <c r="L740" s="29" t="s">
        <v>1252</v>
      </c>
      <c r="M740" s="21" t="s">
        <v>1253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1289</v>
      </c>
      <c r="E741" s="2" t="s">
        <v>38</v>
      </c>
      <c r="F741" s="2" t="s">
        <v>182</v>
      </c>
      <c r="G741" s="2" t="s">
        <v>184</v>
      </c>
      <c r="H741" s="57" t="str">
        <f>Table1[[#This Row],[Tabela]]&amp;Table1[[#This Row],[Campo]]</f>
        <v>modesg_param_sfcs_taxon_europeiacempresa</v>
      </c>
      <c r="I741" s="3" t="s">
        <v>613</v>
      </c>
      <c r="J741" s="55">
        <f>VLOOKUP(Table1[[#This Row],[Status]],Auxiliar!$B$16:$C$24,2,0)</f>
        <v>1</v>
      </c>
      <c r="K741" s="2" t="s">
        <v>1249</v>
      </c>
      <c r="L741" s="29" t="s">
        <v>1252</v>
      </c>
      <c r="M741" s="21" t="s">
        <v>1253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1289</v>
      </c>
      <c r="E742" s="2" t="s">
        <v>38</v>
      </c>
      <c r="F742" s="2" t="s">
        <v>182</v>
      </c>
      <c r="G742" s="2" t="s">
        <v>185</v>
      </c>
      <c r="H742" s="57" t="str">
        <f>Table1[[#This Row],[Tabela]]&amp;Table1[[#This Row],[Campo]]</f>
        <v>modesg_param_sfcs_taxon_europeiackmetamis</v>
      </c>
      <c r="I742" s="3" t="s">
        <v>613</v>
      </c>
      <c r="J742" s="55">
        <f>VLOOKUP(Table1[[#This Row],[Status]],Auxiliar!$B$16:$C$24,2,0)</f>
        <v>1</v>
      </c>
      <c r="K742" s="2" t="s">
        <v>1257</v>
      </c>
      <c r="L742" s="29" t="s">
        <v>1252</v>
      </c>
      <c r="M742" s="21" t="s">
        <v>1253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1289</v>
      </c>
      <c r="E743" s="2" t="s">
        <v>38</v>
      </c>
      <c r="F743" s="2" t="s">
        <v>182</v>
      </c>
      <c r="G743" s="2" t="s">
        <v>185</v>
      </c>
      <c r="H743" s="57" t="str">
        <f>Table1[[#This Row],[Tabela]]&amp;Table1[[#This Row],[Campo]]</f>
        <v>modesg_param_sfcs_taxon_europeiackmetamis</v>
      </c>
      <c r="I743" s="3" t="s">
        <v>613</v>
      </c>
      <c r="J743" s="55">
        <f>VLOOKUP(Table1[[#This Row],[Status]],Auxiliar!$B$16:$C$24,2,0)</f>
        <v>1</v>
      </c>
      <c r="K743" s="2" t="s">
        <v>1249</v>
      </c>
      <c r="L743" s="29" t="s">
        <v>1252</v>
      </c>
      <c r="M743" s="21" t="s">
        <v>1253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1289</v>
      </c>
      <c r="E744" s="2" t="s">
        <v>38</v>
      </c>
      <c r="F744" s="2" t="s">
        <v>182</v>
      </c>
      <c r="G744" s="2" t="s">
        <v>186</v>
      </c>
      <c r="H744" s="57" t="str">
        <f>Table1[[#This Row],[Tabela]]&amp;Table1[[#This Row],[Campo]]</f>
        <v>modesg_param_sfcs_taxon_europeiackprodmi</v>
      </c>
      <c r="I744" s="3" t="s">
        <v>613</v>
      </c>
      <c r="J744" s="55">
        <f>VLOOKUP(Table1[[#This Row],[Status]],Auxiliar!$B$16:$C$24,2,0)</f>
        <v>1</v>
      </c>
      <c r="K744" s="2" t="s">
        <v>1257</v>
      </c>
      <c r="L744" s="29" t="s">
        <v>1252</v>
      </c>
      <c r="M744" s="21" t="s">
        <v>1253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1289</v>
      </c>
      <c r="E745" s="2" t="s">
        <v>38</v>
      </c>
      <c r="F745" s="2" t="s">
        <v>182</v>
      </c>
      <c r="G745" s="2" t="s">
        <v>186</v>
      </c>
      <c r="H745" s="57" t="str">
        <f>Table1[[#This Row],[Tabela]]&amp;Table1[[#This Row],[Campo]]</f>
        <v>modesg_param_sfcs_taxon_europeiackprodmi</v>
      </c>
      <c r="I745" s="3" t="s">
        <v>613</v>
      </c>
      <c r="J745" s="55">
        <f>VLOOKUP(Table1[[#This Row],[Status]],Auxiliar!$B$16:$C$24,2,0)</f>
        <v>1</v>
      </c>
      <c r="K745" s="2" t="s">
        <v>1249</v>
      </c>
      <c r="L745" s="29" t="s">
        <v>1252</v>
      </c>
      <c r="M745" s="21" t="s">
        <v>1253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1289</v>
      </c>
      <c r="E746" s="2" t="s">
        <v>38</v>
      </c>
      <c r="F746" s="2" t="s">
        <v>182</v>
      </c>
      <c r="G746" s="2" t="s">
        <v>187</v>
      </c>
      <c r="H746" s="57" t="str">
        <f>Table1[[#This Row],[Tabela]]&amp;Table1[[#This Row],[Campo]]</f>
        <v>modesg_param_sfcs_taxon_europeiacmetanseg</v>
      </c>
      <c r="I746" s="3" t="s">
        <v>613</v>
      </c>
      <c r="J746" s="55">
        <f>VLOOKUP(Table1[[#This Row],[Status]],Auxiliar!$B$16:$C$24,2,0)</f>
        <v>1</v>
      </c>
      <c r="K746" s="2" t="s">
        <v>1257</v>
      </c>
      <c r="L746" s="29" t="s">
        <v>1252</v>
      </c>
      <c r="M746" s="21" t="s">
        <v>1253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1289</v>
      </c>
      <c r="E747" s="2" t="s">
        <v>38</v>
      </c>
      <c r="F747" s="2" t="s">
        <v>182</v>
      </c>
      <c r="G747" s="2" t="s">
        <v>187</v>
      </c>
      <c r="H747" s="57" t="str">
        <f>Table1[[#This Row],[Tabela]]&amp;Table1[[#This Row],[Campo]]</f>
        <v>modesg_param_sfcs_taxon_europeiacmetanseg</v>
      </c>
      <c r="I747" s="3" t="s">
        <v>613</v>
      </c>
      <c r="J747" s="55">
        <f>VLOOKUP(Table1[[#This Row],[Status]],Auxiliar!$B$16:$C$24,2,0)</f>
        <v>1</v>
      </c>
      <c r="K747" s="2" t="s">
        <v>1249</v>
      </c>
      <c r="L747" s="29" t="s">
        <v>1252</v>
      </c>
      <c r="M747" s="21" t="s">
        <v>1253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1289</v>
      </c>
      <c r="E748" s="2" t="s">
        <v>38</v>
      </c>
      <c r="F748" s="2" t="s">
        <v>182</v>
      </c>
      <c r="G748" s="2" t="s">
        <v>188</v>
      </c>
      <c r="H748" s="57" t="str">
        <f>Table1[[#This Row],[Tabela]]&amp;Table1[[#This Row],[Campo]]</f>
        <v>modesg_param_sfcs_taxon_europeiacnsm_co2</v>
      </c>
      <c r="I748" s="3" t="s">
        <v>613</v>
      </c>
      <c r="J748" s="55">
        <f>VLOOKUP(Table1[[#This Row],[Status]],Auxiliar!$B$16:$C$24,2,0)</f>
        <v>1</v>
      </c>
      <c r="K748" s="2" t="s">
        <v>1257</v>
      </c>
      <c r="L748" s="29" t="s">
        <v>1252</v>
      </c>
      <c r="M748" s="21" t="s">
        <v>1253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7" hidden="1" customHeight="1">
      <c r="B749" s="2" t="s">
        <v>26</v>
      </c>
      <c r="C749" s="2" t="s">
        <v>181</v>
      </c>
      <c r="D749" s="2" t="s">
        <v>1289</v>
      </c>
      <c r="E749" s="2" t="s">
        <v>38</v>
      </c>
      <c r="F749" s="2" t="s">
        <v>182</v>
      </c>
      <c r="G749" s="2" t="s">
        <v>188</v>
      </c>
      <c r="H749" s="57" t="str">
        <f>Table1[[#This Row],[Tabela]]&amp;Table1[[#This Row],[Campo]]</f>
        <v>modesg_param_sfcs_taxon_europeiacnsm_co2</v>
      </c>
      <c r="I749" s="3" t="s">
        <v>613</v>
      </c>
      <c r="J749" s="55">
        <f>VLOOKUP(Table1[[#This Row],[Status]],Auxiliar!$B$16:$C$24,2,0)</f>
        <v>1</v>
      </c>
      <c r="K749" s="2" t="s">
        <v>1249</v>
      </c>
      <c r="L749" s="29" t="s">
        <v>1252</v>
      </c>
      <c r="M749" s="21" t="s">
        <v>1253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7" hidden="1" customHeight="1">
      <c r="B750" s="2" t="s">
        <v>26</v>
      </c>
      <c r="C750" s="2" t="s">
        <v>181</v>
      </c>
      <c r="D750" s="2" t="s">
        <v>1289</v>
      </c>
      <c r="E750" s="2" t="s">
        <v>38</v>
      </c>
      <c r="F750" s="2" t="s">
        <v>182</v>
      </c>
      <c r="G750" s="2" t="s">
        <v>189</v>
      </c>
      <c r="H750" s="57" t="str">
        <f>Table1[[#This Row],[Tabela]]&amp;Table1[[#This Row],[Campo]]</f>
        <v>modesg_param_sfcs_taxon_europeiacnumecta</v>
      </c>
      <c r="I750" s="3" t="s">
        <v>613</v>
      </c>
      <c r="J750" s="55">
        <f>VLOOKUP(Table1[[#This Row],[Status]],Auxiliar!$B$16:$C$24,2,0)</f>
        <v>1</v>
      </c>
      <c r="K750" s="2" t="s">
        <v>1257</v>
      </c>
      <c r="L750" s="29" t="s">
        <v>1252</v>
      </c>
      <c r="M750" s="21" t="s">
        <v>1253</v>
      </c>
      <c r="N750" s="48">
        <v>45485</v>
      </c>
      <c r="O750" s="21">
        <f>INDEX(Auxiliar!$D$5:$F$13,MATCH(Table1[[#This Row],[Tipologia_Testes]],Auxiliar!$B$5:$B$13,0),MATCH(Table1[[#This Row],[Complexidade]],Auxiliar!$D$4:$F$4,0))</f>
        <v>0.5</v>
      </c>
      <c r="P750" s="2"/>
      <c r="Q750" s="2"/>
      <c r="R750" s="152">
        <v>45261</v>
      </c>
      <c r="S750" s="152"/>
      <c r="T750" s="152"/>
      <c r="U750" s="152">
        <v>45603</v>
      </c>
      <c r="V750" s="152"/>
      <c r="W750" s="2">
        <f>VLOOKUP(Table1[[#This Row],[Status]],Auxiliar!$B$16:$D$24,3,0)*Table1[[#This Row],[Estimação (horas)]]</f>
        <v>0.5</v>
      </c>
      <c r="X750" s="2"/>
    </row>
    <row r="751" spans="2:24" ht="17.7" hidden="1" customHeight="1">
      <c r="B751" s="2" t="s">
        <v>26</v>
      </c>
      <c r="C751" s="2" t="s">
        <v>181</v>
      </c>
      <c r="D751" s="2" t="s">
        <v>1289</v>
      </c>
      <c r="E751" s="2" t="s">
        <v>38</v>
      </c>
      <c r="F751" s="2" t="s">
        <v>182</v>
      </c>
      <c r="G751" s="2" t="s">
        <v>189</v>
      </c>
      <c r="H751" s="57" t="str">
        <f>Table1[[#This Row],[Tabela]]&amp;Table1[[#This Row],[Campo]]</f>
        <v>modesg_param_sfcs_taxon_europeiacnumecta</v>
      </c>
      <c r="I751" s="3" t="s">
        <v>613</v>
      </c>
      <c r="J751" s="55">
        <f>VLOOKUP(Table1[[#This Row],[Status]],Auxiliar!$B$16:$C$24,2,0)</f>
        <v>1</v>
      </c>
      <c r="K751" s="2" t="s">
        <v>1249</v>
      </c>
      <c r="L751" s="29" t="s">
        <v>1252</v>
      </c>
      <c r="M751" s="21" t="s">
        <v>1253</v>
      </c>
      <c r="N751" s="48">
        <v>45485</v>
      </c>
      <c r="O751" s="21">
        <f>INDEX(Auxiliar!$D$5:$F$13,MATCH(Table1[[#This Row],[Tipologia_Testes]],Auxiliar!$B$5:$B$13,0),MATCH(Table1[[#This Row],[Complexidade]],Auxiliar!$D$4:$F$4,0))</f>
        <v>0.1</v>
      </c>
      <c r="P751" s="2"/>
      <c r="Q751" s="2"/>
      <c r="R751" s="152">
        <v>45261</v>
      </c>
      <c r="S751" s="152"/>
      <c r="T751" s="152"/>
      <c r="U751" s="152">
        <v>45603</v>
      </c>
      <c r="V751" s="152"/>
      <c r="W751" s="2">
        <f>VLOOKUP(Table1[[#This Row],[Status]],Auxiliar!$B$16:$D$24,3,0)*Table1[[#This Row],[Estimação (horas)]]</f>
        <v>0.1</v>
      </c>
      <c r="X751" s="2"/>
    </row>
    <row r="752" spans="2:24" ht="17.7" hidden="1" customHeight="1">
      <c r="B752" s="2" t="s">
        <v>26</v>
      </c>
      <c r="C752" s="2" t="s">
        <v>181</v>
      </c>
      <c r="D752" s="2" t="s">
        <v>1289</v>
      </c>
      <c r="E752" s="2" t="s">
        <v>38</v>
      </c>
      <c r="F752" s="2" t="s">
        <v>182</v>
      </c>
      <c r="G752" s="2" t="s">
        <v>190</v>
      </c>
      <c r="H752" s="57" t="str">
        <f>Table1[[#This Row],[Tabela]]&amp;Table1[[#This Row],[Campo]]</f>
        <v>modesg_param_sfcs_taxon_europeiacod_lease</v>
      </c>
      <c r="I752" s="3" t="s">
        <v>613</v>
      </c>
      <c r="J752" s="55">
        <f>VLOOKUP(Table1[[#This Row],[Status]],Auxiliar!$B$16:$C$24,2,0)</f>
        <v>1</v>
      </c>
      <c r="K752" s="2" t="s">
        <v>1257</v>
      </c>
      <c r="L752" s="29" t="s">
        <v>1252</v>
      </c>
      <c r="M752" s="21" t="s">
        <v>1253</v>
      </c>
      <c r="N752" s="48">
        <v>45485</v>
      </c>
      <c r="O752" s="21">
        <f>INDEX(Auxiliar!$D$5:$F$13,MATCH(Table1[[#This Row],[Tipologia_Testes]],Auxiliar!$B$5:$B$13,0),MATCH(Table1[[#This Row],[Complexidade]],Auxiliar!$D$4:$F$4,0))</f>
        <v>0.5</v>
      </c>
      <c r="P752" s="2"/>
      <c r="Q752" s="2"/>
      <c r="R752" s="152">
        <v>45261</v>
      </c>
      <c r="S752" s="152"/>
      <c r="T752" s="152"/>
      <c r="U752" s="152">
        <v>45603</v>
      </c>
      <c r="V752" s="152"/>
      <c r="W752" s="2">
        <f>VLOOKUP(Table1[[#This Row],[Status]],Auxiliar!$B$16:$D$24,3,0)*Table1[[#This Row],[Estimação (horas)]]</f>
        <v>0.5</v>
      </c>
      <c r="X752" s="2"/>
    </row>
    <row r="753" spans="2:24" ht="17.7" hidden="1" customHeight="1">
      <c r="B753" s="2" t="s">
        <v>26</v>
      </c>
      <c r="C753" s="2" t="s">
        <v>181</v>
      </c>
      <c r="D753" s="2" t="s">
        <v>1289</v>
      </c>
      <c r="E753" s="2" t="s">
        <v>38</v>
      </c>
      <c r="F753" s="2" t="s">
        <v>182</v>
      </c>
      <c r="G753" s="2" t="s">
        <v>190</v>
      </c>
      <c r="H753" s="57" t="str">
        <f>Table1[[#This Row],[Tabela]]&amp;Table1[[#This Row],[Campo]]</f>
        <v>modesg_param_sfcs_taxon_europeiacod_lease</v>
      </c>
      <c r="I753" s="3" t="s">
        <v>613</v>
      </c>
      <c r="J753" s="55">
        <f>VLOOKUP(Table1[[#This Row],[Status]],Auxiliar!$B$16:$C$24,2,0)</f>
        <v>1</v>
      </c>
      <c r="K753" s="2" t="s">
        <v>1249</v>
      </c>
      <c r="L753" s="29" t="s">
        <v>1252</v>
      </c>
      <c r="M753" s="21" t="s">
        <v>1253</v>
      </c>
      <c r="N753" s="48">
        <v>45485</v>
      </c>
      <c r="O753" s="21">
        <f>INDEX(Auxiliar!$D$5:$F$13,MATCH(Table1[[#This Row],[Tipologia_Testes]],Auxiliar!$B$5:$B$13,0),MATCH(Table1[[#This Row],[Complexidade]],Auxiliar!$D$4:$F$4,0))</f>
        <v>0.1</v>
      </c>
      <c r="P753" s="2"/>
      <c r="Q753" s="2"/>
      <c r="R753" s="152">
        <v>45261</v>
      </c>
      <c r="S753" s="152"/>
      <c r="T753" s="152"/>
      <c r="U753" s="152">
        <v>45603</v>
      </c>
      <c r="V753" s="152"/>
      <c r="W753" s="2">
        <f>VLOOKUP(Table1[[#This Row],[Status]],Auxiliar!$B$16:$D$24,3,0)*Table1[[#This Row],[Estimação (horas)]]</f>
        <v>0.1</v>
      </c>
      <c r="X753" s="2"/>
    </row>
    <row r="754" spans="2:24" ht="17.7" hidden="1" customHeight="1">
      <c r="B754" s="2" t="s">
        <v>26</v>
      </c>
      <c r="C754" s="2" t="s">
        <v>181</v>
      </c>
      <c r="D754" s="2" t="s">
        <v>1289</v>
      </c>
      <c r="E754" s="2" t="s">
        <v>38</v>
      </c>
      <c r="F754" s="2" t="s">
        <v>182</v>
      </c>
      <c r="G754" s="2" t="s">
        <v>191</v>
      </c>
      <c r="H754" s="57" t="str">
        <f>Table1[[#This Row],[Tabela]]&amp;Table1[[#This Row],[Campo]]</f>
        <v>modesg_param_sfcs_taxon_europeiacod_regra</v>
      </c>
      <c r="I754" s="2" t="s">
        <v>613</v>
      </c>
      <c r="J754" s="43">
        <f>VLOOKUP(Table1[[#This Row],[Status]],Auxiliar!$B$16:$C$24,2,0)</f>
        <v>1</v>
      </c>
      <c r="K754" s="2" t="s">
        <v>1257</v>
      </c>
      <c r="L754" s="29" t="s">
        <v>1244</v>
      </c>
      <c r="M754" s="21" t="s">
        <v>1253</v>
      </c>
      <c r="N754" s="48">
        <v>45611</v>
      </c>
      <c r="O754" s="21">
        <f>INDEX(Auxiliar!$D$5:$F$13,MATCH(Table1[[#This Row],[Tipologia_Testes]],Auxiliar!$B$5:$B$13,0),MATCH(Table1[[#This Row],[Complexidade]],Auxiliar!$D$4:$F$4,0))</f>
        <v>0.5</v>
      </c>
      <c r="P754" s="2" t="s">
        <v>1292</v>
      </c>
      <c r="Q754" s="2"/>
      <c r="R754" s="152">
        <v>45563</v>
      </c>
      <c r="S754" s="152"/>
      <c r="T754" s="152">
        <v>45563</v>
      </c>
      <c r="U754" s="152">
        <v>45603</v>
      </c>
      <c r="V754" s="152">
        <v>45604</v>
      </c>
      <c r="W754" s="2">
        <f>VLOOKUP(Table1[[#This Row],[Status]],Auxiliar!$B$16:$D$24,3,0)*Table1[[#This Row],[Estimação (horas)]]</f>
        <v>0.5</v>
      </c>
      <c r="X754" s="2"/>
    </row>
    <row r="755" spans="2:24" ht="17.7" hidden="1" customHeight="1">
      <c r="B755" s="2" t="s">
        <v>26</v>
      </c>
      <c r="C755" s="2" t="s">
        <v>181</v>
      </c>
      <c r="D755" s="2" t="s">
        <v>1289</v>
      </c>
      <c r="E755" s="2" t="s">
        <v>38</v>
      </c>
      <c r="F755" s="2" t="s">
        <v>182</v>
      </c>
      <c r="G755" s="2" t="s">
        <v>191</v>
      </c>
      <c r="H755" s="57" t="str">
        <f>Table1[[#This Row],[Tabela]]&amp;Table1[[#This Row],[Campo]]</f>
        <v>modesg_param_sfcs_taxon_europeiacod_regra</v>
      </c>
      <c r="I755" s="2" t="s">
        <v>613</v>
      </c>
      <c r="J755" s="43">
        <f>VLOOKUP(Table1[[#This Row],[Status]],Auxiliar!$B$16:$C$24,2,0)</f>
        <v>1</v>
      </c>
      <c r="K755" s="2" t="s">
        <v>1249</v>
      </c>
      <c r="L755" s="29" t="s">
        <v>1244</v>
      </c>
      <c r="M755" s="21" t="s">
        <v>1253</v>
      </c>
      <c r="N755" s="48">
        <v>45611</v>
      </c>
      <c r="O755" s="21">
        <f>INDEX(Auxiliar!$D$5:$F$13,MATCH(Table1[[#This Row],[Tipologia_Testes]],Auxiliar!$B$5:$B$13,0),MATCH(Table1[[#This Row],[Complexidade]],Auxiliar!$D$4:$F$4,0))</f>
        <v>0.1</v>
      </c>
      <c r="P755" s="2"/>
      <c r="Q755" s="2"/>
      <c r="R755" s="152">
        <v>45563</v>
      </c>
      <c r="S755" s="152"/>
      <c r="T755" s="152">
        <v>45563</v>
      </c>
      <c r="U755" s="152">
        <v>45603</v>
      </c>
      <c r="V755" s="152">
        <v>45604</v>
      </c>
      <c r="W755" s="2">
        <f>VLOOKUP(Table1[[#This Row],[Status]],Auxiliar!$B$16:$D$24,3,0)*Table1[[#This Row],[Estimação (horas)]]</f>
        <v>0.1</v>
      </c>
      <c r="X755" s="2"/>
    </row>
    <row r="756" spans="2:24" ht="17.7" hidden="1" customHeight="1">
      <c r="B756" s="2" t="s">
        <v>26</v>
      </c>
      <c r="C756" s="2" t="s">
        <v>181</v>
      </c>
      <c r="D756" s="2" t="s">
        <v>1289</v>
      </c>
      <c r="E756" s="2" t="s">
        <v>38</v>
      </c>
      <c r="F756" s="2" t="s">
        <v>182</v>
      </c>
      <c r="G756" s="2" t="s">
        <v>192</v>
      </c>
      <c r="H756" s="57" t="str">
        <f>Table1[[#This Row],[Tabela]]&amp;Table1[[#This Row],[Campo]]</f>
        <v>modesg_param_sfcs_taxon_europeiacomite</v>
      </c>
      <c r="I756" s="2" t="s">
        <v>613</v>
      </c>
      <c r="J756" s="43">
        <f>VLOOKUP(Table1[[#This Row],[Status]],Auxiliar!$B$16:$C$24,2,0)</f>
        <v>1</v>
      </c>
      <c r="K756" s="2" t="s">
        <v>1257</v>
      </c>
      <c r="L756" s="29" t="s">
        <v>1252</v>
      </c>
      <c r="M756" s="21" t="s">
        <v>1253</v>
      </c>
      <c r="N756" s="48">
        <v>45611</v>
      </c>
      <c r="O756" s="21">
        <f>INDEX(Auxiliar!$D$5:$F$13,MATCH(Table1[[#This Row],[Tipologia_Testes]],Auxiliar!$B$5:$B$13,0),MATCH(Table1[[#This Row],[Complexidade]],Auxiliar!$D$4:$F$4,0))</f>
        <v>0.5</v>
      </c>
      <c r="P756" s="2"/>
      <c r="Q756" s="2"/>
      <c r="R756" s="152">
        <v>45563</v>
      </c>
      <c r="S756" s="152"/>
      <c r="T756" s="152">
        <v>45563</v>
      </c>
      <c r="U756" s="152">
        <v>45603</v>
      </c>
      <c r="V756" s="152">
        <v>45604</v>
      </c>
      <c r="W756" s="2">
        <f>VLOOKUP(Table1[[#This Row],[Status]],Auxiliar!$B$16:$D$24,3,0)*Table1[[#This Row],[Estimação (horas)]]</f>
        <v>0.5</v>
      </c>
      <c r="X756" s="2"/>
    </row>
    <row r="757" spans="2:24" ht="17.7" hidden="1" customHeight="1">
      <c r="B757" s="2" t="s">
        <v>26</v>
      </c>
      <c r="C757" s="2" t="s">
        <v>181</v>
      </c>
      <c r="D757" s="2" t="s">
        <v>1289</v>
      </c>
      <c r="E757" s="2" t="s">
        <v>38</v>
      </c>
      <c r="F757" s="2" t="s">
        <v>182</v>
      </c>
      <c r="G757" s="2" t="s">
        <v>192</v>
      </c>
      <c r="H757" s="57" t="str">
        <f>Table1[[#This Row],[Tabela]]&amp;Table1[[#This Row],[Campo]]</f>
        <v>modesg_param_sfcs_taxon_europeiacomite</v>
      </c>
      <c r="I757" s="2" t="s">
        <v>613</v>
      </c>
      <c r="J757" s="43">
        <f>VLOOKUP(Table1[[#This Row],[Status]],Auxiliar!$B$16:$C$24,2,0)</f>
        <v>1</v>
      </c>
      <c r="K757" s="2" t="s">
        <v>1249</v>
      </c>
      <c r="L757" s="29" t="s">
        <v>1252</v>
      </c>
      <c r="M757" s="21" t="s">
        <v>1253</v>
      </c>
      <c r="N757" s="48">
        <v>45611</v>
      </c>
      <c r="O757" s="21">
        <f>INDEX(Auxiliar!$D$5:$F$13,MATCH(Table1[[#This Row],[Tipologia_Testes]],Auxiliar!$B$5:$B$13,0),MATCH(Table1[[#This Row],[Complexidade]],Auxiliar!$D$4:$F$4,0))</f>
        <v>0.1</v>
      </c>
      <c r="P757" s="2"/>
      <c r="Q757" s="2"/>
      <c r="R757" s="152">
        <v>45563</v>
      </c>
      <c r="S757" s="152"/>
      <c r="T757" s="152">
        <v>45563</v>
      </c>
      <c r="U757" s="152">
        <v>45603</v>
      </c>
      <c r="V757" s="152">
        <v>45604</v>
      </c>
      <c r="W757" s="2">
        <f>VLOOKUP(Table1[[#This Row],[Status]],Auxiliar!$B$16:$D$24,3,0)*Table1[[#This Row],[Estimação (horas)]]</f>
        <v>0.1</v>
      </c>
      <c r="X757" s="2"/>
    </row>
    <row r="758" spans="2:24" ht="17.7" hidden="1" customHeight="1">
      <c r="B758" s="2" t="s">
        <v>26</v>
      </c>
      <c r="C758" s="2" t="s">
        <v>181</v>
      </c>
      <c r="D758" s="2" t="s">
        <v>1289</v>
      </c>
      <c r="E758" s="2" t="s">
        <v>38</v>
      </c>
      <c r="F758" s="2" t="s">
        <v>182</v>
      </c>
      <c r="G758" s="2" t="s">
        <v>193</v>
      </c>
      <c r="H758" s="57" t="str">
        <f>Table1[[#This Row],[Tabela]]&amp;Table1[[#This Row],[Campo]]</f>
        <v>modesg_param_sfcs_taxon_europeiadata_aprvc</v>
      </c>
      <c r="I758" s="2" t="s">
        <v>613</v>
      </c>
      <c r="J758" s="43">
        <f>VLOOKUP(Table1[[#This Row],[Status]],Auxiliar!$B$16:$C$24,2,0)</f>
        <v>1</v>
      </c>
      <c r="K758" s="2" t="s">
        <v>1257</v>
      </c>
      <c r="L758" s="29" t="s">
        <v>1252</v>
      </c>
      <c r="M758" s="21" t="s">
        <v>1253</v>
      </c>
      <c r="N758" s="48">
        <v>45611</v>
      </c>
      <c r="O758" s="21">
        <f>INDEX(Auxiliar!$D$5:$F$13,MATCH(Table1[[#This Row],[Tipologia_Testes]],Auxiliar!$B$5:$B$13,0),MATCH(Table1[[#This Row],[Complexidade]],Auxiliar!$D$4:$F$4,0))</f>
        <v>0.5</v>
      </c>
      <c r="P758" s="2"/>
      <c r="Q758" s="2"/>
      <c r="R758" s="152">
        <v>45563</v>
      </c>
      <c r="S758" s="152"/>
      <c r="T758" s="152">
        <v>45563</v>
      </c>
      <c r="U758" s="152">
        <v>45603</v>
      </c>
      <c r="V758" s="152">
        <v>45604</v>
      </c>
      <c r="W758" s="2">
        <f>VLOOKUP(Table1[[#This Row],[Status]],Auxiliar!$B$16:$D$24,3,0)*Table1[[#This Row],[Estimação (horas)]]</f>
        <v>0.5</v>
      </c>
      <c r="X758" s="2"/>
    </row>
    <row r="759" spans="2:24" ht="17.7" hidden="1" customHeight="1">
      <c r="B759" s="2" t="s">
        <v>26</v>
      </c>
      <c r="C759" s="2" t="s">
        <v>181</v>
      </c>
      <c r="D759" s="2" t="s">
        <v>1289</v>
      </c>
      <c r="E759" s="2" t="s">
        <v>38</v>
      </c>
      <c r="F759" s="2" t="s">
        <v>182</v>
      </c>
      <c r="G759" s="2" t="s">
        <v>193</v>
      </c>
      <c r="H759" s="57" t="str">
        <f>Table1[[#This Row],[Tabela]]&amp;Table1[[#This Row],[Campo]]</f>
        <v>modesg_param_sfcs_taxon_europeiadata_aprvc</v>
      </c>
      <c r="I759" s="2" t="s">
        <v>613</v>
      </c>
      <c r="J759" s="43">
        <f>VLOOKUP(Table1[[#This Row],[Status]],Auxiliar!$B$16:$C$24,2,0)</f>
        <v>1</v>
      </c>
      <c r="K759" s="2" t="s">
        <v>1249</v>
      </c>
      <c r="L759" s="29" t="s">
        <v>1252</v>
      </c>
      <c r="M759" s="21" t="s">
        <v>1253</v>
      </c>
      <c r="N759" s="48">
        <v>45611</v>
      </c>
      <c r="O759" s="21">
        <f>INDEX(Auxiliar!$D$5:$F$13,MATCH(Table1[[#This Row],[Tipologia_Testes]],Auxiliar!$B$5:$B$13,0),MATCH(Table1[[#This Row],[Complexidade]],Auxiliar!$D$4:$F$4,0))</f>
        <v>0.1</v>
      </c>
      <c r="P759" s="2"/>
      <c r="Q759" s="2"/>
      <c r="R759" s="152">
        <v>45563</v>
      </c>
      <c r="S759" s="152"/>
      <c r="T759" s="152">
        <v>45563</v>
      </c>
      <c r="U759" s="152">
        <v>45603</v>
      </c>
      <c r="V759" s="152">
        <v>45604</v>
      </c>
      <c r="W759" s="2">
        <f>VLOOKUP(Table1[[#This Row],[Status]],Auxiliar!$B$16:$D$24,3,0)*Table1[[#This Row],[Estimação (horas)]]</f>
        <v>0.1</v>
      </c>
      <c r="X759" s="2"/>
    </row>
    <row r="760" spans="2:24" ht="17.7" hidden="1" customHeight="1">
      <c r="B760" s="2" t="s">
        <v>26</v>
      </c>
      <c r="C760" s="2" t="s">
        <v>181</v>
      </c>
      <c r="D760" s="2" t="s">
        <v>1289</v>
      </c>
      <c r="E760" s="2" t="s">
        <v>38</v>
      </c>
      <c r="F760" s="2" t="s">
        <v>182</v>
      </c>
      <c r="G760" s="2" t="s">
        <v>194</v>
      </c>
      <c r="H760" s="57" t="str">
        <f>Table1[[#This Row],[Tabela]]&amp;Table1[[#This Row],[Campo]]</f>
        <v>modesg_param_sfcs_taxon_europeiadata_final</v>
      </c>
      <c r="I760" s="2" t="s">
        <v>613</v>
      </c>
      <c r="J760" s="43">
        <f>VLOOKUP(Table1[[#This Row],[Status]],Auxiliar!$B$16:$C$24,2,0)</f>
        <v>1</v>
      </c>
      <c r="K760" s="2" t="s">
        <v>1257</v>
      </c>
      <c r="L760" s="29" t="s">
        <v>1252</v>
      </c>
      <c r="M760" s="21" t="s">
        <v>1253</v>
      </c>
      <c r="N760" s="48">
        <v>45611</v>
      </c>
      <c r="O760" s="21">
        <f>INDEX(Auxiliar!$D$5:$F$13,MATCH(Table1[[#This Row],[Tipologia_Testes]],Auxiliar!$B$5:$B$13,0),MATCH(Table1[[#This Row],[Complexidade]],Auxiliar!$D$4:$F$4,0))</f>
        <v>0.5</v>
      </c>
      <c r="P760" s="2"/>
      <c r="Q760" s="2"/>
      <c r="R760" s="152">
        <v>45561</v>
      </c>
      <c r="S760" s="152"/>
      <c r="T760" s="152">
        <v>45561</v>
      </c>
      <c r="U760" s="152">
        <v>45603</v>
      </c>
      <c r="V760" s="152">
        <v>45604</v>
      </c>
      <c r="W760" s="2">
        <f>VLOOKUP(Table1[[#This Row],[Status]],Auxiliar!$B$16:$D$24,3,0)*Table1[[#This Row],[Estimação (horas)]]</f>
        <v>0.5</v>
      </c>
      <c r="X760" s="2"/>
    </row>
    <row r="761" spans="2:24" ht="17.7" hidden="1" customHeight="1">
      <c r="B761" s="2" t="s">
        <v>26</v>
      </c>
      <c r="C761" s="2" t="s">
        <v>181</v>
      </c>
      <c r="D761" s="2" t="s">
        <v>1289</v>
      </c>
      <c r="E761" s="2" t="s">
        <v>38</v>
      </c>
      <c r="F761" s="2" t="s">
        <v>182</v>
      </c>
      <c r="G761" s="2" t="s">
        <v>194</v>
      </c>
      <c r="H761" s="57" t="str">
        <f>Table1[[#This Row],[Tabela]]&amp;Table1[[#This Row],[Campo]]</f>
        <v>modesg_param_sfcs_taxon_europeiadata_final</v>
      </c>
      <c r="I761" s="2" t="s">
        <v>613</v>
      </c>
      <c r="J761" s="43">
        <f>VLOOKUP(Table1[[#This Row],[Status]],Auxiliar!$B$16:$C$24,2,0)</f>
        <v>1</v>
      </c>
      <c r="K761" s="2" t="s">
        <v>1249</v>
      </c>
      <c r="L761" s="29" t="s">
        <v>1252</v>
      </c>
      <c r="M761" s="21" t="s">
        <v>1253</v>
      </c>
      <c r="N761" s="48">
        <v>45611</v>
      </c>
      <c r="O761" s="21">
        <f>INDEX(Auxiliar!$D$5:$F$13,MATCH(Table1[[#This Row],[Tipologia_Testes]],Auxiliar!$B$5:$B$13,0),MATCH(Table1[[#This Row],[Complexidade]],Auxiliar!$D$4:$F$4,0))</f>
        <v>0.1</v>
      </c>
      <c r="P761" s="2"/>
      <c r="Q761" s="2"/>
      <c r="R761" s="152">
        <v>45561</v>
      </c>
      <c r="S761" s="152"/>
      <c r="T761" s="152">
        <v>45561</v>
      </c>
      <c r="U761" s="152">
        <v>45603</v>
      </c>
      <c r="V761" s="152">
        <v>45604</v>
      </c>
      <c r="W761" s="2">
        <f>VLOOKUP(Table1[[#This Row],[Status]],Auxiliar!$B$16:$D$24,3,0)*Table1[[#This Row],[Estimação (horas)]]</f>
        <v>0.1</v>
      </c>
      <c r="X761" s="2"/>
    </row>
    <row r="762" spans="2:24" ht="17.7" hidden="1" customHeight="1">
      <c r="B762" s="2" t="s">
        <v>26</v>
      </c>
      <c r="C762" s="2" t="s">
        <v>181</v>
      </c>
      <c r="D762" s="2" t="s">
        <v>1289</v>
      </c>
      <c r="E762" s="2" t="s">
        <v>38</v>
      </c>
      <c r="F762" s="2" t="s">
        <v>182</v>
      </c>
      <c r="G762" s="2" t="s">
        <v>195</v>
      </c>
      <c r="H762" s="57" t="str">
        <f>Table1[[#This Row],[Tabela]]&amp;Table1[[#This Row],[Campo]]</f>
        <v>modesg_param_sfcs_taxon_europeiadata_inicial</v>
      </c>
      <c r="I762" s="2" t="s">
        <v>613</v>
      </c>
      <c r="J762" s="43">
        <f>VLOOKUP(Table1[[#This Row],[Status]],Auxiliar!$B$16:$C$24,2,0)</f>
        <v>1</v>
      </c>
      <c r="K762" s="2" t="s">
        <v>1257</v>
      </c>
      <c r="L762" s="29" t="s">
        <v>1252</v>
      </c>
      <c r="M762" s="21" t="s">
        <v>1253</v>
      </c>
      <c r="N762" s="48">
        <v>45611</v>
      </c>
      <c r="O762" s="21">
        <f>INDEX(Auxiliar!$D$5:$F$13,MATCH(Table1[[#This Row],[Tipologia_Testes]],Auxiliar!$B$5:$B$13,0),MATCH(Table1[[#This Row],[Complexidade]],Auxiliar!$D$4:$F$4,0))</f>
        <v>0.5</v>
      </c>
      <c r="P762" s="2"/>
      <c r="Q762" s="2"/>
      <c r="R762" s="152">
        <v>45561</v>
      </c>
      <c r="S762" s="152"/>
      <c r="T762" s="152">
        <v>45561</v>
      </c>
      <c r="U762" s="152">
        <v>45603</v>
      </c>
      <c r="V762" s="152">
        <v>45604</v>
      </c>
      <c r="W762" s="2">
        <f>VLOOKUP(Table1[[#This Row],[Status]],Auxiliar!$B$16:$D$24,3,0)*Table1[[#This Row],[Estimação (horas)]]</f>
        <v>0.5</v>
      </c>
      <c r="X762" s="2"/>
    </row>
    <row r="763" spans="2:24" ht="17.7" hidden="1" customHeight="1">
      <c r="B763" s="2" t="s">
        <v>26</v>
      </c>
      <c r="C763" s="2" t="s">
        <v>181</v>
      </c>
      <c r="D763" s="2" t="s">
        <v>1289</v>
      </c>
      <c r="E763" s="2" t="s">
        <v>38</v>
      </c>
      <c r="F763" s="2" t="s">
        <v>182</v>
      </c>
      <c r="G763" s="2" t="s">
        <v>195</v>
      </c>
      <c r="H763" s="57" t="str">
        <f>Table1[[#This Row],[Tabela]]&amp;Table1[[#This Row],[Campo]]</f>
        <v>modesg_param_sfcs_taxon_europeiadata_inicial</v>
      </c>
      <c r="I763" s="2" t="s">
        <v>613</v>
      </c>
      <c r="J763" s="43">
        <f>VLOOKUP(Table1[[#This Row],[Status]],Auxiliar!$B$16:$C$24,2,0)</f>
        <v>1</v>
      </c>
      <c r="K763" s="2" t="s">
        <v>1249</v>
      </c>
      <c r="L763" s="29" t="s">
        <v>1252</v>
      </c>
      <c r="M763" s="21" t="s">
        <v>1253</v>
      </c>
      <c r="N763" s="48">
        <v>45611</v>
      </c>
      <c r="O763" s="21">
        <f>INDEX(Auxiliar!$D$5:$F$13,MATCH(Table1[[#This Row],[Tipologia_Testes]],Auxiliar!$B$5:$B$13,0),MATCH(Table1[[#This Row],[Complexidade]],Auxiliar!$D$4:$F$4,0))</f>
        <v>0.1</v>
      </c>
      <c r="P763" s="2"/>
      <c r="Q763" s="2"/>
      <c r="R763" s="152">
        <v>45561</v>
      </c>
      <c r="S763" s="152"/>
      <c r="T763" s="152">
        <v>45561</v>
      </c>
      <c r="U763" s="152">
        <v>45603</v>
      </c>
      <c r="V763" s="152">
        <v>45604</v>
      </c>
      <c r="W763" s="2">
        <f>VLOOKUP(Table1[[#This Row],[Status]],Auxiliar!$B$16:$D$24,3,0)*Table1[[#This Row],[Estimação (horas)]]</f>
        <v>0.1</v>
      </c>
      <c r="X763" s="2"/>
    </row>
    <row r="764" spans="2:24" ht="17.7" hidden="1" customHeight="1">
      <c r="B764" s="2" t="s">
        <v>26</v>
      </c>
      <c r="C764" s="2" t="s">
        <v>181</v>
      </c>
      <c r="D764" s="2" t="s">
        <v>1289</v>
      </c>
      <c r="E764" s="2" t="s">
        <v>38</v>
      </c>
      <c r="F764" s="2" t="s">
        <v>182</v>
      </c>
      <c r="G764" s="2" t="s">
        <v>196</v>
      </c>
      <c r="H764" s="57" t="str">
        <f>Table1[[#This Row],[Tabela]]&amp;Table1[[#This Row],[Campo]]</f>
        <v>modesg_param_sfcs_taxon_europeiadominio</v>
      </c>
      <c r="I764" s="3" t="s">
        <v>613</v>
      </c>
      <c r="J764" s="55">
        <f>VLOOKUP(Table1[[#This Row],[Status]],Auxiliar!$B$16:$C$24,2,0)</f>
        <v>1</v>
      </c>
      <c r="K764" s="2" t="s">
        <v>1257</v>
      </c>
      <c r="L764" s="29" t="s">
        <v>1252</v>
      </c>
      <c r="M764" s="21" t="s">
        <v>1253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7" hidden="1" customHeight="1">
      <c r="B765" s="2" t="s">
        <v>26</v>
      </c>
      <c r="C765" s="2" t="s">
        <v>181</v>
      </c>
      <c r="D765" s="2" t="s">
        <v>1289</v>
      </c>
      <c r="E765" s="2" t="s">
        <v>38</v>
      </c>
      <c r="F765" s="2" t="s">
        <v>182</v>
      </c>
      <c r="G765" s="2" t="s">
        <v>196</v>
      </c>
      <c r="H765" s="57" t="str">
        <f>Table1[[#This Row],[Tabela]]&amp;Table1[[#This Row],[Campo]]</f>
        <v>modesg_param_sfcs_taxon_europeiadominio</v>
      </c>
      <c r="I765" s="3" t="s">
        <v>613</v>
      </c>
      <c r="J765" s="55">
        <f>VLOOKUP(Table1[[#This Row],[Status]],Auxiliar!$B$16:$C$24,2,0)</f>
        <v>1</v>
      </c>
      <c r="K765" s="2" t="s">
        <v>1249</v>
      </c>
      <c r="L765" s="29" t="s">
        <v>1252</v>
      </c>
      <c r="M765" s="21" t="s">
        <v>1253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7" hidden="1" customHeight="1">
      <c r="B766" s="2" t="s">
        <v>26</v>
      </c>
      <c r="C766" s="2" t="s">
        <v>181</v>
      </c>
      <c r="D766" s="2" t="s">
        <v>1289</v>
      </c>
      <c r="E766" s="2" t="s">
        <v>38</v>
      </c>
      <c r="F766" s="2" t="s">
        <v>182</v>
      </c>
      <c r="G766" s="2" t="s">
        <v>197</v>
      </c>
      <c r="H766" s="57" t="str">
        <f>Table1[[#This Row],[Tabela]]&amp;Table1[[#This Row],[Campo]]</f>
        <v>modesg_param_sfcs_taxon_europeiadscrc</v>
      </c>
      <c r="I766" s="3" t="s">
        <v>613</v>
      </c>
      <c r="J766" s="55">
        <f>VLOOKUP(Table1[[#This Row],[Status]],Auxiliar!$B$16:$C$24,2,0)</f>
        <v>1</v>
      </c>
      <c r="K766" s="2" t="s">
        <v>1257</v>
      </c>
      <c r="L766" s="29" t="s">
        <v>1252</v>
      </c>
      <c r="M766" s="21" t="s">
        <v>1253</v>
      </c>
      <c r="N766" s="48">
        <v>45485</v>
      </c>
      <c r="O766" s="21">
        <f>INDEX(Auxiliar!$D$5:$F$13,MATCH(Table1[[#This Row],[Tipologia_Testes]],Auxiliar!$B$5:$B$13,0),MATCH(Table1[[#This Row],[Complexidade]],Auxiliar!$D$4:$F$4,0))</f>
        <v>0.5</v>
      </c>
      <c r="P766" s="2"/>
      <c r="Q766" s="2"/>
      <c r="R766" s="152">
        <v>45261</v>
      </c>
      <c r="S766" s="152"/>
      <c r="T766" s="152"/>
      <c r="U766" s="152">
        <v>45603</v>
      </c>
      <c r="V766" s="152"/>
      <c r="W766" s="2">
        <f>VLOOKUP(Table1[[#This Row],[Status]],Auxiliar!$B$16:$D$24,3,0)*Table1[[#This Row],[Estimação (horas)]]</f>
        <v>0.5</v>
      </c>
      <c r="X766" s="2"/>
    </row>
    <row r="767" spans="2:24" ht="17.7" hidden="1" customHeight="1">
      <c r="B767" s="2" t="s">
        <v>26</v>
      </c>
      <c r="C767" s="2" t="s">
        <v>181</v>
      </c>
      <c r="D767" s="2" t="s">
        <v>1289</v>
      </c>
      <c r="E767" s="2" t="s">
        <v>38</v>
      </c>
      <c r="F767" s="2" t="s">
        <v>182</v>
      </c>
      <c r="G767" s="2" t="s">
        <v>197</v>
      </c>
      <c r="H767" s="57" t="str">
        <f>Table1[[#This Row],[Tabela]]&amp;Table1[[#This Row],[Campo]]</f>
        <v>modesg_param_sfcs_taxon_europeiadscrc</v>
      </c>
      <c r="I767" s="3" t="s">
        <v>613</v>
      </c>
      <c r="J767" s="55">
        <f>VLOOKUP(Table1[[#This Row],[Status]],Auxiliar!$B$16:$C$24,2,0)</f>
        <v>1</v>
      </c>
      <c r="K767" s="2" t="s">
        <v>1249</v>
      </c>
      <c r="L767" s="29" t="s">
        <v>1252</v>
      </c>
      <c r="M767" s="21" t="s">
        <v>1253</v>
      </c>
      <c r="N767" s="48">
        <v>45485</v>
      </c>
      <c r="O767" s="21">
        <f>INDEX(Auxiliar!$D$5:$F$13,MATCH(Table1[[#This Row],[Tipologia_Testes]],Auxiliar!$B$5:$B$13,0),MATCH(Table1[[#This Row],[Complexidade]],Auxiliar!$D$4:$F$4,0))</f>
        <v>0.1</v>
      </c>
      <c r="P767" s="2"/>
      <c r="Q767" s="2"/>
      <c r="R767" s="152">
        <v>45261</v>
      </c>
      <c r="S767" s="152"/>
      <c r="T767" s="152"/>
      <c r="U767" s="152">
        <v>45603</v>
      </c>
      <c r="V767" s="152"/>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198</v>
      </c>
      <c r="H768" s="57" t="str">
        <f>Table1[[#This Row],[Tabela]]&amp;Table1[[#This Row],[Campo]]</f>
        <v>modesg_param_sfcs_taxon_europeiaepc</v>
      </c>
      <c r="I768" s="3" t="s">
        <v>613</v>
      </c>
      <c r="J768" s="55">
        <f>VLOOKUP(Table1[[#This Row],[Status]],Auxiliar!$B$16:$C$24,2,0)</f>
        <v>1</v>
      </c>
      <c r="K768" s="2" t="s">
        <v>1257</v>
      </c>
      <c r="L768" s="29" t="s">
        <v>1252</v>
      </c>
      <c r="M768" s="21" t="s">
        <v>1253</v>
      </c>
      <c r="N768" s="48">
        <v>45485</v>
      </c>
      <c r="O768" s="21">
        <f>INDEX(Auxiliar!$D$5:$F$13,MATCH(Table1[[#This Row],[Tipologia_Testes]],Auxiliar!$B$5:$B$13,0),MATCH(Table1[[#This Row],[Complexidade]],Auxiliar!$D$4:$F$4,0))</f>
        <v>0.5</v>
      </c>
      <c r="P768" s="2"/>
      <c r="Q768" s="2"/>
      <c r="R768" s="152">
        <v>45261</v>
      </c>
      <c r="S768" s="152"/>
      <c r="T768" s="152"/>
      <c r="U768" s="152">
        <v>45603</v>
      </c>
      <c r="V768" s="152"/>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198</v>
      </c>
      <c r="H769" s="57" t="str">
        <f>Table1[[#This Row],[Tabela]]&amp;Table1[[#This Row],[Campo]]</f>
        <v>modesg_param_sfcs_taxon_europeiaepc</v>
      </c>
      <c r="I769" s="3" t="s">
        <v>613</v>
      </c>
      <c r="J769" s="55">
        <f>VLOOKUP(Table1[[#This Row],[Status]],Auxiliar!$B$16:$C$24,2,0)</f>
        <v>1</v>
      </c>
      <c r="K769" s="2" t="s">
        <v>1249</v>
      </c>
      <c r="L769" s="29" t="s">
        <v>1252</v>
      </c>
      <c r="M769" s="21" t="s">
        <v>1253</v>
      </c>
      <c r="N769" s="48">
        <v>45485</v>
      </c>
      <c r="O769" s="21">
        <f>INDEX(Auxiliar!$D$5:$F$13,MATCH(Table1[[#This Row],[Tipologia_Testes]],Auxiliar!$B$5:$B$13,0),MATCH(Table1[[#This Row],[Complexidade]],Auxiliar!$D$4:$F$4,0))</f>
        <v>0.1</v>
      </c>
      <c r="P769" s="2"/>
      <c r="Q769" s="2"/>
      <c r="R769" s="152">
        <v>45261</v>
      </c>
      <c r="S769" s="152"/>
      <c r="T769" s="152"/>
      <c r="U769" s="152">
        <v>45603</v>
      </c>
      <c r="V769" s="152"/>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199</v>
      </c>
      <c r="H770" s="57" t="str">
        <f>Table1[[#This Row],[Tabela]]&amp;Table1[[#This Row],[Campo]]</f>
        <v>modesg_param_sfcs_taxon_europeiaflag_project_finance</v>
      </c>
      <c r="I770" s="2" t="s">
        <v>613</v>
      </c>
      <c r="J770" s="43">
        <f>VLOOKUP(Table1[[#This Row],[Status]],Auxiliar!$B$16:$C$24,2,0)</f>
        <v>1</v>
      </c>
      <c r="K770" s="2" t="s">
        <v>1249</v>
      </c>
      <c r="L770" s="29" t="s">
        <v>650</v>
      </c>
      <c r="M770" s="21" t="s">
        <v>1253</v>
      </c>
      <c r="N770" s="48">
        <v>45611</v>
      </c>
      <c r="O770" s="21">
        <f>INDEX(Auxiliar!$D$5:$F$13,MATCH(Table1[[#This Row],[Tipologia_Testes]],Auxiliar!$B$5:$B$13,0),MATCH(Table1[[#This Row],[Complexidade]],Auxiliar!$D$4:$F$4,0))</f>
        <v>0.1</v>
      </c>
      <c r="P770" s="2" t="s">
        <v>1293</v>
      </c>
      <c r="Q770" s="2"/>
      <c r="R770" s="152">
        <v>45563</v>
      </c>
      <c r="S770" s="152"/>
      <c r="T770" s="152">
        <v>45563</v>
      </c>
      <c r="U770" s="152">
        <v>45603</v>
      </c>
      <c r="V770" s="152">
        <v>45604</v>
      </c>
      <c r="W770" s="2">
        <f>VLOOKUP(Table1[[#This Row],[Status]],Auxiliar!$B$16:$D$24,3,0)*Table1[[#This Row],[Estimação (horas)]]</f>
        <v>0.1</v>
      </c>
      <c r="X770" s="2"/>
    </row>
    <row r="771" spans="2:24" ht="17.7" hidden="1" customHeight="1">
      <c r="B771" s="2" t="s">
        <v>26</v>
      </c>
      <c r="C771" s="2" t="s">
        <v>181</v>
      </c>
      <c r="D771" s="2" t="s">
        <v>1289</v>
      </c>
      <c r="E771" s="2" t="s">
        <v>38</v>
      </c>
      <c r="F771" s="2" t="s">
        <v>182</v>
      </c>
      <c r="G771" s="2" t="s">
        <v>199</v>
      </c>
      <c r="H771" s="57" t="str">
        <f>Table1[[#This Row],[Tabela]]&amp;Table1[[#This Row],[Campo]]</f>
        <v>modesg_param_sfcs_taxon_europeiaflag_project_finance</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t="s">
        <v>1293</v>
      </c>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200</v>
      </c>
      <c r="H772" s="57" t="str">
        <f>Table1[[#This Row],[Tabela]]&amp;Table1[[#This Row],[Campo]]</f>
        <v>modesg_param_sfcs_taxon_europeiacfinalidad</v>
      </c>
      <c r="I772" s="2" t="s">
        <v>613</v>
      </c>
      <c r="J772" s="43">
        <f>VLOOKUP(Table1[[#This Row],[Status]],Auxiliar!$B$16:$C$24,2,0)</f>
        <v>1</v>
      </c>
      <c r="K772" s="2" t="s">
        <v>1249</v>
      </c>
      <c r="L772" s="29" t="s">
        <v>650</v>
      </c>
      <c r="M772" s="21" t="s">
        <v>1254</v>
      </c>
      <c r="N772" s="48">
        <v>45611</v>
      </c>
      <c r="O772" s="21">
        <f>INDEX(Auxiliar!$D$5:$F$13,MATCH(Table1[[#This Row],[Tipologia_Testes]],Auxiliar!$B$5:$B$13,0),MATCH(Table1[[#This Row],[Complexidade]],Auxiliar!$D$4:$F$4,0))</f>
        <v>0.1</v>
      </c>
      <c r="P772" s="2" t="s">
        <v>1294</v>
      </c>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200</v>
      </c>
      <c r="H773" s="57" t="str">
        <f>Table1[[#This Row],[Tabela]]&amp;Table1[[#This Row],[Campo]]</f>
        <v>modesg_param_sfcs_taxon_europeiacfinalidad</v>
      </c>
      <c r="I773" s="2" t="s">
        <v>613</v>
      </c>
      <c r="J773" s="43">
        <f>VLOOKUP(Table1[[#This Row],[Status]],Auxiliar!$B$16:$C$24,2,0)</f>
        <v>1</v>
      </c>
      <c r="K773" s="2" t="s">
        <v>1257</v>
      </c>
      <c r="L773" s="29" t="s">
        <v>650</v>
      </c>
      <c r="M773" s="21" t="s">
        <v>1254</v>
      </c>
      <c r="N773" s="48">
        <v>45611</v>
      </c>
      <c r="O773" s="21">
        <f>INDEX(Auxiliar!$D$5:$F$13,MATCH(Table1[[#This Row],[Tipologia_Testes]],Auxiliar!$B$5:$B$13,0),MATCH(Table1[[#This Row],[Complexidade]],Auxiliar!$D$4:$F$4,0))</f>
        <v>0.5</v>
      </c>
      <c r="P773" s="2" t="s">
        <v>1294</v>
      </c>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201</v>
      </c>
      <c r="H774" s="57" t="str">
        <f>Table1[[#This Row],[Tabela]]&amp;Table1[[#This Row],[Campo]]</f>
        <v>modesg_param_sfcs_taxon_europeiatipo_combust</v>
      </c>
      <c r="I774" s="2" t="s">
        <v>613</v>
      </c>
      <c r="J774" s="43">
        <f>VLOOKUP(Table1[[#This Row],[Status]],Auxiliar!$B$16:$C$24,2,0)</f>
        <v>1</v>
      </c>
      <c r="K774" s="2" t="s">
        <v>1257</v>
      </c>
      <c r="L774" s="29" t="s">
        <v>650</v>
      </c>
      <c r="M774" s="21" t="s">
        <v>1253</v>
      </c>
      <c r="N774" s="48">
        <v>45611</v>
      </c>
      <c r="O774" s="21">
        <f>INDEX(Auxiliar!$D$5:$F$13,MATCH(Table1[[#This Row],[Tipologia_Testes]],Auxiliar!$B$5:$B$13,0),MATCH(Table1[[#This Row],[Complexidade]],Auxiliar!$D$4:$F$4,0))</f>
        <v>0.5</v>
      </c>
      <c r="P774" s="2"/>
      <c r="Q774" s="2"/>
      <c r="R774" s="152">
        <v>45563</v>
      </c>
      <c r="S774" s="152"/>
      <c r="T774" s="152">
        <v>45563</v>
      </c>
      <c r="U774" s="152">
        <v>45603</v>
      </c>
      <c r="V774" s="152">
        <v>45604</v>
      </c>
      <c r="W774" s="2">
        <f>VLOOKUP(Table1[[#This Row],[Status]],Auxiliar!$B$16:$D$24,3,0)*Table1[[#This Row],[Estimação (horas)]]</f>
        <v>0.5</v>
      </c>
      <c r="X774" s="2"/>
    </row>
    <row r="775" spans="2:24" ht="17.7" hidden="1" customHeight="1">
      <c r="B775" s="2" t="s">
        <v>26</v>
      </c>
      <c r="C775" s="2" t="s">
        <v>181</v>
      </c>
      <c r="D775" s="2" t="s">
        <v>1289</v>
      </c>
      <c r="E775" s="2" t="s">
        <v>38</v>
      </c>
      <c r="F775" s="2" t="s">
        <v>182</v>
      </c>
      <c r="G775" s="2" t="s">
        <v>201</v>
      </c>
      <c r="H775" s="57" t="str">
        <f>Table1[[#This Row],[Tabela]]&amp;Table1[[#This Row],[Campo]]</f>
        <v>modesg_param_sfcs_taxon_europeiatipo_combust</v>
      </c>
      <c r="I775" s="2" t="s">
        <v>613</v>
      </c>
      <c r="J775" s="43">
        <f>VLOOKUP(Table1[[#This Row],[Status]],Auxiliar!$B$16:$C$24,2,0)</f>
        <v>1</v>
      </c>
      <c r="K775" s="2" t="s">
        <v>1249</v>
      </c>
      <c r="L775" s="29" t="s">
        <v>650</v>
      </c>
      <c r="M775" s="21" t="s">
        <v>1253</v>
      </c>
      <c r="N775" s="48">
        <v>45611</v>
      </c>
      <c r="O775" s="21">
        <f>INDEX(Auxiliar!$D$5:$F$13,MATCH(Table1[[#This Row],[Tipologia_Testes]],Auxiliar!$B$5:$B$13,0),MATCH(Table1[[#This Row],[Complexidade]],Auxiliar!$D$4:$F$4,0))</f>
        <v>0.1</v>
      </c>
      <c r="P775" s="2"/>
      <c r="Q775" s="2"/>
      <c r="R775" s="152">
        <v>45563</v>
      </c>
      <c r="S775" s="152"/>
      <c r="T775" s="152">
        <v>45563</v>
      </c>
      <c r="U775" s="152">
        <v>45603</v>
      </c>
      <c r="V775" s="152">
        <v>45604</v>
      </c>
      <c r="W775" s="2">
        <f>VLOOKUP(Table1[[#This Row],[Status]],Auxiliar!$B$16:$D$24,3,0)*Table1[[#This Row],[Estimação (horas)]]</f>
        <v>0.1</v>
      </c>
      <c r="X775" s="2"/>
    </row>
    <row r="776" spans="2:24" ht="17.7" hidden="1" customHeight="1">
      <c r="B776" s="2" t="s">
        <v>26</v>
      </c>
      <c r="C776" s="2" t="s">
        <v>181</v>
      </c>
      <c r="D776" s="2" t="s">
        <v>1289</v>
      </c>
      <c r="E776" s="2" t="s">
        <v>38</v>
      </c>
      <c r="F776" s="2" t="s">
        <v>182</v>
      </c>
      <c r="G776" s="2" t="s">
        <v>202</v>
      </c>
      <c r="H776" s="57" t="str">
        <f>Table1[[#This Row],[Tabela]]&amp;Table1[[#This Row],[Campo]]</f>
        <v>modesg_param_sfcs_taxon_europeiamontante_pndrc</v>
      </c>
      <c r="I776" s="2" t="s">
        <v>613</v>
      </c>
      <c r="J776" s="43">
        <f>VLOOKUP(Table1[[#This Row],[Status]],Auxiliar!$B$16:$C$24,2,0)</f>
        <v>1</v>
      </c>
      <c r="K776" s="2" t="s">
        <v>1257</v>
      </c>
      <c r="L776" s="29" t="s">
        <v>1252</v>
      </c>
      <c r="M776" s="21" t="s">
        <v>1253</v>
      </c>
      <c r="N776" s="48">
        <v>45611</v>
      </c>
      <c r="O776" s="21">
        <f>INDEX(Auxiliar!$D$5:$F$13,MATCH(Table1[[#This Row],[Tipologia_Testes]],Auxiliar!$B$5:$B$13,0),MATCH(Table1[[#This Row],[Complexidade]],Auxiliar!$D$4:$F$4,0))</f>
        <v>0.5</v>
      </c>
      <c r="P776" s="2"/>
      <c r="Q776" s="2"/>
      <c r="R776" s="152">
        <v>45563</v>
      </c>
      <c r="S776" s="152"/>
      <c r="T776" s="152">
        <v>45563</v>
      </c>
      <c r="U776" s="152">
        <v>45603</v>
      </c>
      <c r="V776" s="152">
        <v>45604</v>
      </c>
      <c r="W776" s="2">
        <f>VLOOKUP(Table1[[#This Row],[Status]],Auxiliar!$B$16:$D$24,3,0)*Table1[[#This Row],[Estimação (horas)]]</f>
        <v>0.5</v>
      </c>
      <c r="X776" s="2"/>
    </row>
    <row r="777" spans="2:24" ht="17.7" hidden="1" customHeight="1">
      <c r="B777" s="2" t="s">
        <v>26</v>
      </c>
      <c r="C777" s="2" t="s">
        <v>181</v>
      </c>
      <c r="D777" s="2" t="s">
        <v>1289</v>
      </c>
      <c r="E777" s="2" t="s">
        <v>38</v>
      </c>
      <c r="F777" s="2" t="s">
        <v>182</v>
      </c>
      <c r="G777" s="2" t="s">
        <v>202</v>
      </c>
      <c r="H777" s="57" t="str">
        <f>Table1[[#This Row],[Tabela]]&amp;Table1[[#This Row],[Campo]]</f>
        <v>modesg_param_sfcs_taxon_europeiamontante_pndrc</v>
      </c>
      <c r="I777" s="2" t="s">
        <v>613</v>
      </c>
      <c r="J777" s="43">
        <f>VLOOKUP(Table1[[#This Row],[Status]],Auxiliar!$B$16:$C$24,2,0)</f>
        <v>1</v>
      </c>
      <c r="K777" s="2" t="s">
        <v>1249</v>
      </c>
      <c r="L777" s="29" t="s">
        <v>1252</v>
      </c>
      <c r="M777" s="21" t="s">
        <v>1253</v>
      </c>
      <c r="N777" s="48">
        <v>45611</v>
      </c>
      <c r="O777" s="21">
        <f>INDEX(Auxiliar!$D$5:$F$13,MATCH(Table1[[#This Row],[Tipologia_Testes]],Auxiliar!$B$5:$B$13,0),MATCH(Table1[[#This Row],[Complexidade]],Auxiliar!$D$4:$F$4,0))</f>
        <v>0.1</v>
      </c>
      <c r="P777" s="2"/>
      <c r="Q777" s="2"/>
      <c r="R777" s="152">
        <v>45563</v>
      </c>
      <c r="S777" s="152"/>
      <c r="T777" s="152">
        <v>45563</v>
      </c>
      <c r="U777" s="152">
        <v>45603</v>
      </c>
      <c r="V777" s="152">
        <v>45604</v>
      </c>
      <c r="W777" s="2">
        <f>VLOOKUP(Table1[[#This Row],[Status]],Auxiliar!$B$16:$D$24,3,0)*Table1[[#This Row],[Estimação (horas)]]</f>
        <v>0.1</v>
      </c>
      <c r="X777" s="2"/>
    </row>
    <row r="778" spans="2:24" ht="69.599999999999994" hidden="1" customHeight="1">
      <c r="B778" s="2" t="s">
        <v>26</v>
      </c>
      <c r="C778" s="2" t="s">
        <v>181</v>
      </c>
      <c r="D778" s="2" t="s">
        <v>1289</v>
      </c>
      <c r="E778" s="2" t="s">
        <v>38</v>
      </c>
      <c r="F778" s="2" t="s">
        <v>182</v>
      </c>
      <c r="G778" s="2" t="s">
        <v>203</v>
      </c>
      <c r="H778" s="57" t="str">
        <f>Table1[[#This Row],[Tabela]]&amp;Table1[[#This Row],[Campo]]</f>
        <v>modesg_param_sfcs_taxon_europeianome_ctgr_sfcs</v>
      </c>
      <c r="I778" s="2" t="s">
        <v>615</v>
      </c>
      <c r="J778" s="43">
        <f>VLOOKUP(Table1[[#This Row],[Status]],Auxiliar!$B$16:$C$24,2,0)</f>
        <v>5</v>
      </c>
      <c r="K778" s="2" t="s">
        <v>1257</v>
      </c>
      <c r="L778" s="29" t="s">
        <v>1252</v>
      </c>
      <c r="M778" s="21" t="s">
        <v>1253</v>
      </c>
      <c r="N778" s="48">
        <v>45611</v>
      </c>
      <c r="O778" s="21">
        <f>INDEX(Auxiliar!$D$5:$F$13,MATCH(Table1[[#This Row],[Tipologia_Testes]],Auxiliar!$B$5:$B$13,0),MATCH(Table1[[#This Row],[Complexidade]],Auxiliar!$D$4:$F$4,0))</f>
        <v>0.5</v>
      </c>
      <c r="P778" s="23" t="s">
        <v>1295</v>
      </c>
      <c r="Q778" s="2"/>
      <c r="R778" s="152">
        <v>45261</v>
      </c>
      <c r="S778" s="152"/>
      <c r="T778" s="152">
        <v>45563</v>
      </c>
      <c r="U778" s="152">
        <v>45603</v>
      </c>
      <c r="V778" s="152">
        <v>45604</v>
      </c>
      <c r="W778" s="2">
        <f>VLOOKUP(Table1[[#This Row],[Status]],Auxiliar!$B$16:$D$24,3,0)*Table1[[#This Row],[Estimação (horas)]]</f>
        <v>0.125</v>
      </c>
      <c r="X778" s="2"/>
    </row>
    <row r="779" spans="2:24" ht="69.599999999999994" hidden="1" customHeight="1">
      <c r="B779" s="2" t="s">
        <v>26</v>
      </c>
      <c r="C779" s="2" t="s">
        <v>181</v>
      </c>
      <c r="D779" s="2" t="s">
        <v>1289</v>
      </c>
      <c r="E779" s="2" t="s">
        <v>38</v>
      </c>
      <c r="F779" s="2" t="s">
        <v>182</v>
      </c>
      <c r="G779" s="2" t="s">
        <v>203</v>
      </c>
      <c r="H779" s="57" t="str">
        <f>Table1[[#This Row],[Tabela]]&amp;Table1[[#This Row],[Campo]]</f>
        <v>modesg_param_sfcs_taxon_europeianome_ctgr_sfcs</v>
      </c>
      <c r="I779" s="2" t="s">
        <v>615</v>
      </c>
      <c r="J779" s="43">
        <f>VLOOKUP(Table1[[#This Row],[Status]],Auxiliar!$B$16:$C$24,2,0)</f>
        <v>5</v>
      </c>
      <c r="K779" s="2" t="s">
        <v>1249</v>
      </c>
      <c r="L779" s="29" t="s">
        <v>1252</v>
      </c>
      <c r="M779" s="21" t="s">
        <v>1253</v>
      </c>
      <c r="N779" s="48">
        <v>45611</v>
      </c>
      <c r="O779" s="21">
        <f>INDEX(Auxiliar!$D$5:$F$13,MATCH(Table1[[#This Row],[Tipologia_Testes]],Auxiliar!$B$5:$B$13,0),MATCH(Table1[[#This Row],[Complexidade]],Auxiliar!$D$4:$F$4,0))</f>
        <v>0.1</v>
      </c>
      <c r="P779" s="23" t="s">
        <v>1295</v>
      </c>
      <c r="Q779" s="2"/>
      <c r="R779" s="152">
        <v>45261</v>
      </c>
      <c r="S779" s="152"/>
      <c r="T779" s="152">
        <v>45563</v>
      </c>
      <c r="U779" s="152">
        <v>45603</v>
      </c>
      <c r="V779" s="152">
        <v>45604</v>
      </c>
      <c r="W779" s="2">
        <f>VLOOKUP(Table1[[#This Row],[Status]],Auxiliar!$B$16:$D$24,3,0)*Table1[[#This Row],[Estimação (horas)]]</f>
        <v>2.5000000000000001E-2</v>
      </c>
      <c r="X779" s="2"/>
    </row>
    <row r="780" spans="2:24" ht="17.7" hidden="1" customHeight="1">
      <c r="B780" s="2" t="s">
        <v>26</v>
      </c>
      <c r="C780" s="2" t="s">
        <v>181</v>
      </c>
      <c r="D780" s="2" t="s">
        <v>1289</v>
      </c>
      <c r="E780" s="2" t="s">
        <v>38</v>
      </c>
      <c r="F780" s="2" t="s">
        <v>182</v>
      </c>
      <c r="G780" s="2" t="s">
        <v>204</v>
      </c>
      <c r="H780" s="57" t="str">
        <f>Table1[[#This Row],[Tabela]]&amp;Table1[[#This Row],[Campo]]</f>
        <v>modesg_param_sfcs_taxon_europeianome_general_specific_purpose</v>
      </c>
      <c r="I780" s="2" t="s">
        <v>613</v>
      </c>
      <c r="J780" s="55">
        <f>VLOOKUP(Table1[[#This Row],[Status]],Auxiliar!$B$16:$C$24,2,0)</f>
        <v>1</v>
      </c>
      <c r="K780" s="2" t="s">
        <v>1257</v>
      </c>
      <c r="L780" s="29" t="s">
        <v>1252</v>
      </c>
      <c r="M780" s="21" t="s">
        <v>1253</v>
      </c>
      <c r="N780" s="48">
        <v>45611</v>
      </c>
      <c r="O780" s="21">
        <f>INDEX(Auxiliar!$D$5:$F$13,MATCH(Table1[[#This Row],[Tipologia_Testes]],Auxiliar!$B$5:$B$13,0),MATCH(Table1[[#This Row],[Complexidade]],Auxiliar!$D$4:$F$4,0))</f>
        <v>0.5</v>
      </c>
      <c r="P780" s="2"/>
      <c r="Q780" s="2"/>
      <c r="R780" s="152">
        <v>45563</v>
      </c>
      <c r="S780" s="152"/>
      <c r="T780" s="152">
        <v>45563</v>
      </c>
      <c r="U780" s="152">
        <v>45603</v>
      </c>
      <c r="V780" s="152">
        <v>45604</v>
      </c>
      <c r="W780" s="2">
        <f>VLOOKUP(Table1[[#This Row],[Status]],Auxiliar!$B$16:$D$24,3,0)*Table1[[#This Row],[Estimação (horas)]]</f>
        <v>0.5</v>
      </c>
      <c r="X780" s="2"/>
    </row>
    <row r="781" spans="2:24" ht="17.7" hidden="1" customHeight="1">
      <c r="B781" s="2" t="s">
        <v>26</v>
      </c>
      <c r="C781" s="2" t="s">
        <v>181</v>
      </c>
      <c r="D781" s="2" t="s">
        <v>1289</v>
      </c>
      <c r="E781" s="2" t="s">
        <v>38</v>
      </c>
      <c r="F781" s="2" t="s">
        <v>182</v>
      </c>
      <c r="G781" s="2" t="s">
        <v>204</v>
      </c>
      <c r="H781" s="57" t="str">
        <f>Table1[[#This Row],[Tabela]]&amp;Table1[[#This Row],[Campo]]</f>
        <v>modesg_param_sfcs_taxon_europeianome_general_specific_purpose</v>
      </c>
      <c r="I781" s="2" t="s">
        <v>613</v>
      </c>
      <c r="J781" s="55">
        <f>VLOOKUP(Table1[[#This Row],[Status]],Auxiliar!$B$16:$C$24,2,0)</f>
        <v>1</v>
      </c>
      <c r="K781" s="2" t="s">
        <v>1249</v>
      </c>
      <c r="L781" s="29" t="s">
        <v>1252</v>
      </c>
      <c r="M781" s="21" t="s">
        <v>1253</v>
      </c>
      <c r="N781" s="48">
        <v>45611</v>
      </c>
      <c r="O781" s="21">
        <f>INDEX(Auxiliar!$D$5:$F$13,MATCH(Table1[[#This Row],[Tipologia_Testes]],Auxiliar!$B$5:$B$13,0),MATCH(Table1[[#This Row],[Complexidade]],Auxiliar!$D$4:$F$4,0))</f>
        <v>0.1</v>
      </c>
      <c r="P781" s="2"/>
      <c r="Q781" s="2"/>
      <c r="R781" s="152">
        <v>45563</v>
      </c>
      <c r="S781" s="152"/>
      <c r="T781" s="152">
        <v>45563</v>
      </c>
      <c r="U781" s="152">
        <v>45603</v>
      </c>
      <c r="V781" s="152">
        <v>45604</v>
      </c>
      <c r="W781" s="2">
        <f>VLOOKUP(Table1[[#This Row],[Status]],Auxiliar!$B$16:$D$24,3,0)*Table1[[#This Row],[Estimação (horas)]]</f>
        <v>0.1</v>
      </c>
      <c r="X781" s="2"/>
    </row>
    <row r="782" spans="2:24" ht="17.7" hidden="1" customHeight="1">
      <c r="B782" s="2" t="s">
        <v>26</v>
      </c>
      <c r="C782" s="2" t="s">
        <v>181</v>
      </c>
      <c r="D782" s="2" t="s">
        <v>1289</v>
      </c>
      <c r="E782" s="2" t="s">
        <v>38</v>
      </c>
      <c r="F782" s="2" t="s">
        <v>182</v>
      </c>
      <c r="G782" s="2" t="s">
        <v>205</v>
      </c>
      <c r="H782" s="57" t="str">
        <f>Table1[[#This Row],[Tabela]]&amp;Table1[[#This Row],[Campo]]</f>
        <v>modesg_param_sfcs_taxon_europeianome_purpose_esg</v>
      </c>
      <c r="I782" s="2" t="s">
        <v>613</v>
      </c>
      <c r="J782" s="55">
        <f>VLOOKUP(Table1[[#This Row],[Status]],Auxiliar!$B$16:$C$24,2,0)</f>
        <v>1</v>
      </c>
      <c r="K782" s="2" t="s">
        <v>1257</v>
      </c>
      <c r="L782" s="29" t="s">
        <v>1252</v>
      </c>
      <c r="M782" s="21" t="s">
        <v>1253</v>
      </c>
      <c r="N782" s="48">
        <v>45611</v>
      </c>
      <c r="O782" s="21">
        <f>INDEX(Auxiliar!$D$5:$F$13,MATCH(Table1[[#This Row],[Tipologia_Testes]],Auxiliar!$B$5:$B$13,0),MATCH(Table1[[#This Row],[Complexidade]],Auxiliar!$D$4:$F$4,0))</f>
        <v>0.5</v>
      </c>
      <c r="P782" s="2"/>
      <c r="Q782" s="2"/>
      <c r="R782" s="152">
        <v>45563</v>
      </c>
      <c r="S782" s="152"/>
      <c r="T782" s="152">
        <v>45563</v>
      </c>
      <c r="U782" s="152">
        <v>45603</v>
      </c>
      <c r="V782" s="152">
        <v>45604</v>
      </c>
      <c r="W782" s="2">
        <f>VLOOKUP(Table1[[#This Row],[Status]],Auxiliar!$B$16:$D$24,3,0)*Table1[[#This Row],[Estimação (horas)]]</f>
        <v>0.5</v>
      </c>
      <c r="X782" s="2"/>
    </row>
    <row r="783" spans="2:24" ht="17.7" hidden="1" customHeight="1">
      <c r="B783" s="2" t="s">
        <v>26</v>
      </c>
      <c r="C783" s="2" t="s">
        <v>181</v>
      </c>
      <c r="D783" s="2" t="s">
        <v>1289</v>
      </c>
      <c r="E783" s="2" t="s">
        <v>38</v>
      </c>
      <c r="F783" s="2" t="s">
        <v>182</v>
      </c>
      <c r="G783" s="2" t="s">
        <v>205</v>
      </c>
      <c r="H783" s="57" t="str">
        <f>Table1[[#This Row],[Tabela]]&amp;Table1[[#This Row],[Campo]]</f>
        <v>modesg_param_sfcs_taxon_europeianome_purpose_esg</v>
      </c>
      <c r="I783" s="2" t="s">
        <v>613</v>
      </c>
      <c r="J783" s="55">
        <f>VLOOKUP(Table1[[#This Row],[Status]],Auxiliar!$B$16:$C$24,2,0)</f>
        <v>1</v>
      </c>
      <c r="K783" s="2" t="s">
        <v>1249</v>
      </c>
      <c r="L783" s="29" t="s">
        <v>1252</v>
      </c>
      <c r="M783" s="21" t="s">
        <v>1253</v>
      </c>
      <c r="N783" s="48">
        <v>45611</v>
      </c>
      <c r="O783" s="21">
        <f>INDEX(Auxiliar!$D$5:$F$13,MATCH(Table1[[#This Row],[Tipologia_Testes]],Auxiliar!$B$5:$B$13,0),MATCH(Table1[[#This Row],[Complexidade]],Auxiliar!$D$4:$F$4,0))</f>
        <v>0.1</v>
      </c>
      <c r="P783" s="2"/>
      <c r="Q783" s="2"/>
      <c r="R783" s="152">
        <v>45563</v>
      </c>
      <c r="S783" s="152"/>
      <c r="T783" s="152">
        <v>45563</v>
      </c>
      <c r="U783" s="152">
        <v>45603</v>
      </c>
      <c r="V783" s="152">
        <v>45604</v>
      </c>
      <c r="W783" s="2">
        <f>VLOOKUP(Table1[[#This Row],[Status]],Auxiliar!$B$16:$D$24,3,0)*Table1[[#This Row],[Estimação (horas)]]</f>
        <v>0.1</v>
      </c>
      <c r="X783" s="2"/>
    </row>
    <row r="784" spans="2:24" ht="17.7" hidden="1" customHeight="1">
      <c r="B784" s="2" t="s">
        <v>26</v>
      </c>
      <c r="C784" s="2" t="s">
        <v>181</v>
      </c>
      <c r="D784" s="2" t="s">
        <v>1289</v>
      </c>
      <c r="E784" s="2" t="s">
        <v>38</v>
      </c>
      <c r="F784" s="2" t="s">
        <v>182</v>
      </c>
      <c r="G784" s="2" t="s">
        <v>206</v>
      </c>
      <c r="H784" s="57" t="str">
        <f>Table1[[#This Row],[Tabela]]&amp;Table1[[#This Row],[Campo]]</f>
        <v>modesg_param_sfcs_taxon_europeianome_specific_eligible</v>
      </c>
      <c r="I784" s="2" t="s">
        <v>613</v>
      </c>
      <c r="J784" s="55">
        <f>VLOOKUP(Table1[[#This Row],[Status]],Auxiliar!$B$16:$C$24,2,0)</f>
        <v>1</v>
      </c>
      <c r="K784" s="2" t="s">
        <v>1257</v>
      </c>
      <c r="L784" s="29" t="s">
        <v>1252</v>
      </c>
      <c r="M784" s="21" t="s">
        <v>1253</v>
      </c>
      <c r="N784" s="48">
        <v>45611</v>
      </c>
      <c r="O784" s="21">
        <f>INDEX(Auxiliar!$D$5:$F$13,MATCH(Table1[[#This Row],[Tipologia_Testes]],Auxiliar!$B$5:$B$13,0),MATCH(Table1[[#This Row],[Complexidade]],Auxiliar!$D$4:$F$4,0))</f>
        <v>0.5</v>
      </c>
      <c r="P784" s="2"/>
      <c r="Q784" s="2"/>
      <c r="R784" s="152">
        <v>45563</v>
      </c>
      <c r="S784" s="152"/>
      <c r="T784" s="152">
        <v>45563</v>
      </c>
      <c r="U784" s="152">
        <v>45603</v>
      </c>
      <c r="V784" s="152">
        <v>45604</v>
      </c>
      <c r="W784" s="2">
        <f>VLOOKUP(Table1[[#This Row],[Status]],Auxiliar!$B$16:$D$24,3,0)*Table1[[#This Row],[Estimação (horas)]]</f>
        <v>0.5</v>
      </c>
      <c r="X784" s="2"/>
    </row>
    <row r="785" spans="2:24" ht="17.7" hidden="1" customHeight="1">
      <c r="B785" s="2" t="s">
        <v>26</v>
      </c>
      <c r="C785" s="2" t="s">
        <v>181</v>
      </c>
      <c r="D785" s="2" t="s">
        <v>1289</v>
      </c>
      <c r="E785" s="2" t="s">
        <v>38</v>
      </c>
      <c r="F785" s="2" t="s">
        <v>182</v>
      </c>
      <c r="G785" s="2" t="s">
        <v>206</v>
      </c>
      <c r="H785" s="57" t="str">
        <f>Table1[[#This Row],[Tabela]]&amp;Table1[[#This Row],[Campo]]</f>
        <v>modesg_param_sfcs_taxon_europeianome_specific_eligible</v>
      </c>
      <c r="I785" s="2" t="s">
        <v>613</v>
      </c>
      <c r="J785" s="55">
        <f>VLOOKUP(Table1[[#This Row],[Status]],Auxiliar!$B$16:$C$24,2,0)</f>
        <v>1</v>
      </c>
      <c r="K785" s="2" t="s">
        <v>1249</v>
      </c>
      <c r="L785" s="29" t="s">
        <v>1252</v>
      </c>
      <c r="M785" s="21" t="s">
        <v>1253</v>
      </c>
      <c r="N785" s="48">
        <v>45611</v>
      </c>
      <c r="O785" s="21">
        <f>INDEX(Auxiliar!$D$5:$F$13,MATCH(Table1[[#This Row],[Tipologia_Testes]],Auxiliar!$B$5:$B$13,0),MATCH(Table1[[#This Row],[Complexidade]],Auxiliar!$D$4:$F$4,0))</f>
        <v>0.1</v>
      </c>
      <c r="P785" s="2"/>
      <c r="Q785" s="2"/>
      <c r="R785" s="152">
        <v>45563</v>
      </c>
      <c r="S785" s="152"/>
      <c r="T785" s="152">
        <v>45563</v>
      </c>
      <c r="U785" s="152">
        <v>45603</v>
      </c>
      <c r="V785" s="152">
        <v>45604</v>
      </c>
      <c r="W785" s="2">
        <f>VLOOKUP(Table1[[#This Row],[Status]],Auxiliar!$B$16:$D$24,3,0)*Table1[[#This Row],[Estimação (horas)]]</f>
        <v>0.1</v>
      </c>
      <c r="X785" s="2"/>
    </row>
    <row r="786" spans="2:24" ht="17.7" hidden="1" customHeight="1">
      <c r="B786" s="2" t="s">
        <v>26</v>
      </c>
      <c r="C786" s="2" t="s">
        <v>181</v>
      </c>
      <c r="D786" s="2" t="s">
        <v>1289</v>
      </c>
      <c r="E786" s="2" t="s">
        <v>38</v>
      </c>
      <c r="F786" s="2" t="s">
        <v>182</v>
      </c>
      <c r="G786" s="2" t="s">
        <v>207</v>
      </c>
      <c r="H786" s="57" t="str">
        <f>Table1[[#This Row],[Tabela]]&amp;Table1[[#This Row],[Campo]]</f>
        <v>modesg_param_sfcs_taxon_europeianome_specific_sustainable</v>
      </c>
      <c r="I786" s="2" t="s">
        <v>613</v>
      </c>
      <c r="J786" s="55">
        <f>VLOOKUP(Table1[[#This Row],[Status]],Auxiliar!$B$16:$C$24,2,0)</f>
        <v>1</v>
      </c>
      <c r="K786" s="2" t="s">
        <v>1257</v>
      </c>
      <c r="L786" s="29" t="s">
        <v>1252</v>
      </c>
      <c r="M786" s="21" t="s">
        <v>1253</v>
      </c>
      <c r="N786" s="48">
        <v>45611</v>
      </c>
      <c r="O786" s="21">
        <f>INDEX(Auxiliar!$D$5:$F$13,MATCH(Table1[[#This Row],[Tipologia_Testes]],Auxiliar!$B$5:$B$13,0),MATCH(Table1[[#This Row],[Complexidade]],Auxiliar!$D$4:$F$4,0))</f>
        <v>0.5</v>
      </c>
      <c r="P786" s="2"/>
      <c r="Q786" s="2"/>
      <c r="R786" s="152">
        <v>45563</v>
      </c>
      <c r="S786" s="152"/>
      <c r="T786" s="152">
        <v>45563</v>
      </c>
      <c r="U786" s="152">
        <v>45603</v>
      </c>
      <c r="V786" s="152">
        <v>45604</v>
      </c>
      <c r="W786" s="2">
        <f>VLOOKUP(Table1[[#This Row],[Status]],Auxiliar!$B$16:$D$24,3,0)*Table1[[#This Row],[Estimação (horas)]]</f>
        <v>0.5</v>
      </c>
      <c r="X786" s="2"/>
    </row>
    <row r="787" spans="2:24" ht="17.7" hidden="1" customHeight="1">
      <c r="B787" s="2" t="s">
        <v>26</v>
      </c>
      <c r="C787" s="2" t="s">
        <v>181</v>
      </c>
      <c r="D787" s="2" t="s">
        <v>1289</v>
      </c>
      <c r="E787" s="2" t="s">
        <v>38</v>
      </c>
      <c r="F787" s="2" t="s">
        <v>182</v>
      </c>
      <c r="G787" s="2" t="s">
        <v>207</v>
      </c>
      <c r="H787" s="57" t="str">
        <f>Table1[[#This Row],[Tabela]]&amp;Table1[[#This Row],[Campo]]</f>
        <v>modesg_param_sfcs_taxon_europeianome_specific_sustainable</v>
      </c>
      <c r="I787" s="2" t="s">
        <v>613</v>
      </c>
      <c r="J787" s="55">
        <f>VLOOKUP(Table1[[#This Row],[Status]],Auxiliar!$B$16:$C$24,2,0)</f>
        <v>1</v>
      </c>
      <c r="K787" s="2" t="s">
        <v>1249</v>
      </c>
      <c r="L787" s="29" t="s">
        <v>1252</v>
      </c>
      <c r="M787" s="21" t="s">
        <v>1253</v>
      </c>
      <c r="N787" s="48">
        <v>45611</v>
      </c>
      <c r="O787" s="21">
        <f>INDEX(Auxiliar!$D$5:$F$13,MATCH(Table1[[#This Row],[Tipologia_Testes]],Auxiliar!$B$5:$B$13,0),MATCH(Table1[[#This Row],[Complexidade]],Auxiliar!$D$4:$F$4,0))</f>
        <v>0.1</v>
      </c>
      <c r="P787" s="2"/>
      <c r="Q787" s="2"/>
      <c r="R787" s="152">
        <v>45563</v>
      </c>
      <c r="S787" s="152"/>
      <c r="T787" s="152">
        <v>45563</v>
      </c>
      <c r="U787" s="152">
        <v>45603</v>
      </c>
      <c r="V787" s="152">
        <v>45604</v>
      </c>
      <c r="W787" s="2">
        <f>VLOOKUP(Table1[[#This Row],[Status]],Auxiliar!$B$16:$D$24,3,0)*Table1[[#This Row],[Estimação (horas)]]</f>
        <v>0.1</v>
      </c>
      <c r="X787" s="2"/>
    </row>
    <row r="788" spans="2:24" ht="17.7" hidden="1" customHeight="1">
      <c r="B788" s="2" t="s">
        <v>26</v>
      </c>
      <c r="C788" s="2" t="s">
        <v>181</v>
      </c>
      <c r="D788" s="2" t="s">
        <v>1289</v>
      </c>
      <c r="E788" s="2" t="s">
        <v>38</v>
      </c>
      <c r="F788" s="2" t="s">
        <v>182</v>
      </c>
      <c r="G788" s="2" t="s">
        <v>208</v>
      </c>
      <c r="H788" s="57" t="str">
        <f>Table1[[#This Row],[Tabela]]&amp;Table1[[#This Row],[Campo]]</f>
        <v>modesg_param_sfcs_taxon_europeiaref_date</v>
      </c>
      <c r="I788" s="2" t="s">
        <v>613</v>
      </c>
      <c r="J788" s="55">
        <f>VLOOKUP(Table1[[#This Row],[Status]],Auxiliar!$B$16:$C$24,2,0)</f>
        <v>1</v>
      </c>
      <c r="K788" s="2" t="s">
        <v>1257</v>
      </c>
      <c r="L788" s="29" t="s">
        <v>1252</v>
      </c>
      <c r="M788" s="21" t="s">
        <v>1253</v>
      </c>
      <c r="N788" s="48">
        <v>45546</v>
      </c>
      <c r="O788" s="21">
        <f>INDEX(Auxiliar!$D$5:$F$13,MATCH(Table1[[#This Row],[Tipologia_Testes]],Auxiliar!$B$5:$B$13,0),MATCH(Table1[[#This Row],[Complexidade]],Auxiliar!$D$4:$F$4,0))</f>
        <v>0.5</v>
      </c>
      <c r="P788" s="2"/>
      <c r="Q788" s="2"/>
      <c r="R788" s="152">
        <v>45545</v>
      </c>
      <c r="S788" s="152"/>
      <c r="T788" s="152"/>
      <c r="U788" s="152">
        <v>45603</v>
      </c>
      <c r="V788" s="152"/>
      <c r="W788" s="2">
        <f>VLOOKUP(Table1[[#This Row],[Status]],Auxiliar!$B$16:$D$24,3,0)*Table1[[#This Row],[Estimação (horas)]]</f>
        <v>0.5</v>
      </c>
      <c r="X788" s="2"/>
    </row>
    <row r="789" spans="2:24" ht="17.7" hidden="1" customHeight="1">
      <c r="B789" s="2" t="s">
        <v>26</v>
      </c>
      <c r="C789" s="2" t="s">
        <v>181</v>
      </c>
      <c r="D789" s="2" t="s">
        <v>1289</v>
      </c>
      <c r="E789" s="2" t="s">
        <v>38</v>
      </c>
      <c r="F789" s="2" t="s">
        <v>182</v>
      </c>
      <c r="G789" s="2" t="s">
        <v>208</v>
      </c>
      <c r="H789" s="57" t="str">
        <f>Table1[[#This Row],[Tabela]]&amp;Table1[[#This Row],[Campo]]</f>
        <v>modesg_param_sfcs_taxon_europeiaref_date</v>
      </c>
      <c r="I789" s="2" t="s">
        <v>613</v>
      </c>
      <c r="J789" s="55">
        <f>VLOOKUP(Table1[[#This Row],[Status]],Auxiliar!$B$16:$C$24,2,0)</f>
        <v>1</v>
      </c>
      <c r="K789" s="2" t="s">
        <v>1249</v>
      </c>
      <c r="L789" s="29" t="s">
        <v>1252</v>
      </c>
      <c r="M789" s="21" t="s">
        <v>1253</v>
      </c>
      <c r="N789" s="48">
        <v>45546</v>
      </c>
      <c r="O789" s="21">
        <f>INDEX(Auxiliar!$D$5:$F$13,MATCH(Table1[[#This Row],[Tipologia_Testes]],Auxiliar!$B$5:$B$13,0),MATCH(Table1[[#This Row],[Complexidade]],Auxiliar!$D$4:$F$4,0))</f>
        <v>0.1</v>
      </c>
      <c r="P789" s="2"/>
      <c r="Q789" s="2"/>
      <c r="R789" s="152">
        <v>45545</v>
      </c>
      <c r="S789" s="152"/>
      <c r="T789" s="152"/>
      <c r="U789" s="152">
        <v>45603</v>
      </c>
      <c r="V789" s="152"/>
      <c r="W789" s="2">
        <f>VLOOKUP(Table1[[#This Row],[Status]],Auxiliar!$B$16:$D$24,3,0)*Table1[[#This Row],[Estimação (horas)]]</f>
        <v>0.1</v>
      </c>
      <c r="X789" s="2"/>
    </row>
    <row r="790" spans="2:24" ht="17.7" hidden="1" customHeight="1">
      <c r="B790" s="2" t="s">
        <v>26</v>
      </c>
      <c r="C790" s="2" t="s">
        <v>181</v>
      </c>
      <c r="D790" s="2" t="s">
        <v>1289</v>
      </c>
      <c r="E790" s="2" t="s">
        <v>38</v>
      </c>
      <c r="F790" s="2" t="s">
        <v>182</v>
      </c>
      <c r="G790" s="2" t="s">
        <v>209</v>
      </c>
      <c r="H790" s="57" t="str">
        <f>Table1[[#This Row],[Tabela]]&amp;Table1[[#This Row],[Campo]]</f>
        <v>modesg_param_sfcs_taxon_europeiazcliente</v>
      </c>
      <c r="I790" s="2" t="s">
        <v>613</v>
      </c>
      <c r="J790" s="55">
        <f>VLOOKUP(Table1[[#This Row],[Status]],Auxiliar!$B$16:$C$24,2,0)</f>
        <v>1</v>
      </c>
      <c r="K790" s="2" t="s">
        <v>1257</v>
      </c>
      <c r="L790" s="29" t="s">
        <v>1252</v>
      </c>
      <c r="M790" s="21" t="s">
        <v>1253</v>
      </c>
      <c r="N790" s="48">
        <v>45611</v>
      </c>
      <c r="O790" s="21">
        <f>INDEX(Auxiliar!$D$5:$F$13,MATCH(Table1[[#This Row],[Tipologia_Testes]],Auxiliar!$B$5:$B$13,0),MATCH(Table1[[#This Row],[Complexidade]],Auxiliar!$D$4:$F$4,0))</f>
        <v>0.5</v>
      </c>
      <c r="P790" s="2"/>
      <c r="Q790" s="2"/>
      <c r="R790" s="152">
        <v>45563</v>
      </c>
      <c r="S790" s="152"/>
      <c r="T790" s="152">
        <v>45563</v>
      </c>
      <c r="U790" s="152">
        <v>45603</v>
      </c>
      <c r="V790" s="152">
        <v>45604</v>
      </c>
      <c r="W790" s="2">
        <f>VLOOKUP(Table1[[#This Row],[Status]],Auxiliar!$B$16:$D$24,3,0)*Table1[[#This Row],[Estimação (horas)]]</f>
        <v>0.5</v>
      </c>
      <c r="X790" s="2"/>
    </row>
    <row r="791" spans="2:24" ht="17.7" hidden="1" customHeight="1">
      <c r="B791" s="2" t="s">
        <v>26</v>
      </c>
      <c r="C791" s="2" t="s">
        <v>181</v>
      </c>
      <c r="D791" s="2" t="s">
        <v>1289</v>
      </c>
      <c r="E791" s="2" t="s">
        <v>38</v>
      </c>
      <c r="F791" s="2" t="s">
        <v>182</v>
      </c>
      <c r="G791" s="2" t="s">
        <v>209</v>
      </c>
      <c r="H791" s="57" t="str">
        <f>Table1[[#This Row],[Tabela]]&amp;Table1[[#This Row],[Campo]]</f>
        <v>modesg_param_sfcs_taxon_europeiazcliente</v>
      </c>
      <c r="I791" s="2" t="s">
        <v>613</v>
      </c>
      <c r="J791" s="55">
        <f>VLOOKUP(Table1[[#This Row],[Status]],Auxiliar!$B$16:$C$24,2,0)</f>
        <v>1</v>
      </c>
      <c r="K791" s="2" t="s">
        <v>1249</v>
      </c>
      <c r="L791" s="29" t="s">
        <v>1252</v>
      </c>
      <c r="M791" s="21" t="s">
        <v>1253</v>
      </c>
      <c r="N791" s="48">
        <v>45611</v>
      </c>
      <c r="O791" s="21">
        <f>INDEX(Auxiliar!$D$5:$F$13,MATCH(Table1[[#This Row],[Tipologia_Testes]],Auxiliar!$B$5:$B$13,0),MATCH(Table1[[#This Row],[Complexidade]],Auxiliar!$D$4:$F$4,0))</f>
        <v>0.1</v>
      </c>
      <c r="P791" s="2"/>
      <c r="Q791" s="2"/>
      <c r="R791" s="152">
        <v>45563</v>
      </c>
      <c r="S791" s="152"/>
      <c r="T791" s="152">
        <v>45563</v>
      </c>
      <c r="U791" s="152">
        <v>45603</v>
      </c>
      <c r="V791" s="152">
        <v>45604</v>
      </c>
      <c r="W791" s="2">
        <f>VLOOKUP(Table1[[#This Row],[Status]],Auxiliar!$B$16:$D$24,3,0)*Table1[[#This Row],[Estimação (horas)]]</f>
        <v>0.1</v>
      </c>
      <c r="X791" s="2"/>
    </row>
    <row r="792" spans="2:24" ht="17.7" hidden="1" customHeight="1">
      <c r="B792" s="2" t="s">
        <v>26</v>
      </c>
      <c r="C792" s="2" t="s">
        <v>181</v>
      </c>
      <c r="D792" s="2" t="s">
        <v>1289</v>
      </c>
      <c r="E792" s="2" t="s">
        <v>38</v>
      </c>
      <c r="F792" s="2" t="s">
        <v>182</v>
      </c>
      <c r="G792" s="2" t="s">
        <v>210</v>
      </c>
      <c r="H792" s="57" t="str">
        <f>Table1[[#This Row],[Tabela]]&amp;Table1[[#This Row],[Campo]]</f>
        <v>modesg_param_sfcs_taxon_europeiazdeposit</v>
      </c>
      <c r="I792" s="2" t="s">
        <v>613</v>
      </c>
      <c r="J792" s="55">
        <f>VLOOKUP(Table1[[#This Row],[Status]],Auxiliar!$B$16:$C$24,2,0)</f>
        <v>1</v>
      </c>
      <c r="K792" s="2" t="s">
        <v>1257</v>
      </c>
      <c r="L792" s="29" t="s">
        <v>1252</v>
      </c>
      <c r="M792" s="21" t="s">
        <v>1253</v>
      </c>
      <c r="N792" s="48">
        <v>45611</v>
      </c>
      <c r="O792" s="21">
        <f>INDEX(Auxiliar!$D$5:$F$13,MATCH(Table1[[#This Row],[Tipologia_Testes]],Auxiliar!$B$5:$B$13,0),MATCH(Table1[[#This Row],[Complexidade]],Auxiliar!$D$4:$F$4,0))</f>
        <v>0.5</v>
      </c>
      <c r="P792" s="2"/>
      <c r="Q792" s="2"/>
      <c r="R792" s="152">
        <v>45563</v>
      </c>
      <c r="S792" s="152"/>
      <c r="T792" s="152">
        <v>45563</v>
      </c>
      <c r="U792" s="152">
        <v>45603</v>
      </c>
      <c r="V792" s="152">
        <v>45604</v>
      </c>
      <c r="W792" s="2">
        <f>VLOOKUP(Table1[[#This Row],[Status]],Auxiliar!$B$16:$D$24,3,0)*Table1[[#This Row],[Estimação (horas)]]</f>
        <v>0.5</v>
      </c>
      <c r="X792" s="2"/>
    </row>
    <row r="793" spans="2:24" ht="17.7" hidden="1" customHeight="1">
      <c r="B793" s="2" t="s">
        <v>26</v>
      </c>
      <c r="C793" s="2" t="s">
        <v>181</v>
      </c>
      <c r="D793" s="2" t="s">
        <v>1289</v>
      </c>
      <c r="E793" s="2" t="s">
        <v>38</v>
      </c>
      <c r="F793" s="2" t="s">
        <v>182</v>
      </c>
      <c r="G793" s="2" t="s">
        <v>210</v>
      </c>
      <c r="H793" s="57" t="str">
        <f>Table1[[#This Row],[Tabela]]&amp;Table1[[#This Row],[Campo]]</f>
        <v>modesg_param_sfcs_taxon_europeiazdeposit</v>
      </c>
      <c r="I793" s="2" t="s">
        <v>613</v>
      </c>
      <c r="J793" s="55">
        <f>VLOOKUP(Table1[[#This Row],[Status]],Auxiliar!$B$16:$C$24,2,0)</f>
        <v>1</v>
      </c>
      <c r="K793" s="2" t="s">
        <v>1249</v>
      </c>
      <c r="L793" s="29" t="s">
        <v>1252</v>
      </c>
      <c r="M793" s="21" t="s">
        <v>1253</v>
      </c>
      <c r="N793" s="48">
        <v>45611</v>
      </c>
      <c r="O793" s="21">
        <f>INDEX(Auxiliar!$D$5:$F$13,MATCH(Table1[[#This Row],[Tipologia_Testes]],Auxiliar!$B$5:$B$13,0),MATCH(Table1[[#This Row],[Complexidade]],Auxiliar!$D$4:$F$4,0))</f>
        <v>0.1</v>
      </c>
      <c r="P793" s="2"/>
      <c r="Q793" s="2"/>
      <c r="R793" s="152">
        <v>45563</v>
      </c>
      <c r="S793" s="152"/>
      <c r="T793" s="152">
        <v>45563</v>
      </c>
      <c r="U793" s="152">
        <v>45603</v>
      </c>
      <c r="V793" s="152">
        <v>45604</v>
      </c>
      <c r="W793" s="2">
        <f>VLOOKUP(Table1[[#This Row],[Status]],Auxiliar!$B$16:$D$24,3,0)*Table1[[#This Row],[Estimação (horas)]]</f>
        <v>0.1</v>
      </c>
      <c r="X793" s="2"/>
    </row>
    <row r="794" spans="2:24" ht="17.7" hidden="1" customHeight="1">
      <c r="B794" s="2" t="s">
        <v>26</v>
      </c>
      <c r="C794" s="2" t="s">
        <v>181</v>
      </c>
      <c r="D794" s="2" t="s">
        <v>1289</v>
      </c>
      <c r="E794" s="2" t="s">
        <v>38</v>
      </c>
      <c r="F794" s="2" t="s">
        <v>182</v>
      </c>
      <c r="G794" s="2" t="s">
        <v>211</v>
      </c>
      <c r="H794" s="57" t="str">
        <f>Table1[[#This Row],[Tabela]]&amp;Table1[[#This Row],[Campo]]</f>
        <v>modesg_param_sfcs_taxon_europeiaordem</v>
      </c>
      <c r="I794" s="2" t="s">
        <v>612</v>
      </c>
      <c r="J794" s="54">
        <f>VLOOKUP(Table1[[#This Row],[Status]],Auxiliar!$B$16:$C$24,2,0)</f>
        <v>0</v>
      </c>
      <c r="K794" s="2" t="s">
        <v>1257</v>
      </c>
      <c r="L794" s="29" t="s">
        <v>1252</v>
      </c>
      <c r="M794" s="21" t="s">
        <v>1253</v>
      </c>
      <c r="N794" s="48">
        <v>45561</v>
      </c>
      <c r="O794" s="21">
        <f>INDEX(Auxiliar!$D$5:$F$13,MATCH(Table1[[#This Row],[Tipologia_Testes]],Auxiliar!$B$5:$B$13,0),MATCH(Table1[[#This Row],[Complexidade]],Auxiliar!$D$4:$F$4,0))</f>
        <v>0.5</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2" t="s">
        <v>26</v>
      </c>
      <c r="C795" s="2" t="s">
        <v>181</v>
      </c>
      <c r="D795" s="2" t="s">
        <v>1289</v>
      </c>
      <c r="E795" s="2" t="s">
        <v>38</v>
      </c>
      <c r="F795" s="2" t="s">
        <v>182</v>
      </c>
      <c r="G795" s="2" t="s">
        <v>211</v>
      </c>
      <c r="H795" s="57" t="str">
        <f>Table1[[#This Row],[Tabela]]&amp;Table1[[#This Row],[Campo]]</f>
        <v>modesg_param_sfcs_taxon_europeiaordem</v>
      </c>
      <c r="I795" s="2" t="s">
        <v>612</v>
      </c>
      <c r="J795" s="54">
        <f>VLOOKUP(Table1[[#This Row],[Status]],Auxiliar!$B$16:$C$24,2,0)</f>
        <v>0</v>
      </c>
      <c r="K795" s="2" t="s">
        <v>1249</v>
      </c>
      <c r="L795" s="29" t="s">
        <v>1252</v>
      </c>
      <c r="M795" s="21" t="s">
        <v>1253</v>
      </c>
      <c r="N795" s="48">
        <v>45561</v>
      </c>
      <c r="O795" s="21">
        <f>INDEX(Auxiliar!$D$5:$F$13,MATCH(Table1[[#This Row],[Tipologia_Testes]],Auxiliar!$B$5:$B$13,0),MATCH(Table1[[#This Row],[Complexidade]],Auxiliar!$D$4:$F$4,0))</f>
        <v>0.1</v>
      </c>
      <c r="P795" s="2" t="s">
        <v>1272</v>
      </c>
      <c r="Q795" s="2"/>
      <c r="R795" s="152">
        <v>45561</v>
      </c>
      <c r="S795" s="152"/>
      <c r="T795" s="152">
        <v>45561</v>
      </c>
      <c r="U795" s="152"/>
      <c r="V795" s="152"/>
      <c r="W795" s="2">
        <f>VLOOKUP(Table1[[#This Row],[Status]],Auxiliar!$B$16:$D$24,3,0)*Table1[[#This Row],[Estimação (horas)]]</f>
        <v>0</v>
      </c>
      <c r="X795" s="2"/>
    </row>
    <row r="796" spans="2:24" ht="17.7" hidden="1" customHeight="1">
      <c r="B796" s="2" t="s">
        <v>26</v>
      </c>
      <c r="C796" s="2" t="s">
        <v>181</v>
      </c>
      <c r="D796" s="2" t="s">
        <v>1289</v>
      </c>
      <c r="E796" s="2" t="s">
        <v>38</v>
      </c>
      <c r="F796" s="2" t="s">
        <v>182</v>
      </c>
      <c r="G796" s="2" t="s">
        <v>212</v>
      </c>
      <c r="H796" s="57" t="str">
        <f>Table1[[#This Row],[Tabela]]&amp;Table1[[#This Row],[Campo]]</f>
        <v>modesg_param_sfcs_taxon_europeianivel_mrc</v>
      </c>
      <c r="I796" s="2" t="s">
        <v>612</v>
      </c>
      <c r="J796" s="54">
        <f>VLOOKUP(Table1[[#This Row],[Status]],Auxiliar!$B$16:$C$24,2,0)</f>
        <v>0</v>
      </c>
      <c r="K796" s="2" t="s">
        <v>1257</v>
      </c>
      <c r="L796" s="29" t="s">
        <v>1252</v>
      </c>
      <c r="M796" s="21" t="s">
        <v>1253</v>
      </c>
      <c r="N796" s="48">
        <v>45561</v>
      </c>
      <c r="O796" s="21">
        <f>INDEX(Auxiliar!$D$5:$F$13,MATCH(Table1[[#This Row],[Tipologia_Testes]],Auxiliar!$B$5:$B$13,0),MATCH(Table1[[#This Row],[Complexidade]],Auxiliar!$D$4:$F$4,0))</f>
        <v>0.5</v>
      </c>
      <c r="P796" s="2" t="s">
        <v>1272</v>
      </c>
      <c r="Q796" s="2"/>
      <c r="R796" s="152">
        <v>45561</v>
      </c>
      <c r="S796" s="152"/>
      <c r="T796" s="152">
        <v>45561</v>
      </c>
      <c r="U796" s="152"/>
      <c r="V796" s="152"/>
      <c r="W796" s="2">
        <f>VLOOKUP(Table1[[#This Row],[Status]],Auxiliar!$B$16:$D$24,3,0)*Table1[[#This Row],[Estimação (horas)]]</f>
        <v>0</v>
      </c>
      <c r="X796" s="2"/>
    </row>
    <row r="797" spans="2:24" ht="17.7" hidden="1" customHeight="1">
      <c r="B797" s="2" t="s">
        <v>26</v>
      </c>
      <c r="C797" s="2" t="s">
        <v>181</v>
      </c>
      <c r="D797" s="2" t="s">
        <v>1289</v>
      </c>
      <c r="E797" s="2" t="s">
        <v>38</v>
      </c>
      <c r="F797" s="2" t="s">
        <v>182</v>
      </c>
      <c r="G797" s="2" t="s">
        <v>212</v>
      </c>
      <c r="H797" s="57" t="str">
        <f>Table1[[#This Row],[Tabela]]&amp;Table1[[#This Row],[Campo]]</f>
        <v>modesg_param_sfcs_taxon_europeianivel_mrc</v>
      </c>
      <c r="I797" s="2" t="s">
        <v>612</v>
      </c>
      <c r="J797" s="54">
        <f>VLOOKUP(Table1[[#This Row],[Status]],Auxiliar!$B$16:$C$24,2,0)</f>
        <v>0</v>
      </c>
      <c r="K797" s="2" t="s">
        <v>1249</v>
      </c>
      <c r="L797" s="29" t="s">
        <v>1252</v>
      </c>
      <c r="M797" s="21" t="s">
        <v>1253</v>
      </c>
      <c r="N797" s="48">
        <v>45561</v>
      </c>
      <c r="O797" s="21">
        <f>INDEX(Auxiliar!$D$5:$F$13,MATCH(Table1[[#This Row],[Tipologia_Testes]],Auxiliar!$B$5:$B$13,0),MATCH(Table1[[#This Row],[Complexidade]],Auxiliar!$D$4:$F$4,0))</f>
        <v>0.1</v>
      </c>
      <c r="P797" s="2" t="s">
        <v>1272</v>
      </c>
      <c r="Q797" s="2"/>
      <c r="R797" s="152">
        <v>45561</v>
      </c>
      <c r="S797" s="152"/>
      <c r="T797" s="152">
        <v>45561</v>
      </c>
      <c r="U797" s="152"/>
      <c r="V797" s="152"/>
      <c r="W797" s="2">
        <f>VLOOKUP(Table1[[#This Row],[Status]],Auxiliar!$B$16:$D$24,3,0)*Table1[[#This Row],[Estimação (horas)]]</f>
        <v>0</v>
      </c>
      <c r="X797" s="2"/>
    </row>
    <row r="798" spans="2:24" ht="17.7" hidden="1" customHeight="1">
      <c r="B798" s="13" t="s">
        <v>26</v>
      </c>
      <c r="C798" s="13" t="s">
        <v>181</v>
      </c>
      <c r="D798" s="13" t="s">
        <v>1296</v>
      </c>
      <c r="E798" s="2" t="s">
        <v>38</v>
      </c>
      <c r="F798" s="13" t="s">
        <v>213</v>
      </c>
      <c r="G798" s="13" t="s">
        <v>38</v>
      </c>
      <c r="H798" s="58" t="str">
        <f>Table1[[#This Row],[Tabela]]&amp;Table1[[#This Row],[Campo]]</f>
        <v>modesg_inp_emss_vclsn.a.</v>
      </c>
      <c r="I798" s="2" t="s">
        <v>613</v>
      </c>
      <c r="J798" s="46">
        <f>VLOOKUP(Table1[[#This Row],[Status]],Auxiliar!$B$16:$C$24,2,0)</f>
        <v>1</v>
      </c>
      <c r="K798" s="21" t="s">
        <v>1243</v>
      </c>
      <c r="L798" s="253" t="s">
        <v>1252</v>
      </c>
      <c r="M798" s="21" t="s">
        <v>1253</v>
      </c>
      <c r="N798" s="48">
        <v>45546</v>
      </c>
      <c r="O798" s="21">
        <f>INDEX(Auxiliar!$D$5:$F$13,MATCH(Table1[[#This Row],[Tipologia_Testes]],Auxiliar!$B$5:$B$13,0),MATCH(Table1[[#This Row],[Complexidade]],Auxiliar!$D$4:$F$4,0))</f>
        <v>8</v>
      </c>
      <c r="P798" s="2" t="s">
        <v>1297</v>
      </c>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1296</v>
      </c>
      <c r="E799" s="2" t="s">
        <v>38</v>
      </c>
      <c r="F799" s="13" t="s">
        <v>213</v>
      </c>
      <c r="G799" s="13" t="s">
        <v>38</v>
      </c>
      <c r="H799" s="58" t="str">
        <f>Table1[[#This Row],[Tabela]]&amp;Table1[[#This Row],[Campo]]</f>
        <v>modesg_inp_emss_vclsn.a.</v>
      </c>
      <c r="I799" s="2" t="s">
        <v>613</v>
      </c>
      <c r="J799" s="46">
        <f>VLOOKUP(Table1[[#This Row],[Status]],Auxiliar!$B$16:$C$24,2,0)</f>
        <v>1</v>
      </c>
      <c r="K799" s="21" t="s">
        <v>1290</v>
      </c>
      <c r="L799" s="253" t="s">
        <v>1252</v>
      </c>
      <c r="M799" s="21" t="s">
        <v>1253</v>
      </c>
      <c r="N799" s="48">
        <v>45546</v>
      </c>
      <c r="O799" s="21">
        <f>INDEX(Auxiliar!$D$5:$F$13,MATCH(Table1[[#This Row],[Tipologia_Testes]],Auxiliar!$B$5:$B$13,0),MATCH(Table1[[#This Row],[Complexidade]],Auxiliar!$D$4:$F$4,0))</f>
        <v>0.5</v>
      </c>
      <c r="P799" s="2" t="s">
        <v>1298</v>
      </c>
      <c r="Q799" s="2" t="s">
        <v>1299</v>
      </c>
      <c r="R799" s="152">
        <v>45261</v>
      </c>
      <c r="S799" s="152"/>
      <c r="T799" s="152">
        <v>45471</v>
      </c>
      <c r="U799" s="152">
        <v>45603</v>
      </c>
      <c r="V799" s="152">
        <v>45534</v>
      </c>
      <c r="W799" s="2">
        <f>VLOOKUP(Table1[[#This Row],[Status]],Auxiliar!$B$16:$D$24,3,0)*Table1[[#This Row],[Estimação (horas)]]</f>
        <v>0.5</v>
      </c>
      <c r="X799" s="2"/>
    </row>
    <row r="800" spans="2:24" ht="17.7" hidden="1" customHeight="1">
      <c r="B800" s="13" t="s">
        <v>26</v>
      </c>
      <c r="C800" s="13" t="s">
        <v>181</v>
      </c>
      <c r="D800" s="13" t="s">
        <v>1296</v>
      </c>
      <c r="E800" s="2" t="s">
        <v>38</v>
      </c>
      <c r="F800" s="13" t="s">
        <v>214</v>
      </c>
      <c r="G800" s="13" t="s">
        <v>38</v>
      </c>
      <c r="H800" s="58" t="str">
        <f>Table1[[#This Row],[Tabela]]&amp;Table1[[#This Row],[Campo]]</f>
        <v>modesg_inp_km_medios_emss_vclsn.a.</v>
      </c>
      <c r="I800" s="2" t="s">
        <v>613</v>
      </c>
      <c r="J800" s="46">
        <f>VLOOKUP(Table1[[#This Row],[Status]],Auxiliar!$B$16:$C$24,2,0)</f>
        <v>1</v>
      </c>
      <c r="K800" s="21" t="s">
        <v>1243</v>
      </c>
      <c r="L800" s="22"/>
      <c r="M800" s="21" t="s">
        <v>1253</v>
      </c>
      <c r="N800" s="48">
        <v>45537</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7" hidden="1" customHeight="1">
      <c r="B801" s="13" t="s">
        <v>26</v>
      </c>
      <c r="C801" s="13" t="s">
        <v>181</v>
      </c>
      <c r="D801" s="13" t="s">
        <v>1296</v>
      </c>
      <c r="E801" s="2" t="s">
        <v>38</v>
      </c>
      <c r="F801" s="13" t="s">
        <v>214</v>
      </c>
      <c r="G801" s="13" t="s">
        <v>38</v>
      </c>
      <c r="H801" s="58" t="str">
        <f>Table1[[#This Row],[Tabela]]&amp;Table1[[#This Row],[Campo]]</f>
        <v>modesg_inp_km_medios_emss_vclsn.a.</v>
      </c>
      <c r="I801" s="2" t="s">
        <v>613</v>
      </c>
      <c r="J801" s="46">
        <f>VLOOKUP(Table1[[#This Row],[Status]],Auxiliar!$B$16:$C$24,2,0)</f>
        <v>1</v>
      </c>
      <c r="K801" s="21" t="s">
        <v>1290</v>
      </c>
      <c r="L801" s="22"/>
      <c r="M801" s="21" t="s">
        <v>1253</v>
      </c>
      <c r="N801" s="48">
        <v>45537</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7" hidden="1" customHeight="1">
      <c r="B802" s="13" t="s">
        <v>26</v>
      </c>
      <c r="C802" s="13" t="s">
        <v>181</v>
      </c>
      <c r="D802" s="13" t="s">
        <v>1300</v>
      </c>
      <c r="E802" s="2" t="s">
        <v>38</v>
      </c>
      <c r="F802" s="13" t="s">
        <v>215</v>
      </c>
      <c r="G802" s="13" t="s">
        <v>38</v>
      </c>
      <c r="H802" s="58" t="str">
        <f>Table1[[#This Row],[Tabela]]&amp;Table1[[#This Row],[Campo]]</f>
        <v>modesg_inp_empr_excl_parisn.a.</v>
      </c>
      <c r="I802" s="2" t="s">
        <v>613</v>
      </c>
      <c r="J802" s="46">
        <f>VLOOKUP(Table1[[#This Row],[Status]],Auxiliar!$B$16:$C$24,2,0)</f>
        <v>1</v>
      </c>
      <c r="K802" s="21" t="s">
        <v>1243</v>
      </c>
      <c r="L802" s="22"/>
      <c r="M802" s="21" t="s">
        <v>1253</v>
      </c>
      <c r="N802" s="48">
        <v>45491</v>
      </c>
      <c r="O802" s="21">
        <f>INDEX(Auxiliar!$D$5:$F$13,MATCH(Table1[[#This Row],[Tipologia_Testes]],Auxiliar!$B$5:$B$13,0),MATCH(Table1[[#This Row],[Complexidade]],Auxiliar!$D$4:$F$4,0))</f>
        <v>8</v>
      </c>
      <c r="P802" s="2" t="s">
        <v>1301</v>
      </c>
      <c r="Q802" s="2"/>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1300</v>
      </c>
      <c r="E803" s="2" t="s">
        <v>38</v>
      </c>
      <c r="F803" s="13" t="s">
        <v>215</v>
      </c>
      <c r="G803" s="13" t="s">
        <v>38</v>
      </c>
      <c r="H803" s="58" t="str">
        <f>Table1[[#This Row],[Tabela]]&amp;Table1[[#This Row],[Campo]]</f>
        <v>modesg_inp_empr_excl_parisn.a.</v>
      </c>
      <c r="I803" s="2" t="s">
        <v>613</v>
      </c>
      <c r="J803" s="46">
        <f>VLOOKUP(Table1[[#This Row],[Status]],Auxiliar!$B$16:$C$24,2,0)</f>
        <v>1</v>
      </c>
      <c r="K803" s="21" t="s">
        <v>1290</v>
      </c>
      <c r="L803" s="22"/>
      <c r="M803" s="21" t="s">
        <v>1253</v>
      </c>
      <c r="N803" s="48">
        <v>45491</v>
      </c>
      <c r="O803" s="21">
        <f>INDEX(Auxiliar!$D$5:$F$13,MATCH(Table1[[#This Row],[Tipologia_Testes]],Auxiliar!$B$5:$B$13,0),MATCH(Table1[[#This Row],[Complexidade]],Auxiliar!$D$4:$F$4,0))</f>
        <v>0.5</v>
      </c>
      <c r="P803" s="2" t="s">
        <v>1302</v>
      </c>
      <c r="Q803" s="2"/>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1303</v>
      </c>
      <c r="E804" s="2" t="s">
        <v>38</v>
      </c>
      <c r="F804" s="13" t="s">
        <v>216</v>
      </c>
      <c r="G804" s="13" t="s">
        <v>38</v>
      </c>
      <c r="H804" s="58" t="str">
        <f>Table1[[#This Row],[Tabela]]&amp;Table1[[#This Row],[Campo]]</f>
        <v>modesg_inp_nfrd_alinhamento_taxn.a.</v>
      </c>
      <c r="I804" s="2" t="s">
        <v>613</v>
      </c>
      <c r="J804" s="46">
        <f>VLOOKUP(Table1[[#This Row],[Status]],Auxiliar!$B$16:$C$24,2,0)</f>
        <v>1</v>
      </c>
      <c r="K804" s="21" t="s">
        <v>1243</v>
      </c>
      <c r="L804" s="22"/>
      <c r="M804" s="21" t="s">
        <v>1253</v>
      </c>
      <c r="N804" s="48">
        <v>45540</v>
      </c>
      <c r="O804" s="21">
        <f>INDEX(Auxiliar!$D$5:$F$13,MATCH(Table1[[#This Row],[Tipologia_Testes]],Auxiliar!$B$5:$B$13,0),MATCH(Table1[[#This Row],[Complexidade]],Auxiliar!$D$4:$F$4,0))</f>
        <v>8</v>
      </c>
      <c r="P804" s="2"/>
      <c r="Q804" s="2"/>
      <c r="R804" s="152">
        <v>45261</v>
      </c>
      <c r="S804" s="152"/>
      <c r="T804" s="152"/>
      <c r="U804" s="152">
        <v>45603</v>
      </c>
      <c r="V804" s="152">
        <v>45534</v>
      </c>
      <c r="W804" s="2">
        <f>VLOOKUP(Table1[[#This Row],[Status]],Auxiliar!$B$16:$D$24,3,0)*Table1[[#This Row],[Estimação (horas)]]</f>
        <v>8</v>
      </c>
      <c r="X804" s="2"/>
    </row>
    <row r="805" spans="2:24" ht="17.7" hidden="1" customHeight="1">
      <c r="B805" s="13" t="s">
        <v>26</v>
      </c>
      <c r="C805" s="13" t="s">
        <v>181</v>
      </c>
      <c r="D805" s="13" t="s">
        <v>1303</v>
      </c>
      <c r="E805" s="2" t="s">
        <v>38</v>
      </c>
      <c r="F805" s="13" t="s">
        <v>216</v>
      </c>
      <c r="G805" s="13" t="s">
        <v>38</v>
      </c>
      <c r="H805" s="58" t="str">
        <f>Table1[[#This Row],[Tabela]]&amp;Table1[[#This Row],[Campo]]</f>
        <v>modesg_inp_nfrd_alinhamento_taxn.a.</v>
      </c>
      <c r="I805" s="2" t="s">
        <v>613</v>
      </c>
      <c r="J805" s="46">
        <f>VLOOKUP(Table1[[#This Row],[Status]],Auxiliar!$B$16:$C$24,2,0)</f>
        <v>1</v>
      </c>
      <c r="K805" s="21" t="s">
        <v>1290</v>
      </c>
      <c r="L805" s="22"/>
      <c r="M805" s="21" t="s">
        <v>1253</v>
      </c>
      <c r="N805" s="48">
        <v>45540</v>
      </c>
      <c r="O805" s="21">
        <f>INDEX(Auxiliar!$D$5:$F$13,MATCH(Table1[[#This Row],[Tipologia_Testes]],Auxiliar!$B$5:$B$13,0),MATCH(Table1[[#This Row],[Complexidade]],Auxiliar!$D$4:$F$4,0))</f>
        <v>0.5</v>
      </c>
      <c r="P805" s="2"/>
      <c r="Q805" s="2"/>
      <c r="R805" s="152">
        <v>45261</v>
      </c>
      <c r="S805" s="152"/>
      <c r="T805" s="152"/>
      <c r="U805" s="152">
        <v>45603</v>
      </c>
      <c r="V805" s="152">
        <v>45534</v>
      </c>
      <c r="W805" s="2">
        <f>VLOOKUP(Table1[[#This Row],[Status]],Auxiliar!$B$16:$D$24,3,0)*Table1[[#This Row],[Estimação (horas)]]</f>
        <v>0.5</v>
      </c>
      <c r="X805" s="2"/>
    </row>
    <row r="806" spans="2:24" ht="17.7" hidden="1" customHeight="1">
      <c r="B806" s="13" t="s">
        <v>26</v>
      </c>
      <c r="C806" s="13" t="s">
        <v>181</v>
      </c>
      <c r="D806" s="13" t="s">
        <v>1304</v>
      </c>
      <c r="E806" s="2" t="s">
        <v>38</v>
      </c>
      <c r="F806" s="13" t="s">
        <v>217</v>
      </c>
      <c r="G806" s="13" t="s">
        <v>38</v>
      </c>
      <c r="H806" s="58" t="str">
        <f>Table1[[#This Row],[Tabela]]&amp;Table1[[#This Row],[Campo]]</f>
        <v>modesg_inp_risco_fisicon.a.</v>
      </c>
      <c r="I806" s="2" t="s">
        <v>613</v>
      </c>
      <c r="J806" s="46">
        <f>VLOOKUP(Table1[[#This Row],[Status]],Auxiliar!$B$16:$C$24,2,0)</f>
        <v>1</v>
      </c>
      <c r="K806" s="21" t="s">
        <v>1243</v>
      </c>
      <c r="L806" s="21" t="s">
        <v>1252</v>
      </c>
      <c r="M806" s="21" t="s">
        <v>1253</v>
      </c>
      <c r="N806" s="48">
        <v>45485</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7" hidden="1" customHeight="1">
      <c r="B807" s="13" t="s">
        <v>26</v>
      </c>
      <c r="C807" s="13" t="s">
        <v>181</v>
      </c>
      <c r="D807" s="13" t="s">
        <v>1304</v>
      </c>
      <c r="E807" s="2" t="s">
        <v>38</v>
      </c>
      <c r="F807" s="13" t="s">
        <v>217</v>
      </c>
      <c r="G807" s="13" t="s">
        <v>38</v>
      </c>
      <c r="H807" s="58" t="str">
        <f>Table1[[#This Row],[Tabela]]&amp;Table1[[#This Row],[Campo]]</f>
        <v>modesg_inp_risco_fisicon.a.</v>
      </c>
      <c r="I807" s="2" t="s">
        <v>613</v>
      </c>
      <c r="J807" s="46">
        <f>VLOOKUP(Table1[[#This Row],[Status]],Auxiliar!$B$16:$C$24,2,0)</f>
        <v>1</v>
      </c>
      <c r="K807" s="21" t="s">
        <v>1290</v>
      </c>
      <c r="L807" s="21" t="s">
        <v>1244</v>
      </c>
      <c r="M807" s="21" t="s">
        <v>1253</v>
      </c>
      <c r="N807" s="48">
        <v>45485</v>
      </c>
      <c r="O807" s="21">
        <f>INDEX(Auxiliar!$D$5:$F$13,MATCH(Table1[[#This Row],[Tipologia_Testes]],Auxiliar!$B$5:$B$13,0),MATCH(Table1[[#This Row],[Complexidade]],Auxiliar!$D$4:$F$4,0))</f>
        <v>0.5</v>
      </c>
      <c r="P807" s="2" t="s">
        <v>1302</v>
      </c>
      <c r="Q807" s="2"/>
      <c r="R807" s="152">
        <v>45261</v>
      </c>
      <c r="S807" s="152"/>
      <c r="T807" s="152"/>
      <c r="U807" s="152">
        <v>45603</v>
      </c>
      <c r="V807" s="152"/>
      <c r="W807" s="2">
        <f>VLOOKUP(Table1[[#This Row],[Status]],Auxiliar!$B$16:$D$24,3,0)*Table1[[#This Row],[Estimação (horas)]]</f>
        <v>0.5</v>
      </c>
      <c r="X807" s="2"/>
    </row>
    <row r="808" spans="2:24" ht="17.7" hidden="1" customHeight="1">
      <c r="B808" s="13" t="s">
        <v>26</v>
      </c>
      <c r="C808" s="13" t="s">
        <v>181</v>
      </c>
      <c r="D808" s="13" t="s">
        <v>1296</v>
      </c>
      <c r="E808" s="2" t="s">
        <v>38</v>
      </c>
      <c r="F808" s="13" t="s">
        <v>218</v>
      </c>
      <c r="G808" s="13" t="s">
        <v>38</v>
      </c>
      <c r="H808" s="58" t="str">
        <f>Table1[[#This Row],[Tabela]]&amp;Table1[[#This Row],[Campo]]</f>
        <v>modesg_inp_emss_scibn.a.</v>
      </c>
      <c r="I808" s="2" t="s">
        <v>613</v>
      </c>
      <c r="J808" s="46">
        <f>VLOOKUP(Table1[[#This Row],[Status]],Auxiliar!$B$16:$C$24,2,0)</f>
        <v>1</v>
      </c>
      <c r="K808" s="21" t="s">
        <v>1243</v>
      </c>
      <c r="L808" s="21" t="s">
        <v>1252</v>
      </c>
      <c r="M808" s="21" t="s">
        <v>1253</v>
      </c>
      <c r="N808" s="48">
        <v>45490</v>
      </c>
      <c r="O808" s="21">
        <f>INDEX(Auxiliar!$D$5:$F$13,MATCH(Table1[[#This Row],[Tipologia_Testes]],Auxiliar!$B$5:$B$13,0),MATCH(Table1[[#This Row],[Complexidade]],Auxiliar!$D$4:$F$4,0))</f>
        <v>8</v>
      </c>
      <c r="P808" s="2"/>
      <c r="Q808" s="2" t="s">
        <v>1299</v>
      </c>
      <c r="R808" s="152">
        <v>45261</v>
      </c>
      <c r="S808" s="152"/>
      <c r="T808" s="152"/>
      <c r="U808" s="152">
        <v>45603</v>
      </c>
      <c r="V808" s="152"/>
      <c r="W808" s="2">
        <f>VLOOKUP(Table1[[#This Row],[Status]],Auxiliar!$B$16:$D$24,3,0)*Table1[[#This Row],[Estimação (horas)]]</f>
        <v>8</v>
      </c>
      <c r="X808" s="2"/>
    </row>
    <row r="809" spans="2:24" ht="17.7" hidden="1" customHeight="1">
      <c r="B809" s="13" t="s">
        <v>26</v>
      </c>
      <c r="C809" s="13" t="s">
        <v>181</v>
      </c>
      <c r="D809" s="13" t="s">
        <v>1296</v>
      </c>
      <c r="E809" s="2" t="s">
        <v>38</v>
      </c>
      <c r="F809" s="13" t="s">
        <v>218</v>
      </c>
      <c r="G809" s="13" t="s">
        <v>38</v>
      </c>
      <c r="H809" s="58" t="str">
        <f>Table1[[#This Row],[Tabela]]&amp;Table1[[#This Row],[Campo]]</f>
        <v>modesg_inp_emss_scibn.a.</v>
      </c>
      <c r="I809" s="2" t="s">
        <v>613</v>
      </c>
      <c r="J809" s="46">
        <f>VLOOKUP(Table1[[#This Row],[Status]],Auxiliar!$B$16:$C$24,2,0)</f>
        <v>1</v>
      </c>
      <c r="K809" s="21" t="s">
        <v>1290</v>
      </c>
      <c r="L809" s="21" t="s">
        <v>1244</v>
      </c>
      <c r="M809" s="21" t="s">
        <v>1253</v>
      </c>
      <c r="N809" s="48">
        <v>45490</v>
      </c>
      <c r="O809" s="21">
        <f>INDEX(Auxiliar!$D$5:$F$13,MATCH(Table1[[#This Row],[Tipologia_Testes]],Auxiliar!$B$5:$B$13,0),MATCH(Table1[[#This Row],[Complexidade]],Auxiliar!$D$4:$F$4,0))</f>
        <v>0.5</v>
      </c>
      <c r="P809" s="2"/>
      <c r="Q809" s="2" t="s">
        <v>1299</v>
      </c>
      <c r="R809" s="152">
        <v>45261</v>
      </c>
      <c r="S809" s="152"/>
      <c r="T809" s="152"/>
      <c r="U809" s="152">
        <v>45603</v>
      </c>
      <c r="V809" s="152"/>
      <c r="W809" s="2">
        <f>VLOOKUP(Table1[[#This Row],[Status]],Auxiliar!$B$16:$D$24,3,0)*Table1[[#This Row],[Estimação (horas)]]</f>
        <v>0.5</v>
      </c>
      <c r="X809" s="2"/>
    </row>
    <row r="810" spans="2:24" ht="17.7" hidden="1" customHeight="1">
      <c r="B810" s="13" t="s">
        <v>26</v>
      </c>
      <c r="C810" s="13" t="s">
        <v>181</v>
      </c>
      <c r="D810" s="13" t="s">
        <v>1296</v>
      </c>
      <c r="E810" s="2" t="s">
        <v>38</v>
      </c>
      <c r="F810" s="13" t="s">
        <v>219</v>
      </c>
      <c r="G810" s="13" t="s">
        <v>38</v>
      </c>
      <c r="H810" s="58" t="str">
        <f>Table1[[#This Row],[Tabela]]&amp;Table1[[#This Row],[Campo]]</f>
        <v>modesg_inp_emss_nacen.a.</v>
      </c>
      <c r="I810" s="2" t="s">
        <v>613</v>
      </c>
      <c r="J810" s="46">
        <f>VLOOKUP(Table1[[#This Row],[Status]],Auxiliar!$B$16:$C$24,2,0)</f>
        <v>1</v>
      </c>
      <c r="K810" s="21" t="s">
        <v>1243</v>
      </c>
      <c r="L810" s="21" t="s">
        <v>1252</v>
      </c>
      <c r="M810" s="21" t="s">
        <v>1253</v>
      </c>
      <c r="N810" s="48">
        <v>45540</v>
      </c>
      <c r="O810" s="21">
        <f>INDEX(Auxiliar!$D$5:$F$13,MATCH(Table1[[#This Row],[Tipologia_Testes]],Auxiliar!$B$5:$B$13,0),MATCH(Table1[[#This Row],[Complexidade]],Auxiliar!$D$4:$F$4,0))</f>
        <v>8</v>
      </c>
      <c r="P810" s="2"/>
      <c r="Q810" s="2"/>
      <c r="R810" s="152">
        <v>45261</v>
      </c>
      <c r="S810" s="152"/>
      <c r="T810" s="152"/>
      <c r="U810" s="152">
        <v>45603</v>
      </c>
      <c r="V810" s="152"/>
      <c r="W810" s="2">
        <f>VLOOKUP(Table1[[#This Row],[Status]],Auxiliar!$B$16:$D$24,3,0)*Table1[[#This Row],[Estimação (horas)]]</f>
        <v>8</v>
      </c>
      <c r="X810" s="2"/>
    </row>
    <row r="811" spans="2:24" ht="17.7" hidden="1" customHeight="1">
      <c r="B811" s="13" t="s">
        <v>26</v>
      </c>
      <c r="C811" s="13" t="s">
        <v>181</v>
      </c>
      <c r="D811" s="13" t="s">
        <v>1296</v>
      </c>
      <c r="E811" s="2" t="s">
        <v>38</v>
      </c>
      <c r="F811" s="13" t="s">
        <v>219</v>
      </c>
      <c r="G811" s="13" t="s">
        <v>38</v>
      </c>
      <c r="H811" s="58" t="str">
        <f>Table1[[#This Row],[Tabela]]&amp;Table1[[#This Row],[Campo]]</f>
        <v>modesg_inp_emss_nacen.a.</v>
      </c>
      <c r="I811" s="2" t="s">
        <v>613</v>
      </c>
      <c r="J811" s="46">
        <f>VLOOKUP(Table1[[#This Row],[Status]],Auxiliar!$B$16:$C$24,2,0)</f>
        <v>1</v>
      </c>
      <c r="K811" s="21" t="s">
        <v>1290</v>
      </c>
      <c r="L811" s="21" t="s">
        <v>1244</v>
      </c>
      <c r="M811" s="21" t="s">
        <v>1253</v>
      </c>
      <c r="N811" s="48">
        <v>45540</v>
      </c>
      <c r="O811" s="21">
        <f>INDEX(Auxiliar!$D$5:$F$13,MATCH(Table1[[#This Row],[Tipologia_Testes]],Auxiliar!$B$5:$B$13,0),MATCH(Table1[[#This Row],[Complexidade]],Auxiliar!$D$4:$F$4,0))</f>
        <v>0.5</v>
      </c>
      <c r="P811" s="2"/>
      <c r="Q811" s="2"/>
      <c r="R811" s="152">
        <v>45261</v>
      </c>
      <c r="S811" s="152"/>
      <c r="T811" s="152"/>
      <c r="U811" s="152">
        <v>45603</v>
      </c>
      <c r="V811" s="152"/>
      <c r="W811" s="2">
        <f>VLOOKUP(Table1[[#This Row],[Status]],Auxiliar!$B$16:$D$24,3,0)*Table1[[#This Row],[Estimação (horas)]]</f>
        <v>0.5</v>
      </c>
      <c r="X811" s="2"/>
    </row>
    <row r="812" spans="2:24" ht="17.7" hidden="1" customHeight="1">
      <c r="B812" s="13" t="s">
        <v>26</v>
      </c>
      <c r="C812" s="13" t="s">
        <v>181</v>
      </c>
      <c r="D812" s="13" t="s">
        <v>1296</v>
      </c>
      <c r="E812" s="2" t="s">
        <v>38</v>
      </c>
      <c r="F812" s="13" t="s">
        <v>220</v>
      </c>
      <c r="G812" s="13" t="s">
        <v>38</v>
      </c>
      <c r="H812" s="58" t="str">
        <f>Table1[[#This Row],[Tabela]]&amp;Table1[[#This Row],[Campo]]</f>
        <v>modesg_inp_emss_bens_imoveisn.a.</v>
      </c>
      <c r="I812" s="2" t="s">
        <v>613</v>
      </c>
      <c r="J812" s="46">
        <f>VLOOKUP(Table1[[#This Row],[Status]],Auxiliar!$B$16:$C$24,2,0)</f>
        <v>1</v>
      </c>
      <c r="K812" s="21" t="s">
        <v>1243</v>
      </c>
      <c r="L812" s="21" t="s">
        <v>1252</v>
      </c>
      <c r="M812" s="21" t="s">
        <v>1253</v>
      </c>
      <c r="N812" s="48">
        <v>45546</v>
      </c>
      <c r="O812" s="21">
        <f>INDEX(Auxiliar!$D$5:$F$13,MATCH(Table1[[#This Row],[Tipologia_Testes]],Auxiliar!$B$5:$B$13,0),MATCH(Table1[[#This Row],[Complexidade]],Auxiliar!$D$4:$F$4,0))</f>
        <v>8</v>
      </c>
      <c r="P812" s="2"/>
      <c r="Q812" s="2"/>
      <c r="R812" s="152">
        <v>45261</v>
      </c>
      <c r="S812" s="152"/>
      <c r="T812" s="152"/>
      <c r="U812" s="152">
        <v>45603</v>
      </c>
      <c r="V812" s="152">
        <v>45534</v>
      </c>
      <c r="W812" s="2">
        <f>VLOOKUP(Table1[[#This Row],[Status]],Auxiliar!$B$16:$D$24,3,0)*Table1[[#This Row],[Estimação (horas)]]</f>
        <v>8</v>
      </c>
      <c r="X812" s="2"/>
    </row>
    <row r="813" spans="2:24" ht="17.7" hidden="1" customHeight="1">
      <c r="B813" s="13" t="s">
        <v>26</v>
      </c>
      <c r="C813" s="13" t="s">
        <v>181</v>
      </c>
      <c r="D813" s="13" t="s">
        <v>1296</v>
      </c>
      <c r="E813" s="2" t="s">
        <v>38</v>
      </c>
      <c r="F813" s="13" t="s">
        <v>220</v>
      </c>
      <c r="G813" s="13" t="s">
        <v>38</v>
      </c>
      <c r="H813" s="58" t="str">
        <f>Table1[[#This Row],[Tabela]]&amp;Table1[[#This Row],[Campo]]</f>
        <v>modesg_inp_emss_bens_imoveisn.a.</v>
      </c>
      <c r="I813" s="2" t="s">
        <v>613</v>
      </c>
      <c r="J813" s="46">
        <f>VLOOKUP(Table1[[#This Row],[Status]],Auxiliar!$B$16:$C$24,2,0)</f>
        <v>1</v>
      </c>
      <c r="K813" s="21" t="s">
        <v>1290</v>
      </c>
      <c r="L813" s="21" t="s">
        <v>1244</v>
      </c>
      <c r="M813" s="21" t="s">
        <v>1253</v>
      </c>
      <c r="N813" s="48">
        <v>45546</v>
      </c>
      <c r="O813" s="21">
        <f>INDEX(Auxiliar!$D$5:$F$13,MATCH(Table1[[#This Row],[Tipologia_Testes]],Auxiliar!$B$5:$B$13,0),MATCH(Table1[[#This Row],[Complexidade]],Auxiliar!$D$4:$F$4,0))</f>
        <v>0.5</v>
      </c>
      <c r="P813" s="2" t="s">
        <v>1305</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208</v>
      </c>
      <c r="H814" s="58" t="str">
        <f>Table1[[#This Row],[Tabela]]&amp;Table1[[#This Row],[Campo]]</f>
        <v>modesg_inp_emss_vclsref_date</v>
      </c>
      <c r="I814" s="2" t="s">
        <v>613</v>
      </c>
      <c r="J814" s="46">
        <f>VLOOKUP(Table1[[#This Row],[Status]],Auxiliar!$B$16:$C$24,2,0)</f>
        <v>1</v>
      </c>
      <c r="K814" s="21" t="s">
        <v>1257</v>
      </c>
      <c r="L814" s="21" t="s">
        <v>1252</v>
      </c>
      <c r="M814" s="21" t="s">
        <v>1254</v>
      </c>
      <c r="N814" s="48">
        <v>45546</v>
      </c>
      <c r="O814" s="21">
        <f>INDEX(Auxiliar!$D$5:$F$13,MATCH(Table1[[#This Row],[Tipologia_Testes]],Auxiliar!$B$5:$B$13,0),MATCH(Table1[[#This Row],[Complexidade]],Auxiliar!$D$4:$F$4,0))</f>
        <v>0.5</v>
      </c>
      <c r="P814" s="2" t="s">
        <v>1306</v>
      </c>
      <c r="Q814" s="2"/>
      <c r="R814" s="152">
        <v>45261</v>
      </c>
      <c r="S814" s="152"/>
      <c r="T814" s="152"/>
      <c r="U814" s="152">
        <v>45603</v>
      </c>
      <c r="V814" s="152">
        <v>45534</v>
      </c>
      <c r="W814" s="2">
        <f>VLOOKUP(Table1[[#This Row],[Status]],Auxiliar!$B$16:$D$24,3,0)*Table1[[#This Row],[Estimação (horas)]]</f>
        <v>0.5</v>
      </c>
      <c r="X814" s="2"/>
    </row>
    <row r="815" spans="2:24" ht="17.7" hidden="1" customHeight="1">
      <c r="B815" s="13" t="s">
        <v>26</v>
      </c>
      <c r="C815" s="13" t="s">
        <v>181</v>
      </c>
      <c r="D815" s="13" t="s">
        <v>1296</v>
      </c>
      <c r="E815" s="2" t="s">
        <v>38</v>
      </c>
      <c r="F815" s="13" t="s">
        <v>213</v>
      </c>
      <c r="G815" s="13" t="s">
        <v>221</v>
      </c>
      <c r="H815" s="58" t="str">
        <f>Table1[[#This Row],[Tabela]]&amp;Table1[[#This Row],[Campo]]</f>
        <v>modesg_inp_emss_vclsnome_regiao</v>
      </c>
      <c r="I815" s="2" t="s">
        <v>613</v>
      </c>
      <c r="J815" s="46">
        <f>VLOOKUP(Table1[[#This Row],[Status]],Auxiliar!$B$16:$C$24,2,0)</f>
        <v>1</v>
      </c>
      <c r="K815" s="21" t="s">
        <v>1249</v>
      </c>
      <c r="L815" s="21" t="s">
        <v>1244</v>
      </c>
      <c r="M815" s="21" t="s">
        <v>1254</v>
      </c>
      <c r="N815" s="48">
        <v>45546</v>
      </c>
      <c r="O815" s="21">
        <f>INDEX(Auxiliar!$D$5:$F$13,MATCH(Table1[[#This Row],[Tipologia_Testes]],Auxiliar!$B$5:$B$13,0),MATCH(Table1[[#This Row],[Complexidade]],Auxiliar!$D$4:$F$4,0))</f>
        <v>0.1</v>
      </c>
      <c r="P815" s="2" t="s">
        <v>1307</v>
      </c>
      <c r="Q815" s="2"/>
      <c r="R815" s="152">
        <v>45261</v>
      </c>
      <c r="S815" s="152"/>
      <c r="T815" s="152"/>
      <c r="U815" s="152">
        <v>45603</v>
      </c>
      <c r="V815" s="152">
        <v>45534</v>
      </c>
      <c r="W815" s="2">
        <f>VLOOKUP(Table1[[#This Row],[Status]],Auxiliar!$B$16:$D$24,3,0)*Table1[[#This Row],[Estimação (horas)]]</f>
        <v>0.1</v>
      </c>
      <c r="X815" s="2"/>
    </row>
    <row r="816" spans="2:24" ht="69.599999999999994" hidden="1" customHeight="1">
      <c r="B816" s="13" t="s">
        <v>26</v>
      </c>
      <c r="C816" s="13" t="s">
        <v>181</v>
      </c>
      <c r="D816" s="13" t="s">
        <v>1296</v>
      </c>
      <c r="E816" s="2" t="s">
        <v>38</v>
      </c>
      <c r="F816" s="13" t="s">
        <v>213</v>
      </c>
      <c r="G816" s="13" t="s">
        <v>221</v>
      </c>
      <c r="H816" s="58" t="str">
        <f>Table1[[#This Row],[Tabela]]&amp;Table1[[#This Row],[Campo]]</f>
        <v>modesg_inp_emss_vclsnome_regiao</v>
      </c>
      <c r="I816" s="2" t="s">
        <v>613</v>
      </c>
      <c r="J816" s="46">
        <f>VLOOKUP(Table1[[#This Row],[Status]],Auxiliar!$B$16:$C$24,2,0)</f>
        <v>1</v>
      </c>
      <c r="K816" s="21" t="s">
        <v>1257</v>
      </c>
      <c r="L816" s="21" t="s">
        <v>1244</v>
      </c>
      <c r="M816" s="21" t="s">
        <v>1254</v>
      </c>
      <c r="N816" s="48">
        <v>45546</v>
      </c>
      <c r="O816" s="21">
        <f>INDEX(Auxiliar!$D$5:$F$13,MATCH(Table1[[#This Row],[Tipologia_Testes]],Auxiliar!$B$5:$B$13,0),MATCH(Table1[[#This Row],[Complexidade]],Auxiliar!$D$4:$F$4,0))</f>
        <v>0.5</v>
      </c>
      <c r="P816" s="23"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222</v>
      </c>
      <c r="H817" s="58" t="str">
        <f>Table1[[#This Row],[Tabela]]&amp;Table1[[#This Row],[Campo]]</f>
        <v>modesg_inp_emss_vclsnome_pais</v>
      </c>
      <c r="I817" s="2" t="s">
        <v>613</v>
      </c>
      <c r="J817" s="46">
        <f>VLOOKUP(Table1[[#This Row],[Status]],Auxiliar!$B$16:$C$24,2,0)</f>
        <v>1</v>
      </c>
      <c r="K817" s="21" t="s">
        <v>1249</v>
      </c>
      <c r="L817" s="2" t="s">
        <v>1244</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69.599999999999994" hidden="1" customHeight="1">
      <c r="B818" s="13" t="s">
        <v>26</v>
      </c>
      <c r="C818" s="13" t="s">
        <v>181</v>
      </c>
      <c r="D818" s="13" t="s">
        <v>1296</v>
      </c>
      <c r="E818" s="2" t="s">
        <v>38</v>
      </c>
      <c r="F818" s="13" t="s">
        <v>213</v>
      </c>
      <c r="G818" s="13" t="s">
        <v>222</v>
      </c>
      <c r="H818" s="58" t="str">
        <f>Table1[[#This Row],[Tabela]]&amp;Table1[[#This Row],[Campo]]</f>
        <v>modesg_inp_emss_vclsnome_pais</v>
      </c>
      <c r="I818" s="2" t="s">
        <v>613</v>
      </c>
      <c r="J818" s="46">
        <f>VLOOKUP(Table1[[#This Row],[Status]],Auxiliar!$B$16:$C$24,2,0)</f>
        <v>1</v>
      </c>
      <c r="K818" s="21" t="s">
        <v>1257</v>
      </c>
      <c r="L818" s="2" t="s">
        <v>1244</v>
      </c>
      <c r="M818" s="21" t="s">
        <v>1254</v>
      </c>
      <c r="N818" s="48">
        <v>45546</v>
      </c>
      <c r="O818" s="21">
        <f>INDEX(Auxiliar!$D$5:$F$13,MATCH(Table1[[#This Row],[Tipologia_Testes]],Auxiliar!$B$5:$B$13,0),MATCH(Table1[[#This Row],[Complexidade]],Auxiliar!$D$4:$F$4,0))</f>
        <v>0.5</v>
      </c>
      <c r="P818" s="23"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223</v>
      </c>
      <c r="H819" s="58" t="str">
        <f>Table1[[#This Row],[Tabela]]&amp;Table1[[#This Row],[Campo]]</f>
        <v>modesg_inp_emss_vclsnome_estado</v>
      </c>
      <c r="I819" s="2" t="s">
        <v>613</v>
      </c>
      <c r="J819" s="46">
        <f>VLOOKUP(Table1[[#This Row],[Status]],Auxiliar!$B$16:$C$24,2,0)</f>
        <v>1</v>
      </c>
      <c r="K819" s="21" t="s">
        <v>1257</v>
      </c>
      <c r="L819" s="21" t="s">
        <v>1252</v>
      </c>
      <c r="M819" s="21" t="s">
        <v>1254</v>
      </c>
      <c r="N819" s="48">
        <v>45546</v>
      </c>
      <c r="O819" s="21">
        <f>INDEX(Auxiliar!$D$5:$F$13,MATCH(Table1[[#This Row],[Tipologia_Testes]],Auxiliar!$B$5:$B$13,0),MATCH(Table1[[#This Row],[Complexidade]],Auxiliar!$D$4:$F$4,0))</f>
        <v>0.5</v>
      </c>
      <c r="P819" s="2" t="s">
        <v>1306</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1296</v>
      </c>
      <c r="E820" s="2" t="s">
        <v>38</v>
      </c>
      <c r="F820" s="13" t="s">
        <v>213</v>
      </c>
      <c r="G820" s="13" t="s">
        <v>224</v>
      </c>
      <c r="H820" s="58" t="str">
        <f>Table1[[#This Row],[Tabela]]&amp;Table1[[#This Row],[Campo]]</f>
        <v>modesg_inp_emss_vclstipo_veiculo</v>
      </c>
      <c r="I820" s="2" t="s">
        <v>613</v>
      </c>
      <c r="J820" s="46">
        <f>VLOOKUP(Table1[[#This Row],[Status]],Auxiliar!$B$16:$C$24,2,0)</f>
        <v>1</v>
      </c>
      <c r="K820" s="21" t="s">
        <v>1249</v>
      </c>
      <c r="L820" s="21" t="s">
        <v>1252</v>
      </c>
      <c r="M820" s="21" t="s">
        <v>1254</v>
      </c>
      <c r="N820" s="48">
        <v>45546</v>
      </c>
      <c r="O820" s="21">
        <f>INDEX(Auxiliar!$D$5:$F$13,MATCH(Table1[[#This Row],[Tipologia_Testes]],Auxiliar!$B$5:$B$13,0),MATCH(Table1[[#This Row],[Complexidade]],Auxiliar!$D$4:$F$4,0))</f>
        <v>0.1</v>
      </c>
      <c r="P820" s="2" t="s">
        <v>1307</v>
      </c>
      <c r="Q820" s="2"/>
      <c r="R820" s="152">
        <v>45261</v>
      </c>
      <c r="S820" s="152"/>
      <c r="T820" s="152"/>
      <c r="U820" s="152">
        <v>45603</v>
      </c>
      <c r="V820" s="152">
        <v>45534</v>
      </c>
      <c r="W820" s="2">
        <f>VLOOKUP(Table1[[#This Row],[Status]],Auxiliar!$B$16:$D$24,3,0)*Table1[[#This Row],[Estimação (horas)]]</f>
        <v>0.1</v>
      </c>
      <c r="X820" s="2"/>
    </row>
    <row r="821" spans="2:24" ht="17.7" hidden="1" customHeight="1">
      <c r="B821" s="13" t="s">
        <v>26</v>
      </c>
      <c r="C821" s="13" t="s">
        <v>181</v>
      </c>
      <c r="D821" s="13" t="s">
        <v>1296</v>
      </c>
      <c r="E821" s="2" t="s">
        <v>38</v>
      </c>
      <c r="F821" s="13" t="s">
        <v>213</v>
      </c>
      <c r="G821" s="13" t="s">
        <v>224</v>
      </c>
      <c r="H821" s="58" t="str">
        <f>Table1[[#This Row],[Tabela]]&amp;Table1[[#This Row],[Campo]]</f>
        <v>modesg_inp_emss_vclstipo_veiculo</v>
      </c>
      <c r="I821" s="2" t="s">
        <v>613</v>
      </c>
      <c r="J821" s="46">
        <f>VLOOKUP(Table1[[#This Row],[Status]],Auxiliar!$B$16:$C$24,2,0)</f>
        <v>1</v>
      </c>
      <c r="K821" s="21" t="s">
        <v>1257</v>
      </c>
      <c r="L821" s="21" t="s">
        <v>1252</v>
      </c>
      <c r="M821" s="21" t="s">
        <v>1254</v>
      </c>
      <c r="N821" s="48">
        <v>45546</v>
      </c>
      <c r="O821" s="21">
        <f>INDEX(Auxiliar!$D$5:$F$13,MATCH(Table1[[#This Row],[Tipologia_Testes]],Auxiliar!$B$5:$B$13,0),MATCH(Table1[[#This Row],[Complexidade]],Auxiliar!$D$4:$F$4,0))</f>
        <v>0.5</v>
      </c>
      <c r="P821" s="2" t="s">
        <v>1306</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1296</v>
      </c>
      <c r="E822" s="2" t="s">
        <v>38</v>
      </c>
      <c r="F822" s="13" t="s">
        <v>213</v>
      </c>
      <c r="G822" s="13" t="s">
        <v>225</v>
      </c>
      <c r="H822" s="58" t="str">
        <f>Table1[[#This Row],[Tabela]]&amp;Table1[[#This Row],[Campo]]</f>
        <v>modesg_inp_emss_vclstipo_motor</v>
      </c>
      <c r="I822" s="2" t="s">
        <v>613</v>
      </c>
      <c r="J822" s="46">
        <f>VLOOKUP(Table1[[#This Row],[Status]],Auxiliar!$B$16:$C$24,2,0)</f>
        <v>1</v>
      </c>
      <c r="K822" s="21" t="s">
        <v>1249</v>
      </c>
      <c r="L822" s="21" t="s">
        <v>1252</v>
      </c>
      <c r="M822" s="21" t="s">
        <v>1254</v>
      </c>
      <c r="N822" s="48">
        <v>45546</v>
      </c>
      <c r="O822" s="21">
        <f>INDEX(Auxiliar!$D$5:$F$13,MATCH(Table1[[#This Row],[Tipologia_Testes]],Auxiliar!$B$5:$B$13,0),MATCH(Table1[[#This Row],[Complexidade]],Auxiliar!$D$4:$F$4,0))</f>
        <v>0.1</v>
      </c>
      <c r="P822" s="2" t="s">
        <v>1307</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1296</v>
      </c>
      <c r="E823" s="2" t="s">
        <v>38</v>
      </c>
      <c r="F823" s="13" t="s">
        <v>213</v>
      </c>
      <c r="G823" s="13" t="s">
        <v>225</v>
      </c>
      <c r="H823" s="58" t="str">
        <f>Table1[[#This Row],[Tabela]]&amp;Table1[[#This Row],[Campo]]</f>
        <v>modesg_inp_emss_vclstipo_motor</v>
      </c>
      <c r="I823" s="2" t="s">
        <v>613</v>
      </c>
      <c r="J823" s="46">
        <f>VLOOKUP(Table1[[#This Row],[Status]],Auxiliar!$B$16:$C$24,2,0)</f>
        <v>1</v>
      </c>
      <c r="K823" s="21" t="s">
        <v>1257</v>
      </c>
      <c r="L823" s="21" t="s">
        <v>1252</v>
      </c>
      <c r="M823" s="21" t="s">
        <v>1254</v>
      </c>
      <c r="N823" s="48">
        <v>45546</v>
      </c>
      <c r="O823" s="21">
        <f>INDEX(Auxiliar!$D$5:$F$13,MATCH(Table1[[#This Row],[Tipologia_Testes]],Auxiliar!$B$5:$B$13,0),MATCH(Table1[[#This Row],[Complexidade]],Auxiliar!$D$4:$F$4,0))</f>
        <v>0.5</v>
      </c>
      <c r="P823" s="2" t="s">
        <v>1306</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1296</v>
      </c>
      <c r="E824" s="2" t="s">
        <v>38</v>
      </c>
      <c r="F824" s="13" t="s">
        <v>213</v>
      </c>
      <c r="G824" s="13" t="s">
        <v>226</v>
      </c>
      <c r="H824" s="58" t="str">
        <f>Table1[[#This Row],[Tabela]]&amp;Table1[[#This Row],[Campo]]</f>
        <v>modesg_inp_emss_vclsmarca</v>
      </c>
      <c r="I824" s="2" t="s">
        <v>613</v>
      </c>
      <c r="J824" s="46">
        <f>VLOOKUP(Table1[[#This Row],[Status]],Auxiliar!$B$16:$C$24,2,0)</f>
        <v>1</v>
      </c>
      <c r="K824" s="21" t="s">
        <v>1249</v>
      </c>
      <c r="L824" s="2" t="s">
        <v>1244</v>
      </c>
      <c r="M824" s="21" t="s">
        <v>1254</v>
      </c>
      <c r="N824" s="48">
        <v>45546</v>
      </c>
      <c r="O824" s="21">
        <f>INDEX(Auxiliar!$D$5:$F$13,MATCH(Table1[[#This Row],[Tipologia_Testes]],Auxiliar!$B$5:$B$13,0),MATCH(Table1[[#This Row],[Complexidade]],Auxiliar!$D$4:$F$4,0))</f>
        <v>0.1</v>
      </c>
      <c r="P824" s="2" t="s">
        <v>1307</v>
      </c>
      <c r="Q824" s="2"/>
      <c r="R824" s="152">
        <v>45261</v>
      </c>
      <c r="S824" s="152"/>
      <c r="T824" s="152"/>
      <c r="U824" s="152">
        <v>45603</v>
      </c>
      <c r="V824" s="152">
        <v>45534</v>
      </c>
      <c r="W824" s="2">
        <f>VLOOKUP(Table1[[#This Row],[Status]],Auxiliar!$B$16:$D$24,3,0)*Table1[[#This Row],[Estimação (horas)]]</f>
        <v>0.1</v>
      </c>
      <c r="X824" s="2"/>
    </row>
    <row r="825" spans="2:24" ht="69.599999999999994" hidden="1" customHeight="1">
      <c r="B825" s="13" t="s">
        <v>26</v>
      </c>
      <c r="C825" s="13" t="s">
        <v>181</v>
      </c>
      <c r="D825" s="13" t="s">
        <v>1296</v>
      </c>
      <c r="E825" s="2" t="s">
        <v>38</v>
      </c>
      <c r="F825" s="13" t="s">
        <v>213</v>
      </c>
      <c r="G825" s="13" t="s">
        <v>226</v>
      </c>
      <c r="H825" s="58" t="str">
        <f>Table1[[#This Row],[Tabela]]&amp;Table1[[#This Row],[Campo]]</f>
        <v>modesg_inp_emss_vclsmarca</v>
      </c>
      <c r="I825" s="2" t="s">
        <v>613</v>
      </c>
      <c r="J825" s="46">
        <f>VLOOKUP(Table1[[#This Row],[Status]],Auxiliar!$B$16:$C$24,2,0)</f>
        <v>1</v>
      </c>
      <c r="K825" s="21" t="s">
        <v>1257</v>
      </c>
      <c r="L825" s="2" t="s">
        <v>1244</v>
      </c>
      <c r="M825" s="21" t="s">
        <v>1254</v>
      </c>
      <c r="N825" s="48">
        <v>45546</v>
      </c>
      <c r="O825" s="21">
        <f>INDEX(Auxiliar!$D$5:$F$13,MATCH(Table1[[#This Row],[Tipologia_Testes]],Auxiliar!$B$5:$B$13,0),MATCH(Table1[[#This Row],[Complexidade]],Auxiliar!$D$4:$F$4,0))</f>
        <v>0.5</v>
      </c>
      <c r="P825" s="23" t="s">
        <v>1308</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1296</v>
      </c>
      <c r="E826" s="2" t="s">
        <v>38</v>
      </c>
      <c r="F826" s="13" t="s">
        <v>213</v>
      </c>
      <c r="G826" s="13" t="s">
        <v>227</v>
      </c>
      <c r="H826" s="58" t="str">
        <f>Table1[[#This Row],[Tabela]]&amp;Table1[[#This Row],[Campo]]</f>
        <v>modesg_inp_emss_vclsmodelo</v>
      </c>
      <c r="I826" s="2" t="s">
        <v>613</v>
      </c>
      <c r="J826" s="46">
        <f>VLOOKUP(Table1[[#This Row],[Status]],Auxiliar!$B$16:$C$24,2,0)</f>
        <v>1</v>
      </c>
      <c r="K826" s="21" t="s">
        <v>1249</v>
      </c>
      <c r="L826" s="2" t="s">
        <v>1244</v>
      </c>
      <c r="M826" s="21" t="s">
        <v>1254</v>
      </c>
      <c r="N826" s="48">
        <v>45546</v>
      </c>
      <c r="O826" s="21">
        <f>INDEX(Auxiliar!$D$5:$F$13,MATCH(Table1[[#This Row],[Tipologia_Testes]],Auxiliar!$B$5:$B$13,0),MATCH(Table1[[#This Row],[Complexidade]],Auxiliar!$D$4:$F$4,0))</f>
        <v>0.1</v>
      </c>
      <c r="P826" s="2" t="s">
        <v>1307</v>
      </c>
      <c r="Q826" s="2"/>
      <c r="R826" s="152">
        <v>45261</v>
      </c>
      <c r="S826" s="152"/>
      <c r="T826" s="152"/>
      <c r="U826" s="152">
        <v>45603</v>
      </c>
      <c r="V826" s="152">
        <v>45534</v>
      </c>
      <c r="W826" s="2">
        <f>VLOOKUP(Table1[[#This Row],[Status]],Auxiliar!$B$16:$D$24,3,0)*Table1[[#This Row],[Estimação (horas)]]</f>
        <v>0.1</v>
      </c>
      <c r="X826" s="2"/>
    </row>
    <row r="827" spans="2:24" ht="69.599999999999994" hidden="1" customHeight="1">
      <c r="B827" s="13" t="s">
        <v>26</v>
      </c>
      <c r="C827" s="13" t="s">
        <v>181</v>
      </c>
      <c r="D827" s="13" t="s">
        <v>1296</v>
      </c>
      <c r="E827" s="2" t="s">
        <v>38</v>
      </c>
      <c r="F827" s="13" t="s">
        <v>213</v>
      </c>
      <c r="G827" s="13" t="s">
        <v>227</v>
      </c>
      <c r="H827" s="58" t="str">
        <f>Table1[[#This Row],[Tabela]]&amp;Table1[[#This Row],[Campo]]</f>
        <v>modesg_inp_emss_vclsmodelo</v>
      </c>
      <c r="I827" s="2" t="s">
        <v>613</v>
      </c>
      <c r="J827" s="46">
        <f>VLOOKUP(Table1[[#This Row],[Status]],Auxiliar!$B$16:$C$24,2,0)</f>
        <v>1</v>
      </c>
      <c r="K827" s="21" t="s">
        <v>1257</v>
      </c>
      <c r="L827" s="2" t="s">
        <v>1244</v>
      </c>
      <c r="M827" s="21" t="s">
        <v>1254</v>
      </c>
      <c r="N827" s="48">
        <v>45546</v>
      </c>
      <c r="O827" s="21">
        <f>INDEX(Auxiliar!$D$5:$F$13,MATCH(Table1[[#This Row],[Tipologia_Testes]],Auxiliar!$B$5:$B$13,0),MATCH(Table1[[#This Row],[Complexidade]],Auxiliar!$D$4:$F$4,0))</f>
        <v>0.5</v>
      </c>
      <c r="P827" s="23" t="s">
        <v>1308</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1296</v>
      </c>
      <c r="E828" s="2" t="s">
        <v>38</v>
      </c>
      <c r="F828" s="13" t="s">
        <v>213</v>
      </c>
      <c r="G828" s="13" t="s">
        <v>228</v>
      </c>
      <c r="H828" s="58" t="str">
        <f>Table1[[#This Row],[Tabela]]&amp;Table1[[#This Row],[Campo]]</f>
        <v>modesg_inp_emss_vclssubgrupo</v>
      </c>
      <c r="I828" s="2" t="s">
        <v>613</v>
      </c>
      <c r="J828" s="46">
        <f>VLOOKUP(Table1[[#This Row],[Status]],Auxiliar!$B$16:$C$24,2,0)</f>
        <v>1</v>
      </c>
      <c r="K828" s="21" t="s">
        <v>1249</v>
      </c>
      <c r="L828" s="2" t="s">
        <v>650</v>
      </c>
      <c r="M828" s="21" t="s">
        <v>1254</v>
      </c>
      <c r="N828" s="48">
        <v>45546</v>
      </c>
      <c r="O828" s="21">
        <f>INDEX(Auxiliar!$D$5:$F$13,MATCH(Table1[[#This Row],[Tipologia_Testes]],Auxiliar!$B$5:$B$13,0),MATCH(Table1[[#This Row],[Complexidade]],Auxiliar!$D$4:$F$4,0))</f>
        <v>0.1</v>
      </c>
      <c r="P828" s="2" t="s">
        <v>1307</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1296</v>
      </c>
      <c r="E829" s="2" t="s">
        <v>38</v>
      </c>
      <c r="F829" s="13" t="s">
        <v>213</v>
      </c>
      <c r="G829" s="13" t="s">
        <v>228</v>
      </c>
      <c r="H829" s="58" t="str">
        <f>Table1[[#This Row],[Tabela]]&amp;Table1[[#This Row],[Campo]]</f>
        <v>modesg_inp_emss_vclssubgrupo</v>
      </c>
      <c r="I829" s="2" t="s">
        <v>613</v>
      </c>
      <c r="J829" s="46">
        <f>VLOOKUP(Table1[[#This Row],[Status]],Auxiliar!$B$16:$C$24,2,0)</f>
        <v>1</v>
      </c>
      <c r="K829" s="21" t="s">
        <v>1257</v>
      </c>
      <c r="L829" s="2" t="s">
        <v>650</v>
      </c>
      <c r="M829" s="21" t="s">
        <v>1254</v>
      </c>
      <c r="N829" s="48">
        <v>45546</v>
      </c>
      <c r="O829" s="21">
        <f>INDEX(Auxiliar!$D$5:$F$13,MATCH(Table1[[#This Row],[Tipologia_Testes]],Auxiliar!$B$5:$B$13,0),MATCH(Table1[[#This Row],[Complexidade]],Auxiliar!$D$4:$F$4,0))</f>
        <v>0.5</v>
      </c>
      <c r="P829" s="2" t="s">
        <v>1306</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1296</v>
      </c>
      <c r="E830" s="2" t="s">
        <v>38</v>
      </c>
      <c r="F830" s="13" t="s">
        <v>213</v>
      </c>
      <c r="G830" s="13" t="s">
        <v>229</v>
      </c>
      <c r="H830" s="58" t="str">
        <f>Table1[[#This Row],[Tabela]]&amp;Table1[[#This Row],[Campo]]</f>
        <v>modesg_inp_emss_vclsnome_unidade_funcional</v>
      </c>
      <c r="I830" s="2" t="s">
        <v>613</v>
      </c>
      <c r="J830" s="46">
        <f>VLOOKUP(Table1[[#This Row],[Status]],Auxiliar!$B$16:$C$24,2,0)</f>
        <v>1</v>
      </c>
      <c r="K830" s="21" t="s">
        <v>1249</v>
      </c>
      <c r="L830" s="21" t="s">
        <v>1252</v>
      </c>
      <c r="M830" s="21" t="s">
        <v>1254</v>
      </c>
      <c r="N830" s="48">
        <v>45546</v>
      </c>
      <c r="O830" s="21">
        <f>INDEX(Auxiliar!$D$5:$F$13,MATCH(Table1[[#This Row],[Tipologia_Testes]],Auxiliar!$B$5:$B$13,0),MATCH(Table1[[#This Row],[Complexidade]],Auxiliar!$D$4:$F$4,0))</f>
        <v>0.1</v>
      </c>
      <c r="P830" s="2" t="s">
        <v>1307</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1296</v>
      </c>
      <c r="E831" s="2" t="s">
        <v>38</v>
      </c>
      <c r="F831" s="13" t="s">
        <v>213</v>
      </c>
      <c r="G831" s="13" t="s">
        <v>229</v>
      </c>
      <c r="H831" s="58" t="str">
        <f>Table1[[#This Row],[Tabela]]&amp;Table1[[#This Row],[Campo]]</f>
        <v>modesg_inp_emss_vclsnome_unidade_funcional</v>
      </c>
      <c r="I831" s="2" t="s">
        <v>613</v>
      </c>
      <c r="J831" s="46">
        <f>VLOOKUP(Table1[[#This Row],[Status]],Auxiliar!$B$16:$C$24,2,0)</f>
        <v>1</v>
      </c>
      <c r="K831" s="21" t="s">
        <v>1257</v>
      </c>
      <c r="L831" s="21" t="s">
        <v>1252</v>
      </c>
      <c r="M831" s="21" t="s">
        <v>1254</v>
      </c>
      <c r="N831" s="48">
        <v>45546</v>
      </c>
      <c r="O831" s="21">
        <f>INDEX(Auxiliar!$D$5:$F$13,MATCH(Table1[[#This Row],[Tipologia_Testes]],Auxiliar!$B$5:$B$13,0),MATCH(Table1[[#This Row],[Complexidade]],Auxiliar!$D$4:$F$4,0))</f>
        <v>0.5</v>
      </c>
      <c r="P831" s="2" t="s">
        <v>1306</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1296</v>
      </c>
      <c r="E832" s="2" t="s">
        <v>38</v>
      </c>
      <c r="F832" s="13" t="s">
        <v>213</v>
      </c>
      <c r="G832" s="13" t="s">
        <v>230</v>
      </c>
      <c r="H832" s="58" t="str">
        <f>Table1[[#This Row],[Tabela]]&amp;Table1[[#This Row],[Campo]]</f>
        <v>modesg_inp_emss_vclsunidade_funcional</v>
      </c>
      <c r="I832" s="2" t="s">
        <v>613</v>
      </c>
      <c r="J832" s="46">
        <f>VLOOKUP(Table1[[#This Row],[Status]],Auxiliar!$B$16:$C$24,2,0)</f>
        <v>1</v>
      </c>
      <c r="K832" s="21" t="s">
        <v>1249</v>
      </c>
      <c r="L832" s="21" t="s">
        <v>1252</v>
      </c>
      <c r="M832" s="21" t="s">
        <v>1254</v>
      </c>
      <c r="N832" s="48">
        <v>45546</v>
      </c>
      <c r="O832" s="21">
        <f>INDEX(Auxiliar!$D$5:$F$13,MATCH(Table1[[#This Row],[Tipologia_Testes]],Auxiliar!$B$5:$B$13,0),MATCH(Table1[[#This Row],[Complexidade]],Auxiliar!$D$4:$F$4,0))</f>
        <v>0.1</v>
      </c>
      <c r="P832" s="2" t="s">
        <v>1307</v>
      </c>
      <c r="Q832" s="2"/>
      <c r="R832" s="152">
        <v>45261</v>
      </c>
      <c r="S832" s="152"/>
      <c r="T832" s="152"/>
      <c r="U832" s="152">
        <v>45603</v>
      </c>
      <c r="V832" s="152">
        <v>45534</v>
      </c>
      <c r="W832" s="2">
        <f>VLOOKUP(Table1[[#This Row],[Status]],Auxiliar!$B$16:$D$24,3,0)*Table1[[#This Row],[Estimação (horas)]]</f>
        <v>0.1</v>
      </c>
      <c r="X832" s="2"/>
    </row>
    <row r="833" spans="2:24" ht="17.7" hidden="1" customHeight="1">
      <c r="B833" s="13" t="s">
        <v>26</v>
      </c>
      <c r="C833" s="13" t="s">
        <v>181</v>
      </c>
      <c r="D833" s="13" t="s">
        <v>1296</v>
      </c>
      <c r="E833" s="2" t="s">
        <v>38</v>
      </c>
      <c r="F833" s="13" t="s">
        <v>213</v>
      </c>
      <c r="G833" s="13" t="s">
        <v>230</v>
      </c>
      <c r="H833" s="58" t="str">
        <f>Table1[[#This Row],[Tabela]]&amp;Table1[[#This Row],[Campo]]</f>
        <v>modesg_inp_emss_vclsunidade_funcional</v>
      </c>
      <c r="I833" s="2" t="s">
        <v>613</v>
      </c>
      <c r="J833" s="46">
        <f>VLOOKUP(Table1[[#This Row],[Status]],Auxiliar!$B$16:$C$24,2,0)</f>
        <v>1</v>
      </c>
      <c r="K833" s="21" t="s">
        <v>1257</v>
      </c>
      <c r="L833" s="21" t="s">
        <v>1252</v>
      </c>
      <c r="M833" s="21" t="s">
        <v>1254</v>
      </c>
      <c r="N833" s="48">
        <v>45546</v>
      </c>
      <c r="O833" s="21">
        <f>INDEX(Auxiliar!$D$5:$F$13,MATCH(Table1[[#This Row],[Tipologia_Testes]],Auxiliar!$B$5:$B$13,0),MATCH(Table1[[#This Row],[Complexidade]],Auxiliar!$D$4:$F$4,0))</f>
        <v>0.5</v>
      </c>
      <c r="P833" s="2" t="s">
        <v>1306</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1296</v>
      </c>
      <c r="E834" s="2" t="s">
        <v>38</v>
      </c>
      <c r="F834" s="13" t="s">
        <v>213</v>
      </c>
      <c r="G834" s="13" t="s">
        <v>231</v>
      </c>
      <c r="H834" s="58" t="str">
        <f>Table1[[#This Row],[Tabela]]&amp;Table1[[#This Row],[Campo]]</f>
        <v>modesg_inp_emss_vclsnome_fator_emissao</v>
      </c>
      <c r="I834" s="2" t="s">
        <v>613</v>
      </c>
      <c r="J834" s="46">
        <f>VLOOKUP(Table1[[#This Row],[Status]],Auxiliar!$B$16:$C$24,2,0)</f>
        <v>1</v>
      </c>
      <c r="K834" s="21" t="s">
        <v>1249</v>
      </c>
      <c r="L834" s="21" t="s">
        <v>1252</v>
      </c>
      <c r="M834" s="21" t="s">
        <v>1254</v>
      </c>
      <c r="N834" s="48">
        <v>45546</v>
      </c>
      <c r="O834" s="21">
        <f>INDEX(Auxiliar!$D$5:$F$13,MATCH(Table1[[#This Row],[Tipologia_Testes]],Auxiliar!$B$5:$B$13,0),MATCH(Table1[[#This Row],[Complexidade]],Auxiliar!$D$4:$F$4,0))</f>
        <v>0.1</v>
      </c>
      <c r="P834" s="2" t="s">
        <v>1307</v>
      </c>
      <c r="Q834" s="2"/>
      <c r="R834" s="152">
        <v>45261</v>
      </c>
      <c r="S834" s="152"/>
      <c r="T834" s="152"/>
      <c r="U834" s="152">
        <v>45603</v>
      </c>
      <c r="V834" s="152">
        <v>45534</v>
      </c>
      <c r="W834" s="2">
        <f>VLOOKUP(Table1[[#This Row],[Status]],Auxiliar!$B$16:$D$24,3,0)*Table1[[#This Row],[Estimação (horas)]]</f>
        <v>0.1</v>
      </c>
      <c r="X834" s="2"/>
    </row>
    <row r="835" spans="2:24" ht="17.7" hidden="1" customHeight="1">
      <c r="B835" s="13" t="s">
        <v>26</v>
      </c>
      <c r="C835" s="13" t="s">
        <v>181</v>
      </c>
      <c r="D835" s="13" t="s">
        <v>1296</v>
      </c>
      <c r="E835" s="2" t="s">
        <v>38</v>
      </c>
      <c r="F835" s="13" t="s">
        <v>213</v>
      </c>
      <c r="G835" s="13" t="s">
        <v>231</v>
      </c>
      <c r="H835" s="58" t="str">
        <f>Table1[[#This Row],[Tabela]]&amp;Table1[[#This Row],[Campo]]</f>
        <v>modesg_inp_emss_vclsnome_fator_emissao</v>
      </c>
      <c r="I835" s="2" t="s">
        <v>613</v>
      </c>
      <c r="J835" s="46">
        <f>VLOOKUP(Table1[[#This Row],[Status]],Auxiliar!$B$16:$C$24,2,0)</f>
        <v>1</v>
      </c>
      <c r="K835" s="21" t="s">
        <v>1257</v>
      </c>
      <c r="L835" s="21" t="s">
        <v>1252</v>
      </c>
      <c r="M835" s="21" t="s">
        <v>1254</v>
      </c>
      <c r="N835" s="48">
        <v>45546</v>
      </c>
      <c r="O835" s="21">
        <f>INDEX(Auxiliar!$D$5:$F$13,MATCH(Table1[[#This Row],[Tipologia_Testes]],Auxiliar!$B$5:$B$13,0),MATCH(Table1[[#This Row],[Complexidade]],Auxiliar!$D$4:$F$4,0))</f>
        <v>0.5</v>
      </c>
      <c r="P835" s="2" t="s">
        <v>1306</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1296</v>
      </c>
      <c r="E836" s="2" t="s">
        <v>38</v>
      </c>
      <c r="F836" s="13" t="s">
        <v>213</v>
      </c>
      <c r="G836" s="13" t="s">
        <v>232</v>
      </c>
      <c r="H836" s="58" t="str">
        <f>Table1[[#This Row],[Tabela]]&amp;Table1[[#This Row],[Campo]]</f>
        <v>modesg_inp_emss_vclsunidade_fator_de_emissao</v>
      </c>
      <c r="I836" s="2" t="s">
        <v>613</v>
      </c>
      <c r="J836" s="46">
        <f>VLOOKUP(Table1[[#This Row],[Status]],Auxiliar!$B$16:$C$24,2,0)</f>
        <v>1</v>
      </c>
      <c r="K836" s="21" t="s">
        <v>1249</v>
      </c>
      <c r="L836" s="21" t="s">
        <v>1252</v>
      </c>
      <c r="M836" s="21" t="s">
        <v>1254</v>
      </c>
      <c r="N836" s="48">
        <v>45546</v>
      </c>
      <c r="O836" s="21">
        <f>INDEX(Auxiliar!$D$5:$F$13,MATCH(Table1[[#This Row],[Tipologia_Testes]],Auxiliar!$B$5:$B$13,0),MATCH(Table1[[#This Row],[Complexidade]],Auxiliar!$D$4:$F$4,0))</f>
        <v>0.1</v>
      </c>
      <c r="P836" s="2" t="s">
        <v>1307</v>
      </c>
      <c r="Q836" s="2"/>
      <c r="R836" s="152">
        <v>45261</v>
      </c>
      <c r="S836" s="152"/>
      <c r="T836" s="152"/>
      <c r="U836" s="152">
        <v>45603</v>
      </c>
      <c r="V836" s="152">
        <v>45534</v>
      </c>
      <c r="W836" s="2">
        <f>VLOOKUP(Table1[[#This Row],[Status]],Auxiliar!$B$16:$D$24,3,0)*Table1[[#This Row],[Estimação (horas)]]</f>
        <v>0.1</v>
      </c>
      <c r="X836" s="2"/>
    </row>
    <row r="837" spans="2:24" ht="17.7" hidden="1" customHeight="1">
      <c r="B837" s="13" t="s">
        <v>26</v>
      </c>
      <c r="C837" s="13" t="s">
        <v>181</v>
      </c>
      <c r="D837" s="13" t="s">
        <v>1296</v>
      </c>
      <c r="E837" s="2" t="s">
        <v>38</v>
      </c>
      <c r="F837" s="13" t="s">
        <v>213</v>
      </c>
      <c r="G837" s="13" t="s">
        <v>232</v>
      </c>
      <c r="H837" s="58" t="str">
        <f>Table1[[#This Row],[Tabela]]&amp;Table1[[#This Row],[Campo]]</f>
        <v>modesg_inp_emss_vclsunidade_fator_de_emissao</v>
      </c>
      <c r="I837" s="2" t="s">
        <v>613</v>
      </c>
      <c r="J837" s="46">
        <f>VLOOKUP(Table1[[#This Row],[Status]],Auxiliar!$B$16:$C$24,2,0)</f>
        <v>1</v>
      </c>
      <c r="K837" s="21" t="s">
        <v>1257</v>
      </c>
      <c r="L837" s="21" t="s">
        <v>1252</v>
      </c>
      <c r="M837" s="21" t="s">
        <v>1254</v>
      </c>
      <c r="N837" s="48">
        <v>45546</v>
      </c>
      <c r="O837" s="21">
        <f>INDEX(Auxiliar!$D$5:$F$13,MATCH(Table1[[#This Row],[Tipologia_Testes]],Auxiliar!$B$5:$B$13,0),MATCH(Table1[[#This Row],[Complexidade]],Auxiliar!$D$4:$F$4,0))</f>
        <v>0.5</v>
      </c>
      <c r="P837" s="2" t="s">
        <v>1306</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1296</v>
      </c>
      <c r="E838" s="2" t="s">
        <v>38</v>
      </c>
      <c r="F838" s="13" t="s">
        <v>213</v>
      </c>
      <c r="G838" s="13" t="s">
        <v>233</v>
      </c>
      <c r="H838" s="58" t="str">
        <f>Table1[[#This Row],[Tabela]]&amp;Table1[[#This Row],[Campo]]</f>
        <v>modesg_inp_emss_vclsscore_qualidade</v>
      </c>
      <c r="I838" s="2" t="s">
        <v>613</v>
      </c>
      <c r="J838" s="46">
        <f>VLOOKUP(Table1[[#This Row],[Status]],Auxiliar!$B$16:$C$24,2,0)</f>
        <v>1</v>
      </c>
      <c r="K838" s="21" t="s">
        <v>1249</v>
      </c>
      <c r="L838" s="2" t="s">
        <v>1244</v>
      </c>
      <c r="M838" s="21" t="s">
        <v>1254</v>
      </c>
      <c r="N838" s="48">
        <v>45546</v>
      </c>
      <c r="O838" s="21">
        <f>INDEX(Auxiliar!$D$5:$F$13,MATCH(Table1[[#This Row],[Tipologia_Testes]],Auxiliar!$B$5:$B$13,0),MATCH(Table1[[#This Row],[Complexidade]],Auxiliar!$D$4:$F$4,0))</f>
        <v>0.1</v>
      </c>
      <c r="P838" s="2" t="s">
        <v>1307</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1296</v>
      </c>
      <c r="E839" s="2" t="s">
        <v>38</v>
      </c>
      <c r="F839" s="13" t="s">
        <v>213</v>
      </c>
      <c r="G839" s="13" t="s">
        <v>233</v>
      </c>
      <c r="H839" s="58" t="str">
        <f>Table1[[#This Row],[Tabela]]&amp;Table1[[#This Row],[Campo]]</f>
        <v>modesg_inp_emss_vclsscore_qualidade</v>
      </c>
      <c r="I839" s="2" t="s">
        <v>613</v>
      </c>
      <c r="J839" s="46">
        <f>VLOOKUP(Table1[[#This Row],[Status]],Auxiliar!$B$16:$C$24,2,0)</f>
        <v>1</v>
      </c>
      <c r="K839" s="21" t="s">
        <v>1257</v>
      </c>
      <c r="L839" s="2" t="s">
        <v>1244</v>
      </c>
      <c r="M839" s="21" t="s">
        <v>1254</v>
      </c>
      <c r="N839" s="48">
        <v>45546</v>
      </c>
      <c r="O839" s="21">
        <f>INDEX(Auxiliar!$D$5:$F$13,MATCH(Table1[[#This Row],[Tipologia_Testes]],Auxiliar!$B$5:$B$13,0),MATCH(Table1[[#This Row],[Complexidade]],Auxiliar!$D$4:$F$4,0))</f>
        <v>0.5</v>
      </c>
      <c r="P839" s="23" t="s">
        <v>1308</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1296</v>
      </c>
      <c r="E840" s="2" t="s">
        <v>38</v>
      </c>
      <c r="F840" s="13" t="s">
        <v>213</v>
      </c>
      <c r="G840" s="13" t="s">
        <v>234</v>
      </c>
      <c r="H840" s="58" t="str">
        <f>Table1[[#This Row],[Tabela]]&amp;Table1[[#This Row],[Campo]]</f>
        <v>modesg_inp_emss_vclsscp1_ftr_emss</v>
      </c>
      <c r="I840" s="2" t="s">
        <v>613</v>
      </c>
      <c r="J840" s="46">
        <f>VLOOKUP(Table1[[#This Row],[Status]],Auxiliar!$B$16:$C$24,2,0)</f>
        <v>1</v>
      </c>
      <c r="K840" s="21" t="s">
        <v>1249</v>
      </c>
      <c r="L840" s="2" t="s">
        <v>1244</v>
      </c>
      <c r="M840" s="21" t="s">
        <v>1254</v>
      </c>
      <c r="N840" s="48">
        <v>45546</v>
      </c>
      <c r="O840" s="21">
        <f>INDEX(Auxiliar!$D$5:$F$13,MATCH(Table1[[#This Row],[Tipologia_Testes]],Auxiliar!$B$5:$B$13,0),MATCH(Table1[[#This Row],[Complexidade]],Auxiliar!$D$4:$F$4,0))</f>
        <v>0.1</v>
      </c>
      <c r="P840" s="2" t="s">
        <v>1309</v>
      </c>
      <c r="Q840" s="2"/>
      <c r="R840" s="152">
        <v>45261</v>
      </c>
      <c r="S840" s="152"/>
      <c r="T840" s="152"/>
      <c r="U840" s="152">
        <v>45603</v>
      </c>
      <c r="V840" s="152">
        <v>45534</v>
      </c>
      <c r="W840" s="2">
        <f>VLOOKUP(Table1[[#This Row],[Status]],Auxiliar!$B$16:$D$24,3,0)*Table1[[#This Row],[Estimação (horas)]]</f>
        <v>0.1</v>
      </c>
      <c r="X840" s="2"/>
    </row>
    <row r="841" spans="2:24" ht="69.599999999999994" hidden="1" customHeight="1">
      <c r="B841" s="13" t="s">
        <v>26</v>
      </c>
      <c r="C841" s="13" t="s">
        <v>181</v>
      </c>
      <c r="D841" s="13" t="s">
        <v>1296</v>
      </c>
      <c r="E841" s="2" t="s">
        <v>38</v>
      </c>
      <c r="F841" s="13" t="s">
        <v>213</v>
      </c>
      <c r="G841" s="13" t="s">
        <v>234</v>
      </c>
      <c r="H841" s="58" t="str">
        <f>Table1[[#This Row],[Tabela]]&amp;Table1[[#This Row],[Campo]]</f>
        <v>modesg_inp_emss_vclsscp1_ftr_emss</v>
      </c>
      <c r="I841" s="2" t="s">
        <v>613</v>
      </c>
      <c r="J841" s="46">
        <f>VLOOKUP(Table1[[#This Row],[Status]],Auxiliar!$B$16:$C$24,2,0)</f>
        <v>1</v>
      </c>
      <c r="K841" s="21" t="s">
        <v>1257</v>
      </c>
      <c r="L841" s="2" t="s">
        <v>1244</v>
      </c>
      <c r="M841" s="21" t="s">
        <v>1254</v>
      </c>
      <c r="N841" s="48">
        <v>45546</v>
      </c>
      <c r="O841" s="21">
        <f>INDEX(Auxiliar!$D$5:$F$13,MATCH(Table1[[#This Row],[Tipologia_Testes]],Auxiliar!$B$5:$B$13,0),MATCH(Table1[[#This Row],[Complexidade]],Auxiliar!$D$4:$F$4,0))</f>
        <v>0.5</v>
      </c>
      <c r="P841" s="23" t="s">
        <v>1308</v>
      </c>
      <c r="Q841" s="2"/>
      <c r="R841" s="152">
        <v>45261</v>
      </c>
      <c r="S841" s="152"/>
      <c r="T841" s="152"/>
      <c r="U841" s="152">
        <v>45603</v>
      </c>
      <c r="V841" s="152">
        <v>45534</v>
      </c>
      <c r="W841" s="2">
        <f>VLOOKUP(Table1[[#This Row],[Status]],Auxiliar!$B$16:$D$24,3,0)*Table1[[#This Row],[Estimação (horas)]]</f>
        <v>0.5</v>
      </c>
      <c r="X841" s="2"/>
    </row>
    <row r="842" spans="2:24" ht="17.7" hidden="1" customHeight="1">
      <c r="B842" s="13" t="s">
        <v>26</v>
      </c>
      <c r="C842" s="13" t="s">
        <v>181</v>
      </c>
      <c r="D842" s="13" t="s">
        <v>1296</v>
      </c>
      <c r="E842" s="2" t="s">
        <v>38</v>
      </c>
      <c r="F842" s="13" t="s">
        <v>213</v>
      </c>
      <c r="G842" s="13" t="s">
        <v>235</v>
      </c>
      <c r="H842" s="58" t="str">
        <f>Table1[[#This Row],[Tabela]]&amp;Table1[[#This Row],[Campo]]</f>
        <v>modesg_inp_emss_vclsscp2_ftr_emss</v>
      </c>
      <c r="I842" s="2" t="s">
        <v>613</v>
      </c>
      <c r="J842" s="46">
        <f>VLOOKUP(Table1[[#This Row],[Status]],Auxiliar!$B$16:$C$24,2,0)</f>
        <v>1</v>
      </c>
      <c r="K842" s="21" t="s">
        <v>1249</v>
      </c>
      <c r="L842" s="2" t="s">
        <v>1244</v>
      </c>
      <c r="M842" s="21" t="s">
        <v>1254</v>
      </c>
      <c r="N842" s="48">
        <v>45546</v>
      </c>
      <c r="O842" s="21">
        <f>INDEX(Auxiliar!$D$5:$F$13,MATCH(Table1[[#This Row],[Tipologia_Testes]],Auxiliar!$B$5:$B$13,0),MATCH(Table1[[#This Row],[Complexidade]],Auxiliar!$D$4:$F$4,0))</f>
        <v>0.1</v>
      </c>
      <c r="P842" s="2" t="s">
        <v>1309</v>
      </c>
      <c r="Q842" s="2"/>
      <c r="R842" s="152">
        <v>45261</v>
      </c>
      <c r="S842" s="152"/>
      <c r="T842" s="152"/>
      <c r="U842" s="152">
        <v>45603</v>
      </c>
      <c r="V842" s="152">
        <v>45534</v>
      </c>
      <c r="W842" s="2">
        <f>VLOOKUP(Table1[[#This Row],[Status]],Auxiliar!$B$16:$D$24,3,0)*Table1[[#This Row],[Estimação (horas)]]</f>
        <v>0.1</v>
      </c>
      <c r="X842" s="2"/>
    </row>
    <row r="843" spans="2:24" ht="69.599999999999994" hidden="1" customHeight="1">
      <c r="B843" s="13" t="s">
        <v>26</v>
      </c>
      <c r="C843" s="13" t="s">
        <v>181</v>
      </c>
      <c r="D843" s="13" t="s">
        <v>1296</v>
      </c>
      <c r="E843" s="2" t="s">
        <v>38</v>
      </c>
      <c r="F843" s="13" t="s">
        <v>213</v>
      </c>
      <c r="G843" s="13" t="s">
        <v>235</v>
      </c>
      <c r="H843" s="58" t="str">
        <f>Table1[[#This Row],[Tabela]]&amp;Table1[[#This Row],[Campo]]</f>
        <v>modesg_inp_emss_vclsscp2_ftr_emss</v>
      </c>
      <c r="I843" s="2" t="s">
        <v>613</v>
      </c>
      <c r="J843" s="46">
        <f>VLOOKUP(Table1[[#This Row],[Status]],Auxiliar!$B$16:$C$24,2,0)</f>
        <v>1</v>
      </c>
      <c r="K843" s="21" t="s">
        <v>1257</v>
      </c>
      <c r="L843" s="2" t="s">
        <v>1244</v>
      </c>
      <c r="M843" s="21" t="s">
        <v>1254</v>
      </c>
      <c r="N843" s="48">
        <v>45546</v>
      </c>
      <c r="O843" s="21">
        <f>INDEX(Auxiliar!$D$5:$F$13,MATCH(Table1[[#This Row],[Tipologia_Testes]],Auxiliar!$B$5:$B$13,0),MATCH(Table1[[#This Row],[Complexidade]],Auxiliar!$D$4:$F$4,0))</f>
        <v>0.5</v>
      </c>
      <c r="P843" s="23" t="s">
        <v>1308</v>
      </c>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213</v>
      </c>
      <c r="G844" s="13" t="s">
        <v>236</v>
      </c>
      <c r="H844" s="58" t="str">
        <f>Table1[[#This Row],[Tabela]]&amp;Table1[[#This Row],[Campo]]</f>
        <v>modesg_inp_emss_vclsscp3_ftr_emss</v>
      </c>
      <c r="I844" s="2" t="s">
        <v>613</v>
      </c>
      <c r="J844" s="46">
        <f>VLOOKUP(Table1[[#This Row],[Status]],Auxiliar!$B$16:$C$24,2,0)</f>
        <v>1</v>
      </c>
      <c r="K844" s="21" t="s">
        <v>1249</v>
      </c>
      <c r="L844" s="2" t="s">
        <v>1244</v>
      </c>
      <c r="M844" s="21" t="s">
        <v>1254</v>
      </c>
      <c r="N844" s="48">
        <v>45546</v>
      </c>
      <c r="O844" s="21">
        <f>INDEX(Auxiliar!$D$5:$F$13,MATCH(Table1[[#This Row],[Tipologia_Testes]],Auxiliar!$B$5:$B$13,0),MATCH(Table1[[#This Row],[Complexidade]],Auxiliar!$D$4:$F$4,0))</f>
        <v>0.1</v>
      </c>
      <c r="P844" s="2" t="s">
        <v>1310</v>
      </c>
      <c r="Q844" s="2"/>
      <c r="R844" s="152">
        <v>45261</v>
      </c>
      <c r="S844" s="152"/>
      <c r="T844" s="152"/>
      <c r="U844" s="152">
        <v>45603</v>
      </c>
      <c r="V844" s="152">
        <v>45534</v>
      </c>
      <c r="W844" s="2">
        <f>VLOOKUP(Table1[[#This Row],[Status]],Auxiliar!$B$16:$D$24,3,0)*Table1[[#This Row],[Estimação (horas)]]</f>
        <v>0.1</v>
      </c>
      <c r="X844" s="2"/>
    </row>
    <row r="845" spans="2:24" ht="52.2" hidden="1" customHeight="1">
      <c r="B845" s="13" t="s">
        <v>26</v>
      </c>
      <c r="C845" s="13" t="s">
        <v>181</v>
      </c>
      <c r="D845" s="13" t="s">
        <v>1296</v>
      </c>
      <c r="E845" s="2" t="s">
        <v>38</v>
      </c>
      <c r="F845" s="13" t="s">
        <v>213</v>
      </c>
      <c r="G845" s="13" t="s">
        <v>236</v>
      </c>
      <c r="H845" s="58" t="str">
        <f>Table1[[#This Row],[Tabela]]&amp;Table1[[#This Row],[Campo]]</f>
        <v>modesg_inp_emss_vclsscp3_ftr_emss</v>
      </c>
      <c r="I845" s="2" t="s">
        <v>613</v>
      </c>
      <c r="J845" s="46">
        <f>VLOOKUP(Table1[[#This Row],[Status]],Auxiliar!$B$16:$C$24,2,0)</f>
        <v>1</v>
      </c>
      <c r="K845" s="21" t="s">
        <v>1257</v>
      </c>
      <c r="L845" s="2" t="s">
        <v>1244</v>
      </c>
      <c r="M845" s="21" t="s">
        <v>1254</v>
      </c>
      <c r="N845" s="48">
        <v>45546</v>
      </c>
      <c r="O845" s="21">
        <f>INDEX(Auxiliar!$D$5:$F$13,MATCH(Table1[[#This Row],[Tipologia_Testes]],Auxiliar!$B$5:$B$13,0),MATCH(Table1[[#This Row],[Complexidade]],Auxiliar!$D$4:$F$4,0))</f>
        <v>0.5</v>
      </c>
      <c r="P845" s="23" t="s">
        <v>1311</v>
      </c>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208</v>
      </c>
      <c r="H846" s="58" t="str">
        <f>Table1[[#This Row],[Tabela]]&amp;Table1[[#This Row],[Campo]]</f>
        <v>modesg_inp_km_medios_emss_vclsref_date</v>
      </c>
      <c r="I846" s="2" t="s">
        <v>613</v>
      </c>
      <c r="J846" s="46">
        <f>VLOOKUP(Table1[[#This Row],[Status]],Auxiliar!$B$16:$C$24,2,0)</f>
        <v>1</v>
      </c>
      <c r="K846" s="21" t="s">
        <v>1257</v>
      </c>
      <c r="L846" s="28"/>
      <c r="M846" s="21" t="s">
        <v>1254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1296</v>
      </c>
      <c r="E847" s="2" t="s">
        <v>38</v>
      </c>
      <c r="F847" s="13" t="s">
        <v>214</v>
      </c>
      <c r="G847" s="13" t="s">
        <v>222</v>
      </c>
      <c r="H847" s="58" t="str">
        <f>Table1[[#This Row],[Tabela]]&amp;Table1[[#This Row],[Campo]]</f>
        <v>modesg_inp_km_medios_emss_vclsnome_pais</v>
      </c>
      <c r="I847" s="2" t="s">
        <v>613</v>
      </c>
      <c r="J847" s="46">
        <f>VLOOKUP(Table1[[#This Row],[Status]],Auxiliar!$B$16:$C$24,2,0)</f>
        <v>1</v>
      </c>
      <c r="K847" s="21" t="s">
        <v>1249</v>
      </c>
      <c r="L847" s="28"/>
      <c r="M847" s="21" t="s">
        <v>1254</v>
      </c>
      <c r="N847" s="48">
        <v>45537</v>
      </c>
      <c r="O847" s="21">
        <f>INDEX(Auxiliar!$D$5:$F$13,MATCH(Table1[[#This Row],[Tipologia_Testes]],Auxiliar!$B$5:$B$13,0),MATCH(Table1[[#This Row],[Complexidade]],Auxiliar!$D$4:$F$4,0))</f>
        <v>0.1</v>
      </c>
      <c r="P847" s="2" t="s">
        <v>1312</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1296</v>
      </c>
      <c r="E848" s="2" t="s">
        <v>38</v>
      </c>
      <c r="F848" s="13" t="s">
        <v>214</v>
      </c>
      <c r="G848" s="13" t="s">
        <v>222</v>
      </c>
      <c r="H848" s="58" t="str">
        <f>Table1[[#This Row],[Tabela]]&amp;Table1[[#This Row],[Campo]]</f>
        <v>modesg_inp_km_medios_emss_vclsnome_pais</v>
      </c>
      <c r="I848" s="2" t="s">
        <v>613</v>
      </c>
      <c r="J848" s="46">
        <f>VLOOKUP(Table1[[#This Row],[Status]],Auxiliar!$B$16:$C$24,2,0)</f>
        <v>1</v>
      </c>
      <c r="K848" s="21" t="s">
        <v>1257</v>
      </c>
      <c r="L848" s="28"/>
      <c r="M848" s="21" t="s">
        <v>1254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1296</v>
      </c>
      <c r="E849" s="2" t="s">
        <v>38</v>
      </c>
      <c r="F849" s="13" t="s">
        <v>214</v>
      </c>
      <c r="G849" s="13" t="s">
        <v>237</v>
      </c>
      <c r="H849" s="58" t="str">
        <f>Table1[[#This Row],[Tabela]]&amp;Table1[[#This Row],[Campo]]</f>
        <v>modesg_inp_km_medios_emss_vclstipo_vcl</v>
      </c>
      <c r="I849" s="2" t="s">
        <v>613</v>
      </c>
      <c r="J849" s="46">
        <f>VLOOKUP(Table1[[#This Row],[Status]],Auxiliar!$B$16:$C$24,2,0)</f>
        <v>1</v>
      </c>
      <c r="K849" s="21" t="s">
        <v>1249</v>
      </c>
      <c r="L849" s="2" t="s">
        <v>1244</v>
      </c>
      <c r="M849" s="21" t="s">
        <v>1254</v>
      </c>
      <c r="N849" s="48">
        <v>45537</v>
      </c>
      <c r="O849" s="21">
        <f>INDEX(Auxiliar!$D$5:$F$13,MATCH(Table1[[#This Row],[Tipologia_Testes]],Auxiliar!$B$5:$B$13,0),MATCH(Table1[[#This Row],[Complexidade]],Auxiliar!$D$4:$F$4,0))</f>
        <v>0.1</v>
      </c>
      <c r="P849" s="2" t="s">
        <v>1313</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1296</v>
      </c>
      <c r="E850" s="2" t="s">
        <v>38</v>
      </c>
      <c r="F850" s="13" t="s">
        <v>214</v>
      </c>
      <c r="G850" s="13" t="s">
        <v>237</v>
      </c>
      <c r="H850" s="58" t="str">
        <f>Table1[[#This Row],[Tabela]]&amp;Table1[[#This Row],[Campo]]</f>
        <v>modesg_inp_km_medios_emss_vclstipo_vcl</v>
      </c>
      <c r="I850" s="2" t="s">
        <v>613</v>
      </c>
      <c r="J850" s="46">
        <f>VLOOKUP(Table1[[#This Row],[Status]],Auxiliar!$B$16:$C$24,2,0)</f>
        <v>1</v>
      </c>
      <c r="K850" s="21" t="s">
        <v>1257</v>
      </c>
      <c r="L850" s="2" t="s">
        <v>1244</v>
      </c>
      <c r="M850" s="21" t="s">
        <v>1254</v>
      </c>
      <c r="N850" s="48">
        <v>45537</v>
      </c>
      <c r="O850" s="21">
        <f>INDEX(Auxiliar!$D$5:$F$13,MATCH(Table1[[#This Row],[Tipologia_Testes]],Auxiliar!$B$5:$B$13,0),MATCH(Table1[[#This Row],[Complexidade]],Auxiliar!$D$4:$F$4,0))</f>
        <v>0.5</v>
      </c>
      <c r="P850" s="2" t="s">
        <v>1314</v>
      </c>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1296</v>
      </c>
      <c r="E851" s="2" t="s">
        <v>38</v>
      </c>
      <c r="F851" s="13" t="s">
        <v>214</v>
      </c>
      <c r="G851" s="13" t="s">
        <v>225</v>
      </c>
      <c r="H851" s="58" t="str">
        <f>Table1[[#This Row],[Tabela]]&amp;Table1[[#This Row],[Campo]]</f>
        <v>modesg_inp_km_medios_emss_vclstipo_motor</v>
      </c>
      <c r="I851" s="2" t="s">
        <v>613</v>
      </c>
      <c r="J851" s="46">
        <f>VLOOKUP(Table1[[#This Row],[Status]],Auxiliar!$B$16:$C$24,2,0)</f>
        <v>1</v>
      </c>
      <c r="K851" s="21" t="s">
        <v>1249</v>
      </c>
      <c r="L851" s="28"/>
      <c r="M851" s="21" t="s">
        <v>1254</v>
      </c>
      <c r="N851" s="48">
        <v>45537</v>
      </c>
      <c r="O851" s="21">
        <f>INDEX(Auxiliar!$D$5:$F$13,MATCH(Table1[[#This Row],[Tipologia_Testes]],Auxiliar!$B$5:$B$13,0),MATCH(Table1[[#This Row],[Complexidade]],Auxiliar!$D$4:$F$4,0))</f>
        <v>0.1</v>
      </c>
      <c r="P851" s="2" t="s">
        <v>1312</v>
      </c>
      <c r="Q851" s="2"/>
      <c r="R851" s="152">
        <v>45261</v>
      </c>
      <c r="S851" s="152"/>
      <c r="T851" s="152"/>
      <c r="U851" s="152">
        <v>45603</v>
      </c>
      <c r="V851" s="152">
        <v>45534</v>
      </c>
      <c r="W851" s="2">
        <f>VLOOKUP(Table1[[#This Row],[Status]],Auxiliar!$B$16:$D$24,3,0)*Table1[[#This Row],[Estimação (horas)]]</f>
        <v>0.1</v>
      </c>
      <c r="X851" s="2"/>
    </row>
    <row r="852" spans="2:24" ht="17.7" hidden="1" customHeight="1">
      <c r="B852" s="13" t="s">
        <v>26</v>
      </c>
      <c r="C852" s="13" t="s">
        <v>181</v>
      </c>
      <c r="D852" s="13" t="s">
        <v>1296</v>
      </c>
      <c r="E852" s="2" t="s">
        <v>38</v>
      </c>
      <c r="F852" s="13" t="s">
        <v>214</v>
      </c>
      <c r="G852" s="13" t="s">
        <v>225</v>
      </c>
      <c r="H852" s="58" t="str">
        <f>Table1[[#This Row],[Tabela]]&amp;Table1[[#This Row],[Campo]]</f>
        <v>modesg_inp_km_medios_emss_vclstipo_motor</v>
      </c>
      <c r="I852" s="2" t="s">
        <v>613</v>
      </c>
      <c r="J852" s="46">
        <f>VLOOKUP(Table1[[#This Row],[Status]],Auxiliar!$B$16:$C$24,2,0)</f>
        <v>1</v>
      </c>
      <c r="K852" s="21" t="s">
        <v>1257</v>
      </c>
      <c r="L852" s="28"/>
      <c r="M852" s="21" t="s">
        <v>1254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7" hidden="1" customHeight="1">
      <c r="B853" s="13" t="s">
        <v>26</v>
      </c>
      <c r="C853" s="13" t="s">
        <v>181</v>
      </c>
      <c r="D853" s="13" t="s">
        <v>1296</v>
      </c>
      <c r="E853" s="2" t="s">
        <v>38</v>
      </c>
      <c r="F853" s="13" t="s">
        <v>214</v>
      </c>
      <c r="G853" s="13" t="s">
        <v>228</v>
      </c>
      <c r="H853" s="58" t="str">
        <f>Table1[[#This Row],[Tabela]]&amp;Table1[[#This Row],[Campo]]</f>
        <v>modesg_inp_km_medios_emss_vclssubgrupo</v>
      </c>
      <c r="I853" s="2" t="s">
        <v>613</v>
      </c>
      <c r="J853" s="46">
        <f>VLOOKUP(Table1[[#This Row],[Status]],Auxiliar!$B$16:$C$24,2,0)</f>
        <v>1</v>
      </c>
      <c r="K853" s="21" t="s">
        <v>1249</v>
      </c>
      <c r="L853" s="2" t="s">
        <v>650</v>
      </c>
      <c r="M853" s="21" t="s">
        <v>1254</v>
      </c>
      <c r="N853" s="48">
        <v>45537</v>
      </c>
      <c r="O853" s="21">
        <f>INDEX(Auxiliar!$D$5:$F$13,MATCH(Table1[[#This Row],[Tipologia_Testes]],Auxiliar!$B$5:$B$13,0),MATCH(Table1[[#This Row],[Complexidade]],Auxiliar!$D$4:$F$4,0))</f>
        <v>0.1</v>
      </c>
      <c r="P853" s="2" t="s">
        <v>1312</v>
      </c>
      <c r="Q853" s="2"/>
      <c r="R853" s="152">
        <v>45261</v>
      </c>
      <c r="S853" s="152"/>
      <c r="T853" s="152"/>
      <c r="U853" s="152">
        <v>45603</v>
      </c>
      <c r="V853" s="152">
        <v>45534</v>
      </c>
      <c r="W853" s="2">
        <f>VLOOKUP(Table1[[#This Row],[Status]],Auxiliar!$B$16:$D$24,3,0)*Table1[[#This Row],[Estimação (horas)]]</f>
        <v>0.1</v>
      </c>
      <c r="X853" s="2"/>
    </row>
    <row r="854" spans="2:24" ht="17.7" hidden="1" customHeight="1">
      <c r="B854" s="13" t="s">
        <v>26</v>
      </c>
      <c r="C854" s="13" t="s">
        <v>181</v>
      </c>
      <c r="D854" s="13" t="s">
        <v>1296</v>
      </c>
      <c r="E854" s="2" t="s">
        <v>38</v>
      </c>
      <c r="F854" s="13" t="s">
        <v>214</v>
      </c>
      <c r="G854" s="13" t="s">
        <v>228</v>
      </c>
      <c r="H854" s="58" t="str">
        <f>Table1[[#This Row],[Tabela]]&amp;Table1[[#This Row],[Campo]]</f>
        <v>modesg_inp_km_medios_emss_vclssubgrupo</v>
      </c>
      <c r="I854" s="2" t="s">
        <v>613</v>
      </c>
      <c r="J854" s="46">
        <f>VLOOKUP(Table1[[#This Row],[Status]],Auxiliar!$B$16:$C$24,2,0)</f>
        <v>1</v>
      </c>
      <c r="K854" s="21" t="s">
        <v>1257</v>
      </c>
      <c r="L854" s="2" t="s">
        <v>650</v>
      </c>
      <c r="M854" s="21" t="s">
        <v>1254</v>
      </c>
      <c r="N854" s="48">
        <v>45537</v>
      </c>
      <c r="O854" s="21">
        <f>INDEX(Auxiliar!$D$5:$F$13,MATCH(Table1[[#This Row],[Tipologia_Testes]],Auxiliar!$B$5:$B$13,0),MATCH(Table1[[#This Row],[Complexidade]],Auxiliar!$D$4:$F$4,0))</f>
        <v>0.5</v>
      </c>
      <c r="P854" s="2"/>
      <c r="Q854" s="2"/>
      <c r="R854" s="152">
        <v>45261</v>
      </c>
      <c r="S854" s="152"/>
      <c r="T854" s="152"/>
      <c r="U854" s="152">
        <v>45603</v>
      </c>
      <c r="V854" s="152">
        <v>45534</v>
      </c>
      <c r="W854" s="2">
        <f>VLOOKUP(Table1[[#This Row],[Status]],Auxiliar!$B$16:$D$24,3,0)*Table1[[#This Row],[Estimação (horas)]]</f>
        <v>0.5</v>
      </c>
      <c r="X854" s="2"/>
    </row>
    <row r="855" spans="2:24" ht="17.7" hidden="1" customHeight="1">
      <c r="B855" s="13" t="s">
        <v>26</v>
      </c>
      <c r="C855" s="13" t="s">
        <v>181</v>
      </c>
      <c r="D855" s="13" t="s">
        <v>1296</v>
      </c>
      <c r="E855" s="2" t="s">
        <v>38</v>
      </c>
      <c r="F855" s="13" t="s">
        <v>214</v>
      </c>
      <c r="G855" s="13" t="s">
        <v>238</v>
      </c>
      <c r="H855" s="58" t="str">
        <f>Table1[[#This Row],[Tabela]]&amp;Table1[[#This Row],[Campo]]</f>
        <v>modesg_inp_km_medios_emss_vclsmedia_km</v>
      </c>
      <c r="I855" s="2" t="s">
        <v>613</v>
      </c>
      <c r="J855" s="46">
        <f>VLOOKUP(Table1[[#This Row],[Status]],Auxiliar!$B$16:$C$24,2,0)</f>
        <v>1</v>
      </c>
      <c r="K855" s="21" t="s">
        <v>1249</v>
      </c>
      <c r="L855" s="28"/>
      <c r="M855" s="21" t="s">
        <v>1254</v>
      </c>
      <c r="N855" s="48">
        <v>45537</v>
      </c>
      <c r="O855" s="21">
        <f>INDEX(Auxiliar!$D$5:$F$13,MATCH(Table1[[#This Row],[Tipologia_Testes]],Auxiliar!$B$5:$B$13,0),MATCH(Table1[[#This Row],[Complexidade]],Auxiliar!$D$4:$F$4,0))</f>
        <v>0.1</v>
      </c>
      <c r="P855" s="2" t="s">
        <v>1312</v>
      </c>
      <c r="Q855" s="2"/>
      <c r="R855" s="152">
        <v>45261</v>
      </c>
      <c r="S855" s="152"/>
      <c r="T855" s="152"/>
      <c r="U855" s="152">
        <v>45603</v>
      </c>
      <c r="V855" s="152">
        <v>45534</v>
      </c>
      <c r="W855" s="2">
        <f>VLOOKUP(Table1[[#This Row],[Status]],Auxiliar!$B$16:$D$24,3,0)*Table1[[#This Row],[Estimação (horas)]]</f>
        <v>0.1</v>
      </c>
      <c r="X855" s="2"/>
    </row>
    <row r="856" spans="2:24" ht="17.7" hidden="1" customHeight="1">
      <c r="B856" s="13" t="s">
        <v>26</v>
      </c>
      <c r="C856" s="13" t="s">
        <v>181</v>
      </c>
      <c r="D856" s="13" t="s">
        <v>1296</v>
      </c>
      <c r="E856" s="2" t="s">
        <v>38</v>
      </c>
      <c r="F856" s="13" t="s">
        <v>214</v>
      </c>
      <c r="G856" s="13" t="s">
        <v>238</v>
      </c>
      <c r="H856" s="58" t="str">
        <f>Table1[[#This Row],[Tabela]]&amp;Table1[[#This Row],[Campo]]</f>
        <v>modesg_inp_km_medios_emss_vclsmedia_km</v>
      </c>
      <c r="I856" s="2" t="s">
        <v>613</v>
      </c>
      <c r="J856" s="46">
        <f>VLOOKUP(Table1[[#This Row],[Status]],Auxiliar!$B$16:$C$24,2,0)</f>
        <v>1</v>
      </c>
      <c r="K856" s="21" t="s">
        <v>1257</v>
      </c>
      <c r="L856" s="28"/>
      <c r="M856" s="21" t="s">
        <v>1254</v>
      </c>
      <c r="N856" s="48">
        <v>45537</v>
      </c>
      <c r="O856" s="21">
        <f>INDEX(Auxiliar!$D$5:$F$13,MATCH(Table1[[#This Row],[Tipologia_Testes]],Auxiliar!$B$5:$B$13,0),MATCH(Table1[[#This Row],[Complexidade]],Auxiliar!$D$4:$F$4,0))</f>
        <v>0.5</v>
      </c>
      <c r="P856" s="2"/>
      <c r="Q856" s="2"/>
      <c r="R856" s="152">
        <v>45261</v>
      </c>
      <c r="S856" s="152"/>
      <c r="T856" s="152"/>
      <c r="U856" s="152">
        <v>45603</v>
      </c>
      <c r="V856" s="152">
        <v>45534</v>
      </c>
      <c r="W856" s="2">
        <f>VLOOKUP(Table1[[#This Row],[Status]],Auxiliar!$B$16:$D$24,3,0)*Table1[[#This Row],[Estimação (horas)]]</f>
        <v>0.5</v>
      </c>
      <c r="X856" s="2"/>
    </row>
    <row r="857" spans="2:24" ht="17.7" hidden="1" customHeight="1">
      <c r="B857" s="13" t="s">
        <v>26</v>
      </c>
      <c r="C857" s="13" t="s">
        <v>181</v>
      </c>
      <c r="D857" s="13" t="s">
        <v>1300</v>
      </c>
      <c r="E857" s="2" t="s">
        <v>38</v>
      </c>
      <c r="F857" s="13" t="s">
        <v>215</v>
      </c>
      <c r="G857" s="13" t="s">
        <v>208</v>
      </c>
      <c r="H857" s="58" t="str">
        <f>Table1[[#This Row],[Tabela]]&amp;Table1[[#This Row],[Campo]]</f>
        <v>modesg_inp_empr_excl_parisref_date</v>
      </c>
      <c r="I857" s="3" t="s">
        <v>613</v>
      </c>
      <c r="J857" s="54">
        <f>VLOOKUP(Table1[[#This Row],[Status]],Auxiliar!$B$16:$C$24,2,0)</f>
        <v>1</v>
      </c>
      <c r="K857" s="21" t="s">
        <v>1257</v>
      </c>
      <c r="L857" s="2" t="s">
        <v>1252</v>
      </c>
      <c r="M857" s="21" t="s">
        <v>1254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1315</v>
      </c>
    </row>
    <row r="858" spans="2:24" ht="17.7" hidden="1" customHeight="1">
      <c r="B858" s="13" t="s">
        <v>26</v>
      </c>
      <c r="C858" s="13" t="s">
        <v>181</v>
      </c>
      <c r="D858" s="13" t="s">
        <v>1300</v>
      </c>
      <c r="E858" s="2" t="s">
        <v>38</v>
      </c>
      <c r="F858" s="13" t="s">
        <v>215</v>
      </c>
      <c r="G858" s="13" t="s">
        <v>239</v>
      </c>
      <c r="H858" s="58" t="str">
        <f>Table1[[#This Row],[Tabela]]&amp;Table1[[#This Row],[Campo]]</f>
        <v>modesg_inp_empr_excl_parisisin</v>
      </c>
      <c r="I858" s="3" t="s">
        <v>613</v>
      </c>
      <c r="J858" s="54">
        <f>VLOOKUP(Table1[[#This Row],[Status]],Auxiliar!$B$16:$C$24,2,0)</f>
        <v>1</v>
      </c>
      <c r="K858" s="21" t="s">
        <v>1249</v>
      </c>
      <c r="L858" s="2" t="s">
        <v>1252</v>
      </c>
      <c r="M858" s="21" t="s">
        <v>1254</v>
      </c>
      <c r="N858" s="48">
        <v>45485</v>
      </c>
      <c r="O858" s="21">
        <f>INDEX(Auxiliar!$D$5:$F$13,MATCH(Table1[[#This Row],[Tipologia_Testes]],Auxiliar!$B$5:$B$13,0),MATCH(Table1[[#This Row],[Complexidade]],Auxiliar!$D$4:$F$4,0))</f>
        <v>0.1</v>
      </c>
      <c r="P858" s="2" t="s">
        <v>1316</v>
      </c>
      <c r="Q858" s="2"/>
      <c r="R858" s="152">
        <v>45261</v>
      </c>
      <c r="S858" s="152"/>
      <c r="T858" s="152"/>
      <c r="U858" s="152">
        <v>45603</v>
      </c>
      <c r="V858" s="152"/>
      <c r="W858" s="2">
        <f>VLOOKUP(Table1[[#This Row],[Status]],Auxiliar!$B$16:$D$24,3,0)*Table1[[#This Row],[Estimação (horas)]]</f>
        <v>0.1</v>
      </c>
      <c r="X858" s="2" t="s">
        <v>1315</v>
      </c>
    </row>
    <row r="859" spans="2:24" ht="17.7" hidden="1" customHeight="1">
      <c r="B859" s="13" t="s">
        <v>26</v>
      </c>
      <c r="C859" s="13" t="s">
        <v>181</v>
      </c>
      <c r="D859" s="13" t="s">
        <v>1300</v>
      </c>
      <c r="E859" s="2" t="s">
        <v>38</v>
      </c>
      <c r="F859" s="13" t="s">
        <v>215</v>
      </c>
      <c r="G859" s="13" t="s">
        <v>239</v>
      </c>
      <c r="H859" s="58" t="str">
        <f>Table1[[#This Row],[Tabela]]&amp;Table1[[#This Row],[Campo]]</f>
        <v>modesg_inp_empr_excl_parisisin</v>
      </c>
      <c r="I859" s="3" t="s">
        <v>613</v>
      </c>
      <c r="J859" s="54">
        <f>VLOOKUP(Table1[[#This Row],[Status]],Auxiliar!$B$16:$C$24,2,0)</f>
        <v>1</v>
      </c>
      <c r="K859" s="21" t="s">
        <v>1257</v>
      </c>
      <c r="L859" s="2" t="s">
        <v>1244</v>
      </c>
      <c r="M859" s="21" t="s">
        <v>1254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1315</v>
      </c>
    </row>
    <row r="860" spans="2:24" ht="17.7" hidden="1" customHeight="1">
      <c r="B860" s="13" t="s">
        <v>26</v>
      </c>
      <c r="C860" s="13" t="s">
        <v>181</v>
      </c>
      <c r="D860" s="13" t="s">
        <v>1300</v>
      </c>
      <c r="E860" s="2" t="s">
        <v>38</v>
      </c>
      <c r="F860" s="13" t="s">
        <v>215</v>
      </c>
      <c r="G860" s="13" t="s">
        <v>240</v>
      </c>
      <c r="H860" s="58" t="str">
        <f>Table1[[#This Row],[Tabela]]&amp;Table1[[#This Row],[Campo]]</f>
        <v>modesg_inp_empr_excl_parisclei</v>
      </c>
      <c r="I860" s="3" t="s">
        <v>613</v>
      </c>
      <c r="J860" s="54">
        <f>VLOOKUP(Table1[[#This Row],[Status]],Auxiliar!$B$16:$C$24,2,0)</f>
        <v>1</v>
      </c>
      <c r="K860" s="21" t="s">
        <v>1249</v>
      </c>
      <c r="L860" s="2" t="s">
        <v>1252</v>
      </c>
      <c r="M860" s="21" t="s">
        <v>1254</v>
      </c>
      <c r="N860" s="48">
        <v>45485</v>
      </c>
      <c r="O860" s="21">
        <f>INDEX(Auxiliar!$D$5:$F$13,MATCH(Table1[[#This Row],[Tipologia_Testes]],Auxiliar!$B$5:$B$13,0),MATCH(Table1[[#This Row],[Complexidade]],Auxiliar!$D$4:$F$4,0))</f>
        <v>0.1</v>
      </c>
      <c r="P860" s="2" t="s">
        <v>1316</v>
      </c>
      <c r="Q860" s="2"/>
      <c r="R860" s="152">
        <v>45261</v>
      </c>
      <c r="S860" s="152"/>
      <c r="T860" s="152"/>
      <c r="U860" s="152">
        <v>45603</v>
      </c>
      <c r="V860" s="152"/>
      <c r="W860" s="2">
        <f>VLOOKUP(Table1[[#This Row],[Status]],Auxiliar!$B$16:$D$24,3,0)*Table1[[#This Row],[Estimação (horas)]]</f>
        <v>0.1</v>
      </c>
      <c r="X860" s="2" t="s">
        <v>1315</v>
      </c>
    </row>
    <row r="861" spans="2:24" ht="17.7" hidden="1" customHeight="1">
      <c r="B861" s="13" t="s">
        <v>26</v>
      </c>
      <c r="C861" s="13" t="s">
        <v>181</v>
      </c>
      <c r="D861" s="13" t="s">
        <v>1300</v>
      </c>
      <c r="E861" s="2" t="s">
        <v>38</v>
      </c>
      <c r="F861" s="13" t="s">
        <v>215</v>
      </c>
      <c r="G861" s="13" t="s">
        <v>240</v>
      </c>
      <c r="H861" s="58" t="str">
        <f>Table1[[#This Row],[Tabela]]&amp;Table1[[#This Row],[Campo]]</f>
        <v>modesg_inp_empr_excl_parisclei</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241</v>
      </c>
      <c r="H862" s="58" t="str">
        <f>Table1[[#This Row],[Tabela]]&amp;Table1[[#This Row],[Campo]]</f>
        <v>modesg_inp_empr_excl_parisccli_kgl</v>
      </c>
      <c r="I862" s="3" t="s">
        <v>613</v>
      </c>
      <c r="J862" s="54">
        <f>VLOOKUP(Table1[[#This Row],[Status]],Auxiliar!$B$16:$C$24,2,0)</f>
        <v>1</v>
      </c>
      <c r="K862" s="21" t="s">
        <v>1249</v>
      </c>
      <c r="L862" s="2" t="s">
        <v>1252</v>
      </c>
      <c r="M862" s="21" t="s">
        <v>1254</v>
      </c>
      <c r="N862" s="48">
        <v>45485</v>
      </c>
      <c r="O862" s="21">
        <f>INDEX(Auxiliar!$D$5:$F$13,MATCH(Table1[[#This Row],[Tipologia_Testes]],Auxiliar!$B$5:$B$13,0),MATCH(Table1[[#This Row],[Complexidade]],Auxiliar!$D$4:$F$4,0))</f>
        <v>0.1</v>
      </c>
      <c r="P862" s="2" t="s">
        <v>1316</v>
      </c>
      <c r="Q862" s="2"/>
      <c r="R862" s="152">
        <v>45261</v>
      </c>
      <c r="S862" s="152"/>
      <c r="T862" s="152"/>
      <c r="U862" s="152">
        <v>45603</v>
      </c>
      <c r="V862" s="152"/>
      <c r="W862" s="2">
        <f>VLOOKUP(Table1[[#This Row],[Status]],Auxiliar!$B$16:$D$24,3,0)*Table1[[#This Row],[Estimação (horas)]]</f>
        <v>0.1</v>
      </c>
      <c r="X862" s="2" t="s">
        <v>1315</v>
      </c>
    </row>
    <row r="863" spans="2:24" ht="17.7" hidden="1" customHeight="1">
      <c r="B863" s="13" t="s">
        <v>26</v>
      </c>
      <c r="C863" s="13" t="s">
        <v>181</v>
      </c>
      <c r="D863" s="13" t="s">
        <v>1300</v>
      </c>
      <c r="E863" s="2" t="s">
        <v>38</v>
      </c>
      <c r="F863" s="13" t="s">
        <v>215</v>
      </c>
      <c r="G863" s="13" t="s">
        <v>241</v>
      </c>
      <c r="H863" s="58" t="str">
        <f>Table1[[#This Row],[Tabela]]&amp;Table1[[#This Row],[Campo]]</f>
        <v>modesg_inp_empr_excl_parisccli_kgl</v>
      </c>
      <c r="I863" s="3" t="s">
        <v>613</v>
      </c>
      <c r="J863" s="54">
        <f>VLOOKUP(Table1[[#This Row],[Status]],Auxiliar!$B$16:$C$24,2,0)</f>
        <v>1</v>
      </c>
      <c r="K863" s="21" t="s">
        <v>1257</v>
      </c>
      <c r="L863" s="2" t="s">
        <v>1252</v>
      </c>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1300</v>
      </c>
      <c r="E864" s="2" t="s">
        <v>38</v>
      </c>
      <c r="F864" s="13" t="s">
        <v>215</v>
      </c>
      <c r="G864" s="13" t="s">
        <v>242</v>
      </c>
      <c r="H864" s="58" t="str">
        <f>Table1[[#This Row],[Tabela]]&amp;Table1[[#This Row],[Campo]]</f>
        <v>modesg_inp_empr_excl_parisnome_entidade</v>
      </c>
      <c r="I864" s="3" t="s">
        <v>613</v>
      </c>
      <c r="J864" s="54">
        <f>VLOOKUP(Table1[[#This Row],[Status]],Auxiliar!$B$16:$C$24,2,0)</f>
        <v>1</v>
      </c>
      <c r="K864" s="21" t="s">
        <v>1257</v>
      </c>
      <c r="L864" s="2" t="s">
        <v>1252</v>
      </c>
      <c r="M864" s="21" t="s">
        <v>1254</v>
      </c>
      <c r="N864" s="48">
        <v>45485</v>
      </c>
      <c r="O864" s="21">
        <f>INDEX(Auxiliar!$D$5:$F$13,MATCH(Table1[[#This Row],[Tipologia_Testes]],Auxiliar!$B$5:$B$13,0),MATCH(Table1[[#This Row],[Complexidade]],Auxiliar!$D$4:$F$4,0))</f>
        <v>0.5</v>
      </c>
      <c r="P864" s="2"/>
      <c r="Q864" s="2"/>
      <c r="R864" s="152">
        <v>45261</v>
      </c>
      <c r="S864" s="152"/>
      <c r="T864" s="152"/>
      <c r="U864" s="152">
        <v>45603</v>
      </c>
      <c r="V864" s="152"/>
      <c r="W864" s="2">
        <f>VLOOKUP(Table1[[#This Row],[Status]],Auxiliar!$B$16:$D$24,3,0)*Table1[[#This Row],[Estimação (horas)]]</f>
        <v>0.5</v>
      </c>
      <c r="X864" s="2" t="s">
        <v>1315</v>
      </c>
    </row>
    <row r="865" spans="2:24" ht="17.7" hidden="1" customHeight="1">
      <c r="B865" s="13" t="s">
        <v>26</v>
      </c>
      <c r="C865" s="13" t="s">
        <v>181</v>
      </c>
      <c r="D865" s="13" t="s">
        <v>1300</v>
      </c>
      <c r="E865" s="2" t="s">
        <v>38</v>
      </c>
      <c r="F865" s="13" t="s">
        <v>215</v>
      </c>
      <c r="G865" s="13" t="s">
        <v>243</v>
      </c>
      <c r="H865" s="58" t="str">
        <f>Table1[[#This Row],[Tabela]]&amp;Table1[[#This Row],[Campo]]</f>
        <v>modesg_inp_empr_excl_parisflg_scib</v>
      </c>
      <c r="I865" s="3" t="s">
        <v>613</v>
      </c>
      <c r="J865" s="54">
        <f>VLOOKUP(Table1[[#This Row],[Status]],Auxiliar!$B$16:$C$24,2,0)</f>
        <v>1</v>
      </c>
      <c r="K865" s="21" t="s">
        <v>1257</v>
      </c>
      <c r="L865" s="2" t="s">
        <v>1252</v>
      </c>
      <c r="M865" s="21" t="s">
        <v>1254</v>
      </c>
      <c r="N865" s="48">
        <v>45485</v>
      </c>
      <c r="O865" s="21">
        <f>INDEX(Auxiliar!$D$5:$F$13,MATCH(Table1[[#This Row],[Tipologia_Testes]],Auxiliar!$B$5:$B$13,0),MATCH(Table1[[#This Row],[Complexidade]],Auxiliar!$D$4:$F$4,0))</f>
        <v>0.5</v>
      </c>
      <c r="P865" s="2"/>
      <c r="Q865" s="2"/>
      <c r="R865" s="152">
        <v>45261</v>
      </c>
      <c r="S865" s="152"/>
      <c r="T865" s="152"/>
      <c r="U865" s="152">
        <v>45603</v>
      </c>
      <c r="V865" s="152"/>
      <c r="W865" s="2">
        <f>VLOOKUP(Table1[[#This Row],[Status]],Auxiliar!$B$16:$D$24,3,0)*Table1[[#This Row],[Estimação (horas)]]</f>
        <v>0.5</v>
      </c>
      <c r="X865" s="2" t="s">
        <v>1315</v>
      </c>
    </row>
    <row r="866" spans="2:24" ht="17.7" hidden="1" customHeight="1">
      <c r="B866" s="13" t="s">
        <v>26</v>
      </c>
      <c r="C866" s="13" t="s">
        <v>181</v>
      </c>
      <c r="D866" s="13" t="s">
        <v>1300</v>
      </c>
      <c r="E866" s="2" t="s">
        <v>38</v>
      </c>
      <c r="F866" s="13" t="s">
        <v>215</v>
      </c>
      <c r="G866" s="13" t="s">
        <v>222</v>
      </c>
      <c r="H866" s="58" t="str">
        <f>Table1[[#This Row],[Tabela]]&amp;Table1[[#This Row],[Campo]]</f>
        <v>modesg_inp_empr_excl_parisnome_pais</v>
      </c>
      <c r="I866" s="3" t="s">
        <v>613</v>
      </c>
      <c r="J866" s="54">
        <f>VLOOKUP(Table1[[#This Row],[Status]],Auxiliar!$B$16:$C$24,2,0)</f>
        <v>1</v>
      </c>
      <c r="K866" s="21" t="s">
        <v>1257</v>
      </c>
      <c r="L866" s="28"/>
      <c r="M866" s="21" t="s">
        <v>1254</v>
      </c>
      <c r="N866" s="48">
        <v>45485</v>
      </c>
      <c r="O866" s="21">
        <f>INDEX(Auxiliar!$D$5:$F$13,MATCH(Table1[[#This Row],[Tipologia_Testes]],Auxiliar!$B$5:$B$13,0),MATCH(Table1[[#This Row],[Complexidade]],Auxiliar!$D$4:$F$4,0))</f>
        <v>0.5</v>
      </c>
      <c r="P866" s="2"/>
      <c r="Q866" s="2"/>
      <c r="R866" s="152">
        <v>45261</v>
      </c>
      <c r="S866" s="152"/>
      <c r="T866" s="152"/>
      <c r="U866" s="152">
        <v>45603</v>
      </c>
      <c r="V866" s="152"/>
      <c r="W866" s="2">
        <f>VLOOKUP(Table1[[#This Row],[Status]],Auxiliar!$B$16:$D$24,3,0)*Table1[[#This Row],[Estimação (horas)]]</f>
        <v>0.5</v>
      </c>
      <c r="X866" s="2" t="s">
        <v>1315</v>
      </c>
    </row>
    <row r="867" spans="2:24" ht="17.7" hidden="1" customHeight="1">
      <c r="B867" s="13" t="s">
        <v>26</v>
      </c>
      <c r="C867" s="13" t="s">
        <v>181</v>
      </c>
      <c r="D867" s="13" t="s">
        <v>1303</v>
      </c>
      <c r="E867" s="2" t="s">
        <v>38</v>
      </c>
      <c r="F867" s="13" t="s">
        <v>216</v>
      </c>
      <c r="G867" s="13" t="s">
        <v>208</v>
      </c>
      <c r="H867" s="58" t="str">
        <f>Table1[[#This Row],[Tabela]]&amp;Table1[[#This Row],[Campo]]</f>
        <v>modesg_inp_nfrd_alinhamento_taxref_date</v>
      </c>
      <c r="I867" s="2" t="s">
        <v>613</v>
      </c>
      <c r="J867" s="46">
        <f>VLOOKUP(Table1[[#This Row],[Status]],Auxiliar!$B$16:$C$24,2,0)</f>
        <v>1</v>
      </c>
      <c r="K867" s="21" t="s">
        <v>1257</v>
      </c>
      <c r="L867" s="28"/>
      <c r="M867" s="21" t="s">
        <v>1254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1303</v>
      </c>
      <c r="E868" s="2" t="s">
        <v>38</v>
      </c>
      <c r="F868" s="13" t="s">
        <v>216</v>
      </c>
      <c r="G868" s="13" t="s">
        <v>241</v>
      </c>
      <c r="H868" s="58" t="str">
        <f>Table1[[#This Row],[Tabela]]&amp;Table1[[#This Row],[Campo]]</f>
        <v>modesg_inp_nfrd_alinhamento_taxccli_kgl</v>
      </c>
      <c r="I868" s="2" t="s">
        <v>613</v>
      </c>
      <c r="J868" s="46">
        <f>VLOOKUP(Table1[[#This Row],[Status]],Auxiliar!$B$16:$C$24,2,0)</f>
        <v>1</v>
      </c>
      <c r="K868" s="21" t="s">
        <v>1249</v>
      </c>
      <c r="L868" s="28"/>
      <c r="M868" s="21" t="s">
        <v>1254</v>
      </c>
      <c r="N868" s="48">
        <v>45540</v>
      </c>
      <c r="O868" s="21">
        <f>INDEX(Auxiliar!$D$5:$F$13,MATCH(Table1[[#This Row],[Tipologia_Testes]],Auxiliar!$B$5:$B$13,0),MATCH(Table1[[#This Row],[Complexidade]],Auxiliar!$D$4:$F$4,0))</f>
        <v>0.1</v>
      </c>
      <c r="P868" s="2" t="s">
        <v>1317</v>
      </c>
      <c r="Q868" s="2"/>
      <c r="R868" s="152">
        <v>45261</v>
      </c>
      <c r="S868" s="152"/>
      <c r="T868" s="152"/>
      <c r="U868" s="152">
        <v>45603</v>
      </c>
      <c r="V868" s="152">
        <v>45534</v>
      </c>
      <c r="W868" s="2">
        <f>VLOOKUP(Table1[[#This Row],[Status]],Auxiliar!$B$16:$D$24,3,0)*Table1[[#This Row],[Estimação (horas)]]</f>
        <v>0.1</v>
      </c>
      <c r="X868" s="2"/>
    </row>
    <row r="869" spans="2:24" ht="17.7" hidden="1" customHeight="1">
      <c r="B869" s="13" t="s">
        <v>26</v>
      </c>
      <c r="C869" s="13" t="s">
        <v>181</v>
      </c>
      <c r="D869" s="13" t="s">
        <v>1303</v>
      </c>
      <c r="E869" s="2" t="s">
        <v>38</v>
      </c>
      <c r="F869" s="13" t="s">
        <v>216</v>
      </c>
      <c r="G869" s="13" t="s">
        <v>241</v>
      </c>
      <c r="H869" s="58" t="str">
        <f>Table1[[#This Row],[Tabela]]&amp;Table1[[#This Row],[Campo]]</f>
        <v>modesg_inp_nfrd_alinhamento_taxccli_kgl</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240</v>
      </c>
      <c r="H870" s="58" t="str">
        <f>Table1[[#This Row],[Tabela]]&amp;Table1[[#This Row],[Campo]]</f>
        <v>modesg_inp_nfrd_alinhamento_taxclei</v>
      </c>
      <c r="I870" s="2" t="s">
        <v>613</v>
      </c>
      <c r="J870" s="46">
        <f>VLOOKUP(Table1[[#This Row],[Status]],Auxiliar!$B$16:$C$24,2,0)</f>
        <v>1</v>
      </c>
      <c r="K870" s="21" t="s">
        <v>1249</v>
      </c>
      <c r="L870" s="28"/>
      <c r="M870" s="21" t="s">
        <v>1254</v>
      </c>
      <c r="N870" s="48">
        <v>45540</v>
      </c>
      <c r="O870" s="21">
        <f>INDEX(Auxiliar!$D$5:$F$13,MATCH(Table1[[#This Row],[Tipologia_Testes]],Auxiliar!$B$5:$B$13,0),MATCH(Table1[[#This Row],[Complexidade]],Auxiliar!$D$4:$F$4,0))</f>
        <v>0.1</v>
      </c>
      <c r="P870" s="2" t="s">
        <v>1317</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1303</v>
      </c>
      <c r="E871" s="2" t="s">
        <v>38</v>
      </c>
      <c r="F871" s="13" t="s">
        <v>216</v>
      </c>
      <c r="G871" s="13" t="s">
        <v>240</v>
      </c>
      <c r="H871" s="58" t="str">
        <f>Table1[[#This Row],[Tabela]]&amp;Table1[[#This Row],[Campo]]</f>
        <v>modesg_inp_nfrd_alinhamento_taxclei</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244</v>
      </c>
      <c r="H872" s="58" t="str">
        <f>Table1[[#This Row],[Tabela]]&amp;Table1[[#This Row],[Campo]]</f>
        <v>modesg_inp_nfrd_alinhamento_taxperm_id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242</v>
      </c>
      <c r="H873" s="58" t="str">
        <f>Table1[[#This Row],[Tabela]]&amp;Table1[[#This Row],[Campo]]</f>
        <v>modesg_inp_nfrd_alinhamento_taxnome_entidade</v>
      </c>
      <c r="I873" s="2" t="s">
        <v>613</v>
      </c>
      <c r="J873" s="46">
        <f>VLOOKUP(Table1[[#This Row],[Status]],Auxiliar!$B$16:$C$24,2,0)</f>
        <v>1</v>
      </c>
      <c r="K873" s="21" t="s">
        <v>1257</v>
      </c>
      <c r="L873" s="28"/>
      <c r="M873" s="21" t="s">
        <v>1254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1303</v>
      </c>
      <c r="E874" s="2" t="s">
        <v>38</v>
      </c>
      <c r="F874" s="13" t="s">
        <v>216</v>
      </c>
      <c r="G874" s="13" t="s">
        <v>222</v>
      </c>
      <c r="H874" s="58" t="str">
        <f>Table1[[#This Row],[Tabela]]&amp;Table1[[#This Row],[Campo]]</f>
        <v>modesg_inp_nfrd_alinhamento_taxnome_pais</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245</v>
      </c>
      <c r="H875" s="58" t="str">
        <f>Table1[[#This Row],[Tabela]]&amp;Table1[[#This Row],[Campo]]</f>
        <v>modesg_inp_nfrd_alinhamento_taxflg_nfrd</v>
      </c>
      <c r="I875" s="2" t="s">
        <v>613</v>
      </c>
      <c r="J875" s="46">
        <f>VLOOKUP(Table1[[#This Row],[Status]],Auxiliar!$B$16:$C$24,2,0)</f>
        <v>1</v>
      </c>
      <c r="K875" s="21" t="s">
        <v>1257</v>
      </c>
      <c r="L875" s="28"/>
      <c r="M875" s="21" t="s">
        <v>1254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1303</v>
      </c>
      <c r="E876" s="2" t="s">
        <v>38</v>
      </c>
      <c r="F876" s="13" t="s">
        <v>216</v>
      </c>
      <c r="G876" s="13" t="s">
        <v>246</v>
      </c>
      <c r="H876" s="58" t="str">
        <f>Table1[[#This Row],[Tabela]]&amp;Table1[[#This Row],[Campo]]</f>
        <v>modesg_inp_nfrd_alinhamento_taxcca_trnvr_ttl_elgbl</v>
      </c>
      <c r="I876" s="2" t="s">
        <v>613</v>
      </c>
      <c r="J876" s="46">
        <f>VLOOKUP(Table1[[#This Row],[Status]],Auxiliar!$B$16:$C$24,2,0)</f>
        <v>1</v>
      </c>
      <c r="K876" s="21" t="s">
        <v>1249</v>
      </c>
      <c r="L876" s="28"/>
      <c r="M876" s="21" t="s">
        <v>1254</v>
      </c>
      <c r="N876" s="48">
        <v>45540</v>
      </c>
      <c r="O876" s="21">
        <f>INDEX(Auxiliar!$D$5:$F$13,MATCH(Table1[[#This Row],[Tipologia_Testes]],Auxiliar!$B$5:$B$13,0),MATCH(Table1[[#This Row],[Complexidade]],Auxiliar!$D$4:$F$4,0))</f>
        <v>0.1</v>
      </c>
      <c r="P876" s="2" t="s">
        <v>1318</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1303</v>
      </c>
      <c r="E877" s="2" t="s">
        <v>38</v>
      </c>
      <c r="F877" s="13" t="s">
        <v>216</v>
      </c>
      <c r="G877" s="13" t="s">
        <v>246</v>
      </c>
      <c r="H877" s="58" t="str">
        <f>Table1[[#This Row],[Tabela]]&amp;Table1[[#This Row],[Campo]]</f>
        <v>modesg_inp_nfrd_alinhamento_taxcca_trnvr_ttl_elgbl</v>
      </c>
      <c r="I877" s="2" t="s">
        <v>613</v>
      </c>
      <c r="J877" s="46">
        <f>VLOOKUP(Table1[[#This Row],[Status]],Auxiliar!$B$16:$C$24,2,0)</f>
        <v>1</v>
      </c>
      <c r="K877" s="21" t="s">
        <v>1257</v>
      </c>
      <c r="L877" s="28"/>
      <c r="M877" s="21" t="s">
        <v>1254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1303</v>
      </c>
      <c r="E878" s="2" t="s">
        <v>38</v>
      </c>
      <c r="F878" s="13" t="s">
        <v>216</v>
      </c>
      <c r="G878" s="13" t="s">
        <v>247</v>
      </c>
      <c r="H878" s="58" t="str">
        <f>Table1[[#This Row],[Tabela]]&amp;Table1[[#This Row],[Campo]]</f>
        <v>modesg_inp_nfrd_alinhamento_taxcca_trnvr_enblng_alignd</v>
      </c>
      <c r="I878" s="2" t="s">
        <v>613</v>
      </c>
      <c r="J878" s="46">
        <f>VLOOKUP(Table1[[#This Row],[Status]],Auxiliar!$B$16:$C$24,2,0)</f>
        <v>1</v>
      </c>
      <c r="K878" s="21" t="s">
        <v>1249</v>
      </c>
      <c r="L878" s="28"/>
      <c r="M878" s="21" t="s">
        <v>1254</v>
      </c>
      <c r="N878" s="48">
        <v>45540</v>
      </c>
      <c r="O878" s="21">
        <f>INDEX(Auxiliar!$D$5:$F$13,MATCH(Table1[[#This Row],[Tipologia_Testes]],Auxiliar!$B$5:$B$13,0),MATCH(Table1[[#This Row],[Complexidade]],Auxiliar!$D$4:$F$4,0))</f>
        <v>0.1</v>
      </c>
      <c r="P878" s="2" t="s">
        <v>1318</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1303</v>
      </c>
      <c r="E879" s="2" t="s">
        <v>38</v>
      </c>
      <c r="F879" s="13" t="s">
        <v>216</v>
      </c>
      <c r="G879" s="13" t="s">
        <v>247</v>
      </c>
      <c r="H879" s="58" t="str">
        <f>Table1[[#This Row],[Tabela]]&amp;Table1[[#This Row],[Campo]]</f>
        <v>modesg_inp_nfrd_alinhamento_taxcca_trnvr_enblng_alignd</v>
      </c>
      <c r="I879" s="2" t="s">
        <v>613</v>
      </c>
      <c r="J879" s="46">
        <f>VLOOKUP(Table1[[#This Row],[Status]],Auxiliar!$B$16:$C$24,2,0)</f>
        <v>1</v>
      </c>
      <c r="K879" s="21" t="s">
        <v>1257</v>
      </c>
      <c r="L879" s="28"/>
      <c r="M879" s="21" t="s">
        <v>1254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1303</v>
      </c>
      <c r="E880" s="2" t="s">
        <v>38</v>
      </c>
      <c r="F880" s="13" t="s">
        <v>216</v>
      </c>
      <c r="G880" s="13" t="s">
        <v>248</v>
      </c>
      <c r="H880" s="58" t="str">
        <f>Table1[[#This Row],[Tabela]]&amp;Table1[[#This Row],[Campo]]</f>
        <v>modesg_inp_nfrd_alinhamento_taxcca_turnover_own_prfrmnce_algnd</v>
      </c>
      <c r="I880" s="2" t="s">
        <v>613</v>
      </c>
      <c r="J880" s="46">
        <f>VLOOKUP(Table1[[#This Row],[Status]],Auxiliar!$B$16:$C$24,2,0)</f>
        <v>1</v>
      </c>
      <c r="K880" s="21" t="s">
        <v>1249</v>
      </c>
      <c r="L880" s="28"/>
      <c r="M880" s="21" t="s">
        <v>1254</v>
      </c>
      <c r="N880" s="48">
        <v>45540</v>
      </c>
      <c r="O880" s="21">
        <f>INDEX(Auxiliar!$D$5:$F$13,MATCH(Table1[[#This Row],[Tipologia_Testes]],Auxiliar!$B$5:$B$13,0),MATCH(Table1[[#This Row],[Complexidade]],Auxiliar!$D$4:$F$4,0))</f>
        <v>0.1</v>
      </c>
      <c r="P880" s="2" t="s">
        <v>1318</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1303</v>
      </c>
      <c r="E881" s="2" t="s">
        <v>38</v>
      </c>
      <c r="F881" s="13" t="s">
        <v>216</v>
      </c>
      <c r="G881" s="13" t="s">
        <v>248</v>
      </c>
      <c r="H881" s="58" t="str">
        <f>Table1[[#This Row],[Tabela]]&amp;Table1[[#This Row],[Campo]]</f>
        <v>modesg_inp_nfrd_alinhamento_taxcca_turnover_own_prfrmnce_algnd</v>
      </c>
      <c r="I881" s="2" t="s">
        <v>613</v>
      </c>
      <c r="J881" s="46">
        <f>VLOOKUP(Table1[[#This Row],[Status]],Auxiliar!$B$16:$C$24,2,0)</f>
        <v>1</v>
      </c>
      <c r="K881" s="21" t="s">
        <v>1257</v>
      </c>
      <c r="L881" s="28"/>
      <c r="M881" s="21" t="s">
        <v>1254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1303</v>
      </c>
      <c r="E882" s="2" t="s">
        <v>38</v>
      </c>
      <c r="F882" s="13" t="s">
        <v>216</v>
      </c>
      <c r="G882" s="13" t="s">
        <v>249</v>
      </c>
      <c r="H882" s="58" t="str">
        <f>Table1[[#This Row],[Tabela]]&amp;Table1[[#This Row],[Campo]]</f>
        <v>modesg_inp_nfrd_alinhamento_taxcca_capex_ttl_elgbl</v>
      </c>
      <c r="I882" s="2" t="s">
        <v>613</v>
      </c>
      <c r="J882" s="46">
        <f>VLOOKUP(Table1[[#This Row],[Status]],Auxiliar!$B$16:$C$24,2,0)</f>
        <v>1</v>
      </c>
      <c r="K882" s="21" t="s">
        <v>1249</v>
      </c>
      <c r="L882" s="28"/>
      <c r="M882" s="21" t="s">
        <v>1254</v>
      </c>
      <c r="N882" s="48">
        <v>45540</v>
      </c>
      <c r="O882" s="21">
        <f>INDEX(Auxiliar!$D$5:$F$13,MATCH(Table1[[#This Row],[Tipologia_Testes]],Auxiliar!$B$5:$B$13,0),MATCH(Table1[[#This Row],[Complexidade]],Auxiliar!$D$4:$F$4,0))</f>
        <v>0.1</v>
      </c>
      <c r="P882" s="2" t="s">
        <v>1318</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1303</v>
      </c>
      <c r="E883" s="2" t="s">
        <v>38</v>
      </c>
      <c r="F883" s="13" t="s">
        <v>216</v>
      </c>
      <c r="G883" s="13" t="s">
        <v>249</v>
      </c>
      <c r="H883" s="58" t="str">
        <f>Table1[[#This Row],[Tabela]]&amp;Table1[[#This Row],[Campo]]</f>
        <v>modesg_inp_nfrd_alinhamento_taxcca_capex_ttl_elgbl</v>
      </c>
      <c r="I883" s="2" t="s">
        <v>613</v>
      </c>
      <c r="J883" s="46">
        <f>VLOOKUP(Table1[[#This Row],[Status]],Auxiliar!$B$16:$C$24,2,0)</f>
        <v>1</v>
      </c>
      <c r="K883" s="21" t="s">
        <v>1257</v>
      </c>
      <c r="L883" s="28"/>
      <c r="M883" s="21" t="s">
        <v>1254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1303</v>
      </c>
      <c r="E884" s="2" t="s">
        <v>38</v>
      </c>
      <c r="F884" s="13" t="s">
        <v>216</v>
      </c>
      <c r="G884" s="13" t="s">
        <v>250</v>
      </c>
      <c r="H884" s="58" t="str">
        <f>Table1[[#This Row],[Tabela]]&amp;Table1[[#This Row],[Campo]]</f>
        <v>modesg_inp_nfrd_alinhamento_taxcca_capex_enblng_algnd</v>
      </c>
      <c r="I884" s="2" t="s">
        <v>613</v>
      </c>
      <c r="J884" s="46">
        <f>VLOOKUP(Table1[[#This Row],[Status]],Auxiliar!$B$16:$C$24,2,0)</f>
        <v>1</v>
      </c>
      <c r="K884" s="21" t="s">
        <v>1249</v>
      </c>
      <c r="L884" s="28"/>
      <c r="M884" s="21" t="s">
        <v>1254</v>
      </c>
      <c r="N884" s="48">
        <v>45540</v>
      </c>
      <c r="O884" s="21">
        <f>INDEX(Auxiliar!$D$5:$F$13,MATCH(Table1[[#This Row],[Tipologia_Testes]],Auxiliar!$B$5:$B$13,0),MATCH(Table1[[#This Row],[Complexidade]],Auxiliar!$D$4:$F$4,0))</f>
        <v>0.1</v>
      </c>
      <c r="P884" s="2" t="s">
        <v>1318</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1303</v>
      </c>
      <c r="E885" s="2" t="s">
        <v>38</v>
      </c>
      <c r="F885" s="13" t="s">
        <v>216</v>
      </c>
      <c r="G885" s="13" t="s">
        <v>250</v>
      </c>
      <c r="H885" s="58" t="str">
        <f>Table1[[#This Row],[Tabela]]&amp;Table1[[#This Row],[Campo]]</f>
        <v>modesg_inp_nfrd_alinhamento_taxcca_capex_enblng_algnd</v>
      </c>
      <c r="I885" s="2" t="s">
        <v>613</v>
      </c>
      <c r="J885" s="46">
        <f>VLOOKUP(Table1[[#This Row],[Status]],Auxiliar!$B$16:$C$24,2,0)</f>
        <v>1</v>
      </c>
      <c r="K885" s="21" t="s">
        <v>1257</v>
      </c>
      <c r="L885" s="28"/>
      <c r="M885" s="21" t="s">
        <v>1254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1303</v>
      </c>
      <c r="E886" s="2" t="s">
        <v>38</v>
      </c>
      <c r="F886" s="13" t="s">
        <v>216</v>
      </c>
      <c r="G886" s="13" t="s">
        <v>251</v>
      </c>
      <c r="H886" s="58" t="str">
        <f>Table1[[#This Row],[Tabela]]&amp;Table1[[#This Row],[Campo]]</f>
        <v>modesg_inp_nfrd_alinhamento_taxcca_capex_own_prfrmnce_algnd</v>
      </c>
      <c r="I886" s="2" t="s">
        <v>613</v>
      </c>
      <c r="J886" s="46">
        <f>VLOOKUP(Table1[[#This Row],[Status]],Auxiliar!$B$16:$C$24,2,0)</f>
        <v>1</v>
      </c>
      <c r="K886" s="21" t="s">
        <v>1249</v>
      </c>
      <c r="L886" s="28"/>
      <c r="M886" s="21" t="s">
        <v>1254</v>
      </c>
      <c r="N886" s="48">
        <v>45540</v>
      </c>
      <c r="O886" s="21">
        <f>INDEX(Auxiliar!$D$5:$F$13,MATCH(Table1[[#This Row],[Tipologia_Testes]],Auxiliar!$B$5:$B$13,0),MATCH(Table1[[#This Row],[Complexidade]],Auxiliar!$D$4:$F$4,0))</f>
        <v>0.1</v>
      </c>
      <c r="P886" s="2" t="s">
        <v>1318</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1303</v>
      </c>
      <c r="E887" s="2" t="s">
        <v>38</v>
      </c>
      <c r="F887" s="13" t="s">
        <v>216</v>
      </c>
      <c r="G887" s="13" t="s">
        <v>251</v>
      </c>
      <c r="H887" s="58" t="str">
        <f>Table1[[#This Row],[Tabela]]&amp;Table1[[#This Row],[Campo]]</f>
        <v>modesg_inp_nfrd_alinhamento_taxcca_capex_own_prfrmnce_algnd</v>
      </c>
      <c r="I887" s="2" t="s">
        <v>613</v>
      </c>
      <c r="J887" s="46">
        <f>VLOOKUP(Table1[[#This Row],[Status]],Auxiliar!$B$16:$C$24,2,0)</f>
        <v>1</v>
      </c>
      <c r="K887" s="21" t="s">
        <v>1257</v>
      </c>
      <c r="L887" s="28"/>
      <c r="M887" s="21" t="s">
        <v>1254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1303</v>
      </c>
      <c r="E888" s="2" t="s">
        <v>38</v>
      </c>
      <c r="F888" s="13" t="s">
        <v>216</v>
      </c>
      <c r="G888" s="13" t="s">
        <v>252</v>
      </c>
      <c r="H888" s="58" t="str">
        <f>Table1[[#This Row],[Tabela]]&amp;Table1[[#This Row],[Campo]]</f>
        <v>modesg_inp_nfrd_alinhamento_taxccm_trnvr_ttl_elgbl</v>
      </c>
      <c r="I888" s="2" t="s">
        <v>613</v>
      </c>
      <c r="J888" s="46">
        <f>VLOOKUP(Table1[[#This Row],[Status]],Auxiliar!$B$16:$C$24,2,0)</f>
        <v>1</v>
      </c>
      <c r="K888" s="21" t="s">
        <v>1249</v>
      </c>
      <c r="L888" s="28"/>
      <c r="M888" s="21" t="s">
        <v>1254</v>
      </c>
      <c r="N888" s="48">
        <v>45540</v>
      </c>
      <c r="O888" s="21">
        <f>INDEX(Auxiliar!$D$5:$F$13,MATCH(Table1[[#This Row],[Tipologia_Testes]],Auxiliar!$B$5:$B$13,0),MATCH(Table1[[#This Row],[Complexidade]],Auxiliar!$D$4:$F$4,0))</f>
        <v>0.1</v>
      </c>
      <c r="P888" s="2" t="s">
        <v>1318</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1303</v>
      </c>
      <c r="E889" s="2" t="s">
        <v>38</v>
      </c>
      <c r="F889" s="13" t="s">
        <v>216</v>
      </c>
      <c r="G889" s="13" t="s">
        <v>252</v>
      </c>
      <c r="H889" s="58" t="str">
        <f>Table1[[#This Row],[Tabela]]&amp;Table1[[#This Row],[Campo]]</f>
        <v>modesg_inp_nfrd_alinhamento_taxccm_trnvr_ttl_elgbl</v>
      </c>
      <c r="I889" s="2" t="s">
        <v>613</v>
      </c>
      <c r="J889" s="46">
        <f>VLOOKUP(Table1[[#This Row],[Status]],Auxiliar!$B$16:$C$24,2,0)</f>
        <v>1</v>
      </c>
      <c r="K889" s="21" t="s">
        <v>1257</v>
      </c>
      <c r="L889" s="28"/>
      <c r="M889" s="21" t="s">
        <v>1254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1303</v>
      </c>
      <c r="E890" s="2" t="s">
        <v>38</v>
      </c>
      <c r="F890" s="13" t="s">
        <v>216</v>
      </c>
      <c r="G890" s="13" t="s">
        <v>253</v>
      </c>
      <c r="H890" s="58" t="str">
        <f>Table1[[#This Row],[Tabela]]&amp;Table1[[#This Row],[Campo]]</f>
        <v>modesg_inp_nfrd_alinhamento_taxccm_trnvr_enblng_algnd</v>
      </c>
      <c r="I890" s="2" t="s">
        <v>613</v>
      </c>
      <c r="J890" s="46">
        <f>VLOOKUP(Table1[[#This Row],[Status]],Auxiliar!$B$16:$C$24,2,0)</f>
        <v>1</v>
      </c>
      <c r="K890" s="21" t="s">
        <v>1249</v>
      </c>
      <c r="L890" s="28"/>
      <c r="M890" s="21" t="s">
        <v>1254</v>
      </c>
      <c r="N890" s="48">
        <v>45540</v>
      </c>
      <c r="O890" s="21">
        <f>INDEX(Auxiliar!$D$5:$F$13,MATCH(Table1[[#This Row],[Tipologia_Testes]],Auxiliar!$B$5:$B$13,0),MATCH(Table1[[#This Row],[Complexidade]],Auxiliar!$D$4:$F$4,0))</f>
        <v>0.1</v>
      </c>
      <c r="P890" s="2" t="s">
        <v>1318</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1303</v>
      </c>
      <c r="E891" s="2" t="s">
        <v>38</v>
      </c>
      <c r="F891" s="13" t="s">
        <v>216</v>
      </c>
      <c r="G891" s="13" t="s">
        <v>253</v>
      </c>
      <c r="H891" s="58" t="str">
        <f>Table1[[#This Row],[Tabela]]&amp;Table1[[#This Row],[Campo]]</f>
        <v>modesg_inp_nfrd_alinhamento_taxccm_trnvr_enblng_algnd</v>
      </c>
      <c r="I891" s="2" t="s">
        <v>613</v>
      </c>
      <c r="J891" s="46">
        <f>VLOOKUP(Table1[[#This Row],[Status]],Auxiliar!$B$16:$C$24,2,0)</f>
        <v>1</v>
      </c>
      <c r="K891" s="21" t="s">
        <v>1257</v>
      </c>
      <c r="L891" s="28"/>
      <c r="M891" s="21" t="s">
        <v>1254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1303</v>
      </c>
      <c r="E892" s="2" t="s">
        <v>38</v>
      </c>
      <c r="F892" s="13" t="s">
        <v>216</v>
      </c>
      <c r="G892" s="13" t="s">
        <v>254</v>
      </c>
      <c r="H892" s="58" t="str">
        <f>Table1[[#This Row],[Tabela]]&amp;Table1[[#This Row],[Campo]]</f>
        <v>modesg_inp_nfrd_alinhamento_taxccm_trnvr_trnstn_alignd</v>
      </c>
      <c r="I892" s="2" t="s">
        <v>613</v>
      </c>
      <c r="J892" s="46">
        <f>VLOOKUP(Table1[[#This Row],[Status]],Auxiliar!$B$16:$C$24,2,0)</f>
        <v>1</v>
      </c>
      <c r="K892" s="21" t="s">
        <v>1249</v>
      </c>
      <c r="L892" s="28"/>
      <c r="M892" s="21" t="s">
        <v>1254</v>
      </c>
      <c r="N892" s="48">
        <v>45540</v>
      </c>
      <c r="O892" s="21">
        <f>INDEX(Auxiliar!$D$5:$F$13,MATCH(Table1[[#This Row],[Tipologia_Testes]],Auxiliar!$B$5:$B$13,0),MATCH(Table1[[#This Row],[Complexidade]],Auxiliar!$D$4:$F$4,0))</f>
        <v>0.1</v>
      </c>
      <c r="P892" s="2" t="s">
        <v>1318</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1303</v>
      </c>
      <c r="E893" s="2" t="s">
        <v>38</v>
      </c>
      <c r="F893" s="13" t="s">
        <v>216</v>
      </c>
      <c r="G893" s="13" t="s">
        <v>254</v>
      </c>
      <c r="H893" s="58" t="str">
        <f>Table1[[#This Row],[Tabela]]&amp;Table1[[#This Row],[Campo]]</f>
        <v>modesg_inp_nfrd_alinhamento_taxccm_trnvr_trnstn_alignd</v>
      </c>
      <c r="I893" s="2" t="s">
        <v>613</v>
      </c>
      <c r="J893" s="46">
        <f>VLOOKUP(Table1[[#This Row],[Status]],Auxiliar!$B$16:$C$24,2,0)</f>
        <v>1</v>
      </c>
      <c r="K893" s="21" t="s">
        <v>1257</v>
      </c>
      <c r="L893" s="28"/>
      <c r="M893" s="21" t="s">
        <v>1254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1303</v>
      </c>
      <c r="E894" s="2" t="s">
        <v>38</v>
      </c>
      <c r="F894" s="13" t="s">
        <v>216</v>
      </c>
      <c r="G894" s="13" t="s">
        <v>255</v>
      </c>
      <c r="H894" s="58" t="str">
        <f>Table1[[#This Row],[Tabela]]&amp;Table1[[#This Row],[Campo]]</f>
        <v>modesg_inp_nfrd_alinhamento_taxccm_trnvr_own_prfrmnce_algnd</v>
      </c>
      <c r="I894" s="2" t="s">
        <v>613</v>
      </c>
      <c r="J894" s="46">
        <f>VLOOKUP(Table1[[#This Row],[Status]],Auxiliar!$B$16:$C$24,2,0)</f>
        <v>1</v>
      </c>
      <c r="K894" s="21" t="s">
        <v>1249</v>
      </c>
      <c r="L894" s="28"/>
      <c r="M894" s="21" t="s">
        <v>1254</v>
      </c>
      <c r="N894" s="48">
        <v>45540</v>
      </c>
      <c r="O894" s="21">
        <f>INDEX(Auxiliar!$D$5:$F$13,MATCH(Table1[[#This Row],[Tipologia_Testes]],Auxiliar!$B$5:$B$13,0),MATCH(Table1[[#This Row],[Complexidade]],Auxiliar!$D$4:$F$4,0))</f>
        <v>0.1</v>
      </c>
      <c r="P894" s="2" t="s">
        <v>1318</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1303</v>
      </c>
      <c r="E895" s="2" t="s">
        <v>38</v>
      </c>
      <c r="F895" s="13" t="s">
        <v>216</v>
      </c>
      <c r="G895" s="13" t="s">
        <v>255</v>
      </c>
      <c r="H895" s="58" t="str">
        <f>Table1[[#This Row],[Tabela]]&amp;Table1[[#This Row],[Campo]]</f>
        <v>modesg_inp_nfrd_alinhamento_taxccm_trnvr_own_prfrmnce_algnd</v>
      </c>
      <c r="I895" s="2" t="s">
        <v>613</v>
      </c>
      <c r="J895" s="46">
        <f>VLOOKUP(Table1[[#This Row],[Status]],Auxiliar!$B$16:$C$24,2,0)</f>
        <v>1</v>
      </c>
      <c r="K895" s="21" t="s">
        <v>1257</v>
      </c>
      <c r="L895" s="28"/>
      <c r="M895" s="21" t="s">
        <v>1254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1303</v>
      </c>
      <c r="E896" s="2" t="s">
        <v>38</v>
      </c>
      <c r="F896" s="13" t="s">
        <v>216</v>
      </c>
      <c r="G896" s="13" t="s">
        <v>256</v>
      </c>
      <c r="H896" s="58" t="str">
        <f>Table1[[#This Row],[Tabela]]&amp;Table1[[#This Row],[Campo]]</f>
        <v>modesg_inp_nfrd_alinhamento_taxccm_capex_ttl_elgbl</v>
      </c>
      <c r="I896" s="2" t="s">
        <v>613</v>
      </c>
      <c r="J896" s="46">
        <f>VLOOKUP(Table1[[#This Row],[Status]],Auxiliar!$B$16:$C$24,2,0)</f>
        <v>1</v>
      </c>
      <c r="K896" s="21" t="s">
        <v>1249</v>
      </c>
      <c r="L896" s="28"/>
      <c r="M896" s="21" t="s">
        <v>1254</v>
      </c>
      <c r="N896" s="48">
        <v>45540</v>
      </c>
      <c r="O896" s="21">
        <f>INDEX(Auxiliar!$D$5:$F$13,MATCH(Table1[[#This Row],[Tipologia_Testes]],Auxiliar!$B$5:$B$13,0),MATCH(Table1[[#This Row],[Complexidade]],Auxiliar!$D$4:$F$4,0))</f>
        <v>0.1</v>
      </c>
      <c r="P896" s="2" t="s">
        <v>1318</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1303</v>
      </c>
      <c r="E897" s="2" t="s">
        <v>38</v>
      </c>
      <c r="F897" s="13" t="s">
        <v>216</v>
      </c>
      <c r="G897" s="13" t="s">
        <v>256</v>
      </c>
      <c r="H897" s="58" t="str">
        <f>Table1[[#This Row],[Tabela]]&amp;Table1[[#This Row],[Campo]]</f>
        <v>modesg_inp_nfrd_alinhamento_taxccm_capex_ttl_elgbl</v>
      </c>
      <c r="I897" s="2" t="s">
        <v>613</v>
      </c>
      <c r="J897" s="46">
        <f>VLOOKUP(Table1[[#This Row],[Status]],Auxiliar!$B$16:$C$24,2,0)</f>
        <v>1</v>
      </c>
      <c r="K897" s="21" t="s">
        <v>1257</v>
      </c>
      <c r="L897" s="28"/>
      <c r="M897" s="21" t="s">
        <v>1254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1303</v>
      </c>
      <c r="E898" s="2" t="s">
        <v>38</v>
      </c>
      <c r="F898" s="13" t="s">
        <v>216</v>
      </c>
      <c r="G898" s="13" t="s">
        <v>257</v>
      </c>
      <c r="H898" s="58" t="str">
        <f>Table1[[#This Row],[Tabela]]&amp;Table1[[#This Row],[Campo]]</f>
        <v>modesg_inp_nfrd_alinhamento_taxccm_capex_enblng_algnd</v>
      </c>
      <c r="I898" s="2" t="s">
        <v>613</v>
      </c>
      <c r="J898" s="46">
        <f>VLOOKUP(Table1[[#This Row],[Status]],Auxiliar!$B$16:$C$24,2,0)</f>
        <v>1</v>
      </c>
      <c r="K898" s="21" t="s">
        <v>1249</v>
      </c>
      <c r="L898" s="28"/>
      <c r="M898" s="21" t="s">
        <v>1254</v>
      </c>
      <c r="N898" s="48">
        <v>45540</v>
      </c>
      <c r="O898" s="21">
        <f>INDEX(Auxiliar!$D$5:$F$13,MATCH(Table1[[#This Row],[Tipologia_Testes]],Auxiliar!$B$5:$B$13,0),MATCH(Table1[[#This Row],[Complexidade]],Auxiliar!$D$4:$F$4,0))</f>
        <v>0.1</v>
      </c>
      <c r="P898" s="2" t="s">
        <v>1318</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1303</v>
      </c>
      <c r="E899" s="2" t="s">
        <v>38</v>
      </c>
      <c r="F899" s="13" t="s">
        <v>216</v>
      </c>
      <c r="G899" s="13" t="s">
        <v>257</v>
      </c>
      <c r="H899" s="58" t="str">
        <f>Table1[[#This Row],[Tabela]]&amp;Table1[[#This Row],[Campo]]</f>
        <v>modesg_inp_nfrd_alinhamento_taxccm_capex_enblng_algnd</v>
      </c>
      <c r="I899" s="2" t="s">
        <v>613</v>
      </c>
      <c r="J899" s="46">
        <f>VLOOKUP(Table1[[#This Row],[Status]],Auxiliar!$B$16:$C$24,2,0)</f>
        <v>1</v>
      </c>
      <c r="K899" s="21" t="s">
        <v>1257</v>
      </c>
      <c r="L899" s="28"/>
      <c r="M899" s="21" t="s">
        <v>1254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1303</v>
      </c>
      <c r="E900" s="2" t="s">
        <v>38</v>
      </c>
      <c r="F900" s="13" t="s">
        <v>216</v>
      </c>
      <c r="G900" s="13" t="s">
        <v>258</v>
      </c>
      <c r="H900" s="58" t="str">
        <f>Table1[[#This Row],[Tabela]]&amp;Table1[[#This Row],[Campo]]</f>
        <v>modesg_inp_nfrd_alinhamento_taxccm_capex_trnstn_algnd</v>
      </c>
      <c r="I900" s="2" t="s">
        <v>613</v>
      </c>
      <c r="J900" s="46">
        <f>VLOOKUP(Table1[[#This Row],[Status]],Auxiliar!$B$16:$C$24,2,0)</f>
        <v>1</v>
      </c>
      <c r="K900" s="21" t="s">
        <v>1249</v>
      </c>
      <c r="L900" s="28"/>
      <c r="M900" s="21" t="s">
        <v>1254</v>
      </c>
      <c r="N900" s="48">
        <v>45540</v>
      </c>
      <c r="O900" s="21">
        <f>INDEX(Auxiliar!$D$5:$F$13,MATCH(Table1[[#This Row],[Tipologia_Testes]],Auxiliar!$B$5:$B$13,0),MATCH(Table1[[#This Row],[Complexidade]],Auxiliar!$D$4:$F$4,0))</f>
        <v>0.1</v>
      </c>
      <c r="P900" s="2" t="s">
        <v>1318</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1303</v>
      </c>
      <c r="E901" s="2" t="s">
        <v>38</v>
      </c>
      <c r="F901" s="13" t="s">
        <v>216</v>
      </c>
      <c r="G901" s="13" t="s">
        <v>258</v>
      </c>
      <c r="H901" s="58" t="str">
        <f>Table1[[#This Row],[Tabela]]&amp;Table1[[#This Row],[Campo]]</f>
        <v>modesg_inp_nfrd_alinhamento_taxccm_capex_trnstn_algnd</v>
      </c>
      <c r="I901" s="2" t="s">
        <v>613</v>
      </c>
      <c r="J901" s="46">
        <f>VLOOKUP(Table1[[#This Row],[Status]],Auxiliar!$B$16:$C$24,2,0)</f>
        <v>1</v>
      </c>
      <c r="K901" s="21" t="s">
        <v>1257</v>
      </c>
      <c r="L901" s="28"/>
      <c r="M901" s="21" t="s">
        <v>1254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1303</v>
      </c>
      <c r="E902" s="2" t="s">
        <v>38</v>
      </c>
      <c r="F902" s="13" t="s">
        <v>216</v>
      </c>
      <c r="G902" s="13" t="s">
        <v>259</v>
      </c>
      <c r="H902" s="58" t="str">
        <f>Table1[[#This Row],[Tabela]]&amp;Table1[[#This Row],[Campo]]</f>
        <v>modesg_inp_nfrd_alinhamento_taxccm_capex_own_prfrmnce_algnd</v>
      </c>
      <c r="I902" s="2" t="s">
        <v>613</v>
      </c>
      <c r="J902" s="46">
        <f>VLOOKUP(Table1[[#This Row],[Status]],Auxiliar!$B$16:$C$24,2,0)</f>
        <v>1</v>
      </c>
      <c r="K902" s="21" t="s">
        <v>1249</v>
      </c>
      <c r="L902" s="28"/>
      <c r="M902" s="21" t="s">
        <v>1254</v>
      </c>
      <c r="N902" s="48">
        <v>45540</v>
      </c>
      <c r="O902" s="21">
        <f>INDEX(Auxiliar!$D$5:$F$13,MATCH(Table1[[#This Row],[Tipologia_Testes]],Auxiliar!$B$5:$B$13,0),MATCH(Table1[[#This Row],[Complexidade]],Auxiliar!$D$4:$F$4,0))</f>
        <v>0.1</v>
      </c>
      <c r="P902" s="2" t="s">
        <v>1319</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1303</v>
      </c>
      <c r="E903" s="2" t="s">
        <v>38</v>
      </c>
      <c r="F903" s="13" t="s">
        <v>216</v>
      </c>
      <c r="G903" s="13" t="s">
        <v>259</v>
      </c>
      <c r="H903" s="58" t="str">
        <f>Table1[[#This Row],[Tabela]]&amp;Table1[[#This Row],[Campo]]</f>
        <v>modesg_inp_nfrd_alinhamento_taxccm_capex_own_prfrmnce_algnd</v>
      </c>
      <c r="I903" s="2" t="s">
        <v>613</v>
      </c>
      <c r="J903" s="46">
        <f>VLOOKUP(Table1[[#This Row],[Status]],Auxiliar!$B$16:$C$24,2,0)</f>
        <v>1</v>
      </c>
      <c r="K903" s="21" t="s">
        <v>1257</v>
      </c>
      <c r="L903" s="28"/>
      <c r="M903" s="21" t="s">
        <v>1254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1303</v>
      </c>
      <c r="E904" s="2" t="s">
        <v>38</v>
      </c>
      <c r="F904" s="13" t="s">
        <v>216</v>
      </c>
      <c r="G904" s="13" t="s">
        <v>260</v>
      </c>
      <c r="H904" s="58" t="str">
        <f>Table1[[#This Row],[Tabela]]&amp;Table1[[#This Row],[Campo]]</f>
        <v>modesg_inp_nfrd_alinhamento_taxppc_trnvr_ttl_elgbl</v>
      </c>
      <c r="I904" s="2" t="s">
        <v>613</v>
      </c>
      <c r="J904" s="46">
        <f>VLOOKUP(Table1[[#This Row],[Status]],Auxiliar!$B$16:$C$24,2,0)</f>
        <v>1</v>
      </c>
      <c r="K904" s="21" t="s">
        <v>1249</v>
      </c>
      <c r="L904" s="2" t="s">
        <v>650</v>
      </c>
      <c r="M904" s="21" t="s">
        <v>1254</v>
      </c>
      <c r="N904" s="48">
        <v>45540</v>
      </c>
      <c r="O904" s="21">
        <f>INDEX(Auxiliar!$D$5:$F$13,MATCH(Table1[[#This Row],[Tipologia_Testes]],Auxiliar!$B$5:$B$13,0),MATCH(Table1[[#This Row],[Complexidade]],Auxiliar!$D$4:$F$4,0))</f>
        <v>0.1</v>
      </c>
      <c r="P904" s="2" t="s">
        <v>1320</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1303</v>
      </c>
      <c r="E905" s="2" t="s">
        <v>38</v>
      </c>
      <c r="F905" s="13" t="s">
        <v>216</v>
      </c>
      <c r="G905" s="13" t="s">
        <v>260</v>
      </c>
      <c r="H905" s="58" t="str">
        <f>Table1[[#This Row],[Tabela]]&amp;Table1[[#This Row],[Campo]]</f>
        <v>modesg_inp_nfrd_alinhamento_taxppc_trnvr_ttl_elgbl</v>
      </c>
      <c r="I905" s="2" t="s">
        <v>613</v>
      </c>
      <c r="J905" s="46">
        <f>VLOOKUP(Table1[[#This Row],[Status]],Auxiliar!$B$16:$C$24,2,0)</f>
        <v>1</v>
      </c>
      <c r="K905" s="21" t="s">
        <v>1257</v>
      </c>
      <c r="L905" s="2" t="s">
        <v>650</v>
      </c>
      <c r="M905" s="21" t="s">
        <v>1254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1303</v>
      </c>
      <c r="E906" s="2" t="s">
        <v>38</v>
      </c>
      <c r="F906" s="13" t="s">
        <v>216</v>
      </c>
      <c r="G906" s="13" t="s">
        <v>261</v>
      </c>
      <c r="H906" s="58" t="str">
        <f>Table1[[#This Row],[Tabela]]&amp;Table1[[#This Row],[Campo]]</f>
        <v>modesg_inp_nfrd_alinhamento_taxppc_turnover_own_prfrmnce_algnd</v>
      </c>
      <c r="I906" s="2" t="s">
        <v>613</v>
      </c>
      <c r="J906" s="46">
        <f>VLOOKUP(Table1[[#This Row],[Status]],Auxiliar!$B$16:$C$24,2,0)</f>
        <v>1</v>
      </c>
      <c r="K906" s="21" t="s">
        <v>1249</v>
      </c>
      <c r="L906" s="2" t="s">
        <v>650</v>
      </c>
      <c r="M906" s="21" t="s">
        <v>1254</v>
      </c>
      <c r="N906" s="48">
        <v>45540</v>
      </c>
      <c r="O906" s="21">
        <f>INDEX(Auxiliar!$D$5:$F$13,MATCH(Table1[[#This Row],[Tipologia_Testes]],Auxiliar!$B$5:$B$13,0),MATCH(Table1[[#This Row],[Complexidade]],Auxiliar!$D$4:$F$4,0))</f>
        <v>0.1</v>
      </c>
      <c r="P906" s="2" t="s">
        <v>1320</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1303</v>
      </c>
      <c r="E907" s="2" t="s">
        <v>38</v>
      </c>
      <c r="F907" s="13" t="s">
        <v>216</v>
      </c>
      <c r="G907" s="13" t="s">
        <v>261</v>
      </c>
      <c r="H907" s="58" t="str">
        <f>Table1[[#This Row],[Tabela]]&amp;Table1[[#This Row],[Campo]]</f>
        <v>modesg_inp_nfrd_alinhamento_taxppc_turnover_own_prfrmnce_algnd</v>
      </c>
      <c r="I907" s="2" t="s">
        <v>613</v>
      </c>
      <c r="J907" s="46">
        <f>VLOOKUP(Table1[[#This Row],[Status]],Auxiliar!$B$16:$C$24,2,0)</f>
        <v>1</v>
      </c>
      <c r="K907" s="21" t="s">
        <v>1257</v>
      </c>
      <c r="L907" s="2" t="s">
        <v>650</v>
      </c>
      <c r="M907" s="21" t="s">
        <v>1254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1303</v>
      </c>
      <c r="E908" s="2" t="s">
        <v>38</v>
      </c>
      <c r="F908" s="13" t="s">
        <v>216</v>
      </c>
      <c r="G908" s="13" t="s">
        <v>262</v>
      </c>
      <c r="H908" s="58" t="str">
        <f>Table1[[#This Row],[Tabela]]&amp;Table1[[#This Row],[Campo]]</f>
        <v>modesg_inp_nfrd_alinhamento_taxppc_capex_ttl_elgbl</v>
      </c>
      <c r="I908" s="2" t="s">
        <v>613</v>
      </c>
      <c r="J908" s="46">
        <f>VLOOKUP(Table1[[#This Row],[Status]],Auxiliar!$B$16:$C$24,2,0)</f>
        <v>1</v>
      </c>
      <c r="K908" s="21" t="s">
        <v>1249</v>
      </c>
      <c r="L908" s="2" t="s">
        <v>650</v>
      </c>
      <c r="M908" s="21" t="s">
        <v>1254</v>
      </c>
      <c r="N908" s="48">
        <v>45540</v>
      </c>
      <c r="O908" s="21">
        <f>INDEX(Auxiliar!$D$5:$F$13,MATCH(Table1[[#This Row],[Tipologia_Testes]],Auxiliar!$B$5:$B$13,0),MATCH(Table1[[#This Row],[Complexidade]],Auxiliar!$D$4:$F$4,0))</f>
        <v>0.1</v>
      </c>
      <c r="P908" s="2" t="s">
        <v>1320</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1303</v>
      </c>
      <c r="E909" s="2" t="s">
        <v>38</v>
      </c>
      <c r="F909" s="13" t="s">
        <v>216</v>
      </c>
      <c r="G909" s="13" t="s">
        <v>262</v>
      </c>
      <c r="H909" s="58" t="str">
        <f>Table1[[#This Row],[Tabela]]&amp;Table1[[#This Row],[Campo]]</f>
        <v>modesg_inp_nfrd_alinhamento_taxppc_capex_ttl_elgbl</v>
      </c>
      <c r="I909" s="2" t="s">
        <v>613</v>
      </c>
      <c r="J909" s="46">
        <f>VLOOKUP(Table1[[#This Row],[Status]],Auxiliar!$B$16:$C$24,2,0)</f>
        <v>1</v>
      </c>
      <c r="K909" s="21" t="s">
        <v>1257</v>
      </c>
      <c r="L909" s="2" t="s">
        <v>650</v>
      </c>
      <c r="M909" s="21" t="s">
        <v>1254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1303</v>
      </c>
      <c r="E910" s="2" t="s">
        <v>38</v>
      </c>
      <c r="F910" s="13" t="s">
        <v>216</v>
      </c>
      <c r="G910" s="13" t="s">
        <v>263</v>
      </c>
      <c r="H910" s="58" t="str">
        <f>Table1[[#This Row],[Tabela]]&amp;Table1[[#This Row],[Campo]]</f>
        <v>modesg_inp_nfrd_alinhamento_taxppc_capex_own_prfrmnce_algnd</v>
      </c>
      <c r="I910" s="2" t="s">
        <v>613</v>
      </c>
      <c r="J910" s="46">
        <f>VLOOKUP(Table1[[#This Row],[Status]],Auxiliar!$B$16:$C$24,2,0)</f>
        <v>1</v>
      </c>
      <c r="K910" s="21" t="s">
        <v>1249</v>
      </c>
      <c r="L910" s="2" t="s">
        <v>650</v>
      </c>
      <c r="M910" s="21" t="s">
        <v>1254</v>
      </c>
      <c r="N910" s="48">
        <v>45540</v>
      </c>
      <c r="O910" s="21">
        <f>INDEX(Auxiliar!$D$5:$F$13,MATCH(Table1[[#This Row],[Tipologia_Testes]],Auxiliar!$B$5:$B$13,0),MATCH(Table1[[#This Row],[Complexidade]],Auxiliar!$D$4:$F$4,0))</f>
        <v>0.1</v>
      </c>
      <c r="P910" s="2" t="s">
        <v>1320</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1303</v>
      </c>
      <c r="E911" s="2" t="s">
        <v>38</v>
      </c>
      <c r="F911" s="13" t="s">
        <v>216</v>
      </c>
      <c r="G911" s="13" t="s">
        <v>263</v>
      </c>
      <c r="H911" s="58" t="str">
        <f>Table1[[#This Row],[Tabela]]&amp;Table1[[#This Row],[Campo]]</f>
        <v>modesg_inp_nfrd_alinhamento_taxppc_capex_own_prfrmnce_algnd</v>
      </c>
      <c r="I911" s="2" t="s">
        <v>613</v>
      </c>
      <c r="J911" s="46">
        <f>VLOOKUP(Table1[[#This Row],[Status]],Auxiliar!$B$16:$C$24,2,0)</f>
        <v>1</v>
      </c>
      <c r="K911" s="21" t="s">
        <v>1257</v>
      </c>
      <c r="L911" s="2" t="s">
        <v>650</v>
      </c>
      <c r="M911" s="21" t="s">
        <v>1254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1303</v>
      </c>
      <c r="E912" s="2" t="s">
        <v>38</v>
      </c>
      <c r="F912" s="13" t="s">
        <v>216</v>
      </c>
      <c r="G912" s="13" t="s">
        <v>264</v>
      </c>
      <c r="H912" s="58" t="str">
        <f>Table1[[#This Row],[Tabela]]&amp;Table1[[#This Row],[Campo]]</f>
        <v>modesg_inp_nfrd_alinhamento_taxbio_trnvr_ttl_elgbl</v>
      </c>
      <c r="I912" s="2" t="s">
        <v>613</v>
      </c>
      <c r="J912" s="46">
        <f>VLOOKUP(Table1[[#This Row],[Status]],Auxiliar!$B$16:$C$24,2,0)</f>
        <v>1</v>
      </c>
      <c r="K912" s="21" t="s">
        <v>1249</v>
      </c>
      <c r="L912" s="2" t="s">
        <v>650</v>
      </c>
      <c r="M912" s="21" t="s">
        <v>1254</v>
      </c>
      <c r="N912" s="48">
        <v>45540</v>
      </c>
      <c r="O912" s="21">
        <f>INDEX(Auxiliar!$D$5:$F$13,MATCH(Table1[[#This Row],[Tipologia_Testes]],Auxiliar!$B$5:$B$13,0),MATCH(Table1[[#This Row],[Complexidade]],Auxiliar!$D$4:$F$4,0))</f>
        <v>0.1</v>
      </c>
      <c r="P912" s="2" t="s">
        <v>1320</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1303</v>
      </c>
      <c r="E913" s="2" t="s">
        <v>38</v>
      </c>
      <c r="F913" s="13" t="s">
        <v>216</v>
      </c>
      <c r="G913" s="13" t="s">
        <v>264</v>
      </c>
      <c r="H913" s="58" t="str">
        <f>Table1[[#This Row],[Tabela]]&amp;Table1[[#This Row],[Campo]]</f>
        <v>modesg_inp_nfrd_alinhamento_taxbio_trnvr_ttl_elgbl</v>
      </c>
      <c r="I913" s="2" t="s">
        <v>613</v>
      </c>
      <c r="J913" s="46">
        <f>VLOOKUP(Table1[[#This Row],[Status]],Auxiliar!$B$16:$C$24,2,0)</f>
        <v>1</v>
      </c>
      <c r="K913" s="21" t="s">
        <v>1257</v>
      </c>
      <c r="L913" s="2" t="s">
        <v>650</v>
      </c>
      <c r="M913" s="21" t="s">
        <v>1254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1303</v>
      </c>
      <c r="E914" s="2" t="s">
        <v>38</v>
      </c>
      <c r="F914" s="13" t="s">
        <v>216</v>
      </c>
      <c r="G914" s="13" t="s">
        <v>265</v>
      </c>
      <c r="H914" s="58" t="str">
        <f>Table1[[#This Row],[Tabela]]&amp;Table1[[#This Row],[Campo]]</f>
        <v>modesg_inp_nfrd_alinhamento_taxbio_turnover_own_prfrmnce_algnd</v>
      </c>
      <c r="I914" s="2" t="s">
        <v>613</v>
      </c>
      <c r="J914" s="46">
        <f>VLOOKUP(Table1[[#This Row],[Status]],Auxiliar!$B$16:$C$24,2,0)</f>
        <v>1</v>
      </c>
      <c r="K914" s="21" t="s">
        <v>1249</v>
      </c>
      <c r="L914" s="2" t="s">
        <v>650</v>
      </c>
      <c r="M914" s="21" t="s">
        <v>1254</v>
      </c>
      <c r="N914" s="48">
        <v>45540</v>
      </c>
      <c r="O914" s="21">
        <f>INDEX(Auxiliar!$D$5:$F$13,MATCH(Table1[[#This Row],[Tipologia_Testes]],Auxiliar!$B$5:$B$13,0),MATCH(Table1[[#This Row],[Complexidade]],Auxiliar!$D$4:$F$4,0))</f>
        <v>0.1</v>
      </c>
      <c r="P914" s="2" t="s">
        <v>1320</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1303</v>
      </c>
      <c r="E915" s="2" t="s">
        <v>38</v>
      </c>
      <c r="F915" s="13" t="s">
        <v>216</v>
      </c>
      <c r="G915" s="13" t="s">
        <v>265</v>
      </c>
      <c r="H915" s="58" t="str">
        <f>Table1[[#This Row],[Tabela]]&amp;Table1[[#This Row],[Campo]]</f>
        <v>modesg_inp_nfrd_alinhamento_taxbio_turnover_own_prfrmnce_algnd</v>
      </c>
      <c r="I915" s="2" t="s">
        <v>613</v>
      </c>
      <c r="J915" s="46">
        <f>VLOOKUP(Table1[[#This Row],[Status]],Auxiliar!$B$16:$C$24,2,0)</f>
        <v>1</v>
      </c>
      <c r="K915" s="21" t="s">
        <v>1257</v>
      </c>
      <c r="L915" s="2" t="s">
        <v>650</v>
      </c>
      <c r="M915" s="21" t="s">
        <v>1254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1303</v>
      </c>
      <c r="E916" s="2" t="s">
        <v>38</v>
      </c>
      <c r="F916" s="13" t="s">
        <v>216</v>
      </c>
      <c r="G916" s="13" t="s">
        <v>266</v>
      </c>
      <c r="H916" s="58" t="str">
        <f>Table1[[#This Row],[Tabela]]&amp;Table1[[#This Row],[Campo]]</f>
        <v>modesg_inp_nfrd_alinhamento_taxbio_capex_ttl_elgbl</v>
      </c>
      <c r="I916" s="2" t="s">
        <v>613</v>
      </c>
      <c r="J916" s="46">
        <f>VLOOKUP(Table1[[#This Row],[Status]],Auxiliar!$B$16:$C$24,2,0)</f>
        <v>1</v>
      </c>
      <c r="K916" s="21" t="s">
        <v>1249</v>
      </c>
      <c r="L916" s="2" t="s">
        <v>650</v>
      </c>
      <c r="M916" s="21" t="s">
        <v>1254</v>
      </c>
      <c r="N916" s="48">
        <v>45540</v>
      </c>
      <c r="O916" s="21">
        <f>INDEX(Auxiliar!$D$5:$F$13,MATCH(Table1[[#This Row],[Tipologia_Testes]],Auxiliar!$B$5:$B$13,0),MATCH(Table1[[#This Row],[Complexidade]],Auxiliar!$D$4:$F$4,0))</f>
        <v>0.1</v>
      </c>
      <c r="P916" s="2" t="s">
        <v>1320</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1303</v>
      </c>
      <c r="E917" s="2" t="s">
        <v>38</v>
      </c>
      <c r="F917" s="13" t="s">
        <v>216</v>
      </c>
      <c r="G917" s="13" t="s">
        <v>266</v>
      </c>
      <c r="H917" s="58" t="str">
        <f>Table1[[#This Row],[Tabela]]&amp;Table1[[#This Row],[Campo]]</f>
        <v>modesg_inp_nfrd_alinhamento_taxbio_capex_ttl_elgbl</v>
      </c>
      <c r="I917" s="2" t="s">
        <v>613</v>
      </c>
      <c r="J917" s="46">
        <f>VLOOKUP(Table1[[#This Row],[Status]],Auxiliar!$B$16:$C$24,2,0)</f>
        <v>1</v>
      </c>
      <c r="K917" s="21" t="s">
        <v>1257</v>
      </c>
      <c r="L917" s="2" t="s">
        <v>650</v>
      </c>
      <c r="M917" s="21" t="s">
        <v>1254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1303</v>
      </c>
      <c r="E918" s="2" t="s">
        <v>38</v>
      </c>
      <c r="F918" s="13" t="s">
        <v>216</v>
      </c>
      <c r="G918" s="13" t="s">
        <v>267</v>
      </c>
      <c r="H918" s="58" t="str">
        <f>Table1[[#This Row],[Tabela]]&amp;Table1[[#This Row],[Campo]]</f>
        <v>modesg_inp_nfrd_alinhamento_taxbio_capex_own_prfrmnce_algnd</v>
      </c>
      <c r="I918" s="2" t="s">
        <v>613</v>
      </c>
      <c r="J918" s="46">
        <f>VLOOKUP(Table1[[#This Row],[Status]],Auxiliar!$B$16:$C$24,2,0)</f>
        <v>1</v>
      </c>
      <c r="K918" s="21" t="s">
        <v>1249</v>
      </c>
      <c r="L918" s="2" t="s">
        <v>650</v>
      </c>
      <c r="M918" s="21" t="s">
        <v>1254</v>
      </c>
      <c r="N918" s="48">
        <v>45540</v>
      </c>
      <c r="O918" s="21">
        <f>INDEX(Auxiliar!$D$5:$F$13,MATCH(Table1[[#This Row],[Tipologia_Testes]],Auxiliar!$B$5:$B$13,0),MATCH(Table1[[#This Row],[Complexidade]],Auxiliar!$D$4:$F$4,0))</f>
        <v>0.1</v>
      </c>
      <c r="P918" s="2" t="s">
        <v>1320</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1303</v>
      </c>
      <c r="E919" s="2" t="s">
        <v>38</v>
      </c>
      <c r="F919" s="13" t="s">
        <v>216</v>
      </c>
      <c r="G919" s="13" t="s">
        <v>267</v>
      </c>
      <c r="H919" s="58" t="str">
        <f>Table1[[#This Row],[Tabela]]&amp;Table1[[#This Row],[Campo]]</f>
        <v>modesg_inp_nfrd_alinhamento_taxbio_capex_own_prfrmnce_algnd</v>
      </c>
      <c r="I919" s="2" t="s">
        <v>613</v>
      </c>
      <c r="J919" s="46">
        <f>VLOOKUP(Table1[[#This Row],[Status]],Auxiliar!$B$16:$C$24,2,0)</f>
        <v>1</v>
      </c>
      <c r="K919" s="21" t="s">
        <v>1257</v>
      </c>
      <c r="L919" s="2" t="s">
        <v>650</v>
      </c>
      <c r="M919" s="21" t="s">
        <v>1254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1303</v>
      </c>
      <c r="E920" s="2" t="s">
        <v>38</v>
      </c>
      <c r="F920" s="13" t="s">
        <v>216</v>
      </c>
      <c r="G920" s="13" t="s">
        <v>268</v>
      </c>
      <c r="H920" s="58" t="str">
        <f>Table1[[#This Row],[Tabela]]&amp;Table1[[#This Row],[Campo]]</f>
        <v>modesg_inp_nfrd_alinhamento_taxwtr_trnvr_ttl_elgbl</v>
      </c>
      <c r="I920" s="2" t="s">
        <v>613</v>
      </c>
      <c r="J920" s="46">
        <f>VLOOKUP(Table1[[#This Row],[Status]],Auxiliar!$B$16:$C$24,2,0)</f>
        <v>1</v>
      </c>
      <c r="K920" s="21" t="s">
        <v>1249</v>
      </c>
      <c r="L920" s="2" t="s">
        <v>650</v>
      </c>
      <c r="M920" s="21" t="s">
        <v>1254</v>
      </c>
      <c r="N920" s="48">
        <v>45540</v>
      </c>
      <c r="O920" s="21">
        <f>INDEX(Auxiliar!$D$5:$F$13,MATCH(Table1[[#This Row],[Tipologia_Testes]],Auxiliar!$B$5:$B$13,0),MATCH(Table1[[#This Row],[Complexidade]],Auxiliar!$D$4:$F$4,0))</f>
        <v>0.1</v>
      </c>
      <c r="P920" s="2" t="s">
        <v>1320</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1303</v>
      </c>
      <c r="E921" s="2" t="s">
        <v>38</v>
      </c>
      <c r="F921" s="13" t="s">
        <v>216</v>
      </c>
      <c r="G921" s="13" t="s">
        <v>268</v>
      </c>
      <c r="H921" s="58" t="str">
        <f>Table1[[#This Row],[Tabela]]&amp;Table1[[#This Row],[Campo]]</f>
        <v>modesg_inp_nfrd_alinhamento_taxwtr_trnvr_ttl_elgbl</v>
      </c>
      <c r="I921" s="2" t="s">
        <v>613</v>
      </c>
      <c r="J921" s="46">
        <f>VLOOKUP(Table1[[#This Row],[Status]],Auxiliar!$B$16:$C$24,2,0)</f>
        <v>1</v>
      </c>
      <c r="K921" s="21" t="s">
        <v>1257</v>
      </c>
      <c r="L921" s="2" t="s">
        <v>650</v>
      </c>
      <c r="M921" s="21" t="s">
        <v>1254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1303</v>
      </c>
      <c r="E922" s="2" t="s">
        <v>38</v>
      </c>
      <c r="F922" s="13" t="s">
        <v>216</v>
      </c>
      <c r="G922" s="13" t="s">
        <v>269</v>
      </c>
      <c r="H922" s="58" t="str">
        <f>Table1[[#This Row],[Tabela]]&amp;Table1[[#This Row],[Campo]]</f>
        <v>modesg_inp_nfrd_alinhamento_taxwtr_trnvr_enblng_alignd</v>
      </c>
      <c r="I922" s="2" t="s">
        <v>613</v>
      </c>
      <c r="J922" s="46">
        <f>VLOOKUP(Table1[[#This Row],[Status]],Auxiliar!$B$16:$C$24,2,0)</f>
        <v>1</v>
      </c>
      <c r="K922" s="21" t="s">
        <v>1249</v>
      </c>
      <c r="L922" s="2" t="s">
        <v>650</v>
      </c>
      <c r="M922" s="21" t="s">
        <v>1254</v>
      </c>
      <c r="N922" s="48">
        <v>45540</v>
      </c>
      <c r="O922" s="21">
        <f>INDEX(Auxiliar!$D$5:$F$13,MATCH(Table1[[#This Row],[Tipologia_Testes]],Auxiliar!$B$5:$B$13,0),MATCH(Table1[[#This Row],[Complexidade]],Auxiliar!$D$4:$F$4,0))</f>
        <v>0.1</v>
      </c>
      <c r="P922" s="2" t="s">
        <v>1320</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1303</v>
      </c>
      <c r="E923" s="2" t="s">
        <v>38</v>
      </c>
      <c r="F923" s="13" t="s">
        <v>216</v>
      </c>
      <c r="G923" s="13" t="s">
        <v>269</v>
      </c>
      <c r="H923" s="58" t="str">
        <f>Table1[[#This Row],[Tabela]]&amp;Table1[[#This Row],[Campo]]</f>
        <v>modesg_inp_nfrd_alinhamento_taxwtr_trnvr_enblng_alignd</v>
      </c>
      <c r="I923" s="2" t="s">
        <v>613</v>
      </c>
      <c r="J923" s="46">
        <f>VLOOKUP(Table1[[#This Row],[Status]],Auxiliar!$B$16:$C$24,2,0)</f>
        <v>1</v>
      </c>
      <c r="K923" s="21" t="s">
        <v>1257</v>
      </c>
      <c r="L923" s="2" t="s">
        <v>650</v>
      </c>
      <c r="M923" s="21" t="s">
        <v>1254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1303</v>
      </c>
      <c r="E924" s="2" t="s">
        <v>38</v>
      </c>
      <c r="F924" s="13" t="s">
        <v>216</v>
      </c>
      <c r="G924" s="13" t="s">
        <v>270</v>
      </c>
      <c r="H924" s="58" t="str">
        <f>Table1[[#This Row],[Tabela]]&amp;Table1[[#This Row],[Campo]]</f>
        <v>modesg_inp_nfrd_alinhamento_taxwtr_turnover_own_prfrmnce_algnd</v>
      </c>
      <c r="I924" s="2" t="s">
        <v>613</v>
      </c>
      <c r="J924" s="46">
        <f>VLOOKUP(Table1[[#This Row],[Status]],Auxiliar!$B$16:$C$24,2,0)</f>
        <v>1</v>
      </c>
      <c r="K924" s="21" t="s">
        <v>1249</v>
      </c>
      <c r="L924" s="2" t="s">
        <v>650</v>
      </c>
      <c r="M924" s="21" t="s">
        <v>1254</v>
      </c>
      <c r="N924" s="48">
        <v>45540</v>
      </c>
      <c r="O924" s="21">
        <f>INDEX(Auxiliar!$D$5:$F$13,MATCH(Table1[[#This Row],[Tipologia_Testes]],Auxiliar!$B$5:$B$13,0),MATCH(Table1[[#This Row],[Complexidade]],Auxiliar!$D$4:$F$4,0))</f>
        <v>0.1</v>
      </c>
      <c r="P924" s="2" t="s">
        <v>1320</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1303</v>
      </c>
      <c r="E925" s="2" t="s">
        <v>38</v>
      </c>
      <c r="F925" s="13" t="s">
        <v>216</v>
      </c>
      <c r="G925" s="13" t="s">
        <v>270</v>
      </c>
      <c r="H925" s="58" t="str">
        <f>Table1[[#This Row],[Tabela]]&amp;Table1[[#This Row],[Campo]]</f>
        <v>modesg_inp_nfrd_alinhamento_taxwtr_turnover_own_prfrmnce_algnd</v>
      </c>
      <c r="I925" s="2" t="s">
        <v>613</v>
      </c>
      <c r="J925" s="46">
        <f>VLOOKUP(Table1[[#This Row],[Status]],Auxiliar!$B$16:$C$24,2,0)</f>
        <v>1</v>
      </c>
      <c r="K925" s="21" t="s">
        <v>1257</v>
      </c>
      <c r="L925" s="2" t="s">
        <v>650</v>
      </c>
      <c r="M925" s="21" t="s">
        <v>1254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1303</v>
      </c>
      <c r="E926" s="2" t="s">
        <v>38</v>
      </c>
      <c r="F926" s="13" t="s">
        <v>216</v>
      </c>
      <c r="G926" s="13" t="s">
        <v>271</v>
      </c>
      <c r="H926" s="58" t="str">
        <f>Table1[[#This Row],[Tabela]]&amp;Table1[[#This Row],[Campo]]</f>
        <v>modesg_inp_nfrd_alinhamento_taxwtr_capex_ttl_elgbl</v>
      </c>
      <c r="I926" s="2" t="s">
        <v>613</v>
      </c>
      <c r="J926" s="46">
        <f>VLOOKUP(Table1[[#This Row],[Status]],Auxiliar!$B$16:$C$24,2,0)</f>
        <v>1</v>
      </c>
      <c r="K926" s="21" t="s">
        <v>1249</v>
      </c>
      <c r="L926" s="2" t="s">
        <v>650</v>
      </c>
      <c r="M926" s="21" t="s">
        <v>1254</v>
      </c>
      <c r="N926" s="48">
        <v>45540</v>
      </c>
      <c r="O926" s="21">
        <f>INDEX(Auxiliar!$D$5:$F$13,MATCH(Table1[[#This Row],[Tipologia_Testes]],Auxiliar!$B$5:$B$13,0),MATCH(Table1[[#This Row],[Complexidade]],Auxiliar!$D$4:$F$4,0))</f>
        <v>0.1</v>
      </c>
      <c r="P926" s="2" t="s">
        <v>1320</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1303</v>
      </c>
      <c r="E927" s="2" t="s">
        <v>38</v>
      </c>
      <c r="F927" s="13" t="s">
        <v>216</v>
      </c>
      <c r="G927" s="13" t="s">
        <v>271</v>
      </c>
      <c r="H927" s="58" t="str">
        <f>Table1[[#This Row],[Tabela]]&amp;Table1[[#This Row],[Campo]]</f>
        <v>modesg_inp_nfrd_alinhamento_taxwtr_capex_ttl_elgbl</v>
      </c>
      <c r="I927" s="2" t="s">
        <v>613</v>
      </c>
      <c r="J927" s="46">
        <f>VLOOKUP(Table1[[#This Row],[Status]],Auxiliar!$B$16:$C$24,2,0)</f>
        <v>1</v>
      </c>
      <c r="K927" s="21" t="s">
        <v>1257</v>
      </c>
      <c r="L927" s="2" t="s">
        <v>650</v>
      </c>
      <c r="M927" s="21" t="s">
        <v>1254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1303</v>
      </c>
      <c r="E928" s="2" t="s">
        <v>38</v>
      </c>
      <c r="F928" s="13" t="s">
        <v>216</v>
      </c>
      <c r="G928" s="13" t="s">
        <v>272</v>
      </c>
      <c r="H928" s="58" t="str">
        <f>Table1[[#This Row],[Tabela]]&amp;Table1[[#This Row],[Campo]]</f>
        <v>modesg_inp_nfrd_alinhamento_taxwtr_capex_enblng_algnd</v>
      </c>
      <c r="I928" s="2" t="s">
        <v>613</v>
      </c>
      <c r="J928" s="46">
        <f>VLOOKUP(Table1[[#This Row],[Status]],Auxiliar!$B$16:$C$24,2,0)</f>
        <v>1</v>
      </c>
      <c r="K928" s="21" t="s">
        <v>1249</v>
      </c>
      <c r="L928" s="2" t="s">
        <v>650</v>
      </c>
      <c r="M928" s="21" t="s">
        <v>1254</v>
      </c>
      <c r="N928" s="48">
        <v>45540</v>
      </c>
      <c r="O928" s="21">
        <f>INDEX(Auxiliar!$D$5:$F$13,MATCH(Table1[[#This Row],[Tipologia_Testes]],Auxiliar!$B$5:$B$13,0),MATCH(Table1[[#This Row],[Complexidade]],Auxiliar!$D$4:$F$4,0))</f>
        <v>0.1</v>
      </c>
      <c r="P928" s="2" t="s">
        <v>1320</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1303</v>
      </c>
      <c r="E929" s="2" t="s">
        <v>38</v>
      </c>
      <c r="F929" s="13" t="s">
        <v>216</v>
      </c>
      <c r="G929" s="13" t="s">
        <v>272</v>
      </c>
      <c r="H929" s="58" t="str">
        <f>Table1[[#This Row],[Tabela]]&amp;Table1[[#This Row],[Campo]]</f>
        <v>modesg_inp_nfrd_alinhamento_taxwtr_capex_enblng_algnd</v>
      </c>
      <c r="I929" s="2" t="s">
        <v>613</v>
      </c>
      <c r="J929" s="46">
        <f>VLOOKUP(Table1[[#This Row],[Status]],Auxiliar!$B$16:$C$24,2,0)</f>
        <v>1</v>
      </c>
      <c r="K929" s="21" t="s">
        <v>1257</v>
      </c>
      <c r="L929" s="2" t="s">
        <v>650</v>
      </c>
      <c r="M929" s="21" t="s">
        <v>1254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1303</v>
      </c>
      <c r="E930" s="2" t="s">
        <v>38</v>
      </c>
      <c r="F930" s="13" t="s">
        <v>216</v>
      </c>
      <c r="G930" s="13" t="s">
        <v>273</v>
      </c>
      <c r="H930" s="58" t="str">
        <f>Table1[[#This Row],[Tabela]]&amp;Table1[[#This Row],[Campo]]</f>
        <v>modesg_inp_nfrd_alinhamento_taxwtr_capex_own_prfrmnce_algnd</v>
      </c>
      <c r="I930" s="2" t="s">
        <v>613</v>
      </c>
      <c r="J930" s="46">
        <f>VLOOKUP(Table1[[#This Row],[Status]],Auxiliar!$B$16:$C$24,2,0)</f>
        <v>1</v>
      </c>
      <c r="K930" s="21" t="s">
        <v>1249</v>
      </c>
      <c r="L930" s="2" t="s">
        <v>650</v>
      </c>
      <c r="M930" s="21" t="s">
        <v>1254</v>
      </c>
      <c r="N930" s="48">
        <v>45540</v>
      </c>
      <c r="O930" s="21">
        <f>INDEX(Auxiliar!$D$5:$F$13,MATCH(Table1[[#This Row],[Tipologia_Testes]],Auxiliar!$B$5:$B$13,0),MATCH(Table1[[#This Row],[Complexidade]],Auxiliar!$D$4:$F$4,0))</f>
        <v>0.1</v>
      </c>
      <c r="P930" s="2" t="s">
        <v>1320</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1303</v>
      </c>
      <c r="E931" s="2" t="s">
        <v>38</v>
      </c>
      <c r="F931" s="13" t="s">
        <v>216</v>
      </c>
      <c r="G931" s="13" t="s">
        <v>273</v>
      </c>
      <c r="H931" s="58" t="str">
        <f>Table1[[#This Row],[Tabela]]&amp;Table1[[#This Row],[Campo]]</f>
        <v>modesg_inp_nfrd_alinhamento_taxwtr_capex_own_prfrmnce_algnd</v>
      </c>
      <c r="I931" s="2" t="s">
        <v>613</v>
      </c>
      <c r="J931" s="46">
        <f>VLOOKUP(Table1[[#This Row],[Status]],Auxiliar!$B$16:$C$24,2,0)</f>
        <v>1</v>
      </c>
      <c r="K931" s="21" t="s">
        <v>1257</v>
      </c>
      <c r="L931" s="2" t="s">
        <v>650</v>
      </c>
      <c r="M931" s="21" t="s">
        <v>1254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1303</v>
      </c>
      <c r="E932" s="2" t="s">
        <v>38</v>
      </c>
      <c r="F932" s="13" t="s">
        <v>216</v>
      </c>
      <c r="G932" s="13" t="s">
        <v>274</v>
      </c>
      <c r="H932" s="58" t="str">
        <f>Table1[[#This Row],[Tabela]]&amp;Table1[[#This Row],[Campo]]</f>
        <v>modesg_inp_nfrd_alinhamento_taxce_trnvr_ttl_elgbl</v>
      </c>
      <c r="I932" s="2" t="s">
        <v>613</v>
      </c>
      <c r="J932" s="46">
        <f>VLOOKUP(Table1[[#This Row],[Status]],Auxiliar!$B$16:$C$24,2,0)</f>
        <v>1</v>
      </c>
      <c r="K932" s="21" t="s">
        <v>1249</v>
      </c>
      <c r="L932" s="2" t="s">
        <v>650</v>
      </c>
      <c r="M932" s="21" t="s">
        <v>1254</v>
      </c>
      <c r="N932" s="48">
        <v>45540</v>
      </c>
      <c r="O932" s="21">
        <f>INDEX(Auxiliar!$D$5:$F$13,MATCH(Table1[[#This Row],[Tipologia_Testes]],Auxiliar!$B$5:$B$13,0),MATCH(Table1[[#This Row],[Complexidade]],Auxiliar!$D$4:$F$4,0))</f>
        <v>0.1</v>
      </c>
      <c r="P932" s="2" t="s">
        <v>1320</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1303</v>
      </c>
      <c r="E933" s="2" t="s">
        <v>38</v>
      </c>
      <c r="F933" s="13" t="s">
        <v>216</v>
      </c>
      <c r="G933" s="13" t="s">
        <v>274</v>
      </c>
      <c r="H933" s="58" t="str">
        <f>Table1[[#This Row],[Tabela]]&amp;Table1[[#This Row],[Campo]]</f>
        <v>modesg_inp_nfrd_alinhamento_taxce_trnvr_ttl_elgbl</v>
      </c>
      <c r="I933" s="2" t="s">
        <v>613</v>
      </c>
      <c r="J933" s="46">
        <f>VLOOKUP(Table1[[#This Row],[Status]],Auxiliar!$B$16:$C$24,2,0)</f>
        <v>1</v>
      </c>
      <c r="K933" s="21" t="s">
        <v>1257</v>
      </c>
      <c r="L933" s="2" t="s">
        <v>650</v>
      </c>
      <c r="M933" s="21" t="s">
        <v>1254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1303</v>
      </c>
      <c r="E934" s="2" t="s">
        <v>38</v>
      </c>
      <c r="F934" s="13" t="s">
        <v>216</v>
      </c>
      <c r="G934" s="13" t="s">
        <v>275</v>
      </c>
      <c r="H934" s="58" t="str">
        <f>Table1[[#This Row],[Tabela]]&amp;Table1[[#This Row],[Campo]]</f>
        <v>modesg_inp_nfrd_alinhamento_taxce_trnvr_enblng_alignd</v>
      </c>
      <c r="I934" s="2" t="s">
        <v>613</v>
      </c>
      <c r="J934" s="46">
        <f>VLOOKUP(Table1[[#This Row],[Status]],Auxiliar!$B$16:$C$24,2,0)</f>
        <v>1</v>
      </c>
      <c r="K934" s="21" t="s">
        <v>1249</v>
      </c>
      <c r="L934" s="2" t="s">
        <v>650</v>
      </c>
      <c r="M934" s="21" t="s">
        <v>1254</v>
      </c>
      <c r="N934" s="48">
        <v>45540</v>
      </c>
      <c r="O934" s="21">
        <f>INDEX(Auxiliar!$D$5:$F$13,MATCH(Table1[[#This Row],[Tipologia_Testes]],Auxiliar!$B$5:$B$13,0),MATCH(Table1[[#This Row],[Complexidade]],Auxiliar!$D$4:$F$4,0))</f>
        <v>0.1</v>
      </c>
      <c r="P934" s="2" t="s">
        <v>1320</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1303</v>
      </c>
      <c r="E935" s="2" t="s">
        <v>38</v>
      </c>
      <c r="F935" s="13" t="s">
        <v>216</v>
      </c>
      <c r="G935" s="13" t="s">
        <v>275</v>
      </c>
      <c r="H935" s="58" t="str">
        <f>Table1[[#This Row],[Tabela]]&amp;Table1[[#This Row],[Campo]]</f>
        <v>modesg_inp_nfrd_alinhamento_taxce_trnvr_enblng_alignd</v>
      </c>
      <c r="I935" s="2" t="s">
        <v>613</v>
      </c>
      <c r="J935" s="46">
        <f>VLOOKUP(Table1[[#This Row],[Status]],Auxiliar!$B$16:$C$24,2,0)</f>
        <v>1</v>
      </c>
      <c r="K935" s="21" t="s">
        <v>1257</v>
      </c>
      <c r="L935" s="2" t="s">
        <v>650</v>
      </c>
      <c r="M935" s="21" t="s">
        <v>1254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1303</v>
      </c>
      <c r="E936" s="2" t="s">
        <v>38</v>
      </c>
      <c r="F936" s="13" t="s">
        <v>216</v>
      </c>
      <c r="G936" s="13" t="s">
        <v>276</v>
      </c>
      <c r="H936" s="58" t="str">
        <f>Table1[[#This Row],[Tabela]]&amp;Table1[[#This Row],[Campo]]</f>
        <v>modesg_inp_nfrd_alinhamento_taxce_turnover_own_prfrmnce_algnd</v>
      </c>
      <c r="I936" s="2" t="s">
        <v>613</v>
      </c>
      <c r="J936" s="46">
        <f>VLOOKUP(Table1[[#This Row],[Status]],Auxiliar!$B$16:$C$24,2,0)</f>
        <v>1</v>
      </c>
      <c r="K936" s="21" t="s">
        <v>1249</v>
      </c>
      <c r="L936" s="2" t="s">
        <v>650</v>
      </c>
      <c r="M936" s="21" t="s">
        <v>1254</v>
      </c>
      <c r="N936" s="48">
        <v>45540</v>
      </c>
      <c r="O936" s="21">
        <f>INDEX(Auxiliar!$D$5:$F$13,MATCH(Table1[[#This Row],[Tipologia_Testes]],Auxiliar!$B$5:$B$13,0),MATCH(Table1[[#This Row],[Complexidade]],Auxiliar!$D$4:$F$4,0))</f>
        <v>0.1</v>
      </c>
      <c r="P936" s="2" t="s">
        <v>1320</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1303</v>
      </c>
      <c r="E937" s="2" t="s">
        <v>38</v>
      </c>
      <c r="F937" s="13" t="s">
        <v>216</v>
      </c>
      <c r="G937" s="13" t="s">
        <v>276</v>
      </c>
      <c r="H937" s="58" t="str">
        <f>Table1[[#This Row],[Tabela]]&amp;Table1[[#This Row],[Campo]]</f>
        <v>modesg_inp_nfrd_alinhamento_taxce_turnover_own_prfrmnce_algnd</v>
      </c>
      <c r="I937" s="2" t="s">
        <v>613</v>
      </c>
      <c r="J937" s="46">
        <f>VLOOKUP(Table1[[#This Row],[Status]],Auxiliar!$B$16:$C$24,2,0)</f>
        <v>1</v>
      </c>
      <c r="K937" s="21" t="s">
        <v>1257</v>
      </c>
      <c r="L937" s="2" t="s">
        <v>650</v>
      </c>
      <c r="M937" s="21" t="s">
        <v>1254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1303</v>
      </c>
      <c r="E938" s="2" t="s">
        <v>38</v>
      </c>
      <c r="F938" s="13" t="s">
        <v>216</v>
      </c>
      <c r="G938" s="13" t="s">
        <v>277</v>
      </c>
      <c r="H938" s="58" t="str">
        <f>Table1[[#This Row],[Tabela]]&amp;Table1[[#This Row],[Campo]]</f>
        <v>modesg_inp_nfrd_alinhamento_taxce_capex_ttl_elgbl</v>
      </c>
      <c r="I938" s="2" t="s">
        <v>613</v>
      </c>
      <c r="J938" s="46">
        <f>VLOOKUP(Table1[[#This Row],[Status]],Auxiliar!$B$16:$C$24,2,0)</f>
        <v>1</v>
      </c>
      <c r="K938" s="21" t="s">
        <v>1249</v>
      </c>
      <c r="L938" s="2" t="s">
        <v>650</v>
      </c>
      <c r="M938" s="21" t="s">
        <v>1254</v>
      </c>
      <c r="N938" s="48">
        <v>45540</v>
      </c>
      <c r="O938" s="21">
        <f>INDEX(Auxiliar!$D$5:$F$13,MATCH(Table1[[#This Row],[Tipologia_Testes]],Auxiliar!$B$5:$B$13,0),MATCH(Table1[[#This Row],[Complexidade]],Auxiliar!$D$4:$F$4,0))</f>
        <v>0.1</v>
      </c>
      <c r="P938" s="2" t="s">
        <v>1320</v>
      </c>
      <c r="Q938" s="2"/>
      <c r="R938" s="152">
        <v>45261</v>
      </c>
      <c r="S938" s="152"/>
      <c r="T938" s="152"/>
      <c r="U938" s="152">
        <v>45603</v>
      </c>
      <c r="V938" s="152">
        <v>45534</v>
      </c>
      <c r="W938" s="2">
        <f>VLOOKUP(Table1[[#This Row],[Status]],Auxiliar!$B$16:$D$24,3,0)*Table1[[#This Row],[Estimação (horas)]]</f>
        <v>0.1</v>
      </c>
      <c r="X938" s="2"/>
    </row>
    <row r="939" spans="2:24" ht="17.7" hidden="1" customHeight="1">
      <c r="B939" s="13" t="s">
        <v>26</v>
      </c>
      <c r="C939" s="13" t="s">
        <v>181</v>
      </c>
      <c r="D939" s="13" t="s">
        <v>1303</v>
      </c>
      <c r="E939" s="2" t="s">
        <v>38</v>
      </c>
      <c r="F939" s="13" t="s">
        <v>216</v>
      </c>
      <c r="G939" s="13" t="s">
        <v>277</v>
      </c>
      <c r="H939" s="58" t="str">
        <f>Table1[[#This Row],[Tabela]]&amp;Table1[[#This Row],[Campo]]</f>
        <v>modesg_inp_nfrd_alinhamento_taxce_capex_ttl_elgbl</v>
      </c>
      <c r="I939" s="2" t="s">
        <v>613</v>
      </c>
      <c r="J939" s="46">
        <f>VLOOKUP(Table1[[#This Row],[Status]],Auxiliar!$B$16:$C$24,2,0)</f>
        <v>1</v>
      </c>
      <c r="K939" s="21" t="s">
        <v>1257</v>
      </c>
      <c r="L939" s="2" t="s">
        <v>650</v>
      </c>
      <c r="M939" s="21" t="s">
        <v>1254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7" hidden="1" customHeight="1">
      <c r="B940" s="13" t="s">
        <v>26</v>
      </c>
      <c r="C940" s="13" t="s">
        <v>181</v>
      </c>
      <c r="D940" s="13" t="s">
        <v>1303</v>
      </c>
      <c r="E940" s="2" t="s">
        <v>38</v>
      </c>
      <c r="F940" s="13" t="s">
        <v>216</v>
      </c>
      <c r="G940" s="13" t="s">
        <v>278</v>
      </c>
      <c r="H940" s="58" t="str">
        <f>Table1[[#This Row],[Tabela]]&amp;Table1[[#This Row],[Campo]]</f>
        <v>modesg_inp_nfrd_alinhamento_taxce_capex_enblng_algnd</v>
      </c>
      <c r="I940" s="2" t="s">
        <v>613</v>
      </c>
      <c r="J940" s="46">
        <f>VLOOKUP(Table1[[#This Row],[Status]],Auxiliar!$B$16:$C$24,2,0)</f>
        <v>1</v>
      </c>
      <c r="K940" s="21" t="s">
        <v>1249</v>
      </c>
      <c r="L940" s="2" t="s">
        <v>650</v>
      </c>
      <c r="M940" s="21" t="s">
        <v>1254</v>
      </c>
      <c r="N940" s="48">
        <v>45540</v>
      </c>
      <c r="O940" s="21">
        <f>INDEX(Auxiliar!$D$5:$F$13,MATCH(Table1[[#This Row],[Tipologia_Testes]],Auxiliar!$B$5:$B$13,0),MATCH(Table1[[#This Row],[Complexidade]],Auxiliar!$D$4:$F$4,0))</f>
        <v>0.1</v>
      </c>
      <c r="P940" s="2" t="s">
        <v>1320</v>
      </c>
      <c r="Q940" s="2"/>
      <c r="R940" s="152">
        <v>45261</v>
      </c>
      <c r="S940" s="152"/>
      <c r="T940" s="152"/>
      <c r="U940" s="152">
        <v>45603</v>
      </c>
      <c r="V940" s="152">
        <v>45534</v>
      </c>
      <c r="W940" s="2">
        <f>VLOOKUP(Table1[[#This Row],[Status]],Auxiliar!$B$16:$D$24,3,0)*Table1[[#This Row],[Estimação (horas)]]</f>
        <v>0.1</v>
      </c>
      <c r="X940" s="2"/>
    </row>
    <row r="941" spans="2:24" ht="17.7" hidden="1" customHeight="1">
      <c r="B941" s="13" t="s">
        <v>26</v>
      </c>
      <c r="C941" s="13" t="s">
        <v>181</v>
      </c>
      <c r="D941" s="13" t="s">
        <v>1303</v>
      </c>
      <c r="E941" s="2" t="s">
        <v>38</v>
      </c>
      <c r="F941" s="13" t="s">
        <v>216</v>
      </c>
      <c r="G941" s="13" t="s">
        <v>278</v>
      </c>
      <c r="H941" s="58" t="str">
        <f>Table1[[#This Row],[Tabela]]&amp;Table1[[#This Row],[Campo]]</f>
        <v>modesg_inp_nfrd_alinhamento_taxce_capex_enblng_algnd</v>
      </c>
      <c r="I941" s="2" t="s">
        <v>613</v>
      </c>
      <c r="J941" s="46">
        <f>VLOOKUP(Table1[[#This Row],[Status]],Auxiliar!$B$16:$C$24,2,0)</f>
        <v>1</v>
      </c>
      <c r="K941" s="21" t="s">
        <v>1257</v>
      </c>
      <c r="L941" s="2" t="s">
        <v>650</v>
      </c>
      <c r="M941" s="21" t="s">
        <v>1254</v>
      </c>
      <c r="N941" s="48">
        <v>45540</v>
      </c>
      <c r="O941" s="21">
        <f>INDEX(Auxiliar!$D$5:$F$13,MATCH(Table1[[#This Row],[Tipologia_Testes]],Auxiliar!$B$5:$B$13,0),MATCH(Table1[[#This Row],[Complexidade]],Auxiliar!$D$4:$F$4,0))</f>
        <v>0.5</v>
      </c>
      <c r="P941" s="2"/>
      <c r="Q941" s="2"/>
      <c r="R941" s="152">
        <v>45261</v>
      </c>
      <c r="S941" s="152"/>
      <c r="T941" s="152"/>
      <c r="U941" s="152">
        <v>45603</v>
      </c>
      <c r="V941" s="152">
        <v>45534</v>
      </c>
      <c r="W941" s="2">
        <f>VLOOKUP(Table1[[#This Row],[Status]],Auxiliar!$B$16:$D$24,3,0)*Table1[[#This Row],[Estimação (horas)]]</f>
        <v>0.5</v>
      </c>
      <c r="X941" s="2"/>
    </row>
    <row r="942" spans="2:24" ht="17.7" hidden="1" customHeight="1">
      <c r="B942" s="13" t="s">
        <v>26</v>
      </c>
      <c r="C942" s="13" t="s">
        <v>181</v>
      </c>
      <c r="D942" s="13" t="s">
        <v>1303</v>
      </c>
      <c r="E942" s="2" t="s">
        <v>38</v>
      </c>
      <c r="F942" s="13" t="s">
        <v>216</v>
      </c>
      <c r="G942" s="13" t="s">
        <v>279</v>
      </c>
      <c r="H942" s="58" t="str">
        <f>Table1[[#This Row],[Tabela]]&amp;Table1[[#This Row],[Campo]]</f>
        <v>modesg_inp_nfrd_alinhamento_taxce_capex_own_prfrmnce_algnd</v>
      </c>
      <c r="I942" s="2" t="s">
        <v>613</v>
      </c>
      <c r="J942" s="46">
        <f>VLOOKUP(Table1[[#This Row],[Status]],Auxiliar!$B$16:$C$24,2,0)</f>
        <v>1</v>
      </c>
      <c r="K942" s="21" t="s">
        <v>1249</v>
      </c>
      <c r="L942" s="2" t="s">
        <v>650</v>
      </c>
      <c r="M942" s="21" t="s">
        <v>1254</v>
      </c>
      <c r="N942" s="48">
        <v>45540</v>
      </c>
      <c r="O942" s="21">
        <f>INDEX(Auxiliar!$D$5:$F$13,MATCH(Table1[[#This Row],[Tipologia_Testes]],Auxiliar!$B$5:$B$13,0),MATCH(Table1[[#This Row],[Complexidade]],Auxiliar!$D$4:$F$4,0))</f>
        <v>0.1</v>
      </c>
      <c r="P942" s="2" t="s">
        <v>1320</v>
      </c>
      <c r="Q942" s="2"/>
      <c r="R942" s="152">
        <v>45261</v>
      </c>
      <c r="S942" s="152"/>
      <c r="T942" s="152"/>
      <c r="U942" s="152">
        <v>45603</v>
      </c>
      <c r="V942" s="152">
        <v>45534</v>
      </c>
      <c r="W942" s="2">
        <f>VLOOKUP(Table1[[#This Row],[Status]],Auxiliar!$B$16:$D$24,3,0)*Table1[[#This Row],[Estimação (horas)]]</f>
        <v>0.1</v>
      </c>
      <c r="X942" s="2"/>
    </row>
    <row r="943" spans="2:24" ht="17.7" hidden="1" customHeight="1">
      <c r="B943" s="13" t="s">
        <v>26</v>
      </c>
      <c r="C943" s="13" t="s">
        <v>181</v>
      </c>
      <c r="D943" s="13" t="s">
        <v>1303</v>
      </c>
      <c r="E943" s="2" t="s">
        <v>38</v>
      </c>
      <c r="F943" s="13" t="s">
        <v>216</v>
      </c>
      <c r="G943" s="13" t="s">
        <v>279</v>
      </c>
      <c r="H943" s="58" t="str">
        <f>Table1[[#This Row],[Tabela]]&amp;Table1[[#This Row],[Campo]]</f>
        <v>modesg_inp_nfrd_alinhamento_taxce_capex_own_prfrmnce_algnd</v>
      </c>
      <c r="I943" s="2" t="s">
        <v>613</v>
      </c>
      <c r="J943" s="46">
        <f>VLOOKUP(Table1[[#This Row],[Status]],Auxiliar!$B$16:$C$24,2,0)</f>
        <v>1</v>
      </c>
      <c r="K943" s="21" t="s">
        <v>1257</v>
      </c>
      <c r="L943" s="2" t="s">
        <v>650</v>
      </c>
      <c r="M943" s="21" t="s">
        <v>1254</v>
      </c>
      <c r="N943" s="48">
        <v>45540</v>
      </c>
      <c r="O943" s="21">
        <f>INDEX(Auxiliar!$D$5:$F$13,MATCH(Table1[[#This Row],[Tipologia_Testes]],Auxiliar!$B$5:$B$13,0),MATCH(Table1[[#This Row],[Complexidade]],Auxiliar!$D$4:$F$4,0))</f>
        <v>0.5</v>
      </c>
      <c r="P943" s="2"/>
      <c r="Q943" s="2"/>
      <c r="R943" s="152">
        <v>45261</v>
      </c>
      <c r="S943" s="152"/>
      <c r="T943" s="152"/>
      <c r="U943" s="152">
        <v>45603</v>
      </c>
      <c r="V943" s="152">
        <v>45534</v>
      </c>
      <c r="W943" s="2">
        <f>VLOOKUP(Table1[[#This Row],[Status]],Auxiliar!$B$16:$D$24,3,0)*Table1[[#This Row],[Estimação (horas)]]</f>
        <v>0.5</v>
      </c>
      <c r="X943" s="2"/>
    </row>
    <row r="944" spans="2:24" ht="17.7" hidden="1" customHeight="1">
      <c r="B944" s="13" t="s">
        <v>26</v>
      </c>
      <c r="C944" s="13" t="s">
        <v>181</v>
      </c>
      <c r="D944" s="13" t="s">
        <v>1304</v>
      </c>
      <c r="E944" s="2" t="s">
        <v>38</v>
      </c>
      <c r="F944" s="13" t="s">
        <v>217</v>
      </c>
      <c r="G944" s="13" t="s">
        <v>208</v>
      </c>
      <c r="H944" s="58" t="str">
        <f>Table1[[#This Row],[Tabela]]&amp;Table1[[#This Row],[Campo]]</f>
        <v>modesg_inp_risco_fisicoref_date</v>
      </c>
      <c r="I944" s="3" t="s">
        <v>613</v>
      </c>
      <c r="J944" s="54">
        <f>VLOOKUP(Table1[[#This Row],[Status]],Auxiliar!$B$16:$C$24,2,0)</f>
        <v>1</v>
      </c>
      <c r="K944" s="21" t="s">
        <v>1257</v>
      </c>
      <c r="L944" s="2" t="s">
        <v>650</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280</v>
      </c>
      <c r="H945" s="58" t="str">
        <f>Table1[[#This Row],[Tabela]]&amp;Table1[[#This Row],[Campo]]</f>
        <v>modesg_inp_risco_fisicocod_pais</v>
      </c>
      <c r="I945" s="3" t="s">
        <v>613</v>
      </c>
      <c r="J945" s="54">
        <f>VLOOKUP(Table1[[#This Row],[Status]],Auxiliar!$B$16:$C$24,2,0)</f>
        <v>1</v>
      </c>
      <c r="K945" s="21" t="s">
        <v>1249</v>
      </c>
      <c r="L945" s="2" t="s">
        <v>1252</v>
      </c>
      <c r="M945" s="21" t="s">
        <v>1254</v>
      </c>
      <c r="N945" s="48">
        <v>45485</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280</v>
      </c>
      <c r="H946" s="58" t="str">
        <f>Table1[[#This Row],[Tabela]]&amp;Table1[[#This Row],[Campo]]</f>
        <v>modesg_inp_risco_fisicocod_pais</v>
      </c>
      <c r="I946" s="3" t="s">
        <v>613</v>
      </c>
      <c r="J946" s="54">
        <f>VLOOKUP(Table1[[#This Row],[Status]],Auxiliar!$B$16:$C$24,2,0)</f>
        <v>1</v>
      </c>
      <c r="K946" s="21" t="s">
        <v>1257</v>
      </c>
      <c r="L946" s="2" t="s">
        <v>1252</v>
      </c>
      <c r="M946" s="21" t="s">
        <v>1254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281</v>
      </c>
      <c r="H947" s="58" t="str">
        <f>Table1[[#This Row],[Tabela]]&amp;Table1[[#This Row],[Campo]]</f>
        <v>modesg_inp_risco_fisicocod_nutiii</v>
      </c>
      <c r="I947" s="3" t="s">
        <v>613</v>
      </c>
      <c r="J947" s="54">
        <f>VLOOKUP(Table1[[#This Row],[Status]],Auxiliar!$B$16:$C$24,2,0)</f>
        <v>1</v>
      </c>
      <c r="K947" s="21" t="s">
        <v>1257</v>
      </c>
      <c r="L947" s="2" t="s">
        <v>1252</v>
      </c>
      <c r="M947" s="21" t="s">
        <v>1254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1315</v>
      </c>
    </row>
    <row r="948" spans="2:24" ht="17.7" hidden="1" customHeight="1">
      <c r="B948" s="13" t="s">
        <v>26</v>
      </c>
      <c r="C948" s="13" t="s">
        <v>181</v>
      </c>
      <c r="D948" s="13" t="s">
        <v>1304</v>
      </c>
      <c r="E948" s="2" t="s">
        <v>38</v>
      </c>
      <c r="F948" s="13" t="s">
        <v>217</v>
      </c>
      <c r="G948" s="13" t="s">
        <v>282</v>
      </c>
      <c r="H948" s="58" t="str">
        <f>Table1[[#This Row],[Tabela]]&amp;Table1[[#This Row],[Campo]]</f>
        <v>modesg_inp_risco_fisicocod_nace_esg</v>
      </c>
      <c r="I948" s="3" t="s">
        <v>613</v>
      </c>
      <c r="J948" s="54">
        <f>VLOOKUP(Table1[[#This Row],[Status]],Auxiliar!$B$16:$C$24,2,0)</f>
        <v>1</v>
      </c>
      <c r="K948" s="21" t="s">
        <v>1249</v>
      </c>
      <c r="L948" s="2" t="s">
        <v>1252</v>
      </c>
      <c r="M948" s="21" t="s">
        <v>1254</v>
      </c>
      <c r="N948" s="48">
        <v>45569</v>
      </c>
      <c r="O948" s="21">
        <f>INDEX(Auxiliar!$D$5:$F$13,MATCH(Table1[[#This Row],[Tipologia_Testes]],Auxiliar!$B$5:$B$13,0),MATCH(Table1[[#This Row],[Complexidade]],Auxiliar!$D$4:$F$4,0))</f>
        <v>0.1</v>
      </c>
      <c r="P948" s="2" t="s">
        <v>1321</v>
      </c>
      <c r="Q948" s="2"/>
      <c r="R948" s="152">
        <v>45261</v>
      </c>
      <c r="S948" s="152"/>
      <c r="T948" s="152"/>
      <c r="U948" s="152">
        <v>45603</v>
      </c>
      <c r="V948" s="152"/>
      <c r="W948" s="2">
        <f>VLOOKUP(Table1[[#This Row],[Status]],Auxiliar!$B$16:$D$24,3,0)*Table1[[#This Row],[Estimação (horas)]]</f>
        <v>0.1</v>
      </c>
      <c r="X948" s="2" t="s">
        <v>1315</v>
      </c>
    </row>
    <row r="949" spans="2:24" ht="17.7" hidden="1" customHeight="1">
      <c r="B949" s="13" t="s">
        <v>26</v>
      </c>
      <c r="C949" s="13" t="s">
        <v>181</v>
      </c>
      <c r="D949" s="13" t="s">
        <v>1304</v>
      </c>
      <c r="E949" s="2" t="s">
        <v>38</v>
      </c>
      <c r="F949" s="13" t="s">
        <v>217</v>
      </c>
      <c r="G949" s="13" t="s">
        <v>282</v>
      </c>
      <c r="H949" s="58" t="str">
        <f>Table1[[#This Row],[Tabela]]&amp;Table1[[#This Row],[Campo]]</f>
        <v>modesg_inp_risco_fisicocod_nace_esg</v>
      </c>
      <c r="I949" s="3" t="s">
        <v>613</v>
      </c>
      <c r="J949" s="54">
        <f>VLOOKUP(Table1[[#This Row],[Status]],Auxiliar!$B$16:$C$24,2,0)</f>
        <v>1</v>
      </c>
      <c r="K949" s="21" t="s">
        <v>1257</v>
      </c>
      <c r="L949" s="2" t="s">
        <v>1252</v>
      </c>
      <c r="M949" s="21" t="s">
        <v>1254</v>
      </c>
      <c r="N949" s="48">
        <v>45569</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1315</v>
      </c>
    </row>
    <row r="950" spans="2:24" ht="17.7" hidden="1" customHeight="1">
      <c r="B950" s="13" t="s">
        <v>26</v>
      </c>
      <c r="C950" s="13" t="s">
        <v>181</v>
      </c>
      <c r="D950" s="13" t="s">
        <v>1304</v>
      </c>
      <c r="E950" s="2" t="s">
        <v>38</v>
      </c>
      <c r="F950" s="13" t="s">
        <v>217</v>
      </c>
      <c r="G950" s="13" t="s">
        <v>283</v>
      </c>
      <c r="H950" s="58" t="str">
        <f>Table1[[#This Row],[Tabela]]&amp;Table1[[#This Row],[Campo]]</f>
        <v>modesg_inp_risco_fisicoflg_rsc_fsc_agd</v>
      </c>
      <c r="I950" s="3" t="s">
        <v>613</v>
      </c>
      <c r="J950" s="54">
        <f>VLOOKUP(Table1[[#This Row],[Status]],Auxiliar!$B$16:$C$24,2,0)</f>
        <v>1</v>
      </c>
      <c r="K950" s="21" t="s">
        <v>1249</v>
      </c>
      <c r="L950" s="2" t="s">
        <v>1252</v>
      </c>
      <c r="M950" s="21" t="s">
        <v>1254</v>
      </c>
      <c r="N950" s="48">
        <v>45485</v>
      </c>
      <c r="O950" s="21">
        <f>INDEX(Auxiliar!$D$5:$F$13,MATCH(Table1[[#This Row],[Tipologia_Testes]],Auxiliar!$B$5:$B$13,0),MATCH(Table1[[#This Row],[Complexidade]],Auxiliar!$D$4:$F$4,0))</f>
        <v>0.1</v>
      </c>
      <c r="P950" s="2" t="s">
        <v>1322</v>
      </c>
      <c r="Q950" s="2"/>
      <c r="R950" s="152">
        <v>45261</v>
      </c>
      <c r="S950" s="152"/>
      <c r="T950" s="152"/>
      <c r="U950" s="152">
        <v>45603</v>
      </c>
      <c r="V950" s="152"/>
      <c r="W950" s="2">
        <f>VLOOKUP(Table1[[#This Row],[Status]],Auxiliar!$B$16:$D$24,3,0)*Table1[[#This Row],[Estimação (horas)]]</f>
        <v>0.1</v>
      </c>
      <c r="X950" s="2" t="s">
        <v>1315</v>
      </c>
    </row>
    <row r="951" spans="2:24" ht="17.7" hidden="1" customHeight="1">
      <c r="B951" s="13" t="s">
        <v>26</v>
      </c>
      <c r="C951" s="13" t="s">
        <v>181</v>
      </c>
      <c r="D951" s="13" t="s">
        <v>1304</v>
      </c>
      <c r="E951" s="2" t="s">
        <v>38</v>
      </c>
      <c r="F951" s="13" t="s">
        <v>217</v>
      </c>
      <c r="G951" s="13" t="s">
        <v>283</v>
      </c>
      <c r="H951" s="58" t="str">
        <f>Table1[[#This Row],[Tabela]]&amp;Table1[[#This Row],[Campo]]</f>
        <v>modesg_inp_risco_fisicoflg_rsc_fsc_agd</v>
      </c>
      <c r="I951" s="3" t="s">
        <v>613</v>
      </c>
      <c r="J951" s="54">
        <f>VLOOKUP(Table1[[#This Row],[Status]],Auxiliar!$B$16:$C$24,2,0)</f>
        <v>1</v>
      </c>
      <c r="K951" s="21" t="s">
        <v>1257</v>
      </c>
      <c r="L951" s="2" t="s">
        <v>1252</v>
      </c>
      <c r="M951" s="21" t="s">
        <v>1254</v>
      </c>
      <c r="N951" s="48">
        <v>45485</v>
      </c>
      <c r="O951" s="21">
        <f>INDEX(Auxiliar!$D$5:$F$13,MATCH(Table1[[#This Row],[Tipologia_Testes]],Auxiliar!$B$5:$B$13,0),MATCH(Table1[[#This Row],[Complexidade]],Auxiliar!$D$4:$F$4,0))</f>
        <v>0.5</v>
      </c>
      <c r="P951" s="2"/>
      <c r="Q951" s="2"/>
      <c r="R951" s="152">
        <v>45261</v>
      </c>
      <c r="S951" s="152"/>
      <c r="T951" s="152"/>
      <c r="U951" s="152">
        <v>45603</v>
      </c>
      <c r="V951" s="152"/>
      <c r="W951" s="2">
        <f>VLOOKUP(Table1[[#This Row],[Status]],Auxiliar!$B$16:$D$24,3,0)*Table1[[#This Row],[Estimação (horas)]]</f>
        <v>0.5</v>
      </c>
      <c r="X951" s="2" t="s">
        <v>1315</v>
      </c>
    </row>
    <row r="952" spans="2:24" ht="17.7" hidden="1" customHeight="1">
      <c r="B952" s="13" t="s">
        <v>26</v>
      </c>
      <c r="C952" s="13" t="s">
        <v>181</v>
      </c>
      <c r="D952" s="13" t="s">
        <v>1304</v>
      </c>
      <c r="E952" s="2" t="s">
        <v>38</v>
      </c>
      <c r="F952" s="13" t="s">
        <v>217</v>
      </c>
      <c r="G952" s="13" t="s">
        <v>284</v>
      </c>
      <c r="H952" s="58" t="str">
        <f>Table1[[#This Row],[Tabela]]&amp;Table1[[#This Row],[Campo]]</f>
        <v>modesg_inp_risco_fisicoflg_rsc_fsc_crnc</v>
      </c>
      <c r="I952" s="3" t="s">
        <v>613</v>
      </c>
      <c r="J952" s="54">
        <f>VLOOKUP(Table1[[#This Row],[Status]],Auxiliar!$B$16:$C$24,2,0)</f>
        <v>1</v>
      </c>
      <c r="K952" s="21" t="s">
        <v>1249</v>
      </c>
      <c r="L952" s="2" t="s">
        <v>1252</v>
      </c>
      <c r="M952" s="21" t="s">
        <v>1254</v>
      </c>
      <c r="N952" s="48">
        <v>45485</v>
      </c>
      <c r="O952" s="21">
        <f>INDEX(Auxiliar!$D$5:$F$13,MATCH(Table1[[#This Row],[Tipologia_Testes]],Auxiliar!$B$5:$B$13,0),MATCH(Table1[[#This Row],[Complexidade]],Auxiliar!$D$4:$F$4,0))</f>
        <v>0.1</v>
      </c>
      <c r="P952" s="2" t="s">
        <v>1322</v>
      </c>
      <c r="Q952" s="2"/>
      <c r="R952" s="152">
        <v>45261</v>
      </c>
      <c r="S952" s="152"/>
      <c r="T952" s="152"/>
      <c r="U952" s="152">
        <v>45603</v>
      </c>
      <c r="V952" s="152"/>
      <c r="W952" s="2">
        <f>VLOOKUP(Table1[[#This Row],[Status]],Auxiliar!$B$16:$D$24,3,0)*Table1[[#This Row],[Estimação (horas)]]</f>
        <v>0.1</v>
      </c>
      <c r="X952" s="2" t="s">
        <v>1315</v>
      </c>
    </row>
    <row r="953" spans="2:24" ht="17.7" hidden="1" customHeight="1">
      <c r="B953" s="13" t="s">
        <v>26</v>
      </c>
      <c r="C953" s="13" t="s">
        <v>181</v>
      </c>
      <c r="D953" s="13" t="s">
        <v>1304</v>
      </c>
      <c r="E953" s="2" t="s">
        <v>38</v>
      </c>
      <c r="F953" s="13" t="s">
        <v>217</v>
      </c>
      <c r="G953" s="13" t="s">
        <v>284</v>
      </c>
      <c r="H953" s="58" t="str">
        <f>Table1[[#This Row],[Tabela]]&amp;Table1[[#This Row],[Campo]]</f>
        <v>modesg_inp_risco_fisicoflg_rsc_fsc_crnc</v>
      </c>
      <c r="I953" s="3" t="s">
        <v>613</v>
      </c>
      <c r="J953" s="54">
        <f>VLOOKUP(Table1[[#This Row],[Status]],Auxiliar!$B$16:$C$24,2,0)</f>
        <v>1</v>
      </c>
      <c r="K953" s="21" t="s">
        <v>1257</v>
      </c>
      <c r="L953" s="2" t="s">
        <v>1252</v>
      </c>
      <c r="M953" s="21" t="s">
        <v>1254</v>
      </c>
      <c r="N953" s="48">
        <v>45485</v>
      </c>
      <c r="O953" s="21">
        <f>INDEX(Auxiliar!$D$5:$F$13,MATCH(Table1[[#This Row],[Tipologia_Testes]],Auxiliar!$B$5:$B$13,0),MATCH(Table1[[#This Row],[Complexidade]],Auxiliar!$D$4:$F$4,0))</f>
        <v>0.5</v>
      </c>
      <c r="P953" s="2"/>
      <c r="Q953" s="2"/>
      <c r="R953" s="152">
        <v>45261</v>
      </c>
      <c r="S953" s="152"/>
      <c r="T953" s="152"/>
      <c r="U953" s="152">
        <v>45603</v>
      </c>
      <c r="V953" s="152"/>
      <c r="W953" s="2">
        <f>VLOOKUP(Table1[[#This Row],[Status]],Auxiliar!$B$16:$D$24,3,0)*Table1[[#This Row],[Estimação (horas)]]</f>
        <v>0.5</v>
      </c>
      <c r="X953" s="2" t="s">
        <v>1315</v>
      </c>
    </row>
    <row r="954" spans="2:24" ht="17.7" hidden="1" customHeight="1">
      <c r="B954" s="13" t="s">
        <v>26</v>
      </c>
      <c r="C954" s="13" t="s">
        <v>181</v>
      </c>
      <c r="D954" s="13" t="s">
        <v>1296</v>
      </c>
      <c r="E954" s="2" t="s">
        <v>38</v>
      </c>
      <c r="F954" s="13" t="s">
        <v>218</v>
      </c>
      <c r="G954" s="13" t="s">
        <v>208</v>
      </c>
      <c r="H954" s="58" t="str">
        <f>Table1[[#This Row],[Tabela]]&amp;Table1[[#This Row],[Campo]]</f>
        <v>modesg_inp_emss_scibref_date</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241</v>
      </c>
      <c r="H955" s="58" t="str">
        <f>Table1[[#This Row],[Tabela]]&amp;Table1[[#This Row],[Campo]]</f>
        <v>modesg_inp_emss_scibccli_kgl</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241</v>
      </c>
      <c r="H956" s="58" t="str">
        <f>Table1[[#This Row],[Tabela]]&amp;Table1[[#This Row],[Campo]]</f>
        <v>modesg_inp_emss_scibccli_kgl</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285</v>
      </c>
      <c r="H957" s="58" t="str">
        <f>Table1[[#This Row],[Tabela]]&amp;Table1[[#This Row],[Campo]]</f>
        <v>modesg_inp_emss_scibnome_grupo</v>
      </c>
      <c r="I957" s="2" t="s">
        <v>613</v>
      </c>
      <c r="J957" s="46">
        <f>VLOOKUP(Table1[[#This Row],[Status]],Auxiliar!$B$16:$C$24,2,0)</f>
        <v>1</v>
      </c>
      <c r="K957" s="21" t="s">
        <v>1257</v>
      </c>
      <c r="L957" s="2" t="s">
        <v>1252</v>
      </c>
      <c r="M957" s="21" t="s">
        <v>1254</v>
      </c>
      <c r="N957" s="48">
        <v>45490</v>
      </c>
      <c r="O957" s="21">
        <f>INDEX(Auxiliar!$D$5:$F$13,MATCH(Table1[[#This Row],[Tipologia_Testes]],Auxiliar!$B$5:$B$13,0),MATCH(Table1[[#This Row],[Complexidade]],Auxiliar!$D$4:$F$4,0))</f>
        <v>0.5</v>
      </c>
      <c r="P957" s="2"/>
      <c r="Q957" s="2" t="s">
        <v>1299</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1296</v>
      </c>
      <c r="E958" s="2" t="s">
        <v>38</v>
      </c>
      <c r="F958" s="13" t="s">
        <v>218</v>
      </c>
      <c r="G958" s="13" t="s">
        <v>239</v>
      </c>
      <c r="H958" s="58" t="str">
        <f>Table1[[#This Row],[Tabela]]&amp;Table1[[#This Row],[Campo]]</f>
        <v>modesg_inp_emss_scibisin</v>
      </c>
      <c r="I958" s="2" t="s">
        <v>613</v>
      </c>
      <c r="J958" s="46">
        <f>VLOOKUP(Table1[[#This Row],[Status]],Auxiliar!$B$16:$C$24,2,0)</f>
        <v>1</v>
      </c>
      <c r="K958" s="21" t="s">
        <v>1249</v>
      </c>
      <c r="L958" s="2" t="s">
        <v>1252</v>
      </c>
      <c r="M958" s="21" t="s">
        <v>1254</v>
      </c>
      <c r="N958" s="48">
        <v>45490</v>
      </c>
      <c r="O958" s="21">
        <f>INDEX(Auxiliar!$D$5:$F$13,MATCH(Table1[[#This Row],[Tipologia_Testes]],Auxiliar!$B$5:$B$13,0),MATCH(Table1[[#This Row],[Complexidade]],Auxiliar!$D$4:$F$4,0))</f>
        <v>0.1</v>
      </c>
      <c r="P958" s="2" t="s">
        <v>1316</v>
      </c>
      <c r="Q958" s="2" t="s">
        <v>1299</v>
      </c>
      <c r="R958" s="152">
        <v>45261</v>
      </c>
      <c r="S958" s="152"/>
      <c r="T958" s="152"/>
      <c r="U958" s="152">
        <v>45603</v>
      </c>
      <c r="V958" s="152"/>
      <c r="W958" s="2">
        <f>VLOOKUP(Table1[[#This Row],[Status]],Auxiliar!$B$16:$D$24,3,0)*Table1[[#This Row],[Estimação (horas)]]</f>
        <v>0.1</v>
      </c>
      <c r="X958" s="2"/>
    </row>
    <row r="959" spans="2:24" ht="17.7" hidden="1" customHeight="1">
      <c r="B959" s="13" t="s">
        <v>26</v>
      </c>
      <c r="C959" s="13" t="s">
        <v>181</v>
      </c>
      <c r="D959" s="13" t="s">
        <v>1296</v>
      </c>
      <c r="E959" s="2" t="s">
        <v>38</v>
      </c>
      <c r="F959" s="13" t="s">
        <v>218</v>
      </c>
      <c r="G959" s="13" t="s">
        <v>239</v>
      </c>
      <c r="H959" s="58" t="str">
        <f>Table1[[#This Row],[Tabela]]&amp;Table1[[#This Row],[Campo]]</f>
        <v>modesg_inp_emss_scibisin</v>
      </c>
      <c r="I959" s="2" t="s">
        <v>613</v>
      </c>
      <c r="J959" s="46">
        <f>VLOOKUP(Table1[[#This Row],[Status]],Auxiliar!$B$16:$C$24,2,0)</f>
        <v>1</v>
      </c>
      <c r="K959" s="21" t="s">
        <v>1257</v>
      </c>
      <c r="L959" s="2" t="s">
        <v>1252</v>
      </c>
      <c r="M959" s="21" t="s">
        <v>1254</v>
      </c>
      <c r="N959" s="48">
        <v>45490</v>
      </c>
      <c r="O959" s="21">
        <f>INDEX(Auxiliar!$D$5:$F$13,MATCH(Table1[[#This Row],[Tipologia_Testes]],Auxiliar!$B$5:$B$13,0),MATCH(Table1[[#This Row],[Complexidade]],Auxiliar!$D$4:$F$4,0))</f>
        <v>0.5</v>
      </c>
      <c r="P959" s="2"/>
      <c r="Q959" s="2" t="s">
        <v>1299</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1296</v>
      </c>
      <c r="E960" s="2" t="s">
        <v>38</v>
      </c>
      <c r="F960" s="13" t="s">
        <v>218</v>
      </c>
      <c r="G960" s="13" t="s">
        <v>240</v>
      </c>
      <c r="H960" s="58" t="str">
        <f>Table1[[#This Row],[Tabela]]&amp;Table1[[#This Row],[Campo]]</f>
        <v>modesg_inp_emss_scibclei</v>
      </c>
      <c r="I960" s="2" t="s">
        <v>613</v>
      </c>
      <c r="J960" s="46">
        <f>VLOOKUP(Table1[[#This Row],[Status]],Auxiliar!$B$16:$C$24,2,0)</f>
        <v>1</v>
      </c>
      <c r="K960" s="21" t="s">
        <v>1249</v>
      </c>
      <c r="L960" s="2" t="s">
        <v>1252</v>
      </c>
      <c r="M960" s="21" t="s">
        <v>1254</v>
      </c>
      <c r="N960" s="48">
        <v>45490</v>
      </c>
      <c r="O960" s="21">
        <f>INDEX(Auxiliar!$D$5:$F$13,MATCH(Table1[[#This Row],[Tipologia_Testes]],Auxiliar!$B$5:$B$13,0),MATCH(Table1[[#This Row],[Complexidade]],Auxiliar!$D$4:$F$4,0))</f>
        <v>0.1</v>
      </c>
      <c r="P960" s="2" t="s">
        <v>1316</v>
      </c>
      <c r="Q960" s="2" t="s">
        <v>1299</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1296</v>
      </c>
      <c r="E961" s="2" t="s">
        <v>38</v>
      </c>
      <c r="F961" s="13" t="s">
        <v>218</v>
      </c>
      <c r="G961" s="13" t="s">
        <v>240</v>
      </c>
      <c r="H961" s="58" t="str">
        <f>Table1[[#This Row],[Tabela]]&amp;Table1[[#This Row],[Campo]]</f>
        <v>modesg_inp_emss_scibclei</v>
      </c>
      <c r="I961" s="2" t="s">
        <v>613</v>
      </c>
      <c r="J961" s="46">
        <f>VLOOKUP(Table1[[#This Row],[Status]],Auxiliar!$B$16:$C$24,2,0)</f>
        <v>1</v>
      </c>
      <c r="K961" s="21" t="s">
        <v>1257</v>
      </c>
      <c r="L961" s="2" t="s">
        <v>1252</v>
      </c>
      <c r="M961" s="21" t="s">
        <v>1254</v>
      </c>
      <c r="N961" s="48">
        <v>45490</v>
      </c>
      <c r="O961" s="21">
        <f>INDEX(Auxiliar!$D$5:$F$13,MATCH(Table1[[#This Row],[Tipologia_Testes]],Auxiliar!$B$5:$B$13,0),MATCH(Table1[[#This Row],[Complexidade]],Auxiliar!$D$4:$F$4,0))</f>
        <v>0.5</v>
      </c>
      <c r="P961" s="2"/>
      <c r="Q961" s="2" t="s">
        <v>1299</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1296</v>
      </c>
      <c r="E962" s="2" t="s">
        <v>38</v>
      </c>
      <c r="F962" s="13" t="s">
        <v>218</v>
      </c>
      <c r="G962" s="13" t="s">
        <v>286</v>
      </c>
      <c r="H962" s="58" t="str">
        <f>Table1[[#This Row],[Tabela]]&amp;Table1[[#This Row],[Campo]]</f>
        <v>modesg_inp_emss_scibscp1_emss</v>
      </c>
      <c r="I962" s="2" t="s">
        <v>613</v>
      </c>
      <c r="J962" s="46">
        <f>VLOOKUP(Table1[[#This Row],[Status]],Auxiliar!$B$16:$C$24,2,0)</f>
        <v>1</v>
      </c>
      <c r="K962" s="21" t="s">
        <v>1249</v>
      </c>
      <c r="L962" s="2" t="s">
        <v>1252</v>
      </c>
      <c r="M962" s="21" t="s">
        <v>1254</v>
      </c>
      <c r="N962" s="48">
        <v>45499</v>
      </c>
      <c r="O962" s="21">
        <f>INDEX(Auxiliar!$D$5:$F$13,MATCH(Table1[[#This Row],[Tipologia_Testes]],Auxiliar!$B$5:$B$13,0),MATCH(Table1[[#This Row],[Complexidade]],Auxiliar!$D$4:$F$4,0))</f>
        <v>0.1</v>
      </c>
      <c r="P962" s="2" t="s">
        <v>1323</v>
      </c>
      <c r="Q962" s="2" t="s">
        <v>1299</v>
      </c>
      <c r="R962" s="152">
        <v>45136</v>
      </c>
      <c r="S962" s="152">
        <v>45439</v>
      </c>
      <c r="T962" s="152">
        <v>45491</v>
      </c>
      <c r="U962" s="152">
        <v>45603</v>
      </c>
      <c r="V962" s="152">
        <v>45499</v>
      </c>
      <c r="W962" s="2">
        <f>VLOOKUP(Table1[[#This Row],[Status]],Auxiliar!$B$16:$D$24,3,0)*Table1[[#This Row],[Estimação (horas)]]</f>
        <v>0.1</v>
      </c>
      <c r="X962" s="2"/>
    </row>
    <row r="963" spans="2:24" ht="17.7" hidden="1" customHeight="1">
      <c r="B963" s="13" t="s">
        <v>26</v>
      </c>
      <c r="C963" s="13" t="s">
        <v>181</v>
      </c>
      <c r="D963" s="13" t="s">
        <v>1296</v>
      </c>
      <c r="E963" s="2" t="s">
        <v>38</v>
      </c>
      <c r="F963" s="13" t="s">
        <v>218</v>
      </c>
      <c r="G963" s="13" t="s">
        <v>286</v>
      </c>
      <c r="H963" s="58" t="str">
        <f>Table1[[#This Row],[Tabela]]&amp;Table1[[#This Row],[Campo]]</f>
        <v>modesg_inp_emss_scibscp1_emss</v>
      </c>
      <c r="I963" s="2" t="s">
        <v>613</v>
      </c>
      <c r="J963" s="46">
        <f>VLOOKUP(Table1[[#This Row],[Status]],Auxiliar!$B$16:$C$24,2,0)</f>
        <v>1</v>
      </c>
      <c r="K963" s="21" t="s">
        <v>1257</v>
      </c>
      <c r="L963" s="2" t="s">
        <v>1252</v>
      </c>
      <c r="M963" s="21" t="s">
        <v>1254</v>
      </c>
      <c r="N963" s="48">
        <v>45490</v>
      </c>
      <c r="O963" s="21">
        <f>INDEX(Auxiliar!$D$5:$F$13,MATCH(Table1[[#This Row],[Tipologia_Testes]],Auxiliar!$B$5:$B$13,0),MATCH(Table1[[#This Row],[Complexidade]],Auxiliar!$D$4:$F$4,0))</f>
        <v>0.5</v>
      </c>
      <c r="P963" s="2"/>
      <c r="Q963" s="2" t="s">
        <v>1299</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1296</v>
      </c>
      <c r="E964" s="2" t="s">
        <v>38</v>
      </c>
      <c r="F964" s="13" t="s">
        <v>218</v>
      </c>
      <c r="G964" s="13" t="s">
        <v>287</v>
      </c>
      <c r="H964" s="58" t="str">
        <f>Table1[[#This Row],[Tabela]]&amp;Table1[[#This Row],[Campo]]</f>
        <v>modesg_inp_emss_scibscp2_emss</v>
      </c>
      <c r="I964" s="2" t="s">
        <v>613</v>
      </c>
      <c r="J964" s="46">
        <f>VLOOKUP(Table1[[#This Row],[Status]],Auxiliar!$B$16:$C$24,2,0)</f>
        <v>1</v>
      </c>
      <c r="K964" s="21" t="s">
        <v>1249</v>
      </c>
      <c r="L964" s="2" t="s">
        <v>1252</v>
      </c>
      <c r="M964" s="21" t="s">
        <v>1254</v>
      </c>
      <c r="N964" s="48">
        <v>45499</v>
      </c>
      <c r="O964" s="21">
        <f>INDEX(Auxiliar!$D$5:$F$13,MATCH(Table1[[#This Row],[Tipologia_Testes]],Auxiliar!$B$5:$B$13,0),MATCH(Table1[[#This Row],[Complexidade]],Auxiliar!$D$4:$F$4,0))</f>
        <v>0.1</v>
      </c>
      <c r="P964" s="2" t="s">
        <v>1323</v>
      </c>
      <c r="Q964" s="2" t="s">
        <v>1299</v>
      </c>
      <c r="R964" s="152">
        <v>45136</v>
      </c>
      <c r="S964" s="152">
        <v>45439</v>
      </c>
      <c r="T964" s="152">
        <v>45491</v>
      </c>
      <c r="U964" s="152">
        <v>45603</v>
      </c>
      <c r="V964" s="152">
        <v>45499</v>
      </c>
      <c r="W964" s="2">
        <f>VLOOKUP(Table1[[#This Row],[Status]],Auxiliar!$B$16:$D$24,3,0)*Table1[[#This Row],[Estimação (horas)]]</f>
        <v>0.1</v>
      </c>
      <c r="X964" s="2"/>
    </row>
    <row r="965" spans="2:24" ht="17.7" hidden="1" customHeight="1">
      <c r="B965" s="13" t="s">
        <v>26</v>
      </c>
      <c r="C965" s="13" t="s">
        <v>181</v>
      </c>
      <c r="D965" s="13" t="s">
        <v>1296</v>
      </c>
      <c r="E965" s="2" t="s">
        <v>38</v>
      </c>
      <c r="F965" s="13" t="s">
        <v>218</v>
      </c>
      <c r="G965" s="13" t="s">
        <v>287</v>
      </c>
      <c r="H965" s="58" t="str">
        <f>Table1[[#This Row],[Tabela]]&amp;Table1[[#This Row],[Campo]]</f>
        <v>modesg_inp_emss_scibscp2_emss</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288</v>
      </c>
      <c r="H966" s="58" t="str">
        <f>Table1[[#This Row],[Tabela]]&amp;Table1[[#This Row],[Campo]]</f>
        <v>modesg_inp_emss_scibscp3_emss</v>
      </c>
      <c r="I966" s="2" t="s">
        <v>613</v>
      </c>
      <c r="J966" s="46">
        <f>VLOOKUP(Table1[[#This Row],[Status]],Auxiliar!$B$16:$C$24,2,0)</f>
        <v>1</v>
      </c>
      <c r="K966" s="21" t="s">
        <v>1249</v>
      </c>
      <c r="L966" s="2" t="s">
        <v>1252</v>
      </c>
      <c r="M966" s="21" t="s">
        <v>1254</v>
      </c>
      <c r="N966" s="48">
        <v>45490</v>
      </c>
      <c r="O966" s="21">
        <f>INDEX(Auxiliar!$D$5:$F$13,MATCH(Table1[[#This Row],[Tipologia_Testes]],Auxiliar!$B$5:$B$13,0),MATCH(Table1[[#This Row],[Complexidade]],Auxiliar!$D$4:$F$4,0))</f>
        <v>0.1</v>
      </c>
      <c r="P966" s="2" t="s">
        <v>1323</v>
      </c>
      <c r="Q966" s="2" t="s">
        <v>1299</v>
      </c>
      <c r="R966" s="152">
        <v>45261</v>
      </c>
      <c r="S966" s="152"/>
      <c r="T966" s="152"/>
      <c r="U966" s="152">
        <v>45603</v>
      </c>
      <c r="V966" s="152"/>
      <c r="W966" s="2">
        <f>VLOOKUP(Table1[[#This Row],[Status]],Auxiliar!$B$16:$D$24,3,0)*Table1[[#This Row],[Estimação (horas)]]</f>
        <v>0.1</v>
      </c>
      <c r="X966" s="2"/>
    </row>
    <row r="967" spans="2:24" ht="17.7" hidden="1" customHeight="1">
      <c r="B967" s="13" t="s">
        <v>26</v>
      </c>
      <c r="C967" s="13" t="s">
        <v>181</v>
      </c>
      <c r="D967" s="13" t="s">
        <v>1296</v>
      </c>
      <c r="E967" s="2" t="s">
        <v>38</v>
      </c>
      <c r="F967" s="13" t="s">
        <v>218</v>
      </c>
      <c r="G967" s="13" t="s">
        <v>288</v>
      </c>
      <c r="H967" s="58" t="str">
        <f>Table1[[#This Row],[Tabela]]&amp;Table1[[#This Row],[Campo]]</f>
        <v>modesg_inp_emss_scibscp3_emss</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289</v>
      </c>
      <c r="H968" s="58" t="str">
        <f>Table1[[#This Row],[Tabela]]&amp;Table1[[#This Row],[Campo]]</f>
        <v>modesg_inp_emss_scibscore_scp1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290</v>
      </c>
      <c r="H969" s="58" t="str">
        <f>Table1[[#This Row],[Tabela]]&amp;Table1[[#This Row],[Campo]]</f>
        <v>modesg_inp_emss_scibscore_scp2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291</v>
      </c>
      <c r="H970" s="58" t="str">
        <f>Table1[[#This Row],[Tabela]]&amp;Table1[[#This Row],[Campo]]</f>
        <v>modesg_inp_emss_scibscore_scp3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292</v>
      </c>
      <c r="H971" s="58" t="str">
        <f>Table1[[#This Row],[Tabela]]&amp;Table1[[#This Row],[Campo]]</f>
        <v>modesg_inp_emss_sciborigem_scp1</v>
      </c>
      <c r="I971" s="2" t="s">
        <v>613</v>
      </c>
      <c r="J971" s="46">
        <f>VLOOKUP(Table1[[#This Row],[Status]],Auxiliar!$B$16:$C$24,2,0)</f>
        <v>1</v>
      </c>
      <c r="K971" s="21" t="s">
        <v>1257</v>
      </c>
      <c r="L971" s="2" t="s">
        <v>1252</v>
      </c>
      <c r="M971" s="21" t="s">
        <v>1254</v>
      </c>
      <c r="N971" s="48">
        <v>45490</v>
      </c>
      <c r="O971" s="21">
        <f>INDEX(Auxiliar!$D$5:$F$13,MATCH(Table1[[#This Row],[Tipologia_Testes]],Auxiliar!$B$5:$B$13,0),MATCH(Table1[[#This Row],[Complexidade]],Auxiliar!$D$4:$F$4,0))</f>
        <v>0.5</v>
      </c>
      <c r="P971" s="2"/>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293</v>
      </c>
      <c r="H972" s="58" t="str">
        <f>Table1[[#This Row],[Tabela]]&amp;Table1[[#This Row],[Campo]]</f>
        <v>modesg_inp_emss_sciborigem_scp2</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294</v>
      </c>
      <c r="H973" s="58" t="str">
        <f>Table1[[#This Row],[Tabela]]&amp;Table1[[#This Row],[Campo]]</f>
        <v>modesg_inp_emss_sciborigem_scp3</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218</v>
      </c>
      <c r="G974" s="13" t="s">
        <v>295</v>
      </c>
      <c r="H974" s="58" t="str">
        <f>Table1[[#This Row],[Tabela]]&amp;Table1[[#This Row],[Campo]]</f>
        <v>modesg_inp_emss_scibano_info</v>
      </c>
      <c r="I974" s="2" t="s">
        <v>613</v>
      </c>
      <c r="J974" s="46">
        <f>VLOOKUP(Table1[[#This Row],[Status]],Auxiliar!$B$16:$C$24,2,0)</f>
        <v>1</v>
      </c>
      <c r="K974" s="21" t="s">
        <v>1257</v>
      </c>
      <c r="L974" s="2" t="s">
        <v>1244</v>
      </c>
      <c r="M974" s="21" t="s">
        <v>1254</v>
      </c>
      <c r="N974" s="48">
        <v>45490</v>
      </c>
      <c r="O974" s="21">
        <f>INDEX(Auxiliar!$D$5:$F$13,MATCH(Table1[[#This Row],[Tipologia_Testes]],Auxiliar!$B$5:$B$13,0),MATCH(Table1[[#This Row],[Complexidade]],Auxiliar!$D$4:$F$4,0))</f>
        <v>0.5</v>
      </c>
      <c r="P974" s="2" t="s">
        <v>1324</v>
      </c>
      <c r="Q974" s="2" t="s">
        <v>1299</v>
      </c>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218</v>
      </c>
      <c r="G975" s="13" t="s">
        <v>296</v>
      </c>
      <c r="H975" s="58" t="str">
        <f>Table1[[#This Row],[Tabela]]&amp;Table1[[#This Row],[Campo]]</f>
        <v>modesg_inp_emss_scibdivida_total</v>
      </c>
      <c r="I975" s="2" t="s">
        <v>613</v>
      </c>
      <c r="J975" s="46">
        <f>VLOOKUP(Table1[[#This Row],[Status]],Auxiliar!$B$16:$C$24,2,0)</f>
        <v>1</v>
      </c>
      <c r="K975" s="21" t="s">
        <v>1257</v>
      </c>
      <c r="L975" s="2" t="s">
        <v>1252</v>
      </c>
      <c r="M975" s="21" t="s">
        <v>1254</v>
      </c>
      <c r="N975" s="48">
        <v>45490</v>
      </c>
      <c r="O975" s="21">
        <f>INDEX(Auxiliar!$D$5:$F$13,MATCH(Table1[[#This Row],[Tipologia_Testes]],Auxiliar!$B$5:$B$13,0),MATCH(Table1[[#This Row],[Complexidade]],Auxiliar!$D$4:$F$4,0))</f>
        <v>0.5</v>
      </c>
      <c r="P975" s="2"/>
      <c r="Q975" s="2" t="s">
        <v>1299</v>
      </c>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218</v>
      </c>
      <c r="G976" s="13" t="s">
        <v>297</v>
      </c>
      <c r="H976" s="58" t="str">
        <f>Table1[[#This Row],[Tabela]]&amp;Table1[[#This Row],[Campo]]</f>
        <v>modesg_inp_emss_scibcapital_proprio</v>
      </c>
      <c r="I976" s="2" t="s">
        <v>613</v>
      </c>
      <c r="J976" s="46">
        <f>VLOOKUP(Table1[[#This Row],[Status]],Auxiliar!$B$16:$C$24,2,0)</f>
        <v>1</v>
      </c>
      <c r="K976" s="21" t="s">
        <v>1257</v>
      </c>
      <c r="L976" s="2" t="s">
        <v>1252</v>
      </c>
      <c r="M976" s="21" t="s">
        <v>1254</v>
      </c>
      <c r="N976" s="48">
        <v>45490</v>
      </c>
      <c r="O976" s="21">
        <f>INDEX(Auxiliar!$D$5:$F$13,MATCH(Table1[[#This Row],[Tipologia_Testes]],Auxiliar!$B$5:$B$13,0),MATCH(Table1[[#This Row],[Complexidade]],Auxiliar!$D$4:$F$4,0))</f>
        <v>0.5</v>
      </c>
      <c r="P976" s="2"/>
      <c r="Q976" s="2" t="s">
        <v>1299</v>
      </c>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1296</v>
      </c>
      <c r="E977" s="2" t="s">
        <v>38</v>
      </c>
      <c r="F977" s="13" t="s">
        <v>219</v>
      </c>
      <c r="G977" s="13" t="s">
        <v>208</v>
      </c>
      <c r="H977" s="58" t="str">
        <f>Table1[[#This Row],[Tabela]]&amp;Table1[[#This Row],[Campo]]</f>
        <v>modesg_inp_emss_naceref_date</v>
      </c>
      <c r="I977" s="2" t="s">
        <v>613</v>
      </c>
      <c r="J977" s="46">
        <f>VLOOKUP(Table1[[#This Row],[Status]],Auxiliar!$B$16:$C$24,2,0)</f>
        <v>1</v>
      </c>
      <c r="K977" s="21" t="s">
        <v>1257</v>
      </c>
      <c r="L977" s="2" t="s">
        <v>1252</v>
      </c>
      <c r="M977" s="21" t="s">
        <v>1254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1296</v>
      </c>
      <c r="E978" s="2" t="s">
        <v>38</v>
      </c>
      <c r="F978" s="13" t="s">
        <v>219</v>
      </c>
      <c r="G978" s="13" t="s">
        <v>298</v>
      </c>
      <c r="H978" s="58" t="str">
        <f>Table1[[#This Row],[Tabela]]&amp;Table1[[#This Row],[Campo]]</f>
        <v>modesg_inp_emss_naceano</v>
      </c>
      <c r="I978" s="2" t="s">
        <v>613</v>
      </c>
      <c r="J978" s="46">
        <f>VLOOKUP(Table1[[#This Row],[Status]],Auxiliar!$B$16:$C$24,2,0)</f>
        <v>1</v>
      </c>
      <c r="K978" s="21" t="s">
        <v>1257</v>
      </c>
      <c r="L978" s="2" t="s">
        <v>650</v>
      </c>
      <c r="M978" s="21" t="s">
        <v>1254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222</v>
      </c>
      <c r="H979" s="58" t="str">
        <f>Table1[[#This Row],[Tabela]]&amp;Table1[[#This Row],[Campo]]</f>
        <v>modesg_inp_emss_nacenome_pais</v>
      </c>
      <c r="I979" s="2" t="s">
        <v>613</v>
      </c>
      <c r="J979" s="46">
        <f>VLOOKUP(Table1[[#This Row],[Status]],Auxiliar!$B$16:$C$24,2,0)</f>
        <v>1</v>
      </c>
      <c r="K979" s="21" t="s">
        <v>1257</v>
      </c>
      <c r="L979" s="2" t="s">
        <v>650</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87" hidden="1" customHeight="1">
      <c r="B980" s="13" t="s">
        <v>26</v>
      </c>
      <c r="C980" s="13" t="s">
        <v>181</v>
      </c>
      <c r="D980" s="13" t="s">
        <v>1296</v>
      </c>
      <c r="E980" s="2" t="s">
        <v>38</v>
      </c>
      <c r="F980" s="13" t="s">
        <v>219</v>
      </c>
      <c r="G980" s="13" t="s">
        <v>282</v>
      </c>
      <c r="H980" s="58" t="str">
        <f>Table1[[#This Row],[Tabela]]&amp;Table1[[#This Row],[Campo]]</f>
        <v>modesg_inp_emss_nacecod_nace_esg</v>
      </c>
      <c r="I980" s="2" t="s">
        <v>613</v>
      </c>
      <c r="J980" s="46">
        <f>VLOOKUP(Table1[[#This Row],[Status]],Auxiliar!$B$16:$C$24,2,0)</f>
        <v>1</v>
      </c>
      <c r="K980" s="21" t="s">
        <v>1249</v>
      </c>
      <c r="L980" s="2" t="s">
        <v>1252</v>
      </c>
      <c r="M980" s="21" t="s">
        <v>1254</v>
      </c>
      <c r="N980" s="48">
        <v>45562</v>
      </c>
      <c r="O980" s="21">
        <f>INDEX(Auxiliar!$D$5:$F$13,MATCH(Table1[[#This Row],[Tipologia_Testes]],Auxiliar!$B$5:$B$13,0),MATCH(Table1[[#This Row],[Complexidade]],Auxiliar!$D$4:$F$4,0))</f>
        <v>0.1</v>
      </c>
      <c r="P980" s="23" t="s">
        <v>1325</v>
      </c>
      <c r="Q980" s="2"/>
      <c r="R980" s="152">
        <v>45261</v>
      </c>
      <c r="S980" s="152"/>
      <c r="T980" s="152"/>
      <c r="U980" s="152">
        <v>45603</v>
      </c>
      <c r="V980" s="152"/>
      <c r="W980" s="2">
        <f>VLOOKUP(Table1[[#This Row],[Status]],Auxiliar!$B$16:$D$24,3,0)*Table1[[#This Row],[Estimação (horas)]]</f>
        <v>0.1</v>
      </c>
      <c r="X980" s="2"/>
    </row>
    <row r="981" spans="2:24" ht="87" hidden="1" customHeight="1">
      <c r="B981" s="13" t="s">
        <v>26</v>
      </c>
      <c r="C981" s="13" t="s">
        <v>181</v>
      </c>
      <c r="D981" s="13" t="s">
        <v>1296</v>
      </c>
      <c r="E981" s="2" t="s">
        <v>38</v>
      </c>
      <c r="F981" s="13" t="s">
        <v>219</v>
      </c>
      <c r="G981" s="13" t="s">
        <v>282</v>
      </c>
      <c r="H981" s="58" t="str">
        <f>Table1[[#This Row],[Tabela]]&amp;Table1[[#This Row],[Campo]]</f>
        <v>modesg_inp_emss_nacecod_nace_esg</v>
      </c>
      <c r="I981" s="2" t="s">
        <v>613</v>
      </c>
      <c r="J981" s="46">
        <f>VLOOKUP(Table1[[#This Row],[Status]],Auxiliar!$B$16:$C$24,2,0)</f>
        <v>1</v>
      </c>
      <c r="K981" s="21" t="s">
        <v>1257</v>
      </c>
      <c r="L981" s="2" t="s">
        <v>1252</v>
      </c>
      <c r="M981" s="21" t="s">
        <v>1254</v>
      </c>
      <c r="N981" s="48">
        <v>45562</v>
      </c>
      <c r="O981" s="21">
        <f>INDEX(Auxiliar!$D$5:$F$13,MATCH(Table1[[#This Row],[Tipologia_Testes]],Auxiliar!$B$5:$B$13,0),MATCH(Table1[[#This Row],[Complexidade]],Auxiliar!$D$4:$F$4,0))</f>
        <v>0.5</v>
      </c>
      <c r="P981" s="23" t="s">
        <v>1325</v>
      </c>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299</v>
      </c>
      <c r="H982" s="58" t="str">
        <f>Table1[[#This Row],[Tabela]]&amp;Table1[[#This Row],[Campo]]</f>
        <v>modesg_inp_emss_nacecod_class_indust</v>
      </c>
      <c r="I982" s="2" t="s">
        <v>613</v>
      </c>
      <c r="J982" s="46">
        <f>VLOOKUP(Table1[[#This Row],[Status]],Auxiliar!$B$16:$C$24,2,0)</f>
        <v>1</v>
      </c>
      <c r="K982" s="21" t="s">
        <v>1257</v>
      </c>
      <c r="L982" s="2" t="s">
        <v>1252</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300</v>
      </c>
      <c r="H983" s="58" t="str">
        <f>Table1[[#This Row],[Tabela]]&amp;Table1[[#This Row],[Campo]]</f>
        <v>modesg_inp_emss_nacenivel_classificacao_1</v>
      </c>
      <c r="I983" s="2" t="s">
        <v>613</v>
      </c>
      <c r="J983" s="46">
        <f>VLOOKUP(Table1[[#This Row],[Status]],Auxiliar!$B$16:$C$24,2,0)</f>
        <v>1</v>
      </c>
      <c r="K983" s="21" t="s">
        <v>1257</v>
      </c>
      <c r="L983" s="2" t="s">
        <v>650</v>
      </c>
      <c r="M983" s="21" t="s">
        <v>1254</v>
      </c>
      <c r="N983" s="48">
        <v>45537</v>
      </c>
      <c r="O983" s="21">
        <f>INDEX(Auxiliar!$D$5:$F$13,MATCH(Table1[[#This Row],[Tipologia_Testes]],Auxiliar!$B$5:$B$13,0),MATCH(Table1[[#This Row],[Complexidade]],Auxiliar!$D$4:$F$4,0))</f>
        <v>0.5</v>
      </c>
      <c r="P983" s="2" t="s">
        <v>1326</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1296</v>
      </c>
      <c r="E984" s="2" t="s">
        <v>38</v>
      </c>
      <c r="F984" s="13" t="s">
        <v>219</v>
      </c>
      <c r="G984" s="13" t="s">
        <v>301</v>
      </c>
      <c r="H984" s="58" t="str">
        <f>Table1[[#This Row],[Tabela]]&amp;Table1[[#This Row],[Campo]]</f>
        <v>modesg_inp_emss_naceclasse_ativo</v>
      </c>
      <c r="I984" s="2" t="s">
        <v>613</v>
      </c>
      <c r="J984" s="46">
        <f>VLOOKUP(Table1[[#This Row],[Status]],Auxiliar!$B$16:$C$24,2,0)</f>
        <v>1</v>
      </c>
      <c r="K984" s="21" t="s">
        <v>1257</v>
      </c>
      <c r="L984" s="2" t="s">
        <v>650</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302</v>
      </c>
      <c r="H985" s="58" t="str">
        <f>Table1[[#This Row],[Tabela]]&amp;Table1[[#This Row],[Campo]]</f>
        <v>modesg_inp_emss_naceopcao_metodologia</v>
      </c>
      <c r="I985" s="2" t="s">
        <v>613</v>
      </c>
      <c r="J985" s="46">
        <f>VLOOKUP(Table1[[#This Row],[Status]],Auxiliar!$B$16:$C$24,2,0)</f>
        <v>1</v>
      </c>
      <c r="K985" s="21" t="s">
        <v>1257</v>
      </c>
      <c r="L985" s="2" t="s">
        <v>650</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230</v>
      </c>
      <c r="H986" s="58" t="str">
        <f>Table1[[#This Row],[Tabela]]&amp;Table1[[#This Row],[Campo]]</f>
        <v>modesg_inp_emss_naceunidade_funcional</v>
      </c>
      <c r="I986" s="2" t="s">
        <v>613</v>
      </c>
      <c r="J986" s="46">
        <f>VLOOKUP(Table1[[#This Row],[Status]],Auxiliar!$B$16:$C$24,2,0)</f>
        <v>1</v>
      </c>
      <c r="K986" s="21" t="s">
        <v>1249</v>
      </c>
      <c r="L986" s="2" t="s">
        <v>1252</v>
      </c>
      <c r="M986" s="21" t="s">
        <v>1254</v>
      </c>
      <c r="N986" s="48">
        <v>45540</v>
      </c>
      <c r="O986" s="21">
        <f>INDEX(Auxiliar!$D$5:$F$13,MATCH(Table1[[#This Row],[Tipologia_Testes]],Auxiliar!$B$5:$B$13,0),MATCH(Table1[[#This Row],[Complexidade]],Auxiliar!$D$4:$F$4,0))</f>
        <v>0.1</v>
      </c>
      <c r="P986" s="2" t="s">
        <v>1327</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1296</v>
      </c>
      <c r="E987" s="2" t="s">
        <v>38</v>
      </c>
      <c r="F987" s="13" t="s">
        <v>219</v>
      </c>
      <c r="G987" s="13" t="s">
        <v>230</v>
      </c>
      <c r="H987" s="58" t="str">
        <f>Table1[[#This Row],[Tabela]]&amp;Table1[[#This Row],[Campo]]</f>
        <v>modesg_inp_emss_naceunidade_funcional</v>
      </c>
      <c r="I987" s="2" t="s">
        <v>613</v>
      </c>
      <c r="J987" s="46">
        <f>VLOOKUP(Table1[[#This Row],[Status]],Auxiliar!$B$16:$C$24,2,0)</f>
        <v>1</v>
      </c>
      <c r="K987" s="21" t="s">
        <v>1257</v>
      </c>
      <c r="L987" s="2" t="s">
        <v>1252</v>
      </c>
      <c r="M987" s="21" t="s">
        <v>1254</v>
      </c>
      <c r="N987" s="48">
        <v>45540</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1296</v>
      </c>
      <c r="E988" s="2" t="s">
        <v>38</v>
      </c>
      <c r="F988" s="13" t="s">
        <v>219</v>
      </c>
      <c r="G988" s="13" t="s">
        <v>303</v>
      </c>
      <c r="H988" s="58" t="str">
        <f>Table1[[#This Row],[Tabela]]&amp;Table1[[#This Row],[Campo]]</f>
        <v>modesg_inp_emss_naceunidades_fator_de_emissao</v>
      </c>
      <c r="I988" s="2" t="s">
        <v>613</v>
      </c>
      <c r="J988" s="46">
        <f>VLOOKUP(Table1[[#This Row],[Status]],Auxiliar!$B$16:$C$24,2,0)</f>
        <v>1</v>
      </c>
      <c r="K988" s="21" t="s">
        <v>1257</v>
      </c>
      <c r="L988" s="2" t="s">
        <v>1252</v>
      </c>
      <c r="M988" s="21" t="s">
        <v>1254</v>
      </c>
      <c r="N988" s="48">
        <v>45540</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233</v>
      </c>
      <c r="H989" s="58" t="str">
        <f>Table1[[#This Row],[Tabela]]&amp;Table1[[#This Row],[Campo]]</f>
        <v>modesg_inp_emss_nacescore_qualidade</v>
      </c>
      <c r="I989" s="2" t="s">
        <v>613</v>
      </c>
      <c r="J989" s="46">
        <f>VLOOKUP(Table1[[#This Row],[Status]],Auxiliar!$B$16:$C$24,2,0)</f>
        <v>1</v>
      </c>
      <c r="K989" s="21" t="s">
        <v>1257</v>
      </c>
      <c r="L989" s="2" t="s">
        <v>1244</v>
      </c>
      <c r="M989" s="21" t="s">
        <v>1254</v>
      </c>
      <c r="N989" s="48">
        <v>45540</v>
      </c>
      <c r="O989" s="21">
        <f>INDEX(Auxiliar!$D$5:$F$13,MATCH(Table1[[#This Row],[Tipologia_Testes]],Auxiliar!$B$5:$B$13,0),MATCH(Table1[[#This Row],[Complexidade]],Auxiliar!$D$4:$F$4,0))</f>
        <v>0.5</v>
      </c>
      <c r="P989" s="2" t="s">
        <v>1324</v>
      </c>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1296</v>
      </c>
      <c r="E990" s="2" t="s">
        <v>38</v>
      </c>
      <c r="F990" s="13" t="s">
        <v>219</v>
      </c>
      <c r="G990" s="13" t="s">
        <v>234</v>
      </c>
      <c r="H990" s="58" t="str">
        <f>Table1[[#This Row],[Tabela]]&amp;Table1[[#This Row],[Campo]]</f>
        <v>modesg_inp_emss_nacescp1_ftr_emss</v>
      </c>
      <c r="I990" s="2" t="s">
        <v>613</v>
      </c>
      <c r="J990" s="46">
        <f>VLOOKUP(Table1[[#This Row],[Status]],Auxiliar!$B$16:$C$24,2,0)</f>
        <v>1</v>
      </c>
      <c r="K990" s="21" t="s">
        <v>1249</v>
      </c>
      <c r="L990" s="2" t="s">
        <v>1252</v>
      </c>
      <c r="M990" s="21" t="s">
        <v>1254</v>
      </c>
      <c r="N990" s="48">
        <v>45562</v>
      </c>
      <c r="O990" s="21">
        <f>INDEX(Auxiliar!$D$5:$F$13,MATCH(Table1[[#This Row],[Tipologia_Testes]],Auxiliar!$B$5:$B$13,0),MATCH(Table1[[#This Row],[Complexidade]],Auxiliar!$D$4:$F$4,0))</f>
        <v>0.1</v>
      </c>
      <c r="P990" s="2" t="s">
        <v>1328</v>
      </c>
      <c r="Q990" s="2"/>
      <c r="R990" s="152">
        <v>45261</v>
      </c>
      <c r="S990" s="152"/>
      <c r="T990" s="152"/>
      <c r="U990" s="152">
        <v>45603</v>
      </c>
      <c r="V990" s="152"/>
      <c r="W990" s="2">
        <f>VLOOKUP(Table1[[#This Row],[Status]],Auxiliar!$B$16:$D$24,3,0)*Table1[[#This Row],[Estimação (horas)]]</f>
        <v>0.1</v>
      </c>
      <c r="X990" s="2"/>
    </row>
    <row r="991" spans="2:24" ht="17.7" hidden="1" customHeight="1">
      <c r="B991" s="13" t="s">
        <v>26</v>
      </c>
      <c r="C991" s="13" t="s">
        <v>181</v>
      </c>
      <c r="D991" s="13" t="s">
        <v>1296</v>
      </c>
      <c r="E991" s="2" t="s">
        <v>38</v>
      </c>
      <c r="F991" s="13" t="s">
        <v>219</v>
      </c>
      <c r="G991" s="13" t="s">
        <v>234</v>
      </c>
      <c r="H991" s="58" t="str">
        <f>Table1[[#This Row],[Tabela]]&amp;Table1[[#This Row],[Campo]]</f>
        <v>modesg_inp_emss_nacescp1_ftr_emss</v>
      </c>
      <c r="I991" s="2" t="s">
        <v>613</v>
      </c>
      <c r="J991" s="46">
        <f>VLOOKUP(Table1[[#This Row],[Status]],Auxiliar!$B$16:$C$24,2,0)</f>
        <v>1</v>
      </c>
      <c r="K991" s="21" t="s">
        <v>1257</v>
      </c>
      <c r="L991" s="2" t="s">
        <v>1252</v>
      </c>
      <c r="M991" s="21" t="s">
        <v>1254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7" hidden="1" customHeight="1">
      <c r="B992" s="13" t="s">
        <v>26</v>
      </c>
      <c r="C992" s="13" t="s">
        <v>181</v>
      </c>
      <c r="D992" s="13" t="s">
        <v>1296</v>
      </c>
      <c r="E992" s="2" t="s">
        <v>38</v>
      </c>
      <c r="F992" s="13" t="s">
        <v>219</v>
      </c>
      <c r="G992" s="13" t="s">
        <v>235</v>
      </c>
      <c r="H992" s="58" t="str">
        <f>Table1[[#This Row],[Tabela]]&amp;Table1[[#This Row],[Campo]]</f>
        <v>modesg_inp_emss_nacescp2_ftr_emss</v>
      </c>
      <c r="I992" s="2" t="s">
        <v>613</v>
      </c>
      <c r="J992" s="46">
        <f>VLOOKUP(Table1[[#This Row],[Status]],Auxiliar!$B$16:$C$24,2,0)</f>
        <v>1</v>
      </c>
      <c r="K992" s="21" t="s">
        <v>1249</v>
      </c>
      <c r="L992" s="2" t="s">
        <v>1252</v>
      </c>
      <c r="M992" s="21" t="s">
        <v>1254</v>
      </c>
      <c r="N992" s="48">
        <v>45562</v>
      </c>
      <c r="O992" s="21">
        <f>INDEX(Auxiliar!$D$5:$F$13,MATCH(Table1[[#This Row],[Tipologia_Testes]],Auxiliar!$B$5:$B$13,0),MATCH(Table1[[#This Row],[Complexidade]],Auxiliar!$D$4:$F$4,0))</f>
        <v>0.1</v>
      </c>
      <c r="P992" s="2" t="s">
        <v>1328</v>
      </c>
      <c r="Q992" s="2"/>
      <c r="R992" s="152">
        <v>45261</v>
      </c>
      <c r="S992" s="152"/>
      <c r="T992" s="152"/>
      <c r="U992" s="152">
        <v>45603</v>
      </c>
      <c r="V992" s="152"/>
      <c r="W992" s="2">
        <f>VLOOKUP(Table1[[#This Row],[Status]],Auxiliar!$B$16:$D$24,3,0)*Table1[[#This Row],[Estimação (horas)]]</f>
        <v>0.1</v>
      </c>
      <c r="X992" s="2"/>
    </row>
    <row r="993" spans="2:24" ht="17.7" hidden="1" customHeight="1">
      <c r="B993" s="13" t="s">
        <v>26</v>
      </c>
      <c r="C993" s="13" t="s">
        <v>181</v>
      </c>
      <c r="D993" s="13" t="s">
        <v>1296</v>
      </c>
      <c r="E993" s="2" t="s">
        <v>38</v>
      </c>
      <c r="F993" s="13" t="s">
        <v>219</v>
      </c>
      <c r="G993" s="13" t="s">
        <v>235</v>
      </c>
      <c r="H993" s="58" t="str">
        <f>Table1[[#This Row],[Tabela]]&amp;Table1[[#This Row],[Campo]]</f>
        <v>modesg_inp_emss_nacescp2_ftr_emss</v>
      </c>
      <c r="I993" s="2" t="s">
        <v>613</v>
      </c>
      <c r="J993" s="46">
        <f>VLOOKUP(Table1[[#This Row],[Status]],Auxiliar!$B$16:$C$24,2,0)</f>
        <v>1</v>
      </c>
      <c r="K993" s="21" t="s">
        <v>1257</v>
      </c>
      <c r="L993" s="2" t="s">
        <v>1252</v>
      </c>
      <c r="M993" s="21" t="s">
        <v>1254</v>
      </c>
      <c r="N993" s="48">
        <v>45562</v>
      </c>
      <c r="O993" s="21">
        <f>INDEX(Auxiliar!$D$5:$F$13,MATCH(Table1[[#This Row],[Tipologia_Testes]],Auxiliar!$B$5:$B$13,0),MATCH(Table1[[#This Row],[Complexidade]],Auxiliar!$D$4:$F$4,0))</f>
        <v>0.5</v>
      </c>
      <c r="P993" s="2"/>
      <c r="Q993" s="2"/>
      <c r="R993" s="152">
        <v>45261</v>
      </c>
      <c r="S993" s="152"/>
      <c r="T993" s="152"/>
      <c r="U993" s="152">
        <v>45603</v>
      </c>
      <c r="V993" s="152"/>
      <c r="W993" s="2">
        <f>VLOOKUP(Table1[[#This Row],[Status]],Auxiliar!$B$16:$D$24,3,0)*Table1[[#This Row],[Estimação (horas)]]</f>
        <v>0.5</v>
      </c>
      <c r="X993" s="2"/>
    </row>
    <row r="994" spans="2:24" ht="17.7" hidden="1" customHeight="1">
      <c r="B994" s="13" t="s">
        <v>26</v>
      </c>
      <c r="C994" s="13" t="s">
        <v>181</v>
      </c>
      <c r="D994" s="13" t="s">
        <v>1296</v>
      </c>
      <c r="E994" s="2" t="s">
        <v>38</v>
      </c>
      <c r="F994" s="13" t="s">
        <v>219</v>
      </c>
      <c r="G994" s="13" t="s">
        <v>236</v>
      </c>
      <c r="H994" s="58" t="str">
        <f>Table1[[#This Row],[Tabela]]&amp;Table1[[#This Row],[Campo]]</f>
        <v>modesg_inp_emss_nacescp3_ftr_emss</v>
      </c>
      <c r="I994" s="2" t="s">
        <v>613</v>
      </c>
      <c r="J994" s="46">
        <f>VLOOKUP(Table1[[#This Row],[Status]],Auxiliar!$B$16:$C$24,2,0)</f>
        <v>1</v>
      </c>
      <c r="K994" s="21" t="s">
        <v>1249</v>
      </c>
      <c r="L994" s="2" t="s">
        <v>1252</v>
      </c>
      <c r="M994" s="21" t="s">
        <v>1254</v>
      </c>
      <c r="N994" s="48">
        <v>45562</v>
      </c>
      <c r="O994" s="21">
        <f>INDEX(Auxiliar!$D$5:$F$13,MATCH(Table1[[#This Row],[Tipologia_Testes]],Auxiliar!$B$5:$B$13,0),MATCH(Table1[[#This Row],[Complexidade]],Auxiliar!$D$4:$F$4,0))</f>
        <v>0.1</v>
      </c>
      <c r="P994" s="2" t="s">
        <v>1328</v>
      </c>
      <c r="Q994" s="2"/>
      <c r="R994" s="152">
        <v>45261</v>
      </c>
      <c r="S994" s="152"/>
      <c r="T994" s="152"/>
      <c r="U994" s="152">
        <v>45603</v>
      </c>
      <c r="V994" s="152"/>
      <c r="W994" s="2">
        <f>VLOOKUP(Table1[[#This Row],[Status]],Auxiliar!$B$16:$D$24,3,0)*Table1[[#This Row],[Estimação (horas)]]</f>
        <v>0.1</v>
      </c>
      <c r="X994" s="2"/>
    </row>
    <row r="995" spans="2:24" ht="17.7" hidden="1" customHeight="1">
      <c r="B995" s="13" t="s">
        <v>26</v>
      </c>
      <c r="C995" s="13" t="s">
        <v>181</v>
      </c>
      <c r="D995" s="13" t="s">
        <v>1296</v>
      </c>
      <c r="E995" s="2" t="s">
        <v>38</v>
      </c>
      <c r="F995" s="13" t="s">
        <v>219</v>
      </c>
      <c r="G995" s="13" t="s">
        <v>236</v>
      </c>
      <c r="H995" s="58" t="str">
        <f>Table1[[#This Row],[Tabela]]&amp;Table1[[#This Row],[Campo]]</f>
        <v>modesg_inp_emss_nacescp3_ftr_emss</v>
      </c>
      <c r="I995" s="2" t="s">
        <v>613</v>
      </c>
      <c r="J995" s="46">
        <f>VLOOKUP(Table1[[#This Row],[Status]],Auxiliar!$B$16:$C$24,2,0)</f>
        <v>1</v>
      </c>
      <c r="K995" s="21" t="s">
        <v>1257</v>
      </c>
      <c r="L995" s="2" t="s">
        <v>1252</v>
      </c>
      <c r="M995" s="21" t="s">
        <v>1254</v>
      </c>
      <c r="N995" s="48">
        <v>45562</v>
      </c>
      <c r="O995" s="21">
        <f>INDEX(Auxiliar!$D$5:$F$13,MATCH(Table1[[#This Row],[Tipologia_Testes]],Auxiliar!$B$5:$B$13,0),MATCH(Table1[[#This Row],[Complexidade]],Auxiliar!$D$4:$F$4,0))</f>
        <v>0.5</v>
      </c>
      <c r="P995" s="2"/>
      <c r="Q995" s="2"/>
      <c r="R995" s="152">
        <v>45261</v>
      </c>
      <c r="S995" s="152"/>
      <c r="T995" s="152"/>
      <c r="U995" s="152">
        <v>45603</v>
      </c>
      <c r="V995" s="152"/>
      <c r="W995" s="2">
        <f>VLOOKUP(Table1[[#This Row],[Status]],Auxiliar!$B$16:$D$24,3,0)*Table1[[#This Row],[Estimação (horas)]]</f>
        <v>0.5</v>
      </c>
      <c r="X995" s="2"/>
    </row>
    <row r="996" spans="2:24" ht="17.7" hidden="1" customHeight="1">
      <c r="B996" s="13" t="s">
        <v>26</v>
      </c>
      <c r="C996" s="13" t="s">
        <v>181</v>
      </c>
      <c r="D996" s="13" t="s">
        <v>1296</v>
      </c>
      <c r="E996" s="2" t="s">
        <v>38</v>
      </c>
      <c r="F996" s="13" t="s">
        <v>220</v>
      </c>
      <c r="G996" s="13" t="s">
        <v>208</v>
      </c>
      <c r="H996" s="58" t="str">
        <f>Table1[[#This Row],[Tabela]]&amp;Table1[[#This Row],[Campo]]</f>
        <v>modesg_inp_emss_bens_imoveisref_date</v>
      </c>
      <c r="I996" s="2" t="s">
        <v>613</v>
      </c>
      <c r="J996" s="46">
        <f>VLOOKUP(Table1[[#This Row],[Status]],Auxiliar!$B$16:$C$24,2,0)</f>
        <v>1</v>
      </c>
      <c r="K996" s="21" t="s">
        <v>1257</v>
      </c>
      <c r="L996" s="21" t="s">
        <v>1252</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222</v>
      </c>
      <c r="H997" s="58" t="str">
        <f>Table1[[#This Row],[Tabela]]&amp;Table1[[#This Row],[Campo]]</f>
        <v>modesg_inp_emss_bens_imoveisnome_pais</v>
      </c>
      <c r="I997" s="2" t="s">
        <v>613</v>
      </c>
      <c r="J997" s="46">
        <f>VLOOKUP(Table1[[#This Row],[Status]],Auxiliar!$B$16:$C$24,2,0)</f>
        <v>1</v>
      </c>
      <c r="K997" s="21" t="s">
        <v>1257</v>
      </c>
      <c r="L997" s="21" t="s">
        <v>1252</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223</v>
      </c>
      <c r="H998" s="58" t="str">
        <f>Table1[[#This Row],[Tabela]]&amp;Table1[[#This Row],[Campo]]</f>
        <v>modesg_inp_emss_bens_imoveisnome_estado</v>
      </c>
      <c r="I998" s="2" t="s">
        <v>613</v>
      </c>
      <c r="J998" s="46">
        <f>VLOOKUP(Table1[[#This Row],[Status]],Auxiliar!$B$16:$C$24,2,0)</f>
        <v>1</v>
      </c>
      <c r="K998" s="21" t="s">
        <v>1257</v>
      </c>
      <c r="L998" s="21" t="s">
        <v>1252</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65" t="s">
        <v>301</v>
      </c>
      <c r="H999" s="58" t="str">
        <f>Table1[[#This Row],[Tabela]]&amp;Table1[[#This Row],[Campo]]</f>
        <v>modesg_inp_emss_bens_imoveisclasse_ativo</v>
      </c>
      <c r="I999" s="2" t="s">
        <v>613</v>
      </c>
      <c r="J999" s="46">
        <f>VLOOKUP(Table1[[#This Row],[Status]],Auxiliar!$B$16:$C$24,2,0)</f>
        <v>1</v>
      </c>
      <c r="K999" s="21" t="s">
        <v>1257</v>
      </c>
      <c r="L999" s="2" t="s">
        <v>650</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304</v>
      </c>
      <c r="H1000" s="58" t="str">
        <f>Table1[[#This Row],[Tabela]]&amp;Table1[[#This Row],[Campo]]</f>
        <v>modesg_inp_emss_bens_imoveistipo_fator_emissao</v>
      </c>
      <c r="I1000" s="2" t="s">
        <v>613</v>
      </c>
      <c r="J1000" s="46">
        <f>VLOOKUP(Table1[[#This Row],[Status]],Auxiliar!$B$16:$C$24,2,0)</f>
        <v>1</v>
      </c>
      <c r="K1000" s="21" t="s">
        <v>1257</v>
      </c>
      <c r="L1000" s="2" t="s">
        <v>650</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305</v>
      </c>
      <c r="H1001" s="58" t="str">
        <f>Table1[[#This Row],[Tabela]]&amp;Table1[[#This Row],[Campo]]</f>
        <v>modesg_inp_emss_bens_imoveisregiao</v>
      </c>
      <c r="I1001" s="2" t="s">
        <v>613</v>
      </c>
      <c r="J1001" s="46">
        <f>VLOOKUP(Table1[[#This Row],[Status]],Auxiliar!$B$16:$C$24,2,0)</f>
        <v>1</v>
      </c>
      <c r="K1001" s="21" t="s">
        <v>1257</v>
      </c>
      <c r="L1001" s="2" t="s">
        <v>650</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306</v>
      </c>
      <c r="H1002" s="58" t="str">
        <f>Table1[[#This Row],[Tabela]]&amp;Table1[[#This Row],[Campo]]</f>
        <v>modesg_inp_emss_bens_imoveistipo_bem</v>
      </c>
      <c r="I1002" s="2" t="s">
        <v>613</v>
      </c>
      <c r="J1002" s="46">
        <f>VLOOKUP(Table1[[#This Row],[Status]],Auxiliar!$B$16:$C$24,2,0)</f>
        <v>1</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1296</v>
      </c>
      <c r="E1003" s="2" t="s">
        <v>38</v>
      </c>
      <c r="F1003" s="13" t="s">
        <v>220</v>
      </c>
      <c r="G1003" s="13" t="s">
        <v>307</v>
      </c>
      <c r="H1003" s="58" t="str">
        <f>Table1[[#This Row],[Tabela]]&amp;Table1[[#This Row],[Campo]]</f>
        <v>modesg_inp_emss_bens_imoveistipo_finalidade_bem</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198</v>
      </c>
      <c r="H1004" s="58" t="str">
        <f>Table1[[#This Row],[Tabela]]&amp;Table1[[#This Row],[Campo]]</f>
        <v>modesg_inp_emss_bens_imoveisepc</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308</v>
      </c>
      <c r="H1005" s="58" t="str">
        <f>Table1[[#This Row],[Tabela]]&amp;Table1[[#This Row],[Campo]]</f>
        <v>modesg_inp_emss_bens_imoveisflg_ftr_emss_area</v>
      </c>
      <c r="I1005" s="2" t="s">
        <v>612</v>
      </c>
      <c r="J1005" s="46">
        <f>VLOOKUP(Table1[[#This Row],[Status]],Auxiliar!$B$16:$C$24,2,0)</f>
        <v>0</v>
      </c>
      <c r="K1005" s="21" t="s">
        <v>1257</v>
      </c>
      <c r="L1005" s="21" t="s">
        <v>1252</v>
      </c>
      <c r="M1005" s="21" t="s">
        <v>1254</v>
      </c>
      <c r="N1005" s="48">
        <v>45546</v>
      </c>
      <c r="O1005" s="21">
        <f>INDEX(Auxiliar!$D$5:$F$13,MATCH(Table1[[#This Row],[Tipologia_Testes]],Auxiliar!$B$5:$B$13,0),MATCH(Table1[[#This Row],[Complexidade]],Auxiliar!$D$4:$F$4,0))</f>
        <v>0.5</v>
      </c>
      <c r="P1005" s="2"/>
      <c r="Q1005" s="2"/>
      <c r="R1005" s="152">
        <v>45261</v>
      </c>
      <c r="S1005" s="152"/>
      <c r="T1005" s="152"/>
      <c r="U1005" s="152">
        <v>45534</v>
      </c>
      <c r="V1005" s="152">
        <v>45534</v>
      </c>
      <c r="W1005" s="2">
        <f>VLOOKUP(Table1[[#This Row],[Status]],Auxiliar!$B$16:$D$24,3,0)*Table1[[#This Row],[Estimação (horas)]]</f>
        <v>0</v>
      </c>
      <c r="X1005" s="2"/>
    </row>
    <row r="1006" spans="2:24" ht="17.7" hidden="1" customHeight="1">
      <c r="B1006" s="13" t="s">
        <v>26</v>
      </c>
      <c r="C1006" s="13" t="s">
        <v>181</v>
      </c>
      <c r="D1006" s="13" t="s">
        <v>1296</v>
      </c>
      <c r="E1006" s="2" t="s">
        <v>38</v>
      </c>
      <c r="F1006" s="13" t="s">
        <v>220</v>
      </c>
      <c r="G1006" s="13" t="s">
        <v>229</v>
      </c>
      <c r="H1006" s="58" t="str">
        <f>Table1[[#This Row],[Tabela]]&amp;Table1[[#This Row],[Campo]]</f>
        <v>modesg_inp_emss_bens_imoveisnome_unidade_funcional</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230</v>
      </c>
      <c r="H1007" s="58" t="str">
        <f>Table1[[#This Row],[Tabela]]&amp;Table1[[#This Row],[Campo]]</f>
        <v>modesg_inp_emss_bens_imoveisunidade_funcional</v>
      </c>
      <c r="I1007" s="2" t="s">
        <v>613</v>
      </c>
      <c r="J1007" s="46">
        <f>VLOOKUP(Table1[[#This Row],[Status]],Auxiliar!$B$16:$C$24,2,0)</f>
        <v>1</v>
      </c>
      <c r="K1007" s="21" t="s">
        <v>1257</v>
      </c>
      <c r="L1007" s="21" t="s">
        <v>1252</v>
      </c>
      <c r="M1007" s="21" t="s">
        <v>1254</v>
      </c>
      <c r="N1007" s="48">
        <v>45546</v>
      </c>
      <c r="O1007" s="21">
        <f>INDEX(Auxiliar!$D$5:$F$13,MATCH(Table1[[#This Row],[Tipologia_Testes]],Auxiliar!$B$5:$B$13,0),MATCH(Table1[[#This Row],[Complexidade]],Auxiliar!$D$4:$F$4,0))</f>
        <v>0.5</v>
      </c>
      <c r="P1007" s="2" t="s">
        <v>1329</v>
      </c>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231</v>
      </c>
      <c r="H1008" s="58" t="str">
        <f>Table1[[#This Row],[Tabela]]&amp;Table1[[#This Row],[Campo]]</f>
        <v>modesg_inp_emss_bens_imoveisnome_fator_emissao</v>
      </c>
      <c r="I1008" s="2" t="s">
        <v>613</v>
      </c>
      <c r="J1008" s="46">
        <f>VLOOKUP(Table1[[#This Row],[Status]],Auxiliar!$B$16:$C$24,2,0)</f>
        <v>1</v>
      </c>
      <c r="K1008" s="21" t="s">
        <v>1257</v>
      </c>
      <c r="L1008" s="21" t="s">
        <v>1252</v>
      </c>
      <c r="M1008" s="21" t="s">
        <v>1254</v>
      </c>
      <c r="N1008" s="48">
        <v>45546</v>
      </c>
      <c r="O1008" s="21">
        <f>INDEX(Auxiliar!$D$5:$F$13,MATCH(Table1[[#This Row],[Tipologia_Testes]],Auxiliar!$B$5:$B$13,0),MATCH(Table1[[#This Row],[Complexidade]],Auxiliar!$D$4:$F$4,0))</f>
        <v>0.5</v>
      </c>
      <c r="P1008" s="2" t="s">
        <v>1329</v>
      </c>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232</v>
      </c>
      <c r="H1009" s="58" t="str">
        <f>Table1[[#This Row],[Tabela]]&amp;Table1[[#This Row],[Campo]]</f>
        <v>modesg_inp_emss_bens_imoveisunidade_fator_de_emissao</v>
      </c>
      <c r="I1009" s="2" t="s">
        <v>613</v>
      </c>
      <c r="J1009" s="46">
        <f>VLOOKUP(Table1[[#This Row],[Status]],Auxiliar!$B$16:$C$24,2,0)</f>
        <v>1</v>
      </c>
      <c r="K1009" s="21" t="s">
        <v>1257</v>
      </c>
      <c r="L1009" s="21" t="s">
        <v>1252</v>
      </c>
      <c r="M1009" s="21" t="s">
        <v>1254</v>
      </c>
      <c r="N1009" s="48">
        <v>45546</v>
      </c>
      <c r="O1009" s="21">
        <f>INDEX(Auxiliar!$D$5:$F$13,MATCH(Table1[[#This Row],[Tipologia_Testes]],Auxiliar!$B$5:$B$13,0),MATCH(Table1[[#This Row],[Complexidade]],Auxiliar!$D$4:$F$4,0))</f>
        <v>0.5</v>
      </c>
      <c r="P1009" s="2" t="s">
        <v>1329</v>
      </c>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13" t="s">
        <v>26</v>
      </c>
      <c r="C1010" s="13" t="s">
        <v>181</v>
      </c>
      <c r="D1010" s="13" t="s">
        <v>1296</v>
      </c>
      <c r="E1010" s="2" t="s">
        <v>38</v>
      </c>
      <c r="F1010" s="13" t="s">
        <v>220</v>
      </c>
      <c r="G1010" s="13" t="s">
        <v>233</v>
      </c>
      <c r="H1010" s="58" t="str">
        <f>Table1[[#This Row],[Tabela]]&amp;Table1[[#This Row],[Campo]]</f>
        <v>modesg_inp_emss_bens_imoveisscore_qualidade</v>
      </c>
      <c r="I1010" s="2" t="s">
        <v>613</v>
      </c>
      <c r="J1010" s="46">
        <f>VLOOKUP(Table1[[#This Row],[Status]],Auxiliar!$B$16:$C$24,2,0)</f>
        <v>1</v>
      </c>
      <c r="K1010" s="21" t="s">
        <v>1257</v>
      </c>
      <c r="L1010" s="2" t="s">
        <v>1244</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309</v>
      </c>
      <c r="H1011" s="58" t="str">
        <f>Table1[[#This Row],[Tabela]]&amp;Table1[[#This Row],[Campo]]</f>
        <v>modesg_inp_emss_bens_imoveisano_fator_emissao</v>
      </c>
      <c r="I1011" s="2" t="s">
        <v>613</v>
      </c>
      <c r="J1011" s="46">
        <f>VLOOKUP(Table1[[#This Row],[Status]],Auxiliar!$B$16:$C$24,2,0)</f>
        <v>1</v>
      </c>
      <c r="K1011" s="21" t="s">
        <v>1257</v>
      </c>
      <c r="L1011" s="2" t="s">
        <v>650</v>
      </c>
      <c r="M1011" s="21" t="s">
        <v>1254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7" hidden="1" customHeight="1">
      <c r="B1012" s="13" t="s">
        <v>26</v>
      </c>
      <c r="C1012" s="13" t="s">
        <v>181</v>
      </c>
      <c r="D1012" s="13" t="s">
        <v>1296</v>
      </c>
      <c r="E1012" s="2" t="s">
        <v>38</v>
      </c>
      <c r="F1012" s="13" t="s">
        <v>220</v>
      </c>
      <c r="G1012" s="13" t="s">
        <v>234</v>
      </c>
      <c r="H1012" s="58" t="str">
        <f>Table1[[#This Row],[Tabela]]&amp;Table1[[#This Row],[Campo]]</f>
        <v>modesg_inp_emss_bens_imoveisscp1_ftr_emss</v>
      </c>
      <c r="I1012" s="2" t="s">
        <v>613</v>
      </c>
      <c r="J1012" s="46">
        <f>VLOOKUP(Table1[[#This Row],[Status]],Auxiliar!$B$16:$C$24,2,0)</f>
        <v>1</v>
      </c>
      <c r="K1012" s="21" t="s">
        <v>1249</v>
      </c>
      <c r="L1012" s="21" t="s">
        <v>1252</v>
      </c>
      <c r="M1012" s="21" t="s">
        <v>1254</v>
      </c>
      <c r="N1012" s="48">
        <v>45546</v>
      </c>
      <c r="O1012" s="21">
        <f>INDEX(Auxiliar!$D$5:$F$13,MATCH(Table1[[#This Row],[Tipologia_Testes]],Auxiliar!$B$5:$B$13,0),MATCH(Table1[[#This Row],[Complexidade]],Auxiliar!$D$4:$F$4,0))</f>
        <v>0.1</v>
      </c>
      <c r="P1012" s="2" t="s">
        <v>1330</v>
      </c>
      <c r="Q1012" s="2"/>
      <c r="R1012" s="152">
        <v>45261</v>
      </c>
      <c r="S1012" s="152"/>
      <c r="T1012" s="152"/>
      <c r="U1012" s="152">
        <v>45603</v>
      </c>
      <c r="V1012" s="152">
        <v>45534</v>
      </c>
      <c r="W1012" s="2">
        <f>VLOOKUP(Table1[[#This Row],[Status]],Auxiliar!$B$16:$D$24,3,0)*Table1[[#This Row],[Estimação (horas)]]</f>
        <v>0.1</v>
      </c>
      <c r="X1012" s="2"/>
    </row>
    <row r="1013" spans="2:24" ht="17.7" hidden="1" customHeight="1">
      <c r="B1013" s="13" t="s">
        <v>26</v>
      </c>
      <c r="C1013" s="13" t="s">
        <v>181</v>
      </c>
      <c r="D1013" s="13" t="s">
        <v>1296</v>
      </c>
      <c r="E1013" s="2" t="s">
        <v>38</v>
      </c>
      <c r="F1013" s="13" t="s">
        <v>220</v>
      </c>
      <c r="G1013" s="13" t="s">
        <v>234</v>
      </c>
      <c r="H1013" s="58" t="str">
        <f>Table1[[#This Row],[Tabela]]&amp;Table1[[#This Row],[Campo]]</f>
        <v>modesg_inp_emss_bens_imoveisscp1_ftr_emss</v>
      </c>
      <c r="I1013" s="2" t="s">
        <v>613</v>
      </c>
      <c r="J1013" s="46">
        <f>VLOOKUP(Table1[[#This Row],[Status]],Auxiliar!$B$16:$C$24,2,0)</f>
        <v>1</v>
      </c>
      <c r="K1013" s="21" t="s">
        <v>1257</v>
      </c>
      <c r="L1013" s="21" t="s">
        <v>1252</v>
      </c>
      <c r="M1013" s="21" t="s">
        <v>1254</v>
      </c>
      <c r="N1013" s="48">
        <v>45546</v>
      </c>
      <c r="O1013" s="21">
        <f>INDEX(Auxiliar!$D$5:$F$13,MATCH(Table1[[#This Row],[Tipologia_Testes]],Auxiliar!$B$5:$B$13,0),MATCH(Table1[[#This Row],[Complexidade]],Auxiliar!$D$4:$F$4,0))</f>
        <v>0.5</v>
      </c>
      <c r="P1013" s="2"/>
      <c r="Q1013" s="2"/>
      <c r="R1013" s="152">
        <v>45261</v>
      </c>
      <c r="S1013" s="152"/>
      <c r="T1013" s="152"/>
      <c r="U1013" s="152">
        <v>45603</v>
      </c>
      <c r="V1013" s="152">
        <v>45534</v>
      </c>
      <c r="W1013" s="2">
        <f>VLOOKUP(Table1[[#This Row],[Status]],Auxiliar!$B$16:$D$24,3,0)*Table1[[#This Row],[Estimação (horas)]]</f>
        <v>0.5</v>
      </c>
      <c r="X1013" s="2"/>
    </row>
    <row r="1014" spans="2:24" ht="17.7" hidden="1" customHeight="1">
      <c r="B1014" s="13" t="s">
        <v>26</v>
      </c>
      <c r="C1014" s="13" t="s">
        <v>181</v>
      </c>
      <c r="D1014" s="13" t="s">
        <v>1296</v>
      </c>
      <c r="E1014" s="2" t="s">
        <v>38</v>
      </c>
      <c r="F1014" s="13" t="s">
        <v>220</v>
      </c>
      <c r="G1014" s="13" t="s">
        <v>235</v>
      </c>
      <c r="H1014" s="58" t="str">
        <f>Table1[[#This Row],[Tabela]]&amp;Table1[[#This Row],[Campo]]</f>
        <v>modesg_inp_emss_bens_imoveisscp2_ftr_emss</v>
      </c>
      <c r="I1014" s="2" t="s">
        <v>613</v>
      </c>
      <c r="J1014" s="46">
        <f>VLOOKUP(Table1[[#This Row],[Status]],Auxiliar!$B$16:$C$24,2,0)</f>
        <v>1</v>
      </c>
      <c r="K1014" s="21" t="s">
        <v>1249</v>
      </c>
      <c r="L1014" s="21" t="s">
        <v>1252</v>
      </c>
      <c r="M1014" s="21" t="s">
        <v>1254</v>
      </c>
      <c r="N1014" s="48">
        <v>45546</v>
      </c>
      <c r="O1014" s="21">
        <f>INDEX(Auxiliar!$D$5:$F$13,MATCH(Table1[[#This Row],[Tipologia_Testes]],Auxiliar!$B$5:$B$13,0),MATCH(Table1[[#This Row],[Complexidade]],Auxiliar!$D$4:$F$4,0))</f>
        <v>0.1</v>
      </c>
      <c r="P1014" s="2" t="s">
        <v>1330</v>
      </c>
      <c r="Q1014" s="2"/>
      <c r="R1014" s="152">
        <v>45261</v>
      </c>
      <c r="S1014" s="152"/>
      <c r="T1014" s="152"/>
      <c r="U1014" s="152">
        <v>45603</v>
      </c>
      <c r="V1014" s="152">
        <v>45534</v>
      </c>
      <c r="W1014" s="2">
        <f>VLOOKUP(Table1[[#This Row],[Status]],Auxiliar!$B$16:$D$24,3,0)*Table1[[#This Row],[Estimação (horas)]]</f>
        <v>0.1</v>
      </c>
      <c r="X1014" s="2"/>
    </row>
    <row r="1015" spans="2:24" ht="17.7" hidden="1" customHeight="1">
      <c r="B1015" s="13" t="s">
        <v>26</v>
      </c>
      <c r="C1015" s="13" t="s">
        <v>181</v>
      </c>
      <c r="D1015" s="13" t="s">
        <v>1296</v>
      </c>
      <c r="E1015" s="2" t="s">
        <v>38</v>
      </c>
      <c r="F1015" s="13" t="s">
        <v>220</v>
      </c>
      <c r="G1015" s="13" t="s">
        <v>235</v>
      </c>
      <c r="H1015" s="58" t="str">
        <f>Table1[[#This Row],[Tabela]]&amp;Table1[[#This Row],[Campo]]</f>
        <v>modesg_inp_emss_bens_imoveisscp2_ftr_emss</v>
      </c>
      <c r="I1015" s="2" t="s">
        <v>613</v>
      </c>
      <c r="J1015" s="46">
        <f>VLOOKUP(Table1[[#This Row],[Status]],Auxiliar!$B$16:$C$24,2,0)</f>
        <v>1</v>
      </c>
      <c r="K1015" s="21" t="s">
        <v>1257</v>
      </c>
      <c r="L1015" s="21" t="s">
        <v>1252</v>
      </c>
      <c r="M1015" s="21" t="s">
        <v>1254</v>
      </c>
      <c r="N1015" s="48">
        <v>45546</v>
      </c>
      <c r="O1015" s="21">
        <f>INDEX(Auxiliar!$D$5:$F$13,MATCH(Table1[[#This Row],[Tipologia_Testes]],Auxiliar!$B$5:$B$13,0),MATCH(Table1[[#This Row],[Complexidade]],Auxiliar!$D$4:$F$4,0))</f>
        <v>0.5</v>
      </c>
      <c r="P1015" s="2"/>
      <c r="Q1015" s="2"/>
      <c r="R1015" s="152">
        <v>45261</v>
      </c>
      <c r="S1015" s="152"/>
      <c r="T1015" s="152"/>
      <c r="U1015" s="152">
        <v>45603</v>
      </c>
      <c r="V1015" s="152">
        <v>45534</v>
      </c>
      <c r="W1015" s="2">
        <f>VLOOKUP(Table1[[#This Row],[Status]],Auxiliar!$B$16:$D$24,3,0)*Table1[[#This Row],[Estimação (horas)]]</f>
        <v>0.5</v>
      </c>
      <c r="X1015" s="2"/>
    </row>
    <row r="1016" spans="2:24" ht="17.7" hidden="1" customHeight="1">
      <c r="B1016" s="20" t="s">
        <v>26</v>
      </c>
      <c r="C1016" s="20" t="s">
        <v>181</v>
      </c>
      <c r="D1016" s="13" t="s">
        <v>1296</v>
      </c>
      <c r="E1016" s="2" t="s">
        <v>38</v>
      </c>
      <c r="F1016" s="20" t="s">
        <v>220</v>
      </c>
      <c r="G1016" s="20" t="s">
        <v>304</v>
      </c>
      <c r="H1016" s="59" t="str">
        <f>Table1[[#This Row],[Tabela]]&amp;Table1[[#This Row],[Campo]]</f>
        <v>modesg_inp_emss_bens_imoveistipo_fator_emissao</v>
      </c>
      <c r="I1016" s="2" t="s">
        <v>613</v>
      </c>
      <c r="J1016" s="45">
        <f>VLOOKUP(Table1[[#This Row],[Status]],Auxiliar!$B$16:$C$24,2,0)</f>
        <v>1</v>
      </c>
      <c r="K1016" s="44" t="s">
        <v>1257</v>
      </c>
      <c r="L1016" s="21" t="s">
        <v>1252</v>
      </c>
      <c r="M1016" s="21" t="s">
        <v>1254</v>
      </c>
      <c r="N1016" s="48">
        <v>45546</v>
      </c>
      <c r="O1016" s="21">
        <f>INDEX(Auxiliar!$D$5:$F$13,MATCH(Table1[[#This Row],[Tipologia_Testes]],Auxiliar!$B$5:$B$13,0),MATCH(Table1[[#This Row],[Complexidade]],Auxiliar!$D$4:$F$4,0))</f>
        <v>0.5</v>
      </c>
      <c r="P1016" s="32"/>
      <c r="Q1016" s="32"/>
      <c r="R1016" s="152">
        <v>45261</v>
      </c>
      <c r="S1016" s="152"/>
      <c r="T1016" s="152"/>
      <c r="U1016" s="152">
        <v>45603</v>
      </c>
      <c r="V1016" s="152">
        <v>45534</v>
      </c>
      <c r="W1016" s="2">
        <f>VLOOKUP(Table1[[#This Row],[Status]],Auxiliar!$B$16:$D$24,3,0)*Table1[[#This Row],[Estimação (horas)]]</f>
        <v>0.5</v>
      </c>
      <c r="X1016" s="32"/>
    </row>
    <row r="1017" spans="2:24" ht="34.950000000000003" hidden="1" customHeight="1">
      <c r="B1017" s="39" t="s">
        <v>26</v>
      </c>
      <c r="C1017" s="39" t="s">
        <v>26</v>
      </c>
      <c r="D1017" s="36" t="s">
        <v>338</v>
      </c>
      <c r="E1017" s="111" t="s">
        <v>1331</v>
      </c>
      <c r="F1017" s="40" t="s">
        <v>336</v>
      </c>
      <c r="G1017" s="38" t="s">
        <v>337</v>
      </c>
      <c r="H1017" s="60" t="str">
        <f>Table1[[#This Row],[Tabela]]&amp;Table1[[#This Row],[Campo]]</f>
        <v>lt003_entitynace_esg</v>
      </c>
      <c r="I1017" s="2" t="s">
        <v>613</v>
      </c>
      <c r="J1017" s="45">
        <f>VLOOKUP(Table1[[#This Row],[Status]],Auxiliar!$B$16:$C$24,2,0)</f>
        <v>1</v>
      </c>
      <c r="K1017" s="45" t="s">
        <v>1246</v>
      </c>
      <c r="L1017" s="46" t="s">
        <v>1252</v>
      </c>
      <c r="M1017" s="21" t="s">
        <v>1253</v>
      </c>
      <c r="N1017" s="48">
        <v>45674</v>
      </c>
      <c r="O1017" s="21">
        <f>INDEX(Auxiliar!$D$5:$F$13,MATCH(Table1[[#This Row],[Tipologia_Testes]],Auxiliar!$B$5:$B$13,0),MATCH(Table1[[#This Row],[Complexidade]],Auxiliar!$D$4:$F$4,0))</f>
        <v>2</v>
      </c>
      <c r="P1017" s="47"/>
      <c r="Q1017" s="114"/>
      <c r="R1017" s="152">
        <v>45583</v>
      </c>
      <c r="S1017" s="152"/>
      <c r="T1017" s="152">
        <v>45583</v>
      </c>
      <c r="U1017" s="152"/>
      <c r="V1017" s="152">
        <v>45596</v>
      </c>
      <c r="W1017" s="2">
        <f>VLOOKUP(Table1[[#This Row],[Status]],Auxiliar!$B$16:$D$24,3,0)*Table1[[#This Row],[Estimação (horas)]]</f>
        <v>2</v>
      </c>
      <c r="X1017" s="114"/>
    </row>
    <row r="1018" spans="2:24" ht="34.950000000000003" hidden="1" customHeight="1">
      <c r="B1018" s="39" t="s">
        <v>26</v>
      </c>
      <c r="C1018" s="39" t="s">
        <v>26</v>
      </c>
      <c r="D1018" s="36" t="s">
        <v>338</v>
      </c>
      <c r="E1018" s="111" t="s">
        <v>1331</v>
      </c>
      <c r="F1018" s="40" t="s">
        <v>336</v>
      </c>
      <c r="G1018" s="38" t="s">
        <v>337</v>
      </c>
      <c r="H1018" s="60" t="str">
        <f>Table1[[#This Row],[Tabela]]&amp;Table1[[#This Row],[Campo]]</f>
        <v>lt003_entitynace_esg</v>
      </c>
      <c r="I1018" s="2" t="s">
        <v>613</v>
      </c>
      <c r="J1018" s="45">
        <f>VLOOKUP(Table1[[#This Row],[Status]],Auxiliar!$B$16:$C$24,2,0)</f>
        <v>1</v>
      </c>
      <c r="K1018" s="45" t="s">
        <v>1247</v>
      </c>
      <c r="L1018" s="46" t="s">
        <v>1252</v>
      </c>
      <c r="M1018" s="21" t="s">
        <v>1253</v>
      </c>
      <c r="N1018" s="48">
        <v>45674</v>
      </c>
      <c r="O1018" s="21">
        <f>INDEX(Auxiliar!$D$5:$F$13,MATCH(Table1[[#This Row],[Tipologia_Testes]],Auxiliar!$B$5:$B$13,0),MATCH(Table1[[#This Row],[Complexidade]],Auxiliar!$D$4:$F$4,0))</f>
        <v>2</v>
      </c>
      <c r="P1018" s="47"/>
      <c r="Q1018" s="114"/>
      <c r="R1018" s="152">
        <v>45583</v>
      </c>
      <c r="S1018" s="152"/>
      <c r="T1018" s="152">
        <v>45583</v>
      </c>
      <c r="U1018" s="152"/>
      <c r="V1018" s="152">
        <v>45596</v>
      </c>
      <c r="W1018" s="2">
        <f>VLOOKUP(Table1[[#This Row],[Status]],Auxiliar!$B$16:$D$24,3,0)*Table1[[#This Row],[Estimação (horas)]]</f>
        <v>2</v>
      </c>
      <c r="X1018" s="114"/>
    </row>
    <row r="1019" spans="2:24" ht="34.950000000000003" hidden="1" customHeight="1">
      <c r="B1019" s="39" t="s">
        <v>26</v>
      </c>
      <c r="C1019" s="39" t="s">
        <v>26</v>
      </c>
      <c r="D1019" s="36" t="s">
        <v>338</v>
      </c>
      <c r="E1019" s="111" t="s">
        <v>1331</v>
      </c>
      <c r="F1019" s="40" t="s">
        <v>336</v>
      </c>
      <c r="G1019" s="38" t="s">
        <v>337</v>
      </c>
      <c r="H1019" s="60" t="str">
        <f>Table1[[#This Row],[Tabela]]&amp;Table1[[#This Row],[Campo]]</f>
        <v>lt003_entitynace_esg</v>
      </c>
      <c r="I1019" s="2" t="s">
        <v>613</v>
      </c>
      <c r="J1019" s="45">
        <f>VLOOKUP(Table1[[#This Row],[Status]],Auxiliar!$B$16:$C$24,2,0)</f>
        <v>1</v>
      </c>
      <c r="K1019" s="45" t="s">
        <v>1249</v>
      </c>
      <c r="L1019" s="46" t="s">
        <v>1252</v>
      </c>
      <c r="M1019" s="21" t="s">
        <v>1253</v>
      </c>
      <c r="N1019" s="48">
        <v>45674</v>
      </c>
      <c r="O1019" s="21">
        <f>INDEX(Auxiliar!$D$5:$F$13,MATCH(Table1[[#This Row],[Tipologia_Testes]],Auxiliar!$B$5:$B$13,0),MATCH(Table1[[#This Row],[Complexidade]],Auxiliar!$D$4:$F$4,0))</f>
        <v>0.1</v>
      </c>
      <c r="P1019" s="47"/>
      <c r="Q1019" s="114"/>
      <c r="R1019" s="152">
        <v>45583</v>
      </c>
      <c r="S1019" s="152"/>
      <c r="T1019" s="152">
        <v>45583</v>
      </c>
      <c r="U1019" s="152"/>
      <c r="V1019" s="152">
        <v>45596</v>
      </c>
      <c r="W1019" s="2">
        <f>VLOOKUP(Table1[[#This Row],[Status]],Auxiliar!$B$16:$D$24,3,0)*Table1[[#This Row],[Estimação (horas)]]</f>
        <v>0.1</v>
      </c>
      <c r="X1019" s="114"/>
    </row>
    <row r="1020" spans="2:24" ht="34.950000000000003" hidden="1" customHeight="1">
      <c r="B1020" s="39" t="s">
        <v>26</v>
      </c>
      <c r="C1020" s="39" t="s">
        <v>26</v>
      </c>
      <c r="D1020" s="36" t="s">
        <v>326</v>
      </c>
      <c r="E1020" s="40" t="s">
        <v>256</v>
      </c>
      <c r="F1020" s="40" t="s">
        <v>336</v>
      </c>
      <c r="G1020" s="38" t="s">
        <v>339</v>
      </c>
      <c r="H1020" s="60" t="str">
        <f>Table1[[#This Row],[Tabela]]&amp;Table1[[#This Row],[Campo]]</f>
        <v>lt003_entitytxnmy_elgbl_capex_ccm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45583</v>
      </c>
      <c r="S1020" s="152"/>
      <c r="T1020" s="152">
        <v>45583</v>
      </c>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256</v>
      </c>
      <c r="F1021" s="39" t="s">
        <v>336</v>
      </c>
      <c r="G1021" s="39" t="s">
        <v>339</v>
      </c>
      <c r="H1021" s="59" t="str">
        <f>Table1[[#This Row],[Tabela]]&amp;Table1[[#This Row],[Campo]]</f>
        <v>lt003_entitytxnmy_elgbl_capex_ccm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v>45583</v>
      </c>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256</v>
      </c>
      <c r="F1022" s="39" t="s">
        <v>336</v>
      </c>
      <c r="G1022" s="39" t="s">
        <v>339</v>
      </c>
      <c r="H1022" s="59" t="str">
        <f>Table1[[#This Row],[Tabela]]&amp;Table1[[#This Row],[Campo]]</f>
        <v>lt003_entitytxnmy_elgbl_capex_ccm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v>45583</v>
      </c>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8" t="s">
        <v>326</v>
      </c>
      <c r="E1023" s="40" t="s">
        <v>252</v>
      </c>
      <c r="F1023" s="40" t="s">
        <v>336</v>
      </c>
      <c r="G1023" s="38" t="s">
        <v>340</v>
      </c>
      <c r="H1023" s="60" t="str">
        <f>Table1[[#This Row],[Tabela]]&amp;Table1[[#This Row],[Campo]]</f>
        <v>lt003_entitytxnmy_elgbl_trnvr_ccm</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252</v>
      </c>
      <c r="F1024" s="39" t="s">
        <v>336</v>
      </c>
      <c r="G1024" s="39" t="s">
        <v>340</v>
      </c>
      <c r="H1024" s="59" t="str">
        <f>Table1[[#This Row],[Tabela]]&amp;Table1[[#This Row],[Campo]]</f>
        <v>lt003_entitytxnmy_elgbl_trnvr_ccm</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252</v>
      </c>
      <c r="F1025" s="39" t="s">
        <v>336</v>
      </c>
      <c r="G1025" s="39" t="s">
        <v>340</v>
      </c>
      <c r="H1025" s="59" t="str">
        <f>Table1[[#This Row],[Tabela]]&amp;Table1[[#This Row],[Campo]]</f>
        <v>lt003_entitytxnmy_elgbl_trnvr_ccm</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6" t="s">
        <v>326</v>
      </c>
      <c r="E1026" s="40" t="s">
        <v>249</v>
      </c>
      <c r="F1026" s="40" t="s">
        <v>336</v>
      </c>
      <c r="G1026" s="38" t="s">
        <v>341</v>
      </c>
      <c r="H1026" s="60" t="str">
        <f>Table1[[#This Row],[Tabela]]&amp;Table1[[#This Row],[Campo]]</f>
        <v>lt003_entitytxnmy_elgbl_capex_cca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249</v>
      </c>
      <c r="F1027" s="39" t="s">
        <v>336</v>
      </c>
      <c r="G1027" s="39" t="s">
        <v>341</v>
      </c>
      <c r="H1027" s="59" t="str">
        <f>Table1[[#This Row],[Tabela]]&amp;Table1[[#This Row],[Campo]]</f>
        <v>lt003_entitytxnmy_elgbl_capex_cca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249</v>
      </c>
      <c r="F1028" s="39" t="s">
        <v>336</v>
      </c>
      <c r="G1028" s="39" t="s">
        <v>341</v>
      </c>
      <c r="H1028" s="59" t="str">
        <f>Table1[[#This Row],[Tabela]]&amp;Table1[[#This Row],[Campo]]</f>
        <v>lt003_entitytxnmy_elgbl_capex_cca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8" t="s">
        <v>326</v>
      </c>
      <c r="E1029" s="40" t="s">
        <v>246</v>
      </c>
      <c r="F1029" s="40" t="s">
        <v>336</v>
      </c>
      <c r="G1029" s="38" t="s">
        <v>342</v>
      </c>
      <c r="H1029" s="60" t="str">
        <f>Table1[[#This Row],[Tabela]]&amp;Table1[[#This Row],[Campo]]</f>
        <v>lt003_entitytxnmy_elgbl_trnvr_cca</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246</v>
      </c>
      <c r="F1030" s="39" t="s">
        <v>336</v>
      </c>
      <c r="G1030" s="39" t="s">
        <v>342</v>
      </c>
      <c r="H1030" s="59" t="str">
        <f>Table1[[#This Row],[Tabela]]&amp;Table1[[#This Row],[Campo]]</f>
        <v>lt003_entitytxnmy_elgbl_trnvr_cca</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246</v>
      </c>
      <c r="F1031" s="39" t="s">
        <v>336</v>
      </c>
      <c r="G1031" s="39" t="s">
        <v>342</v>
      </c>
      <c r="H1031" s="59" t="str">
        <f>Table1[[#This Row],[Tabela]]&amp;Table1[[#This Row],[Campo]]</f>
        <v>lt003_entitytxnmy_elgbl_trnvr_cca</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257</v>
      </c>
      <c r="F1032" s="40" t="s">
        <v>336</v>
      </c>
      <c r="G1032" s="38" t="s">
        <v>343</v>
      </c>
      <c r="H1032" s="60" t="str">
        <f>Table1[[#This Row],[Tabela]]&amp;Table1[[#This Row],[Campo]]</f>
        <v>lt003_entityenblng_capex_ccm</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257</v>
      </c>
      <c r="F1033" s="39" t="s">
        <v>336</v>
      </c>
      <c r="G1033" s="39" t="s">
        <v>343</v>
      </c>
      <c r="H1033" s="59" t="str">
        <f>Table1[[#This Row],[Tabela]]&amp;Table1[[#This Row],[Campo]]</f>
        <v>lt003_entityenblng_capex_ccm</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257</v>
      </c>
      <c r="F1034" s="39" t="s">
        <v>336</v>
      </c>
      <c r="G1034" s="39" t="s">
        <v>343</v>
      </c>
      <c r="H1034" s="59" t="str">
        <f>Table1[[#This Row],[Tabela]]&amp;Table1[[#This Row],[Campo]]</f>
        <v>lt003_entityenblng_capex_ccm</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250</v>
      </c>
      <c r="F1035" s="40" t="s">
        <v>336</v>
      </c>
      <c r="G1035" s="38" t="s">
        <v>344</v>
      </c>
      <c r="H1035" s="60" t="str">
        <f>Table1[[#This Row],[Tabela]]&amp;Table1[[#This Row],[Campo]]</f>
        <v>lt003_entityenblng_capex_cca</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250</v>
      </c>
      <c r="F1036" s="39" t="s">
        <v>336</v>
      </c>
      <c r="G1036" s="39" t="s">
        <v>344</v>
      </c>
      <c r="H1036" s="59" t="str">
        <f>Table1[[#This Row],[Tabela]]&amp;Table1[[#This Row],[Campo]]</f>
        <v>lt003_entityenblng_capex_cca</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250</v>
      </c>
      <c r="F1037" s="39" t="s">
        <v>336</v>
      </c>
      <c r="G1037" s="39" t="s">
        <v>344</v>
      </c>
      <c r="H1037" s="59" t="str">
        <f>Table1[[#This Row],[Tabela]]&amp;Table1[[#This Row],[Campo]]</f>
        <v>lt003_entityenblng_capex_cca</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258</v>
      </c>
      <c r="F1038" s="40" t="s">
        <v>336</v>
      </c>
      <c r="G1038" s="38" t="s">
        <v>345</v>
      </c>
      <c r="H1038" s="60" t="str">
        <f>Table1[[#This Row],[Tabela]]&amp;Table1[[#This Row],[Campo]]</f>
        <v>lt003_entitytrnstnl_capex</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258</v>
      </c>
      <c r="F1039" s="39" t="s">
        <v>336</v>
      </c>
      <c r="G1039" s="39" t="s">
        <v>345</v>
      </c>
      <c r="H1039" s="59" t="str">
        <f>Table1[[#This Row],[Tabela]]&amp;Table1[[#This Row],[Campo]]</f>
        <v>lt003_entitytrnstnl_capex</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258</v>
      </c>
      <c r="F1040" s="39" t="s">
        <v>336</v>
      </c>
      <c r="G1040" s="39" t="s">
        <v>345</v>
      </c>
      <c r="H1040" s="59" t="str">
        <f>Table1[[#This Row],[Tabela]]&amp;Table1[[#This Row],[Campo]]</f>
        <v>lt003_entitytrnstnl_capex</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259</v>
      </c>
      <c r="F1041" s="40" t="s">
        <v>336</v>
      </c>
      <c r="G1041" s="38" t="s">
        <v>346</v>
      </c>
      <c r="H1041" s="60" t="str">
        <f>Table1[[#This Row],[Tabela]]&amp;Table1[[#This Row],[Campo]]</f>
        <v>lt003_entitypure_capex_ccm</v>
      </c>
      <c r="I1041" s="2" t="s">
        <v>613</v>
      </c>
      <c r="J1041" s="45">
        <f>VLOOKUP(Table1[[#This Row],[Status]],Auxiliar!$B$16:$C$24,2,0)</f>
        <v>1</v>
      </c>
      <c r="K1041" s="45" t="s">
        <v>1246</v>
      </c>
      <c r="L1041" s="46" t="s">
        <v>1252</v>
      </c>
      <c r="M1041" s="21" t="s">
        <v>1253</v>
      </c>
      <c r="N1041" s="48">
        <v>45625</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2</v>
      </c>
      <c r="X1041" s="114"/>
    </row>
    <row r="1042" spans="2:24" ht="17.7" hidden="1" customHeight="1">
      <c r="B1042" s="39" t="s">
        <v>26</v>
      </c>
      <c r="C1042" s="39" t="s">
        <v>26</v>
      </c>
      <c r="D1042" s="39" t="s">
        <v>326</v>
      </c>
      <c r="E1042" s="39" t="s">
        <v>259</v>
      </c>
      <c r="F1042" s="39" t="s">
        <v>336</v>
      </c>
      <c r="G1042" s="39" t="s">
        <v>346</v>
      </c>
      <c r="H1042" s="59" t="str">
        <f>Table1[[#This Row],[Tabela]]&amp;Table1[[#This Row],[Campo]]</f>
        <v>lt003_entitypure_capex_ccm</v>
      </c>
      <c r="I1042" s="2" t="s">
        <v>613</v>
      </c>
      <c r="J1042" s="45">
        <f>VLOOKUP(Table1[[#This Row],[Status]],Auxiliar!$B$16:$C$24,2,0)</f>
        <v>1</v>
      </c>
      <c r="K1042" s="45" t="s">
        <v>1247</v>
      </c>
      <c r="L1042" s="46" t="s">
        <v>1252</v>
      </c>
      <c r="M1042" s="21" t="s">
        <v>1253</v>
      </c>
      <c r="N1042" s="48">
        <v>45625</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2</v>
      </c>
      <c r="X1042" s="114"/>
    </row>
    <row r="1043" spans="2:24" ht="17.7" hidden="1" customHeight="1">
      <c r="B1043" s="39" t="s">
        <v>26</v>
      </c>
      <c r="C1043" s="39" t="s">
        <v>26</v>
      </c>
      <c r="D1043" s="39" t="s">
        <v>326</v>
      </c>
      <c r="E1043" s="39" t="s">
        <v>259</v>
      </c>
      <c r="F1043" s="39" t="s">
        <v>336</v>
      </c>
      <c r="G1043" s="39" t="s">
        <v>346</v>
      </c>
      <c r="H1043" s="59" t="str">
        <f>Table1[[#This Row],[Tabela]]&amp;Table1[[#This Row],[Campo]]</f>
        <v>lt003_entitypure_capex_ccm</v>
      </c>
      <c r="I1043" s="2" t="s">
        <v>613</v>
      </c>
      <c r="J1043" s="45">
        <f>VLOOKUP(Table1[[#This Row],[Status]],Auxiliar!$B$16:$C$24,2,0)</f>
        <v>1</v>
      </c>
      <c r="K1043" s="45" t="s">
        <v>1249</v>
      </c>
      <c r="L1043" s="46" t="s">
        <v>1252</v>
      </c>
      <c r="M1043" s="21" t="s">
        <v>1253</v>
      </c>
      <c r="N1043" s="48">
        <v>45625</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0.1</v>
      </c>
      <c r="X1043" s="114"/>
    </row>
    <row r="1044" spans="2:24" ht="34.950000000000003" hidden="1" customHeight="1">
      <c r="B1044" s="39" t="s">
        <v>26</v>
      </c>
      <c r="C1044" s="39" t="s">
        <v>26</v>
      </c>
      <c r="D1044" s="36" t="s">
        <v>326</v>
      </c>
      <c r="E1044" s="40" t="s">
        <v>251</v>
      </c>
      <c r="F1044" s="40" t="s">
        <v>336</v>
      </c>
      <c r="G1044" s="38" t="s">
        <v>347</v>
      </c>
      <c r="H1044" s="60" t="str">
        <f>Table1[[#This Row],[Tabela]]&amp;Table1[[#This Row],[Campo]]</f>
        <v>lt003_entitypure_capex_cca</v>
      </c>
      <c r="I1044" s="2" t="s">
        <v>613</v>
      </c>
      <c r="J1044" s="45">
        <f>VLOOKUP(Table1[[#This Row],[Status]],Auxiliar!$B$16:$C$24,2,0)</f>
        <v>1</v>
      </c>
      <c r="K1044" s="45" t="s">
        <v>1246</v>
      </c>
      <c r="L1044" s="46" t="s">
        <v>1252</v>
      </c>
      <c r="M1044" s="21" t="s">
        <v>1253</v>
      </c>
      <c r="N1044" s="48">
        <v>45632</v>
      </c>
      <c r="O1044" s="21">
        <f>INDEX(Auxiliar!$D$5:$F$13,MATCH(Table1[[#This Row],[Tipologia_Testes]],Auxiliar!$B$5:$B$13,0),MATCH(Table1[[#This Row],[Complexidade]],Auxiliar!$D$4:$F$4,0))</f>
        <v>2</v>
      </c>
      <c r="P1044" s="47"/>
      <c r="Q1044" s="114"/>
      <c r="R1044" s="152">
        <v>45589</v>
      </c>
      <c r="S1044" s="152"/>
      <c r="T1044" s="152"/>
      <c r="U1044" s="152">
        <v>45611</v>
      </c>
      <c r="V1044" s="152">
        <v>45611</v>
      </c>
      <c r="W1044" s="2">
        <f>VLOOKUP(Table1[[#This Row],[Status]],Auxiliar!$B$16:$D$24,3,0)*Table1[[#This Row],[Estimação (horas)]]</f>
        <v>2</v>
      </c>
      <c r="X1044" s="114"/>
    </row>
    <row r="1045" spans="2:24" ht="17.7" hidden="1" customHeight="1">
      <c r="B1045" s="39" t="s">
        <v>26</v>
      </c>
      <c r="C1045" s="39" t="s">
        <v>26</v>
      </c>
      <c r="D1045" s="39" t="s">
        <v>326</v>
      </c>
      <c r="E1045" s="39" t="s">
        <v>251</v>
      </c>
      <c r="F1045" s="39" t="s">
        <v>336</v>
      </c>
      <c r="G1045" s="39" t="s">
        <v>347</v>
      </c>
      <c r="H1045" s="59" t="str">
        <f>Table1[[#This Row],[Tabela]]&amp;Table1[[#This Row],[Campo]]</f>
        <v>lt003_entitypure_capex_cca</v>
      </c>
      <c r="I1045" s="2" t="s">
        <v>613</v>
      </c>
      <c r="J1045" s="45">
        <f>VLOOKUP(Table1[[#This Row],[Status]],Auxiliar!$B$16:$C$24,2,0)</f>
        <v>1</v>
      </c>
      <c r="K1045" s="45" t="s">
        <v>1247</v>
      </c>
      <c r="L1045" s="46" t="s">
        <v>1252</v>
      </c>
      <c r="M1045" s="21" t="s">
        <v>1253</v>
      </c>
      <c r="N1045" s="48">
        <v>45632</v>
      </c>
      <c r="O1045" s="21">
        <f>INDEX(Auxiliar!$D$5:$F$13,MATCH(Table1[[#This Row],[Tipologia_Testes]],Auxiliar!$B$5:$B$13,0),MATCH(Table1[[#This Row],[Complexidade]],Auxiliar!$D$4:$F$4,0))</f>
        <v>2</v>
      </c>
      <c r="P1045" s="47"/>
      <c r="Q1045" s="114"/>
      <c r="R1045" s="152">
        <v>45589</v>
      </c>
      <c r="S1045" s="152"/>
      <c r="T1045" s="152"/>
      <c r="U1045" s="152">
        <v>45611</v>
      </c>
      <c r="V1045" s="152">
        <v>45611</v>
      </c>
      <c r="W1045" s="2">
        <f>VLOOKUP(Table1[[#This Row],[Status]],Auxiliar!$B$16:$D$24,3,0)*Table1[[#This Row],[Estimação (horas)]]</f>
        <v>2</v>
      </c>
      <c r="X1045" s="114"/>
    </row>
    <row r="1046" spans="2:24" ht="17.7" hidden="1" customHeight="1">
      <c r="B1046" s="39" t="s">
        <v>26</v>
      </c>
      <c r="C1046" s="39" t="s">
        <v>26</v>
      </c>
      <c r="D1046" s="39" t="s">
        <v>326</v>
      </c>
      <c r="E1046" s="39" t="s">
        <v>251</v>
      </c>
      <c r="F1046" s="39" t="s">
        <v>336</v>
      </c>
      <c r="G1046" s="39" t="s">
        <v>347</v>
      </c>
      <c r="H1046" s="59" t="str">
        <f>Table1[[#This Row],[Tabela]]&amp;Table1[[#This Row],[Campo]]</f>
        <v>lt003_entitypure_capex_cca</v>
      </c>
      <c r="I1046" s="2" t="s">
        <v>613</v>
      </c>
      <c r="J1046" s="45">
        <f>VLOOKUP(Table1[[#This Row],[Status]],Auxiliar!$B$16:$C$24,2,0)</f>
        <v>1</v>
      </c>
      <c r="K1046" s="45" t="s">
        <v>1249</v>
      </c>
      <c r="L1046" s="46" t="s">
        <v>1252</v>
      </c>
      <c r="M1046" s="21" t="s">
        <v>1253</v>
      </c>
      <c r="N1046" s="48">
        <v>45632</v>
      </c>
      <c r="O1046" s="21">
        <f>INDEX(Auxiliar!$D$5:$F$13,MATCH(Table1[[#This Row],[Tipologia_Testes]],Auxiliar!$B$5:$B$13,0),MATCH(Table1[[#This Row],[Complexidade]],Auxiliar!$D$4:$F$4,0))</f>
        <v>0.1</v>
      </c>
      <c r="P1046" s="47"/>
      <c r="Q1046" s="114"/>
      <c r="R1046" s="152">
        <v>45589</v>
      </c>
      <c r="S1046" s="152"/>
      <c r="T1046" s="152"/>
      <c r="U1046" s="152">
        <v>45611</v>
      </c>
      <c r="V1046" s="152">
        <v>45611</v>
      </c>
      <c r="W1046" s="2">
        <f>VLOOKUP(Table1[[#This Row],[Status]],Auxiliar!$B$16:$D$24,3,0)*Table1[[#This Row],[Estimação (horas)]]</f>
        <v>0.1</v>
      </c>
      <c r="X1046" s="114"/>
    </row>
    <row r="1047" spans="2:24" ht="34.950000000000003" hidden="1" customHeight="1">
      <c r="B1047" s="39" t="s">
        <v>26</v>
      </c>
      <c r="C1047" s="39" t="s">
        <v>26</v>
      </c>
      <c r="D1047" s="38" t="s">
        <v>326</v>
      </c>
      <c r="E1047" s="40" t="s">
        <v>253</v>
      </c>
      <c r="F1047" s="40" t="s">
        <v>336</v>
      </c>
      <c r="G1047" s="38" t="s">
        <v>348</v>
      </c>
      <c r="H1047" s="60" t="str">
        <f>Table1[[#This Row],[Tabela]]&amp;Table1[[#This Row],[Campo]]</f>
        <v>lt003_entityenblng_trnvr_ccm</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253</v>
      </c>
      <c r="F1048" s="39" t="s">
        <v>336</v>
      </c>
      <c r="G1048" s="39" t="s">
        <v>348</v>
      </c>
      <c r="H1048" s="59" t="str">
        <f>Table1[[#This Row],[Tabela]]&amp;Table1[[#This Row],[Campo]]</f>
        <v>lt003_entityenblng_trnvr_ccm</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253</v>
      </c>
      <c r="F1049" s="39" t="s">
        <v>336</v>
      </c>
      <c r="G1049" s="39" t="s">
        <v>348</v>
      </c>
      <c r="H1049" s="59" t="str">
        <f>Table1[[#This Row],[Tabela]]&amp;Table1[[#This Row],[Campo]]</f>
        <v>lt003_entityenblng_trnvr_ccm</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39" t="s">
        <v>26</v>
      </c>
      <c r="C1050" s="39" t="s">
        <v>26</v>
      </c>
      <c r="D1050" s="38" t="s">
        <v>326</v>
      </c>
      <c r="E1050" s="40" t="s">
        <v>247</v>
      </c>
      <c r="F1050" s="40" t="s">
        <v>336</v>
      </c>
      <c r="G1050" s="38" t="s">
        <v>349</v>
      </c>
      <c r="H1050" s="60" t="str">
        <f>Table1[[#This Row],[Tabela]]&amp;Table1[[#This Row],[Campo]]</f>
        <v>lt003_entityenblng_trnvr_cca</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7"/>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247</v>
      </c>
      <c r="F1051" s="39" t="s">
        <v>336</v>
      </c>
      <c r="G1051" s="39" t="s">
        <v>349</v>
      </c>
      <c r="H1051" s="59" t="str">
        <f>Table1[[#This Row],[Tabela]]&amp;Table1[[#This Row],[Campo]]</f>
        <v>lt003_entityenblng_trnvr_cca</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7"/>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247</v>
      </c>
      <c r="F1052" s="39" t="s">
        <v>336</v>
      </c>
      <c r="G1052" s="39" t="s">
        <v>349</v>
      </c>
      <c r="H1052" s="59" t="str">
        <f>Table1[[#This Row],[Tabela]]&amp;Table1[[#This Row],[Campo]]</f>
        <v>lt003_entityenblng_trnvr_cca</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7"/>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254</v>
      </c>
      <c r="F1053" s="40" t="s">
        <v>336</v>
      </c>
      <c r="G1053" s="38" t="s">
        <v>350</v>
      </c>
      <c r="H1053" s="60" t="str">
        <f>Table1[[#This Row],[Tabela]]&amp;Table1[[#This Row],[Campo]]</f>
        <v>lt003_entitytrnstnl_trnvr</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254</v>
      </c>
      <c r="F1054" s="39" t="s">
        <v>336</v>
      </c>
      <c r="G1054" s="39" t="s">
        <v>350</v>
      </c>
      <c r="H1054" s="59" t="str">
        <f>Table1[[#This Row],[Tabela]]&amp;Table1[[#This Row],[Campo]]</f>
        <v>lt003_entitytrnstnl_trnvr</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254</v>
      </c>
      <c r="F1055" s="39" t="s">
        <v>336</v>
      </c>
      <c r="G1055" s="39" t="s">
        <v>350</v>
      </c>
      <c r="H1055" s="59" t="str">
        <f>Table1[[#This Row],[Tabela]]&amp;Table1[[#This Row],[Campo]]</f>
        <v>lt003_entitytrnstnl_trnvr</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255</v>
      </c>
      <c r="F1056" s="40" t="s">
        <v>336</v>
      </c>
      <c r="G1056" s="38" t="s">
        <v>351</v>
      </c>
      <c r="H1056" s="60" t="str">
        <f>Table1[[#This Row],[Tabela]]&amp;Table1[[#This Row],[Campo]]</f>
        <v>lt003_entitypure_trnvr_ccm</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255</v>
      </c>
      <c r="F1057" s="39" t="s">
        <v>336</v>
      </c>
      <c r="G1057" s="39" t="s">
        <v>351</v>
      </c>
      <c r="H1057" s="59" t="str">
        <f>Table1[[#This Row],[Tabela]]&amp;Table1[[#This Row],[Campo]]</f>
        <v>lt003_entitypure_trnvr_ccm</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255</v>
      </c>
      <c r="F1058" s="39" t="s">
        <v>336</v>
      </c>
      <c r="G1058" s="39" t="s">
        <v>351</v>
      </c>
      <c r="H1058" s="59" t="str">
        <f>Table1[[#This Row],[Tabela]]&amp;Table1[[#This Row],[Campo]]</f>
        <v>lt003_entitypure_trnvr_ccm</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8" t="s">
        <v>326</v>
      </c>
      <c r="E1059" s="40" t="s">
        <v>248</v>
      </c>
      <c r="F1059" s="40" t="s">
        <v>336</v>
      </c>
      <c r="G1059" s="38" t="s">
        <v>352</v>
      </c>
      <c r="H1059" s="60" t="str">
        <f>Table1[[#This Row],[Tabela]]&amp;Table1[[#This Row],[Campo]]</f>
        <v>lt003_entitypure_trnvr_cca</v>
      </c>
      <c r="I1059" s="2" t="s">
        <v>613</v>
      </c>
      <c r="J1059" s="45">
        <f>VLOOKUP(Table1[[#This Row],[Status]],Auxiliar!$B$16:$C$24,2,0)</f>
        <v>1</v>
      </c>
      <c r="K1059" s="45" t="s">
        <v>1246</v>
      </c>
      <c r="L1059" s="46" t="s">
        <v>1252</v>
      </c>
      <c r="M1059" s="21" t="s">
        <v>1253</v>
      </c>
      <c r="N1059" s="48">
        <v>45625</v>
      </c>
      <c r="O1059" s="21">
        <f>INDEX(Auxiliar!$D$5:$F$13,MATCH(Table1[[#This Row],[Tipologia_Testes]],Auxiliar!$B$5:$B$13,0),MATCH(Table1[[#This Row],[Complexidade]],Auxiliar!$D$4:$F$4,0))</f>
        <v>2</v>
      </c>
      <c r="P1059" s="43"/>
      <c r="Q1059" s="114"/>
      <c r="R1059" s="152">
        <v>45589</v>
      </c>
      <c r="S1059" s="152"/>
      <c r="T1059" s="152"/>
      <c r="U1059" s="152">
        <v>45614</v>
      </c>
      <c r="V1059" s="152">
        <v>45596</v>
      </c>
      <c r="W1059" s="2">
        <f>VLOOKUP(Table1[[#This Row],[Status]],Auxiliar!$B$16:$D$24,3,0)*Table1[[#This Row],[Estimação (horas)]]</f>
        <v>2</v>
      </c>
      <c r="X1059" s="114"/>
    </row>
    <row r="1060" spans="2:24" ht="17.7" hidden="1" customHeight="1">
      <c r="B1060" s="39" t="s">
        <v>26</v>
      </c>
      <c r="C1060" s="39" t="s">
        <v>26</v>
      </c>
      <c r="D1060" s="39" t="s">
        <v>326</v>
      </c>
      <c r="E1060" s="39" t="s">
        <v>248</v>
      </c>
      <c r="F1060" s="39" t="s">
        <v>336</v>
      </c>
      <c r="G1060" s="39" t="s">
        <v>352</v>
      </c>
      <c r="H1060" s="59" t="str">
        <f>Table1[[#This Row],[Tabela]]&amp;Table1[[#This Row],[Campo]]</f>
        <v>lt003_entitypure_trnvr_cca</v>
      </c>
      <c r="I1060" s="2" t="s">
        <v>613</v>
      </c>
      <c r="J1060" s="45">
        <f>VLOOKUP(Table1[[#This Row],[Status]],Auxiliar!$B$16:$C$24,2,0)</f>
        <v>1</v>
      </c>
      <c r="K1060" s="45" t="s">
        <v>1247</v>
      </c>
      <c r="L1060" s="46" t="s">
        <v>1252</v>
      </c>
      <c r="M1060" s="21" t="s">
        <v>1253</v>
      </c>
      <c r="N1060" s="48">
        <v>45625</v>
      </c>
      <c r="O1060" s="21">
        <f>INDEX(Auxiliar!$D$5:$F$13,MATCH(Table1[[#This Row],[Tipologia_Testes]],Auxiliar!$B$5:$B$13,0),MATCH(Table1[[#This Row],[Complexidade]],Auxiliar!$D$4:$F$4,0))</f>
        <v>2</v>
      </c>
      <c r="P1060" s="43"/>
      <c r="Q1060" s="114"/>
      <c r="R1060" s="152">
        <v>45589</v>
      </c>
      <c r="S1060" s="152"/>
      <c r="T1060" s="152"/>
      <c r="U1060" s="152">
        <v>45614</v>
      </c>
      <c r="V1060" s="152">
        <v>45596</v>
      </c>
      <c r="W1060" s="2">
        <f>VLOOKUP(Table1[[#This Row],[Status]],Auxiliar!$B$16:$D$24,3,0)*Table1[[#This Row],[Estimação (horas)]]</f>
        <v>2</v>
      </c>
      <c r="X1060" s="114"/>
    </row>
    <row r="1061" spans="2:24" ht="17.7" hidden="1" customHeight="1">
      <c r="B1061" s="39" t="s">
        <v>26</v>
      </c>
      <c r="C1061" s="39" t="s">
        <v>26</v>
      </c>
      <c r="D1061" s="39" t="s">
        <v>326</v>
      </c>
      <c r="E1061" s="39" t="s">
        <v>248</v>
      </c>
      <c r="F1061" s="39" t="s">
        <v>336</v>
      </c>
      <c r="G1061" s="39" t="s">
        <v>352</v>
      </c>
      <c r="H1061" s="59" t="str">
        <f>Table1[[#This Row],[Tabela]]&amp;Table1[[#This Row],[Campo]]</f>
        <v>lt003_entitypure_trnvr_cca</v>
      </c>
      <c r="I1061" s="2" t="s">
        <v>613</v>
      </c>
      <c r="J1061" s="45">
        <f>VLOOKUP(Table1[[#This Row],[Status]],Auxiliar!$B$16:$C$24,2,0)</f>
        <v>1</v>
      </c>
      <c r="K1061" s="45" t="s">
        <v>1249</v>
      </c>
      <c r="L1061" s="46" t="s">
        <v>1252</v>
      </c>
      <c r="M1061" s="21" t="s">
        <v>1253</v>
      </c>
      <c r="N1061" s="48">
        <v>45625</v>
      </c>
      <c r="O1061" s="21">
        <f>INDEX(Auxiliar!$D$5:$F$13,MATCH(Table1[[#This Row],[Tipologia_Testes]],Auxiliar!$B$5:$B$13,0),MATCH(Table1[[#This Row],[Complexidade]],Auxiliar!$D$4:$F$4,0))</f>
        <v>0.1</v>
      </c>
      <c r="P1061" s="43"/>
      <c r="Q1061" s="114"/>
      <c r="R1061" s="152">
        <v>45589</v>
      </c>
      <c r="S1061" s="152"/>
      <c r="T1061" s="152"/>
      <c r="U1061" s="152">
        <v>45614</v>
      </c>
      <c r="V1061" s="152">
        <v>45596</v>
      </c>
      <c r="W1061" s="2">
        <f>VLOOKUP(Table1[[#This Row],[Status]],Auxiliar!$B$16:$D$24,3,0)*Table1[[#This Row],[Estimação (horas)]]</f>
        <v>0.1</v>
      </c>
      <c r="X1061" s="114"/>
    </row>
    <row r="1062" spans="2:24" ht="34.950000000000003" hidden="1" customHeight="1">
      <c r="B1062" s="41" t="s">
        <v>26</v>
      </c>
      <c r="C1062" s="41" t="s">
        <v>26</v>
      </c>
      <c r="D1062" s="36" t="s">
        <v>326</v>
      </c>
      <c r="E1062" s="111" t="s">
        <v>1331</v>
      </c>
      <c r="F1062" s="40" t="s">
        <v>336</v>
      </c>
      <c r="G1062" s="38" t="s">
        <v>353</v>
      </c>
      <c r="H1062" s="60" t="str">
        <f>Table1[[#This Row],[Tabela]]&amp;Table1[[#This Row],[Campo]]</f>
        <v>lt003_entityflg_nfrd_applcblty</v>
      </c>
      <c r="I1062" s="2" t="s">
        <v>613</v>
      </c>
      <c r="J1062" s="45">
        <f>VLOOKUP(Table1[[#This Row],[Status]],Auxiliar!$B$16:$C$24,2,0)</f>
        <v>1</v>
      </c>
      <c r="K1062" s="45" t="s">
        <v>1246</v>
      </c>
      <c r="L1062" s="46" t="s">
        <v>1252</v>
      </c>
      <c r="M1062" s="21" t="s">
        <v>1253</v>
      </c>
      <c r="N1062" s="48">
        <v>45632</v>
      </c>
      <c r="O1062" s="21">
        <f>INDEX(Auxiliar!$D$5:$F$13,MATCH(Table1[[#This Row],[Tipologia_Testes]],Auxiliar!$B$5:$B$13,0),MATCH(Table1[[#This Row],[Complexidade]],Auxiliar!$D$4:$F$4,0))</f>
        <v>2</v>
      </c>
      <c r="P1062" s="43"/>
      <c r="Q1062" s="114"/>
      <c r="R1062" s="152">
        <v>45589</v>
      </c>
      <c r="S1062" s="152"/>
      <c r="T1062" s="152">
        <v>45589</v>
      </c>
      <c r="U1062" s="152">
        <v>45611</v>
      </c>
      <c r="V1062" s="152">
        <v>45611</v>
      </c>
      <c r="W1062" s="2">
        <f>VLOOKUP(Table1[[#This Row],[Status]],Auxiliar!$B$16:$D$24,3,0)*Table1[[#This Row],[Estimação (horas)]]</f>
        <v>2</v>
      </c>
      <c r="X1062" s="114"/>
    </row>
    <row r="1063" spans="2:24" ht="17.7" hidden="1" customHeight="1">
      <c r="B1063" s="39" t="s">
        <v>26</v>
      </c>
      <c r="C1063" s="39" t="s">
        <v>26</v>
      </c>
      <c r="D1063" s="39" t="s">
        <v>326</v>
      </c>
      <c r="E1063" s="39" t="s">
        <v>1331</v>
      </c>
      <c r="F1063" s="39" t="s">
        <v>336</v>
      </c>
      <c r="G1063" s="39" t="s">
        <v>353</v>
      </c>
      <c r="H1063" s="59" t="str">
        <f>Table1[[#This Row],[Tabela]]&amp;Table1[[#This Row],[Campo]]</f>
        <v>lt003_entityflg_nfrd_applcblty</v>
      </c>
      <c r="I1063" s="2" t="s">
        <v>613</v>
      </c>
      <c r="J1063" s="45">
        <f>VLOOKUP(Table1[[#This Row],[Status]],Auxiliar!$B$16:$C$24,2,0)</f>
        <v>1</v>
      </c>
      <c r="K1063" s="45" t="s">
        <v>1247</v>
      </c>
      <c r="L1063" s="46" t="s">
        <v>1252</v>
      </c>
      <c r="M1063" s="21" t="s">
        <v>1253</v>
      </c>
      <c r="N1063" s="48">
        <v>45632</v>
      </c>
      <c r="O1063" s="21">
        <f>INDEX(Auxiliar!$D$5:$F$13,MATCH(Table1[[#This Row],[Tipologia_Testes]],Auxiliar!$B$5:$B$13,0),MATCH(Table1[[#This Row],[Complexidade]],Auxiliar!$D$4:$F$4,0))</f>
        <v>2</v>
      </c>
      <c r="P1063" s="43"/>
      <c r="Q1063" s="114"/>
      <c r="R1063" s="152">
        <v>45589</v>
      </c>
      <c r="S1063" s="152"/>
      <c r="T1063" s="152">
        <v>45589</v>
      </c>
      <c r="U1063" s="152">
        <v>45611</v>
      </c>
      <c r="V1063" s="152">
        <v>45611</v>
      </c>
      <c r="W1063" s="2">
        <f>VLOOKUP(Table1[[#This Row],[Status]],Auxiliar!$B$16:$D$24,3,0)*Table1[[#This Row],[Estimação (horas)]]</f>
        <v>2</v>
      </c>
      <c r="X1063" s="114"/>
    </row>
    <row r="1064" spans="2:24" ht="17.7" hidden="1" customHeight="1">
      <c r="B1064" s="39" t="s">
        <v>26</v>
      </c>
      <c r="C1064" s="39" t="s">
        <v>26</v>
      </c>
      <c r="D1064" s="39" t="s">
        <v>326</v>
      </c>
      <c r="E1064" s="39" t="s">
        <v>1331</v>
      </c>
      <c r="F1064" s="39" t="s">
        <v>336</v>
      </c>
      <c r="G1064" s="39" t="s">
        <v>353</v>
      </c>
      <c r="H1064" s="59" t="str">
        <f>Table1[[#This Row],[Tabela]]&amp;Table1[[#This Row],[Campo]]</f>
        <v>lt003_entityflg_nfrd_applcblty</v>
      </c>
      <c r="I1064" s="2" t="s">
        <v>613</v>
      </c>
      <c r="J1064" s="45">
        <f>VLOOKUP(Table1[[#This Row],[Status]],Auxiliar!$B$16:$C$24,2,0)</f>
        <v>1</v>
      </c>
      <c r="K1064" s="45" t="s">
        <v>1249</v>
      </c>
      <c r="L1064" s="46" t="s">
        <v>1252</v>
      </c>
      <c r="M1064" s="21" t="s">
        <v>1253</v>
      </c>
      <c r="N1064" s="48">
        <v>45632</v>
      </c>
      <c r="O1064" s="21">
        <f>INDEX(Auxiliar!$D$5:$F$13,MATCH(Table1[[#This Row],[Tipologia_Testes]],Auxiliar!$B$5:$B$13,0),MATCH(Table1[[#This Row],[Complexidade]],Auxiliar!$D$4:$F$4,0))</f>
        <v>0.1</v>
      </c>
      <c r="P1064" s="43"/>
      <c r="Q1064" s="114"/>
      <c r="R1064" s="152">
        <v>45589</v>
      </c>
      <c r="S1064" s="152"/>
      <c r="T1064" s="152">
        <v>45589</v>
      </c>
      <c r="U1064" s="152">
        <v>45611</v>
      </c>
      <c r="V1064" s="152">
        <v>45611</v>
      </c>
      <c r="W1064" s="2">
        <f>VLOOKUP(Table1[[#This Row],[Status]],Auxiliar!$B$16:$D$24,3,0)*Table1[[#This Row],[Estimação (horas)]]</f>
        <v>0.1</v>
      </c>
      <c r="X1064" s="114"/>
    </row>
    <row r="1065" spans="2:24" ht="34.950000000000003" hidden="1" customHeight="1">
      <c r="B1065" s="41" t="s">
        <v>26</v>
      </c>
      <c r="C1065" s="41" t="s">
        <v>26</v>
      </c>
      <c r="D1065" s="36" t="s">
        <v>326</v>
      </c>
      <c r="E1065" s="111" t="s">
        <v>286</v>
      </c>
      <c r="F1065" s="40" t="s">
        <v>336</v>
      </c>
      <c r="G1065" s="38" t="s">
        <v>354</v>
      </c>
      <c r="H1065" s="60" t="str">
        <f>Table1[[#This Row],[Tabela]]&amp;Table1[[#This Row],[Campo]]</f>
        <v>lt003_entitycntrprty_emssns_scp1</v>
      </c>
      <c r="I1065" s="2" t="s">
        <v>613</v>
      </c>
      <c r="J1065" s="45">
        <f>VLOOKUP(Table1[[#This Row],[Status]],Auxiliar!$B$16:$C$24,2,0)</f>
        <v>1</v>
      </c>
      <c r="K1065" s="45" t="s">
        <v>1246</v>
      </c>
      <c r="L1065" s="46" t="s">
        <v>1252</v>
      </c>
      <c r="M1065" s="21" t="s">
        <v>1253</v>
      </c>
      <c r="N1065" s="48">
        <v>45674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286</v>
      </c>
      <c r="F1066" s="39" t="s">
        <v>336</v>
      </c>
      <c r="G1066" s="39" t="s">
        <v>354</v>
      </c>
      <c r="H1066" s="59" t="str">
        <f>Table1[[#This Row],[Tabela]]&amp;Table1[[#This Row],[Campo]]</f>
        <v>lt003_entitycntrprty_emssns_scp1</v>
      </c>
      <c r="I1066" s="2" t="s">
        <v>613</v>
      </c>
      <c r="J1066" s="45">
        <f>VLOOKUP(Table1[[#This Row],[Status]],Auxiliar!$B$16:$C$24,2,0)</f>
        <v>1</v>
      </c>
      <c r="K1066" s="45" t="s">
        <v>1247</v>
      </c>
      <c r="L1066" s="46" t="s">
        <v>1252</v>
      </c>
      <c r="M1066" s="21" t="s">
        <v>1253</v>
      </c>
      <c r="N1066" s="48">
        <v>45674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286</v>
      </c>
      <c r="F1067" s="39" t="s">
        <v>336</v>
      </c>
      <c r="G1067" s="39" t="s">
        <v>354</v>
      </c>
      <c r="H1067" s="59" t="str">
        <f>Table1[[#This Row],[Tabela]]&amp;Table1[[#This Row],[Campo]]</f>
        <v>lt003_entitycntrprty_emssns_scp1</v>
      </c>
      <c r="I1067" s="2" t="s">
        <v>613</v>
      </c>
      <c r="J1067" s="45">
        <f>VLOOKUP(Table1[[#This Row],[Status]],Auxiliar!$B$16:$C$24,2,0)</f>
        <v>1</v>
      </c>
      <c r="K1067" s="45" t="s">
        <v>1249</v>
      </c>
      <c r="L1067" s="46" t="s">
        <v>1252</v>
      </c>
      <c r="M1067" s="21" t="s">
        <v>1253</v>
      </c>
      <c r="N1067" s="48">
        <v>45674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287</v>
      </c>
      <c r="F1068" s="40" t="s">
        <v>336</v>
      </c>
      <c r="G1068" s="38" t="s">
        <v>355</v>
      </c>
      <c r="H1068" s="60" t="str">
        <f>Table1[[#This Row],[Tabela]]&amp;Table1[[#This Row],[Campo]]</f>
        <v>lt003_entitycntrprty_emssns_scp2</v>
      </c>
      <c r="I1068" s="2" t="s">
        <v>613</v>
      </c>
      <c r="J1068" s="45">
        <f>VLOOKUP(Table1[[#This Row],[Status]],Auxiliar!$B$16:$C$24,2,0)</f>
        <v>1</v>
      </c>
      <c r="K1068" s="45" t="s">
        <v>1246</v>
      </c>
      <c r="L1068" s="46" t="s">
        <v>1252</v>
      </c>
      <c r="M1068" s="21" t="s">
        <v>1253</v>
      </c>
      <c r="N1068" s="48">
        <v>45674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287</v>
      </c>
      <c r="F1069" s="39" t="s">
        <v>336</v>
      </c>
      <c r="G1069" s="39" t="s">
        <v>355</v>
      </c>
      <c r="H1069" s="59" t="str">
        <f>Table1[[#This Row],[Tabela]]&amp;Table1[[#This Row],[Campo]]</f>
        <v>lt003_entitycntrprty_emssns_scp2</v>
      </c>
      <c r="I1069" s="2" t="s">
        <v>613</v>
      </c>
      <c r="J1069" s="45">
        <f>VLOOKUP(Table1[[#This Row],[Status]],Auxiliar!$B$16:$C$24,2,0)</f>
        <v>1</v>
      </c>
      <c r="K1069" s="45" t="s">
        <v>1247</v>
      </c>
      <c r="L1069" s="46" t="s">
        <v>1252</v>
      </c>
      <c r="M1069" s="21" t="s">
        <v>1253</v>
      </c>
      <c r="N1069" s="48">
        <v>45674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287</v>
      </c>
      <c r="F1070" s="39" t="s">
        <v>336</v>
      </c>
      <c r="G1070" s="39" t="s">
        <v>355</v>
      </c>
      <c r="H1070" s="59" t="str">
        <f>Table1[[#This Row],[Tabela]]&amp;Table1[[#This Row],[Campo]]</f>
        <v>lt003_entitycntrprty_emssns_scp2</v>
      </c>
      <c r="I1070" s="2" t="s">
        <v>613</v>
      </c>
      <c r="J1070" s="45">
        <f>VLOOKUP(Table1[[#This Row],[Status]],Auxiliar!$B$16:$C$24,2,0)</f>
        <v>1</v>
      </c>
      <c r="K1070" s="45" t="s">
        <v>1249</v>
      </c>
      <c r="L1070" s="46" t="s">
        <v>1252</v>
      </c>
      <c r="M1070" s="21" t="s">
        <v>1253</v>
      </c>
      <c r="N1070" s="48">
        <v>45674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288</v>
      </c>
      <c r="F1071" s="40" t="s">
        <v>336</v>
      </c>
      <c r="G1071" s="38" t="s">
        <v>356</v>
      </c>
      <c r="H1071" s="60" t="str">
        <f>Table1[[#This Row],[Tabela]]&amp;Table1[[#This Row],[Campo]]</f>
        <v>lt003_entitycntrprty_emssns_scp3</v>
      </c>
      <c r="I1071" s="2" t="s">
        <v>613</v>
      </c>
      <c r="J1071" s="45">
        <f>VLOOKUP(Table1[[#This Row],[Status]],Auxiliar!$B$16:$C$24,2,0)</f>
        <v>1</v>
      </c>
      <c r="K1071" s="45" t="s">
        <v>1246</v>
      </c>
      <c r="L1071" s="46" t="s">
        <v>1252</v>
      </c>
      <c r="M1071" s="21" t="s">
        <v>1253</v>
      </c>
      <c r="N1071" s="48">
        <v>45674</v>
      </c>
      <c r="O1071" s="21">
        <f>INDEX(Auxiliar!$D$5:$F$13,MATCH(Table1[[#This Row],[Tipologia_Testes]],Auxiliar!$B$5:$B$13,0),MATCH(Table1[[#This Row],[Complexidade]],Auxiliar!$D$4:$F$4,0))</f>
        <v>2</v>
      </c>
      <c r="P1071" s="43"/>
      <c r="Q1071" s="114"/>
      <c r="R1071" s="152">
        <v>45589</v>
      </c>
      <c r="S1071" s="152"/>
      <c r="T1071" s="152"/>
      <c r="U1071" s="152">
        <v>45621</v>
      </c>
      <c r="V1071" s="152">
        <v>45596</v>
      </c>
      <c r="W1071" s="2">
        <f>VLOOKUP(Table1[[#This Row],[Status]],Auxiliar!$B$16:$D$24,3,0)*Table1[[#This Row],[Estimação (horas)]]</f>
        <v>2</v>
      </c>
      <c r="X1071" s="114"/>
    </row>
    <row r="1072" spans="2:24" ht="17.7" hidden="1" customHeight="1">
      <c r="B1072" s="39" t="s">
        <v>26</v>
      </c>
      <c r="C1072" s="39" t="s">
        <v>26</v>
      </c>
      <c r="D1072" s="39" t="s">
        <v>326</v>
      </c>
      <c r="E1072" s="39" t="s">
        <v>288</v>
      </c>
      <c r="F1072" s="39" t="s">
        <v>336</v>
      </c>
      <c r="G1072" s="39" t="s">
        <v>356</v>
      </c>
      <c r="H1072" s="59" t="str">
        <f>Table1[[#This Row],[Tabela]]&amp;Table1[[#This Row],[Campo]]</f>
        <v>lt003_entitycntrprty_emssns_scp3</v>
      </c>
      <c r="I1072" s="2" t="s">
        <v>613</v>
      </c>
      <c r="J1072" s="45">
        <f>VLOOKUP(Table1[[#This Row],[Status]],Auxiliar!$B$16:$C$24,2,0)</f>
        <v>1</v>
      </c>
      <c r="K1072" s="45" t="s">
        <v>1247</v>
      </c>
      <c r="L1072" s="46" t="s">
        <v>1252</v>
      </c>
      <c r="M1072" s="21" t="s">
        <v>1253</v>
      </c>
      <c r="N1072" s="48">
        <v>45674</v>
      </c>
      <c r="O1072" s="21">
        <f>INDEX(Auxiliar!$D$5:$F$13,MATCH(Table1[[#This Row],[Tipologia_Testes]],Auxiliar!$B$5:$B$13,0),MATCH(Table1[[#This Row],[Complexidade]],Auxiliar!$D$4:$F$4,0))</f>
        <v>2</v>
      </c>
      <c r="P1072" s="43"/>
      <c r="Q1072" s="114"/>
      <c r="R1072" s="152">
        <v>45589</v>
      </c>
      <c r="S1072" s="152"/>
      <c r="T1072" s="152"/>
      <c r="U1072" s="152">
        <v>45621</v>
      </c>
      <c r="V1072" s="152">
        <v>45596</v>
      </c>
      <c r="W1072" s="2">
        <f>VLOOKUP(Table1[[#This Row],[Status]],Auxiliar!$B$16:$D$24,3,0)*Table1[[#This Row],[Estimação (horas)]]</f>
        <v>2</v>
      </c>
      <c r="X1072" s="114"/>
    </row>
    <row r="1073" spans="2:24" ht="17.7" hidden="1" customHeight="1">
      <c r="B1073" s="39" t="s">
        <v>26</v>
      </c>
      <c r="C1073" s="39" t="s">
        <v>26</v>
      </c>
      <c r="D1073" s="39" t="s">
        <v>326</v>
      </c>
      <c r="E1073" s="39" t="s">
        <v>288</v>
      </c>
      <c r="F1073" s="39" t="s">
        <v>336</v>
      </c>
      <c r="G1073" s="39" t="s">
        <v>356</v>
      </c>
      <c r="H1073" s="59" t="str">
        <f>Table1[[#This Row],[Tabela]]&amp;Table1[[#This Row],[Campo]]</f>
        <v>lt003_entitycntrprty_emssns_scp3</v>
      </c>
      <c r="I1073" s="2" t="s">
        <v>613</v>
      </c>
      <c r="J1073" s="45">
        <f>VLOOKUP(Table1[[#This Row],[Status]],Auxiliar!$B$16:$C$24,2,0)</f>
        <v>1</v>
      </c>
      <c r="K1073" s="45" t="s">
        <v>1249</v>
      </c>
      <c r="L1073" s="46" t="s">
        <v>1252</v>
      </c>
      <c r="M1073" s="21" t="s">
        <v>1253</v>
      </c>
      <c r="N1073" s="48">
        <v>45674</v>
      </c>
      <c r="O1073" s="21">
        <f>INDEX(Auxiliar!$D$5:$F$13,MATCH(Table1[[#This Row],[Tipologia_Testes]],Auxiliar!$B$5:$B$13,0),MATCH(Table1[[#This Row],[Complexidade]],Auxiliar!$D$4:$F$4,0))</f>
        <v>0.1</v>
      </c>
      <c r="P1073" s="43"/>
      <c r="Q1073" s="114"/>
      <c r="R1073" s="152">
        <v>45589</v>
      </c>
      <c r="S1073" s="152"/>
      <c r="T1073" s="152"/>
      <c r="U1073" s="152">
        <v>45621</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111" t="s">
        <v>1331</v>
      </c>
      <c r="F1074" s="40" t="s">
        <v>336</v>
      </c>
      <c r="G1074" s="38" t="s">
        <v>357</v>
      </c>
      <c r="H1074" s="60" t="str">
        <f>Table1[[#This Row],[Tabela]]&amp;Table1[[#This Row],[Campo]]</f>
        <v>lt003_entityflg_excldd_eu_prs_algnd_bnchmrk</v>
      </c>
      <c r="I1074" s="2" t="s">
        <v>613</v>
      </c>
      <c r="J1074" s="45">
        <f>VLOOKUP(Table1[[#This Row],[Status]],Auxiliar!$B$16:$C$24,2,0)</f>
        <v>1</v>
      </c>
      <c r="K1074" s="45" t="s">
        <v>1246</v>
      </c>
      <c r="L1074" s="46" t="s">
        <v>1252</v>
      </c>
      <c r="M1074" s="21" t="s">
        <v>1253</v>
      </c>
      <c r="N1074" s="48">
        <v>45625</v>
      </c>
      <c r="O1074" s="21">
        <f>INDEX(Auxiliar!$D$5:$F$13,MATCH(Table1[[#This Row],[Tipologia_Testes]],Auxiliar!$B$5:$B$13,0),MATCH(Table1[[#This Row],[Complexidade]],Auxiliar!$D$4:$F$4,0))</f>
        <v>2</v>
      </c>
      <c r="P1074" s="43"/>
      <c r="Q1074" s="114"/>
      <c r="R1074" s="152">
        <v>45589</v>
      </c>
      <c r="S1074" s="152"/>
      <c r="T1074" s="152"/>
      <c r="U1074" s="152">
        <v>45614</v>
      </c>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357</v>
      </c>
      <c r="H1075" s="59" t="str">
        <f>Table1[[#This Row],[Tabela]]&amp;Table1[[#This Row],[Campo]]</f>
        <v>lt003_entityflg_excldd_eu_prs_algnd_bnchmrk</v>
      </c>
      <c r="I1075" s="2" t="s">
        <v>613</v>
      </c>
      <c r="J1075" s="45">
        <f>VLOOKUP(Table1[[#This Row],[Status]],Auxiliar!$B$16:$C$24,2,0)</f>
        <v>1</v>
      </c>
      <c r="K1075" s="45" t="s">
        <v>1247</v>
      </c>
      <c r="L1075" s="46" t="s">
        <v>1252</v>
      </c>
      <c r="M1075" s="21" t="s">
        <v>1253</v>
      </c>
      <c r="N1075" s="48">
        <v>45625</v>
      </c>
      <c r="O1075" s="21">
        <f>INDEX(Auxiliar!$D$5:$F$13,MATCH(Table1[[#This Row],[Tipologia_Testes]],Auxiliar!$B$5:$B$13,0),MATCH(Table1[[#This Row],[Complexidade]],Auxiliar!$D$4:$F$4,0))</f>
        <v>2</v>
      </c>
      <c r="P1075" s="43"/>
      <c r="Q1075" s="114"/>
      <c r="R1075" s="152">
        <v>45589</v>
      </c>
      <c r="S1075" s="152"/>
      <c r="T1075" s="152"/>
      <c r="U1075" s="152">
        <v>45614</v>
      </c>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357</v>
      </c>
      <c r="H1076" s="59" t="str">
        <f>Table1[[#This Row],[Tabela]]&amp;Table1[[#This Row],[Campo]]</f>
        <v>lt003_entityflg_excldd_eu_prs_algnd_bnchmrk</v>
      </c>
      <c r="I1076" s="2" t="s">
        <v>613</v>
      </c>
      <c r="J1076" s="45">
        <f>VLOOKUP(Table1[[#This Row],[Status]],Auxiliar!$B$16:$C$24,2,0)</f>
        <v>1</v>
      </c>
      <c r="K1076" s="45" t="s">
        <v>1249</v>
      </c>
      <c r="L1076" s="46" t="s">
        <v>1252</v>
      </c>
      <c r="M1076" s="21" t="s">
        <v>1253</v>
      </c>
      <c r="N1076" s="48">
        <v>45625</v>
      </c>
      <c r="O1076" s="21">
        <f>INDEX(Auxiliar!$D$5:$F$13,MATCH(Table1[[#This Row],[Tipologia_Testes]],Auxiliar!$B$5:$B$13,0),MATCH(Table1[[#This Row],[Complexidade]],Auxiliar!$D$4:$F$4,0))</f>
        <v>0.1</v>
      </c>
      <c r="P1076" s="43"/>
      <c r="Q1076" s="114"/>
      <c r="R1076" s="152">
        <v>45589</v>
      </c>
      <c r="S1076" s="152"/>
      <c r="T1076" s="152"/>
      <c r="U1076" s="152">
        <v>45614</v>
      </c>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358</v>
      </c>
      <c r="H1077" s="60" t="str">
        <f>Table1[[#This Row],[Tabela]]&amp;Table1[[#This Row],[Campo]]</f>
        <v>lt003_entityflg_act_physcl_rsk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358</v>
      </c>
      <c r="H1078" s="59" t="str">
        <f>Table1[[#This Row],[Tabela]]&amp;Table1[[#This Row],[Campo]]</f>
        <v>lt003_entityflg_act_physcl_rsk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358</v>
      </c>
      <c r="H1079" s="59" t="str">
        <f>Table1[[#This Row],[Tabela]]&amp;Table1[[#This Row],[Campo]]</f>
        <v>lt003_entityflg_act_physcl_rsk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34.950000000000003" hidden="1" customHeight="1">
      <c r="B1080" s="41" t="s">
        <v>26</v>
      </c>
      <c r="C1080" s="41" t="s">
        <v>26</v>
      </c>
      <c r="D1080" s="36" t="s">
        <v>326</v>
      </c>
      <c r="E1080" s="40" t="s">
        <v>1331</v>
      </c>
      <c r="F1080" s="40" t="s">
        <v>336</v>
      </c>
      <c r="G1080" s="38" t="s">
        <v>359</v>
      </c>
      <c r="H1080" s="60" t="str">
        <f>Table1[[#This Row],[Tabela]]&amp;Table1[[#This Row],[Campo]]</f>
        <v>lt003_entityflg_chrnc_physcl_rsk</v>
      </c>
      <c r="I1080" s="2" t="s">
        <v>613</v>
      </c>
      <c r="J1080" s="45">
        <f>VLOOKUP(Table1[[#This Row],[Status]],Auxiliar!$B$16:$C$24,2,0)</f>
        <v>1</v>
      </c>
      <c r="K1080" s="45" t="s">
        <v>1246</v>
      </c>
      <c r="L1080" s="46" t="s">
        <v>1252</v>
      </c>
      <c r="M1080" s="21" t="s">
        <v>1253</v>
      </c>
      <c r="N1080" s="48">
        <v>45642</v>
      </c>
      <c r="O1080" s="21">
        <f>INDEX(Auxiliar!$D$5:$F$13,MATCH(Table1[[#This Row],[Tipologia_Testes]],Auxiliar!$B$5:$B$13,0),MATCH(Table1[[#This Row],[Complexidade]],Auxiliar!$D$4:$F$4,0))</f>
        <v>2</v>
      </c>
      <c r="P1080" s="43"/>
      <c r="Q1080" s="114"/>
      <c r="R1080" s="152">
        <v>45589</v>
      </c>
      <c r="S1080" s="152"/>
      <c r="T1080" s="152">
        <v>45589</v>
      </c>
      <c r="U1080" s="152"/>
      <c r="V1080" s="152">
        <v>45596</v>
      </c>
      <c r="W1080" s="2">
        <f>VLOOKUP(Table1[[#This Row],[Status]],Auxiliar!$B$16:$D$24,3,0)*Table1[[#This Row],[Estimação (horas)]]</f>
        <v>2</v>
      </c>
      <c r="X1080" s="114"/>
    </row>
    <row r="1081" spans="2:24" ht="17.7" hidden="1" customHeight="1">
      <c r="B1081" s="39" t="s">
        <v>26</v>
      </c>
      <c r="C1081" s="39" t="s">
        <v>26</v>
      </c>
      <c r="D1081" s="39" t="s">
        <v>326</v>
      </c>
      <c r="E1081" s="39" t="s">
        <v>1331</v>
      </c>
      <c r="F1081" s="39" t="s">
        <v>336</v>
      </c>
      <c r="G1081" s="39" t="s">
        <v>359</v>
      </c>
      <c r="H1081" s="59" t="str">
        <f>Table1[[#This Row],[Tabela]]&amp;Table1[[#This Row],[Campo]]</f>
        <v>lt003_entityflg_chrnc_physcl_rsk</v>
      </c>
      <c r="I1081" s="2" t="s">
        <v>613</v>
      </c>
      <c r="J1081" s="45">
        <f>VLOOKUP(Table1[[#This Row],[Status]],Auxiliar!$B$16:$C$24,2,0)</f>
        <v>1</v>
      </c>
      <c r="K1081" s="45" t="s">
        <v>1247</v>
      </c>
      <c r="L1081" s="46" t="s">
        <v>1252</v>
      </c>
      <c r="M1081" s="21" t="s">
        <v>1253</v>
      </c>
      <c r="N1081" s="48">
        <v>45642</v>
      </c>
      <c r="O1081" s="21">
        <f>INDEX(Auxiliar!$D$5:$F$13,MATCH(Table1[[#This Row],[Tipologia_Testes]],Auxiliar!$B$5:$B$13,0),MATCH(Table1[[#This Row],[Complexidade]],Auxiliar!$D$4:$F$4,0))</f>
        <v>2</v>
      </c>
      <c r="P1081" s="43"/>
      <c r="Q1081" s="114"/>
      <c r="R1081" s="152">
        <v>45589</v>
      </c>
      <c r="S1081" s="152"/>
      <c r="T1081" s="152">
        <v>45589</v>
      </c>
      <c r="U1081" s="152"/>
      <c r="V1081" s="152">
        <v>45596</v>
      </c>
      <c r="W1081" s="2">
        <f>VLOOKUP(Table1[[#This Row],[Status]],Auxiliar!$B$16:$D$24,3,0)*Table1[[#This Row],[Estimação (horas)]]</f>
        <v>2</v>
      </c>
      <c r="X1081" s="114"/>
    </row>
    <row r="1082" spans="2:24" ht="17.7" hidden="1" customHeight="1">
      <c r="B1082" s="39" t="s">
        <v>26</v>
      </c>
      <c r="C1082" s="39" t="s">
        <v>26</v>
      </c>
      <c r="D1082" s="39" t="s">
        <v>326</v>
      </c>
      <c r="E1082" s="39" t="s">
        <v>1331</v>
      </c>
      <c r="F1082" s="39" t="s">
        <v>336</v>
      </c>
      <c r="G1082" s="39" t="s">
        <v>359</v>
      </c>
      <c r="H1082" s="59" t="str">
        <f>Table1[[#This Row],[Tabela]]&amp;Table1[[#This Row],[Campo]]</f>
        <v>lt003_entityflg_chrnc_physcl_rsk</v>
      </c>
      <c r="I1082" s="2" t="s">
        <v>613</v>
      </c>
      <c r="J1082" s="45">
        <f>VLOOKUP(Table1[[#This Row],[Status]],Auxiliar!$B$16:$C$24,2,0)</f>
        <v>1</v>
      </c>
      <c r="K1082" s="45" t="s">
        <v>1249</v>
      </c>
      <c r="L1082" s="46" t="s">
        <v>1252</v>
      </c>
      <c r="M1082" s="21" t="s">
        <v>1253</v>
      </c>
      <c r="N1082" s="48">
        <v>45642</v>
      </c>
      <c r="O1082" s="21">
        <f>INDEX(Auxiliar!$D$5:$F$13,MATCH(Table1[[#This Row],[Tipologia_Testes]],Auxiliar!$B$5:$B$13,0),MATCH(Table1[[#This Row],[Complexidade]],Auxiliar!$D$4:$F$4,0))</f>
        <v>0.1</v>
      </c>
      <c r="P1082" s="43"/>
      <c r="Q1082" s="114"/>
      <c r="R1082" s="152">
        <v>45589</v>
      </c>
      <c r="S1082" s="152"/>
      <c r="T1082" s="152">
        <v>45589</v>
      </c>
      <c r="U1082" s="152"/>
      <c r="V1082" s="152">
        <v>45596</v>
      </c>
      <c r="W1082" s="2">
        <f>VLOOKUP(Table1[[#This Row],[Status]],Auxiliar!$B$16:$D$24,3,0)*Table1[[#This Row],[Estimação (horas)]]</f>
        <v>0.1</v>
      </c>
      <c r="X1082" s="114"/>
    </row>
    <row r="1083" spans="2:24" ht="17.7" hidden="1" customHeight="1">
      <c r="B1083" s="41" t="s">
        <v>26</v>
      </c>
      <c r="C1083" s="41" t="s">
        <v>26</v>
      </c>
      <c r="D1083" s="42" t="s">
        <v>1333</v>
      </c>
      <c r="E1083" s="111" t="s">
        <v>1334</v>
      </c>
      <c r="F1083" s="40" t="s">
        <v>336</v>
      </c>
      <c r="G1083" s="38" t="s">
        <v>360</v>
      </c>
      <c r="H1083" s="60" t="str">
        <f>Table1[[#This Row],[Tabela]]&amp;Table1[[#This Row],[Campo]]</f>
        <v>lt003_entitypst_cd</v>
      </c>
      <c r="I1083" s="2" t="s">
        <v>613</v>
      </c>
      <c r="J1083" s="45">
        <f>VLOOKUP(Table1[[#This Row],[Status]],Auxiliar!$B$16:$C$24,2,0)</f>
        <v>1</v>
      </c>
      <c r="K1083" s="45" t="s">
        <v>1246</v>
      </c>
      <c r="L1083" s="46" t="s">
        <v>1252</v>
      </c>
      <c r="M1083" s="21" t="s">
        <v>1253</v>
      </c>
      <c r="N1083" s="48">
        <v>45604</v>
      </c>
      <c r="O1083" s="21">
        <f>INDEX(Auxiliar!$D$5:$F$13,MATCH(Table1[[#This Row],[Tipologia_Testes]],Auxiliar!$B$5:$B$13,0),MATCH(Table1[[#This Row],[Complexidade]],Auxiliar!$D$4:$F$4,0))</f>
        <v>2</v>
      </c>
      <c r="P1083" s="43" t="s">
        <v>1335</v>
      </c>
      <c r="Q1083" s="114"/>
      <c r="R1083" s="152">
        <v>45589</v>
      </c>
      <c r="S1083" s="152"/>
      <c r="T1083" s="152">
        <v>45589</v>
      </c>
      <c r="U1083" s="152">
        <v>45596</v>
      </c>
      <c r="V1083" s="152">
        <v>45596</v>
      </c>
      <c r="W1083" s="2">
        <f>VLOOKUP(Table1[[#This Row],[Status]],Auxiliar!$B$16:$D$24,3,0)*Table1[[#This Row],[Estimação (horas)]]</f>
        <v>2</v>
      </c>
      <c r="X1083" s="114"/>
    </row>
    <row r="1084" spans="2:24" ht="17.7" hidden="1" customHeight="1">
      <c r="B1084" s="39" t="s">
        <v>26</v>
      </c>
      <c r="C1084" s="39" t="s">
        <v>26</v>
      </c>
      <c r="D1084" s="39" t="s">
        <v>1333</v>
      </c>
      <c r="E1084" s="39" t="s">
        <v>1334</v>
      </c>
      <c r="F1084" s="39" t="s">
        <v>336</v>
      </c>
      <c r="G1084" s="39" t="s">
        <v>360</v>
      </c>
      <c r="H1084" s="59" t="str">
        <f>Table1[[#This Row],[Tabela]]&amp;Table1[[#This Row],[Campo]]</f>
        <v>lt003_entitypst_cd</v>
      </c>
      <c r="I1084" s="2" t="s">
        <v>613</v>
      </c>
      <c r="J1084" s="45">
        <f>VLOOKUP(Table1[[#This Row],[Status]],Auxiliar!$B$16:$C$24,2,0)</f>
        <v>1</v>
      </c>
      <c r="K1084" s="45" t="s">
        <v>1247</v>
      </c>
      <c r="L1084" s="46" t="s">
        <v>1252</v>
      </c>
      <c r="M1084" s="21" t="s">
        <v>1253</v>
      </c>
      <c r="N1084" s="48">
        <v>45604</v>
      </c>
      <c r="O1084" s="21">
        <f>INDEX(Auxiliar!$D$5:$F$13,MATCH(Table1[[#This Row],[Tipologia_Testes]],Auxiliar!$B$5:$B$13,0),MATCH(Table1[[#This Row],[Complexidade]],Auxiliar!$D$4:$F$4,0))</f>
        <v>2</v>
      </c>
      <c r="P1084" s="43" t="s">
        <v>1335</v>
      </c>
      <c r="Q1084" s="114"/>
      <c r="R1084" s="152">
        <v>45589</v>
      </c>
      <c r="S1084" s="152"/>
      <c r="T1084" s="152">
        <v>45589</v>
      </c>
      <c r="U1084" s="152">
        <v>45596</v>
      </c>
      <c r="V1084" s="152">
        <v>45596</v>
      </c>
      <c r="W1084" s="2">
        <f>VLOOKUP(Table1[[#This Row],[Status]],Auxiliar!$B$16:$D$24,3,0)*Table1[[#This Row],[Estimação (horas)]]</f>
        <v>2</v>
      </c>
      <c r="X1084" s="114"/>
    </row>
    <row r="1085" spans="2:24" ht="17.7" hidden="1" customHeight="1">
      <c r="B1085" s="39" t="s">
        <v>26</v>
      </c>
      <c r="C1085" s="39" t="s">
        <v>26</v>
      </c>
      <c r="D1085" s="39" t="s">
        <v>1333</v>
      </c>
      <c r="E1085" s="39" t="s">
        <v>1334</v>
      </c>
      <c r="F1085" s="39" t="s">
        <v>336</v>
      </c>
      <c r="G1085" s="39" t="s">
        <v>360</v>
      </c>
      <c r="H1085" s="59" t="str">
        <f>Table1[[#This Row],[Tabela]]&amp;Table1[[#This Row],[Campo]]</f>
        <v>lt003_entitypst_cd</v>
      </c>
      <c r="I1085" s="2" t="s">
        <v>613</v>
      </c>
      <c r="J1085" s="45">
        <f>VLOOKUP(Table1[[#This Row],[Status]],Auxiliar!$B$16:$C$24,2,0)</f>
        <v>1</v>
      </c>
      <c r="K1085" s="45" t="s">
        <v>1249</v>
      </c>
      <c r="L1085" s="46" t="s">
        <v>1252</v>
      </c>
      <c r="M1085" s="21" t="s">
        <v>1253</v>
      </c>
      <c r="N1085" s="48">
        <v>45604</v>
      </c>
      <c r="O1085" s="21">
        <f>INDEX(Auxiliar!$D$5:$F$13,MATCH(Table1[[#This Row],[Tipologia_Testes]],Auxiliar!$B$5:$B$13,0),MATCH(Table1[[#This Row],[Complexidade]],Auxiliar!$D$4:$F$4,0))</f>
        <v>0.1</v>
      </c>
      <c r="P1085" s="43" t="s">
        <v>1335</v>
      </c>
      <c r="Q1085" s="114"/>
      <c r="R1085" s="152">
        <v>45589</v>
      </c>
      <c r="S1085" s="152"/>
      <c r="T1085" s="152">
        <v>45589</v>
      </c>
      <c r="U1085" s="152">
        <v>45596</v>
      </c>
      <c r="V1085" s="152">
        <v>45596</v>
      </c>
      <c r="W1085" s="2">
        <f>VLOOKUP(Table1[[#This Row],[Status]],Auxiliar!$B$16:$D$24,3,0)*Table1[[#This Row],[Estimação (horas)]]</f>
        <v>0.1</v>
      </c>
      <c r="X1085" s="114"/>
    </row>
    <row r="1086" spans="2:24" ht="17.7" hidden="1" customHeight="1">
      <c r="B1086" s="41" t="s">
        <v>26</v>
      </c>
      <c r="C1086" s="41" t="s">
        <v>26</v>
      </c>
      <c r="D1086" s="42" t="s">
        <v>393</v>
      </c>
      <c r="E1086" s="111" t="s">
        <v>38</v>
      </c>
      <c r="F1086" s="40" t="s">
        <v>336</v>
      </c>
      <c r="G1086" s="38" t="s">
        <v>361</v>
      </c>
      <c r="H1086" s="60" t="str">
        <f>Table1[[#This Row],[Tabela]]&amp;Table1[[#This Row],[Campo]]</f>
        <v>lt003_entityesg_sbsctr</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1332</v>
      </c>
      <c r="Q1086" s="114"/>
      <c r="R1086" s="152">
        <v>45583</v>
      </c>
      <c r="S1086" s="152"/>
      <c r="T1086" s="152">
        <v>45583</v>
      </c>
      <c r="U1086" s="152">
        <v>45611</v>
      </c>
      <c r="V1086" s="152">
        <v>45644</v>
      </c>
      <c r="W1086" s="2">
        <f>VLOOKUP(Table1[[#This Row],[Status]],Auxiliar!$B$16:$D$24,3,0)*Table1[[#This Row],[Estimação (horas)]]</f>
        <v>2</v>
      </c>
      <c r="X1086" s="114"/>
    </row>
    <row r="1087" spans="2:24" ht="17.7" hidden="1" customHeight="1">
      <c r="B1087" s="39" t="s">
        <v>26</v>
      </c>
      <c r="C1087" s="39" t="s">
        <v>26</v>
      </c>
      <c r="D1087" s="39" t="s">
        <v>393</v>
      </c>
      <c r="E1087" s="39" t="s">
        <v>38</v>
      </c>
      <c r="F1087" s="39" t="s">
        <v>336</v>
      </c>
      <c r="G1087" s="39" t="s">
        <v>361</v>
      </c>
      <c r="H1087" s="59" t="str">
        <f>Table1[[#This Row],[Tabela]]&amp;Table1[[#This Row],[Campo]]</f>
        <v>lt003_entityesg_sbsctr</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1332</v>
      </c>
      <c r="Q1087" s="114"/>
      <c r="R1087" s="152">
        <v>45583</v>
      </c>
      <c r="S1087" s="152"/>
      <c r="T1087" s="152">
        <v>45583</v>
      </c>
      <c r="U1087" s="152">
        <v>45611</v>
      </c>
      <c r="V1087" s="152">
        <v>45644</v>
      </c>
      <c r="W1087" s="2">
        <f>VLOOKUP(Table1[[#This Row],[Status]],Auxiliar!$B$16:$D$24,3,0)*Table1[[#This Row],[Estimação (horas)]]</f>
        <v>2</v>
      </c>
      <c r="X1087" s="114"/>
    </row>
    <row r="1088" spans="2:24" ht="17.7" hidden="1" customHeight="1">
      <c r="B1088" s="39" t="s">
        <v>26</v>
      </c>
      <c r="C1088" s="39" t="s">
        <v>26</v>
      </c>
      <c r="D1088" s="39" t="s">
        <v>393</v>
      </c>
      <c r="E1088" s="39" t="s">
        <v>38</v>
      </c>
      <c r="F1088" s="39" t="s">
        <v>336</v>
      </c>
      <c r="G1088" s="39" t="s">
        <v>361</v>
      </c>
      <c r="H1088" s="59" t="str">
        <f>Table1[[#This Row],[Tabela]]&amp;Table1[[#This Row],[Campo]]</f>
        <v>lt003_entityesg_sbsctr</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1332</v>
      </c>
      <c r="Q1088" s="114"/>
      <c r="R1088" s="152">
        <v>45583</v>
      </c>
      <c r="S1088" s="152"/>
      <c r="T1088" s="152">
        <v>45583</v>
      </c>
      <c r="U1088" s="152">
        <v>45611</v>
      </c>
      <c r="V1088" s="152">
        <v>45644</v>
      </c>
      <c r="W1088" s="2">
        <f>VLOOKUP(Table1[[#This Row],[Status]],Auxiliar!$B$16:$D$24,3,0)*Table1[[#This Row],[Estimação (horas)]]</f>
        <v>0.1</v>
      </c>
      <c r="X1088" s="114"/>
    </row>
    <row r="1089" spans="2:24" ht="34.950000000000003" hidden="1" customHeight="1">
      <c r="B1089" s="41" t="s">
        <v>26</v>
      </c>
      <c r="C1089" s="41" t="s">
        <v>26</v>
      </c>
      <c r="D1089" s="37" t="s">
        <v>1336</v>
      </c>
      <c r="E1089" s="111" t="s">
        <v>1337</v>
      </c>
      <c r="F1089" s="40" t="s">
        <v>336</v>
      </c>
      <c r="G1089" s="38" t="s">
        <v>362</v>
      </c>
      <c r="H1089" s="60" t="str">
        <f>Table1[[#This Row],[Tabela]]&amp;Table1[[#This Row],[Campo]]</f>
        <v>lt003_entityttl_lblty</v>
      </c>
      <c r="I1089" s="2" t="s">
        <v>613</v>
      </c>
      <c r="J1089" s="45">
        <f>VLOOKUP(Table1[[#This Row],[Status]],Auxiliar!$B$16:$C$24,2,0)</f>
        <v>1</v>
      </c>
      <c r="K1089" s="45" t="s">
        <v>1246</v>
      </c>
      <c r="L1089" s="46" t="s">
        <v>1252</v>
      </c>
      <c r="M1089" s="21" t="s">
        <v>1253</v>
      </c>
      <c r="N1089" s="48">
        <v>45649</v>
      </c>
      <c r="O1089" s="21">
        <f>INDEX(Auxiliar!$D$5:$F$13,MATCH(Table1[[#This Row],[Tipologia_Testes]],Auxiliar!$B$5:$B$13,0),MATCH(Table1[[#This Row],[Complexidade]],Auxiliar!$D$4:$F$4,0))</f>
        <v>2</v>
      </c>
      <c r="P1089" s="43" t="s">
        <v>1338</v>
      </c>
      <c r="Q1089" s="114"/>
      <c r="R1089" s="152">
        <v>45593</v>
      </c>
      <c r="S1089" s="152"/>
      <c r="T1089" s="152">
        <v>45593</v>
      </c>
      <c r="U1089" s="152">
        <v>45624</v>
      </c>
      <c r="V1089" s="152">
        <v>45644</v>
      </c>
      <c r="W1089" s="2">
        <f>VLOOKUP(Table1[[#This Row],[Status]],Auxiliar!$B$16:$D$24,3,0)*Table1[[#This Row],[Estimação (horas)]]</f>
        <v>2</v>
      </c>
      <c r="X1089" s="114"/>
    </row>
    <row r="1090" spans="2:24" ht="17.7" hidden="1" customHeight="1">
      <c r="B1090" s="39" t="s">
        <v>26</v>
      </c>
      <c r="C1090" s="39" t="s">
        <v>26</v>
      </c>
      <c r="D1090" s="39" t="s">
        <v>1336</v>
      </c>
      <c r="E1090" s="39" t="s">
        <v>1337</v>
      </c>
      <c r="F1090" s="39" t="s">
        <v>336</v>
      </c>
      <c r="G1090" s="39" t="s">
        <v>362</v>
      </c>
      <c r="H1090" s="59" t="str">
        <f>Table1[[#This Row],[Tabela]]&amp;Table1[[#This Row],[Campo]]</f>
        <v>lt003_entityttl_lblty</v>
      </c>
      <c r="I1090" s="2" t="s">
        <v>613</v>
      </c>
      <c r="J1090" s="45">
        <f>VLOOKUP(Table1[[#This Row],[Status]],Auxiliar!$B$16:$C$24,2,0)</f>
        <v>1</v>
      </c>
      <c r="K1090" s="45" t="s">
        <v>1247</v>
      </c>
      <c r="L1090" s="46" t="s">
        <v>1252</v>
      </c>
      <c r="M1090" s="21" t="s">
        <v>1253</v>
      </c>
      <c r="N1090" s="48">
        <v>45649</v>
      </c>
      <c r="O1090" s="21">
        <f>INDEX(Auxiliar!$D$5:$F$13,MATCH(Table1[[#This Row],[Tipologia_Testes]],Auxiliar!$B$5:$B$13,0),MATCH(Table1[[#This Row],[Complexidade]],Auxiliar!$D$4:$F$4,0))</f>
        <v>2</v>
      </c>
      <c r="P1090" s="43" t="s">
        <v>1338</v>
      </c>
      <c r="Q1090" s="114"/>
      <c r="R1090" s="152">
        <v>45593</v>
      </c>
      <c r="S1090" s="152"/>
      <c r="T1090" s="152">
        <v>45593</v>
      </c>
      <c r="U1090" s="152">
        <v>45624</v>
      </c>
      <c r="V1090" s="152">
        <v>45644</v>
      </c>
      <c r="W1090" s="2">
        <f>VLOOKUP(Table1[[#This Row],[Status]],Auxiliar!$B$16:$D$24,3,0)*Table1[[#This Row],[Estimação (horas)]]</f>
        <v>2</v>
      </c>
      <c r="X1090" s="114"/>
    </row>
    <row r="1091" spans="2:24" ht="17.7" hidden="1" customHeight="1">
      <c r="B1091" s="39" t="s">
        <v>26</v>
      </c>
      <c r="C1091" s="39" t="s">
        <v>26</v>
      </c>
      <c r="D1091" s="39" t="s">
        <v>1336</v>
      </c>
      <c r="E1091" s="39" t="s">
        <v>1337</v>
      </c>
      <c r="F1091" s="39" t="s">
        <v>336</v>
      </c>
      <c r="G1091" s="39" t="s">
        <v>362</v>
      </c>
      <c r="H1091" s="59" t="str">
        <f>Table1[[#This Row],[Tabela]]&amp;Table1[[#This Row],[Campo]]</f>
        <v>lt003_entityttl_lblty</v>
      </c>
      <c r="I1091" s="2" t="s">
        <v>613</v>
      </c>
      <c r="J1091" s="45">
        <f>VLOOKUP(Table1[[#This Row],[Status]],Auxiliar!$B$16:$C$24,2,0)</f>
        <v>1</v>
      </c>
      <c r="K1091" s="45" t="s">
        <v>1249</v>
      </c>
      <c r="L1091" s="46" t="s">
        <v>1252</v>
      </c>
      <c r="M1091" s="21" t="s">
        <v>1253</v>
      </c>
      <c r="N1091" s="48">
        <v>45649</v>
      </c>
      <c r="O1091" s="21">
        <f>INDEX(Auxiliar!$D$5:$F$13,MATCH(Table1[[#This Row],[Tipologia_Testes]],Auxiliar!$B$5:$B$13,0),MATCH(Table1[[#This Row],[Complexidade]],Auxiliar!$D$4:$F$4,0))</f>
        <v>0.1</v>
      </c>
      <c r="P1091" s="43" t="s">
        <v>1338</v>
      </c>
      <c r="Q1091" s="114"/>
      <c r="R1091" s="152">
        <v>45593</v>
      </c>
      <c r="S1091" s="152"/>
      <c r="T1091" s="152">
        <v>45593</v>
      </c>
      <c r="U1091" s="152">
        <v>45624</v>
      </c>
      <c r="V1091" s="152">
        <v>45644</v>
      </c>
      <c r="W1091" s="2">
        <f>VLOOKUP(Table1[[#This Row],[Status]],Auxiliar!$B$16:$D$24,3,0)*Table1[[#This Row],[Estimação (horas)]]</f>
        <v>0.1</v>
      </c>
      <c r="X1091" s="114"/>
    </row>
    <row r="1092" spans="2:24" ht="34.950000000000003" hidden="1" customHeight="1">
      <c r="B1092" s="41" t="s">
        <v>26</v>
      </c>
      <c r="C1092" s="41" t="s">
        <v>26</v>
      </c>
      <c r="D1092" s="36" t="s">
        <v>1339</v>
      </c>
      <c r="E1092" s="111" t="s">
        <v>1340</v>
      </c>
      <c r="F1092" s="40" t="s">
        <v>336</v>
      </c>
      <c r="G1092" s="38" t="s">
        <v>239</v>
      </c>
      <c r="H1092" s="60" t="str">
        <f>Table1[[#This Row],[Tabela]]&amp;Table1[[#This Row],[Campo]]</f>
        <v>lt003_entityisin</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656</v>
      </c>
      <c r="Q1092" s="114"/>
      <c r="R1092" s="152">
        <v>45589</v>
      </c>
      <c r="S1092" s="152"/>
      <c r="T1092" s="152">
        <v>45589</v>
      </c>
      <c r="U1092" s="152"/>
      <c r="V1092" s="152">
        <v>45611</v>
      </c>
      <c r="W1092" s="2">
        <f>VLOOKUP(Table1[[#This Row],[Status]],Auxiliar!$B$16:$D$24,3,0)*Table1[[#This Row],[Estimação (horas)]]</f>
        <v>2</v>
      </c>
      <c r="X1092" s="114"/>
    </row>
    <row r="1093" spans="2:24" ht="17.7" hidden="1" customHeight="1">
      <c r="B1093" s="39" t="s">
        <v>26</v>
      </c>
      <c r="C1093" s="39" t="s">
        <v>26</v>
      </c>
      <c r="D1093" s="39" t="s">
        <v>1339</v>
      </c>
      <c r="E1093" s="39" t="s">
        <v>1340</v>
      </c>
      <c r="F1093" s="39" t="s">
        <v>336</v>
      </c>
      <c r="G1093" s="39" t="s">
        <v>239</v>
      </c>
      <c r="H1093" s="59" t="str">
        <f>Table1[[#This Row],[Tabela]]&amp;Table1[[#This Row],[Campo]]</f>
        <v>lt003_entityisin</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656</v>
      </c>
      <c r="Q1093" s="114"/>
      <c r="R1093" s="152">
        <v>45589</v>
      </c>
      <c r="S1093" s="152"/>
      <c r="T1093" s="152">
        <v>45589</v>
      </c>
      <c r="U1093" s="152"/>
      <c r="V1093" s="152">
        <v>45611</v>
      </c>
      <c r="W1093" s="2">
        <f>VLOOKUP(Table1[[#This Row],[Status]],Auxiliar!$B$16:$D$24,3,0)*Table1[[#This Row],[Estimação (horas)]]</f>
        <v>2</v>
      </c>
      <c r="X1093" s="114"/>
    </row>
    <row r="1094" spans="2:24" ht="17.7" hidden="1" customHeight="1">
      <c r="B1094" s="39" t="s">
        <v>26</v>
      </c>
      <c r="C1094" s="39" t="s">
        <v>26</v>
      </c>
      <c r="D1094" s="39" t="s">
        <v>1339</v>
      </c>
      <c r="E1094" s="39" t="s">
        <v>1340</v>
      </c>
      <c r="F1094" s="39" t="s">
        <v>336</v>
      </c>
      <c r="G1094" s="39" t="s">
        <v>239</v>
      </c>
      <c r="H1094" s="59" t="str">
        <f>Table1[[#This Row],[Tabela]]&amp;Table1[[#This Row],[Campo]]</f>
        <v>lt003_entityisin</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656</v>
      </c>
      <c r="Q1094" s="114"/>
      <c r="R1094" s="152">
        <v>45589</v>
      </c>
      <c r="S1094" s="152"/>
      <c r="T1094" s="152">
        <v>45589</v>
      </c>
      <c r="U1094" s="152"/>
      <c r="V1094" s="152">
        <v>45611</v>
      </c>
      <c r="W1094" s="2">
        <f>VLOOKUP(Table1[[#This Row],[Status]],Auxiliar!$B$16:$D$24,3,0)*Table1[[#This Row],[Estimação (horas)]]</f>
        <v>0.1</v>
      </c>
      <c r="X1094" s="114"/>
    </row>
    <row r="1095" spans="2:24" ht="34.950000000000003" hidden="1" customHeight="1">
      <c r="B1095" s="41" t="s">
        <v>26</v>
      </c>
      <c r="C1095" s="41" t="s">
        <v>26</v>
      </c>
      <c r="D1095" s="36" t="s">
        <v>1341</v>
      </c>
      <c r="E1095" s="111" t="s">
        <v>1342</v>
      </c>
      <c r="F1095" s="40" t="s">
        <v>336</v>
      </c>
      <c r="G1095" s="38" t="s">
        <v>363</v>
      </c>
      <c r="H1095" s="60" t="str">
        <f>Table1[[#This Row],[Tabela]]&amp;Table1[[#This Row],[Campo]]</f>
        <v>lt003_entitygrp_annl_trnvr_le</v>
      </c>
      <c r="I1095" s="2" t="s">
        <v>613</v>
      </c>
      <c r="J1095" s="45">
        <f>VLOOKUP(Table1[[#This Row],[Status]],Auxiliar!$B$16:$C$24,2,0)</f>
        <v>1</v>
      </c>
      <c r="K1095" s="45" t="s">
        <v>1246</v>
      </c>
      <c r="L1095" s="46" t="s">
        <v>1252</v>
      </c>
      <c r="M1095" s="21" t="s">
        <v>1253</v>
      </c>
      <c r="N1095" s="48">
        <v>45632</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45611</v>
      </c>
      <c r="W1095" s="2">
        <f>VLOOKUP(Table1[[#This Row],[Status]],Auxiliar!$B$16:$D$24,3,0)*Table1[[#This Row],[Estimação (horas)]]</f>
        <v>2</v>
      </c>
      <c r="X1095" s="114"/>
    </row>
    <row r="1096" spans="2:24" ht="17.7" hidden="1" customHeight="1">
      <c r="B1096" s="39" t="s">
        <v>26</v>
      </c>
      <c r="C1096" s="39" t="s">
        <v>26</v>
      </c>
      <c r="D1096" s="39" t="s">
        <v>1341</v>
      </c>
      <c r="E1096" s="39" t="s">
        <v>1342</v>
      </c>
      <c r="F1096" s="39" t="s">
        <v>336</v>
      </c>
      <c r="G1096" s="39" t="s">
        <v>363</v>
      </c>
      <c r="H1096" s="59" t="str">
        <f>Table1[[#This Row],[Tabela]]&amp;Table1[[#This Row],[Campo]]</f>
        <v>lt003_entitygrp_annl_trnvr_le</v>
      </c>
      <c r="I1096" s="2" t="s">
        <v>613</v>
      </c>
      <c r="J1096" s="45">
        <f>VLOOKUP(Table1[[#This Row],[Status]],Auxiliar!$B$16:$C$24,2,0)</f>
        <v>1</v>
      </c>
      <c r="K1096" s="45" t="s">
        <v>1247</v>
      </c>
      <c r="L1096" s="46" t="s">
        <v>1252</v>
      </c>
      <c r="M1096" s="21" t="s">
        <v>1253</v>
      </c>
      <c r="N1096" s="48">
        <v>45632</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45611</v>
      </c>
      <c r="W1096" s="2">
        <f>VLOOKUP(Table1[[#This Row],[Status]],Auxiliar!$B$16:$D$24,3,0)*Table1[[#This Row],[Estimação (horas)]]</f>
        <v>2</v>
      </c>
      <c r="X1096" s="114"/>
    </row>
    <row r="1097" spans="2:24" ht="17.7" hidden="1" customHeight="1">
      <c r="B1097" s="39" t="s">
        <v>26</v>
      </c>
      <c r="C1097" s="39" t="s">
        <v>26</v>
      </c>
      <c r="D1097" s="39" t="s">
        <v>1341</v>
      </c>
      <c r="E1097" s="39" t="s">
        <v>1342</v>
      </c>
      <c r="F1097" s="39" t="s">
        <v>336</v>
      </c>
      <c r="G1097" s="39" t="s">
        <v>363</v>
      </c>
      <c r="H1097" s="59" t="str">
        <f>Table1[[#This Row],[Tabela]]&amp;Table1[[#This Row],[Campo]]</f>
        <v>lt003_entitygrp_annl_trnvr_le</v>
      </c>
      <c r="I1097" s="2" t="s">
        <v>613</v>
      </c>
      <c r="J1097" s="45">
        <f>VLOOKUP(Table1[[#This Row],[Status]],Auxiliar!$B$16:$C$24,2,0)</f>
        <v>1</v>
      </c>
      <c r="K1097" s="45" t="s">
        <v>1249</v>
      </c>
      <c r="L1097" s="46" t="s">
        <v>1252</v>
      </c>
      <c r="M1097" s="21" t="s">
        <v>1253</v>
      </c>
      <c r="N1097" s="48">
        <v>45632</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45611</v>
      </c>
      <c r="W1097" s="2">
        <f>VLOOKUP(Table1[[#This Row],[Status]],Auxiliar!$B$16:$D$24,3,0)*Table1[[#This Row],[Estimação (horas)]]</f>
        <v>0.1</v>
      </c>
      <c r="X1097" s="114"/>
    </row>
    <row r="1098" spans="2:24" ht="34.950000000000003" hidden="1" customHeight="1">
      <c r="B1098" s="41" t="s">
        <v>26</v>
      </c>
      <c r="C1098" s="41" t="s">
        <v>26</v>
      </c>
      <c r="D1098" s="36" t="s">
        <v>1343</v>
      </c>
      <c r="E1098" s="111" t="s">
        <v>1337</v>
      </c>
      <c r="F1098" s="40" t="s">
        <v>336</v>
      </c>
      <c r="G1098" s="38" t="s">
        <v>364</v>
      </c>
      <c r="H1098" s="60" t="str">
        <f>Table1[[#This Row],[Tabela]]&amp;Table1[[#This Row],[Campo]]</f>
        <v>lt003_entitygrp_ttl_lblty</v>
      </c>
      <c r="I1098" s="2" t="s">
        <v>613</v>
      </c>
      <c r="J1098" s="45">
        <f>VLOOKUP(Table1[[#This Row],[Status]],Auxiliar!$B$16:$C$24,2,0)</f>
        <v>1</v>
      </c>
      <c r="K1098" s="45" t="s">
        <v>1246</v>
      </c>
      <c r="L1098" s="46" t="s">
        <v>1252</v>
      </c>
      <c r="M1098" s="21" t="s">
        <v>1253</v>
      </c>
      <c r="N1098" s="48">
        <v>45649</v>
      </c>
      <c r="O1098" s="21">
        <f>INDEX(Auxiliar!$D$5:$F$13,MATCH(Table1[[#This Row],[Tipologia_Testes]],Auxiliar!$B$5:$B$13,0),MATCH(Table1[[#This Row],[Complexidade]],Auxiliar!$D$4:$F$4,0))</f>
        <v>2</v>
      </c>
      <c r="P1098" s="43" t="s">
        <v>1338</v>
      </c>
      <c r="Q1098" s="114"/>
      <c r="R1098" s="152">
        <v>45593</v>
      </c>
      <c r="S1098" s="152"/>
      <c r="T1098" s="152">
        <v>45593</v>
      </c>
      <c r="U1098" s="152">
        <v>45611</v>
      </c>
      <c r="V1098" s="152">
        <v>45644</v>
      </c>
      <c r="W1098" s="2">
        <f>VLOOKUP(Table1[[#This Row],[Status]],Auxiliar!$B$16:$D$24,3,0)*Table1[[#This Row],[Estimação (horas)]]</f>
        <v>2</v>
      </c>
      <c r="X1098" s="114"/>
    </row>
    <row r="1099" spans="2:24" ht="17.7" hidden="1" customHeight="1">
      <c r="B1099" s="39" t="s">
        <v>26</v>
      </c>
      <c r="C1099" s="39" t="s">
        <v>26</v>
      </c>
      <c r="D1099" s="39" t="s">
        <v>1343</v>
      </c>
      <c r="E1099" s="39" t="s">
        <v>1337</v>
      </c>
      <c r="F1099" s="39" t="s">
        <v>336</v>
      </c>
      <c r="G1099" s="39" t="s">
        <v>364</v>
      </c>
      <c r="H1099" s="59" t="str">
        <f>Table1[[#This Row],[Tabela]]&amp;Table1[[#This Row],[Campo]]</f>
        <v>lt003_entitygrp_ttl_lblty</v>
      </c>
      <c r="I1099" s="2" t="s">
        <v>613</v>
      </c>
      <c r="J1099" s="45">
        <f>VLOOKUP(Table1[[#This Row],[Status]],Auxiliar!$B$16:$C$24,2,0)</f>
        <v>1</v>
      </c>
      <c r="K1099" s="45" t="s">
        <v>1247</v>
      </c>
      <c r="L1099" s="46" t="s">
        <v>1252</v>
      </c>
      <c r="M1099" s="21" t="s">
        <v>1253</v>
      </c>
      <c r="N1099" s="48">
        <v>45649</v>
      </c>
      <c r="O1099" s="21">
        <f>INDEX(Auxiliar!$D$5:$F$13,MATCH(Table1[[#This Row],[Tipologia_Testes]],Auxiliar!$B$5:$B$13,0),MATCH(Table1[[#This Row],[Complexidade]],Auxiliar!$D$4:$F$4,0))</f>
        <v>2</v>
      </c>
      <c r="P1099" s="43" t="s">
        <v>1338</v>
      </c>
      <c r="Q1099" s="114"/>
      <c r="R1099" s="152">
        <v>45593</v>
      </c>
      <c r="S1099" s="152"/>
      <c r="T1099" s="152">
        <v>45593</v>
      </c>
      <c r="U1099" s="152">
        <v>45611</v>
      </c>
      <c r="V1099" s="152">
        <v>45644</v>
      </c>
      <c r="W1099" s="2">
        <f>VLOOKUP(Table1[[#This Row],[Status]],Auxiliar!$B$16:$D$24,3,0)*Table1[[#This Row],[Estimação (horas)]]</f>
        <v>2</v>
      </c>
      <c r="X1099" s="114"/>
    </row>
    <row r="1100" spans="2:24" ht="17.7" hidden="1" customHeight="1">
      <c r="B1100" s="39" t="s">
        <v>26</v>
      </c>
      <c r="C1100" s="39" t="s">
        <v>26</v>
      </c>
      <c r="D1100" s="39" t="s">
        <v>1343</v>
      </c>
      <c r="E1100" s="39" t="s">
        <v>1337</v>
      </c>
      <c r="F1100" s="39" t="s">
        <v>336</v>
      </c>
      <c r="G1100" s="39" t="s">
        <v>364</v>
      </c>
      <c r="H1100" s="59" t="str">
        <f>Table1[[#This Row],[Tabela]]&amp;Table1[[#This Row],[Campo]]</f>
        <v>lt003_entitygrp_ttl_lblty</v>
      </c>
      <c r="I1100" s="2" t="s">
        <v>613</v>
      </c>
      <c r="J1100" s="45">
        <f>VLOOKUP(Table1[[#This Row],[Status]],Auxiliar!$B$16:$C$24,2,0)</f>
        <v>1</v>
      </c>
      <c r="K1100" s="45" t="s">
        <v>1249</v>
      </c>
      <c r="L1100" s="46" t="s">
        <v>1252</v>
      </c>
      <c r="M1100" s="21" t="s">
        <v>1253</v>
      </c>
      <c r="N1100" s="48">
        <v>45649</v>
      </c>
      <c r="O1100" s="21">
        <f>INDEX(Auxiliar!$D$5:$F$13,MATCH(Table1[[#This Row],[Tipologia_Testes]],Auxiliar!$B$5:$B$13,0),MATCH(Table1[[#This Row],[Complexidade]],Auxiliar!$D$4:$F$4,0))</f>
        <v>0.1</v>
      </c>
      <c r="P1100" s="43" t="s">
        <v>1338</v>
      </c>
      <c r="Q1100" s="114"/>
      <c r="R1100" s="152">
        <v>45593</v>
      </c>
      <c r="S1100" s="152"/>
      <c r="T1100" s="152">
        <v>45593</v>
      </c>
      <c r="U1100" s="152">
        <v>45611</v>
      </c>
      <c r="V1100" s="152">
        <v>45644</v>
      </c>
      <c r="W1100" s="2">
        <f>VLOOKUP(Table1[[#This Row],[Status]],Auxiliar!$B$16:$D$24,3,0)*Table1[[#This Row],[Estimação (horas)]]</f>
        <v>0.1</v>
      </c>
      <c r="X1100" s="114"/>
    </row>
    <row r="1101" spans="2:24" ht="34.950000000000003" hidden="1" customHeight="1">
      <c r="B1101" s="41" t="s">
        <v>26</v>
      </c>
      <c r="C1101" s="41" t="s">
        <v>26</v>
      </c>
      <c r="D1101" s="36" t="s">
        <v>326</v>
      </c>
      <c r="E1101" s="111" t="s">
        <v>1344</v>
      </c>
      <c r="F1101" s="40" t="s">
        <v>336</v>
      </c>
      <c r="G1101" s="38" t="s">
        <v>365</v>
      </c>
      <c r="H1101" s="60" t="str">
        <f>Table1[[#This Row],[Tabela]]&amp;Table1[[#This Row],[Campo]]</f>
        <v>lt003_entityflg_grp_nfrd_applcblty</v>
      </c>
      <c r="I1101" s="2" t="s">
        <v>613</v>
      </c>
      <c r="J1101" s="45">
        <f>VLOOKUP(Table1[[#This Row],[Status]],Auxiliar!$B$16:$C$24,2,0)</f>
        <v>1</v>
      </c>
      <c r="K1101" s="45" t="s">
        <v>1246</v>
      </c>
      <c r="L1101" s="46" t="s">
        <v>1252</v>
      </c>
      <c r="M1101" s="21" t="s">
        <v>1253</v>
      </c>
      <c r="N1101" s="48">
        <v>45642</v>
      </c>
      <c r="O1101" s="21">
        <f>INDEX(Auxiliar!$D$5:$F$13,MATCH(Table1[[#This Row],[Tipologia_Testes]],Auxiliar!$B$5:$B$13,0),MATCH(Table1[[#This Row],[Complexidade]],Auxiliar!$D$4:$F$4,0))</f>
        <v>2</v>
      </c>
      <c r="P1101" s="43" t="s">
        <v>573</v>
      </c>
      <c r="Q1101" s="114"/>
      <c r="R1101" s="152">
        <v>45589</v>
      </c>
      <c r="S1101" s="152"/>
      <c r="T1101" s="152">
        <v>45589</v>
      </c>
      <c r="U1101" s="152"/>
      <c r="V1101" s="152">
        <v>45596</v>
      </c>
      <c r="W1101" s="2">
        <f>VLOOKUP(Table1[[#This Row],[Status]],Auxiliar!$B$16:$D$24,3,0)*Table1[[#This Row],[Estimação (horas)]]</f>
        <v>2</v>
      </c>
      <c r="X1101" s="114"/>
    </row>
    <row r="1102" spans="2:24" ht="17.7" hidden="1" customHeight="1">
      <c r="B1102" s="39" t="s">
        <v>26</v>
      </c>
      <c r="C1102" s="39" t="s">
        <v>26</v>
      </c>
      <c r="D1102" s="39" t="s">
        <v>326</v>
      </c>
      <c r="E1102" s="39" t="s">
        <v>1344</v>
      </c>
      <c r="F1102" s="39" t="s">
        <v>336</v>
      </c>
      <c r="G1102" s="39" t="s">
        <v>365</v>
      </c>
      <c r="H1102" s="59" t="str">
        <f>Table1[[#This Row],[Tabela]]&amp;Table1[[#This Row],[Campo]]</f>
        <v>lt003_entityflg_grp_nfrd_applcblty</v>
      </c>
      <c r="I1102" s="2" t="s">
        <v>613</v>
      </c>
      <c r="J1102" s="45">
        <f>VLOOKUP(Table1[[#This Row],[Status]],Auxiliar!$B$16:$C$24,2,0)</f>
        <v>1</v>
      </c>
      <c r="K1102" s="45" t="s">
        <v>1247</v>
      </c>
      <c r="L1102" s="46" t="s">
        <v>1252</v>
      </c>
      <c r="M1102" s="21" t="s">
        <v>1253</v>
      </c>
      <c r="N1102" s="48">
        <v>45642</v>
      </c>
      <c r="O1102" s="21">
        <f>INDEX(Auxiliar!$D$5:$F$13,MATCH(Table1[[#This Row],[Tipologia_Testes]],Auxiliar!$B$5:$B$13,0),MATCH(Table1[[#This Row],[Complexidade]],Auxiliar!$D$4:$F$4,0))</f>
        <v>2</v>
      </c>
      <c r="P1102" s="43" t="s">
        <v>573</v>
      </c>
      <c r="Q1102" s="114"/>
      <c r="R1102" s="152">
        <v>45589</v>
      </c>
      <c r="S1102" s="152"/>
      <c r="T1102" s="152">
        <v>45589</v>
      </c>
      <c r="U1102" s="152"/>
      <c r="V1102" s="152">
        <v>45596</v>
      </c>
      <c r="W1102" s="2">
        <f>VLOOKUP(Table1[[#This Row],[Status]],Auxiliar!$B$16:$D$24,3,0)*Table1[[#This Row],[Estimação (horas)]]</f>
        <v>2</v>
      </c>
      <c r="X1102" s="114"/>
    </row>
    <row r="1103" spans="2:24" ht="17.7" hidden="1" customHeight="1">
      <c r="B1103" s="39" t="s">
        <v>26</v>
      </c>
      <c r="C1103" s="39" t="s">
        <v>26</v>
      </c>
      <c r="D1103" s="39" t="s">
        <v>326</v>
      </c>
      <c r="E1103" s="39" t="s">
        <v>1344</v>
      </c>
      <c r="F1103" s="39" t="s">
        <v>336</v>
      </c>
      <c r="G1103" s="39" t="s">
        <v>365</v>
      </c>
      <c r="H1103" s="59" t="str">
        <f>Table1[[#This Row],[Tabela]]&amp;Table1[[#This Row],[Campo]]</f>
        <v>lt003_entityflg_grp_nfrd_applcblty</v>
      </c>
      <c r="I1103" s="2" t="s">
        <v>613</v>
      </c>
      <c r="J1103" s="45">
        <f>VLOOKUP(Table1[[#This Row],[Status]],Auxiliar!$B$16:$C$24,2,0)</f>
        <v>1</v>
      </c>
      <c r="K1103" s="45" t="s">
        <v>1249</v>
      </c>
      <c r="L1103" s="46" t="s">
        <v>1252</v>
      </c>
      <c r="M1103" s="21" t="s">
        <v>1253</v>
      </c>
      <c r="N1103" s="48">
        <v>45642</v>
      </c>
      <c r="O1103" s="21">
        <f>INDEX(Auxiliar!$D$5:$F$13,MATCH(Table1[[#This Row],[Tipologia_Testes]],Auxiliar!$B$5:$B$13,0),MATCH(Table1[[#This Row],[Complexidade]],Auxiliar!$D$4:$F$4,0))</f>
        <v>0.1</v>
      </c>
      <c r="P1103" s="43" t="s">
        <v>573</v>
      </c>
      <c r="Q1103" s="114"/>
      <c r="R1103" s="152">
        <v>45589</v>
      </c>
      <c r="S1103" s="152"/>
      <c r="T1103" s="152">
        <v>45589</v>
      </c>
      <c r="U1103" s="152"/>
      <c r="V1103" s="152">
        <v>45596</v>
      </c>
      <c r="W1103" s="2">
        <f>VLOOKUP(Table1[[#This Row],[Status]],Auxiliar!$B$16:$D$24,3,0)*Table1[[#This Row],[Estimação (horas)]]</f>
        <v>0.1</v>
      </c>
      <c r="X1103" s="114"/>
    </row>
    <row r="1104" spans="2:24" ht="34.950000000000003" hidden="1" customHeight="1">
      <c r="B1104" s="41" t="s">
        <v>26</v>
      </c>
      <c r="C1104" s="41" t="s">
        <v>26</v>
      </c>
      <c r="D1104" s="36" t="s">
        <v>326</v>
      </c>
      <c r="E1104" s="111" t="s">
        <v>1345</v>
      </c>
      <c r="F1104" s="40" t="s">
        <v>336</v>
      </c>
      <c r="G1104" s="38" t="s">
        <v>366</v>
      </c>
      <c r="H1104" s="60" t="str">
        <f>Table1[[#This Row],[Tabela]]&amp;Table1[[#This Row],[Campo]]</f>
        <v>lt003_entitygrp_emssns_scp1</v>
      </c>
      <c r="I1104" s="2" t="s">
        <v>613</v>
      </c>
      <c r="J1104" s="45">
        <f>VLOOKUP(Table1[[#This Row],[Status]],Auxiliar!$B$16:$C$24,2,0)</f>
        <v>1</v>
      </c>
      <c r="K1104" s="45" t="s">
        <v>1246</v>
      </c>
      <c r="L1104" s="46" t="s">
        <v>1252</v>
      </c>
      <c r="M1104" s="21" t="s">
        <v>1253</v>
      </c>
      <c r="N1104" s="48">
        <v>45674</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1345</v>
      </c>
      <c r="F1105" s="39" t="s">
        <v>336</v>
      </c>
      <c r="G1105" s="39" t="s">
        <v>366</v>
      </c>
      <c r="H1105" s="59" t="str">
        <f>Table1[[#This Row],[Tabela]]&amp;Table1[[#This Row],[Campo]]</f>
        <v>lt003_entitygrp_emssns_scp1</v>
      </c>
      <c r="I1105" s="2" t="s">
        <v>613</v>
      </c>
      <c r="J1105" s="45">
        <f>VLOOKUP(Table1[[#This Row],[Status]],Auxiliar!$B$16:$C$24,2,0)</f>
        <v>1</v>
      </c>
      <c r="K1105" s="45" t="s">
        <v>1247</v>
      </c>
      <c r="L1105" s="46" t="s">
        <v>1252</v>
      </c>
      <c r="M1105" s="21" t="s">
        <v>1253</v>
      </c>
      <c r="N1105" s="48">
        <v>45674</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1345</v>
      </c>
      <c r="F1106" s="39" t="s">
        <v>336</v>
      </c>
      <c r="G1106" s="39" t="s">
        <v>366</v>
      </c>
      <c r="H1106" s="59" t="str">
        <f>Table1[[#This Row],[Tabela]]&amp;Table1[[#This Row],[Campo]]</f>
        <v>lt003_entitygrp_emssns_scp1</v>
      </c>
      <c r="I1106" s="2" t="s">
        <v>613</v>
      </c>
      <c r="J1106" s="45">
        <f>VLOOKUP(Table1[[#This Row],[Status]],Auxiliar!$B$16:$C$24,2,0)</f>
        <v>1</v>
      </c>
      <c r="K1106" s="45" t="s">
        <v>1249</v>
      </c>
      <c r="L1106" s="46" t="s">
        <v>1252</v>
      </c>
      <c r="M1106" s="21" t="s">
        <v>1253</v>
      </c>
      <c r="N1106" s="48">
        <v>45674</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1347</v>
      </c>
      <c r="F1107" s="40" t="s">
        <v>336</v>
      </c>
      <c r="G1107" s="38" t="s">
        <v>367</v>
      </c>
      <c r="H1107" s="60" t="str">
        <f>Table1[[#This Row],[Tabela]]&amp;Table1[[#This Row],[Campo]]</f>
        <v>lt003_entitygrp_emssns_scp2</v>
      </c>
      <c r="I1107" s="2" t="s">
        <v>613</v>
      </c>
      <c r="J1107" s="45">
        <f>VLOOKUP(Table1[[#This Row],[Status]],Auxiliar!$B$16:$C$24,2,0)</f>
        <v>1</v>
      </c>
      <c r="K1107" s="45" t="s">
        <v>1246</v>
      </c>
      <c r="L1107" s="46" t="s">
        <v>1252</v>
      </c>
      <c r="M1107" s="21" t="s">
        <v>1253</v>
      </c>
      <c r="N1107" s="48">
        <v>45674</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1347</v>
      </c>
      <c r="F1108" s="39" t="s">
        <v>336</v>
      </c>
      <c r="G1108" s="39" t="s">
        <v>367</v>
      </c>
      <c r="H1108" s="59" t="str">
        <f>Table1[[#This Row],[Tabela]]&amp;Table1[[#This Row],[Campo]]</f>
        <v>lt003_entitygrp_emssns_scp2</v>
      </c>
      <c r="I1108" s="2" t="s">
        <v>613</v>
      </c>
      <c r="J1108" s="45">
        <f>VLOOKUP(Table1[[#This Row],[Status]],Auxiliar!$B$16:$C$24,2,0)</f>
        <v>1</v>
      </c>
      <c r="K1108" s="45" t="s">
        <v>1247</v>
      </c>
      <c r="L1108" s="46" t="s">
        <v>1252</v>
      </c>
      <c r="M1108" s="21" t="s">
        <v>1253</v>
      </c>
      <c r="N1108" s="48">
        <v>45674</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1347</v>
      </c>
      <c r="F1109" s="39" t="s">
        <v>336</v>
      </c>
      <c r="G1109" s="39" t="s">
        <v>367</v>
      </c>
      <c r="H1109" s="59" t="str">
        <f>Table1[[#This Row],[Tabela]]&amp;Table1[[#This Row],[Campo]]</f>
        <v>lt003_entitygrp_emssns_scp2</v>
      </c>
      <c r="I1109" s="2" t="s">
        <v>613</v>
      </c>
      <c r="J1109" s="45">
        <f>VLOOKUP(Table1[[#This Row],[Status]],Auxiliar!$B$16:$C$24,2,0)</f>
        <v>1</v>
      </c>
      <c r="K1109" s="45" t="s">
        <v>1249</v>
      </c>
      <c r="L1109" s="46" t="s">
        <v>1252</v>
      </c>
      <c r="M1109" s="21" t="s">
        <v>1253</v>
      </c>
      <c r="N1109" s="48">
        <v>45674</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0.1</v>
      </c>
      <c r="X1109" s="114"/>
    </row>
    <row r="1110" spans="2:24" ht="34.950000000000003" hidden="1" customHeight="1">
      <c r="B1110" s="41" t="s">
        <v>26</v>
      </c>
      <c r="C1110" s="41" t="s">
        <v>26</v>
      </c>
      <c r="D1110" s="36" t="s">
        <v>326</v>
      </c>
      <c r="E1110" s="111" t="s">
        <v>1348</v>
      </c>
      <c r="F1110" s="40" t="s">
        <v>336</v>
      </c>
      <c r="G1110" s="38" t="s">
        <v>368</v>
      </c>
      <c r="H1110" s="60" t="str">
        <f>Table1[[#This Row],[Tabela]]&amp;Table1[[#This Row],[Campo]]</f>
        <v>lt003_entitygrp_emssns_scp3</v>
      </c>
      <c r="I1110" s="2" t="s">
        <v>613</v>
      </c>
      <c r="J1110" s="45">
        <f>VLOOKUP(Table1[[#This Row],[Status]],Auxiliar!$B$16:$C$24,2,0)</f>
        <v>1</v>
      </c>
      <c r="K1110" s="45" t="s">
        <v>1246</v>
      </c>
      <c r="L1110" s="46" t="s">
        <v>1252</v>
      </c>
      <c r="M1110" s="21" t="s">
        <v>1253</v>
      </c>
      <c r="N1110" s="48">
        <v>45674</v>
      </c>
      <c r="O1110" s="21">
        <f>INDEX(Auxiliar!$D$5:$F$13,MATCH(Table1[[#This Row],[Tipologia_Testes]],Auxiliar!$B$5:$B$13,0),MATCH(Table1[[#This Row],[Complexidade]],Auxiliar!$D$4:$F$4,0))</f>
        <v>2</v>
      </c>
      <c r="P1110" s="43" t="s">
        <v>1346</v>
      </c>
      <c r="Q1110" s="114"/>
      <c r="R1110" s="152">
        <v>45589</v>
      </c>
      <c r="S1110" s="152"/>
      <c r="T1110" s="152">
        <v>45589</v>
      </c>
      <c r="U1110" s="152"/>
      <c r="V1110" s="152">
        <v>45644</v>
      </c>
      <c r="W1110" s="2">
        <f>VLOOKUP(Table1[[#This Row],[Status]],Auxiliar!$B$16:$D$24,3,0)*Table1[[#This Row],[Estimação (horas)]]</f>
        <v>2</v>
      </c>
      <c r="X1110" s="114"/>
    </row>
    <row r="1111" spans="2:24" ht="17.7" hidden="1" customHeight="1">
      <c r="B1111" s="39" t="s">
        <v>26</v>
      </c>
      <c r="C1111" s="39" t="s">
        <v>26</v>
      </c>
      <c r="D1111" s="39" t="s">
        <v>326</v>
      </c>
      <c r="E1111" s="39" t="s">
        <v>1348</v>
      </c>
      <c r="F1111" s="39" t="s">
        <v>336</v>
      </c>
      <c r="G1111" s="39" t="s">
        <v>368</v>
      </c>
      <c r="H1111" s="59" t="str">
        <f>Table1[[#This Row],[Tabela]]&amp;Table1[[#This Row],[Campo]]</f>
        <v>lt003_entitygrp_emssns_scp3</v>
      </c>
      <c r="I1111" s="2" t="s">
        <v>613</v>
      </c>
      <c r="J1111" s="45">
        <f>VLOOKUP(Table1[[#This Row],[Status]],Auxiliar!$B$16:$C$24,2,0)</f>
        <v>1</v>
      </c>
      <c r="K1111" s="45" t="s">
        <v>1247</v>
      </c>
      <c r="L1111" s="46" t="s">
        <v>1252</v>
      </c>
      <c r="M1111" s="21" t="s">
        <v>1253</v>
      </c>
      <c r="N1111" s="48">
        <v>45674</v>
      </c>
      <c r="O1111" s="21">
        <f>INDEX(Auxiliar!$D$5:$F$13,MATCH(Table1[[#This Row],[Tipologia_Testes]],Auxiliar!$B$5:$B$13,0),MATCH(Table1[[#This Row],[Complexidade]],Auxiliar!$D$4:$F$4,0))</f>
        <v>2</v>
      </c>
      <c r="P1111" s="43" t="s">
        <v>1346</v>
      </c>
      <c r="Q1111" s="114"/>
      <c r="R1111" s="152">
        <v>45589</v>
      </c>
      <c r="S1111" s="152"/>
      <c r="T1111" s="152">
        <v>45589</v>
      </c>
      <c r="U1111" s="152"/>
      <c r="V1111" s="152">
        <v>45644</v>
      </c>
      <c r="W1111" s="2">
        <f>VLOOKUP(Table1[[#This Row],[Status]],Auxiliar!$B$16:$D$24,3,0)*Table1[[#This Row],[Estimação (horas)]]</f>
        <v>2</v>
      </c>
      <c r="X1111" s="114"/>
    </row>
    <row r="1112" spans="2:24" ht="17.7" hidden="1" customHeight="1">
      <c r="B1112" s="39" t="s">
        <v>26</v>
      </c>
      <c r="C1112" s="39" t="s">
        <v>26</v>
      </c>
      <c r="D1112" s="39" t="s">
        <v>326</v>
      </c>
      <c r="E1112" s="39" t="s">
        <v>1348</v>
      </c>
      <c r="F1112" s="39" t="s">
        <v>336</v>
      </c>
      <c r="G1112" s="39" t="s">
        <v>368</v>
      </c>
      <c r="H1112" s="59" t="str">
        <f>Table1[[#This Row],[Tabela]]&amp;Table1[[#This Row],[Campo]]</f>
        <v>lt003_entitygrp_emssns_scp3</v>
      </c>
      <c r="I1112" s="2" t="s">
        <v>613</v>
      </c>
      <c r="J1112" s="45">
        <f>VLOOKUP(Table1[[#This Row],[Status]],Auxiliar!$B$16:$C$24,2,0)</f>
        <v>1</v>
      </c>
      <c r="K1112" s="45" t="s">
        <v>1249</v>
      </c>
      <c r="L1112" s="46" t="s">
        <v>1252</v>
      </c>
      <c r="M1112" s="21" t="s">
        <v>1253</v>
      </c>
      <c r="N1112" s="48">
        <v>45674</v>
      </c>
      <c r="O1112" s="21">
        <f>INDEX(Auxiliar!$D$5:$F$13,MATCH(Table1[[#This Row],[Tipologia_Testes]],Auxiliar!$B$5:$B$13,0),MATCH(Table1[[#This Row],[Complexidade]],Auxiliar!$D$4:$F$4,0))</f>
        <v>0.1</v>
      </c>
      <c r="P1112" s="43" t="s">
        <v>1346</v>
      </c>
      <c r="Q1112" s="114"/>
      <c r="R1112" s="152">
        <v>45589</v>
      </c>
      <c r="S1112" s="152"/>
      <c r="T1112" s="152">
        <v>45589</v>
      </c>
      <c r="U1112" s="152"/>
      <c r="V1112" s="152">
        <v>45644</v>
      </c>
      <c r="W1112" s="2">
        <f>VLOOKUP(Table1[[#This Row],[Status]],Auxiliar!$B$16:$D$24,3,0)*Table1[[#This Row],[Estimação (horas)]]</f>
        <v>0.1</v>
      </c>
      <c r="X1112" s="114"/>
    </row>
    <row r="1113" spans="2:24" ht="17.7" hidden="1" customHeight="1">
      <c r="B1113" s="41" t="s">
        <v>26</v>
      </c>
      <c r="C1113" s="41" t="s">
        <v>26</v>
      </c>
      <c r="D1113" s="2" t="s">
        <v>400</v>
      </c>
      <c r="E1113" s="40" t="s">
        <v>38</v>
      </c>
      <c r="F1113" s="2" t="s">
        <v>369</v>
      </c>
      <c r="G1113" s="2" t="s">
        <v>437</v>
      </c>
      <c r="H1113" s="57" t="str">
        <f>Table1[[#This Row],[Tabela]]&amp;Table1[[#This Row],[Campo]]</f>
        <v>lt004_protectiontyp_prtctn</v>
      </c>
      <c r="I1113" s="2" t="s">
        <v>613</v>
      </c>
      <c r="J1113" s="45">
        <f>VLOOKUP(Table1[[#This Row],[Status]],Auxiliar!$B$16:$C$24,2,0)</f>
        <v>1</v>
      </c>
      <c r="K1113" s="44" t="s">
        <v>1251</v>
      </c>
      <c r="L1113" s="46" t="s">
        <v>1252</v>
      </c>
      <c r="M1113" s="21" t="s">
        <v>1253</v>
      </c>
      <c r="N1113" s="48">
        <v>45667</v>
      </c>
      <c r="O1113" s="113">
        <v>0.1</v>
      </c>
      <c r="P1113" s="2" t="s">
        <v>2011</v>
      </c>
      <c r="Q1113" s="152"/>
      <c r="R1113" s="152">
        <v>45603</v>
      </c>
      <c r="S1113" s="152"/>
      <c r="T1113" s="152">
        <v>45588</v>
      </c>
      <c r="U1113" s="152">
        <v>45624</v>
      </c>
      <c r="V1113" s="152">
        <v>45624</v>
      </c>
      <c r="W1113" s="2">
        <f>VLOOKUP(Table1[[#This Row],[Status]],Auxiliar!$B$16:$D$24,3,0)*Table1[[#This Row],[Estimação (horas)]]</f>
        <v>0.1</v>
      </c>
      <c r="X1113" s="205"/>
    </row>
    <row r="1114" spans="2:24" ht="17.7" hidden="1" customHeight="1">
      <c r="B1114" s="39" t="s">
        <v>26</v>
      </c>
      <c r="C1114" s="39" t="s">
        <v>26</v>
      </c>
      <c r="D1114" s="388" t="s">
        <v>1349</v>
      </c>
      <c r="E1114" s="391" t="s">
        <v>1331</v>
      </c>
      <c r="F1114" s="390" t="s">
        <v>369</v>
      </c>
      <c r="G1114" s="392" t="s">
        <v>372</v>
      </c>
      <c r="H1114" s="394" t="str">
        <f>Table1[[#This Row],[Tabela]]&amp;Table1[[#This Row],[Campo]]</f>
        <v>lt004_protectiontyp_epc_lbl</v>
      </c>
      <c r="I1114" s="2" t="s">
        <v>613</v>
      </c>
      <c r="J1114" s="45">
        <f>VLOOKUP(Table1[[#This Row],[Status]],Auxiliar!$B$16:$C$24,2,0)</f>
        <v>1</v>
      </c>
      <c r="K1114" s="45" t="s">
        <v>1246</v>
      </c>
      <c r="L1114" s="46" t="s">
        <v>1252</v>
      </c>
      <c r="M1114" s="21" t="s">
        <v>1253</v>
      </c>
      <c r="N1114" s="48">
        <v>45642</v>
      </c>
      <c r="O1114" s="21">
        <f>INDEX(Auxiliar!$D$5:$F$13,MATCH(Table1[[#This Row],[Tipologia_Testes]],Auxiliar!$B$5:$B$13,0),MATCH(Table1[[#This Row],[Complexidade]],Auxiliar!$D$4:$F$4,0))</f>
        <v>2</v>
      </c>
      <c r="P1114" s="43" t="s">
        <v>1350</v>
      </c>
      <c r="Q1114" s="43"/>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372</v>
      </c>
      <c r="H1115" s="59" t="str">
        <f>Table1[[#This Row],[Tabela]]&amp;Table1[[#This Row],[Campo]]</f>
        <v>lt004_protectiontyp_epc_lbl</v>
      </c>
      <c r="I1115" s="2" t="s">
        <v>613</v>
      </c>
      <c r="J1115" s="45">
        <f>VLOOKUP(Table1[[#This Row],[Status]],Auxiliar!$B$16:$C$24,2,0)</f>
        <v>1</v>
      </c>
      <c r="K1115" s="45" t="s">
        <v>1247</v>
      </c>
      <c r="L1115" s="46" t="s">
        <v>1252</v>
      </c>
      <c r="M1115" s="21" t="s">
        <v>1253</v>
      </c>
      <c r="N1115" s="48">
        <v>45642</v>
      </c>
      <c r="O1115" s="21">
        <f>INDEX(Auxiliar!$D$5:$F$13,MATCH(Table1[[#This Row],[Tipologia_Testes]],Auxiliar!$B$5:$B$13,0),MATCH(Table1[[#This Row],[Complexidade]],Auxiliar!$D$4:$F$4,0))</f>
        <v>2</v>
      </c>
      <c r="P1115" s="43" t="s">
        <v>1350</v>
      </c>
      <c r="Q1115" s="43"/>
      <c r="R1115" s="152">
        <v>45583</v>
      </c>
      <c r="S1115" s="152"/>
      <c r="T1115" s="152">
        <v>45583</v>
      </c>
      <c r="U1115" s="152">
        <v>45596</v>
      </c>
      <c r="V1115" s="152">
        <v>45596</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372</v>
      </c>
      <c r="H1116" s="57" t="str">
        <f>Table1[[#This Row],[Tabela]]&amp;Table1[[#This Row],[Campo]]</f>
        <v>lt004_protectiontyp_epc_lbl</v>
      </c>
      <c r="I1116" s="2" t="s">
        <v>613</v>
      </c>
      <c r="J1116" s="45">
        <f>VLOOKUP(Table1[[#This Row],[Status]],Auxiliar!$B$16:$C$24,2,0)</f>
        <v>1</v>
      </c>
      <c r="K1116" s="45" t="s">
        <v>1249</v>
      </c>
      <c r="L1116" s="46" t="s">
        <v>1252</v>
      </c>
      <c r="M1116" s="21" t="s">
        <v>1253</v>
      </c>
      <c r="N1116" s="48">
        <v>45642</v>
      </c>
      <c r="O1116" s="21">
        <f>INDEX(Auxiliar!$D$5:$F$13,MATCH(Table1[[#This Row],[Tipologia_Testes]],Auxiliar!$B$5:$B$13,0),MATCH(Table1[[#This Row],[Complexidade]],Auxiliar!$D$4:$F$4,0))</f>
        <v>0.1</v>
      </c>
      <c r="P1116" s="43" t="s">
        <v>1350</v>
      </c>
      <c r="Q1116" s="43"/>
      <c r="R1116" s="152">
        <v>45583</v>
      </c>
      <c r="S1116" s="152"/>
      <c r="T1116" s="152">
        <v>45583</v>
      </c>
      <c r="U1116" s="152">
        <v>45596</v>
      </c>
      <c r="V1116" s="152">
        <v>45596</v>
      </c>
      <c r="W1116" s="2">
        <f>VLOOKUP(Table1[[#This Row],[Status]],Auxiliar!$B$16:$D$24,3,0)*Table1[[#This Row],[Estimação (horas)]]</f>
        <v>0.1</v>
      </c>
      <c r="X1116" s="114"/>
    </row>
    <row r="1117" spans="2:24" ht="17.7" hidden="1" customHeight="1">
      <c r="B1117" s="39" t="s">
        <v>26</v>
      </c>
      <c r="C1117" s="39" t="s">
        <v>26</v>
      </c>
      <c r="D1117" s="388" t="s">
        <v>1349</v>
      </c>
      <c r="E1117" s="391" t="s">
        <v>1331</v>
      </c>
      <c r="F1117" s="390" t="s">
        <v>369</v>
      </c>
      <c r="G1117" s="392" t="s">
        <v>370</v>
      </c>
      <c r="H1117" s="394" t="str">
        <f>Table1[[#This Row],[Tabela]]&amp;Table1[[#This Row],[Campo]]</f>
        <v>lt004_protectiontyp_ep_scr</v>
      </c>
      <c r="I1117" s="2" t="s">
        <v>613</v>
      </c>
      <c r="J1117" s="45">
        <f>VLOOKUP(Table1[[#This Row],[Status]],Auxiliar!$B$16:$C$24,2,0)</f>
        <v>1</v>
      </c>
      <c r="K1117" s="45" t="s">
        <v>1246</v>
      </c>
      <c r="L1117" s="46" t="s">
        <v>1252</v>
      </c>
      <c r="M1117" s="21" t="s">
        <v>1253</v>
      </c>
      <c r="N1117" s="48">
        <v>45632</v>
      </c>
      <c r="O1117" s="21">
        <f>INDEX(Auxiliar!$D$5:$F$13,MATCH(Table1[[#This Row],[Tipologia_Testes]],Auxiliar!$B$5:$B$13,0),MATCH(Table1[[#This Row],[Complexidade]],Auxiliar!$D$4:$F$4,0))</f>
        <v>2</v>
      </c>
      <c r="P1117" s="43"/>
      <c r="Q1117" s="152"/>
      <c r="R1117" s="152">
        <v>45583</v>
      </c>
      <c r="S1117" s="152"/>
      <c r="T1117" s="152">
        <v>45583</v>
      </c>
      <c r="U1117" s="152">
        <v>45611</v>
      </c>
      <c r="V1117" s="152">
        <v>45611</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370</v>
      </c>
      <c r="H1118" s="59" t="str">
        <f>Table1[[#This Row],[Tabela]]&amp;Table1[[#This Row],[Campo]]</f>
        <v>lt004_protectiontyp_ep_scr</v>
      </c>
      <c r="I1118" s="2" t="s">
        <v>613</v>
      </c>
      <c r="J1118" s="45">
        <f>VLOOKUP(Table1[[#This Row],[Status]],Auxiliar!$B$16:$C$24,2,0)</f>
        <v>1</v>
      </c>
      <c r="K1118" s="45" t="s">
        <v>1247</v>
      </c>
      <c r="L1118" s="46" t="s">
        <v>1252</v>
      </c>
      <c r="M1118" s="21" t="s">
        <v>1253</v>
      </c>
      <c r="N1118" s="48">
        <v>45632</v>
      </c>
      <c r="O1118" s="21">
        <f>INDEX(Auxiliar!$D$5:$F$13,MATCH(Table1[[#This Row],[Tipologia_Testes]],Auxiliar!$B$5:$B$13,0),MATCH(Table1[[#This Row],[Complexidade]],Auxiliar!$D$4:$F$4,0))</f>
        <v>2</v>
      </c>
      <c r="P1118" s="43"/>
      <c r="Q1118" s="152"/>
      <c r="R1118" s="152">
        <v>45583</v>
      </c>
      <c r="S1118" s="152"/>
      <c r="T1118" s="152">
        <v>45583</v>
      </c>
      <c r="U1118" s="152">
        <v>45611</v>
      </c>
      <c r="V1118" s="152">
        <v>45611</v>
      </c>
      <c r="W1118" s="2">
        <f>VLOOKUP(Table1[[#This Row],[Status]],Auxiliar!$B$16:$D$24,3,0)*Table1[[#This Row],[Estimação (horas)]]</f>
        <v>2</v>
      </c>
      <c r="X1118" s="114"/>
    </row>
    <row r="1119" spans="2:24" ht="17.7" hidden="1" customHeight="1">
      <c r="B1119" s="41" t="s">
        <v>26</v>
      </c>
      <c r="C1119" s="41" t="s">
        <v>26</v>
      </c>
      <c r="D1119" s="43" t="s">
        <v>1349</v>
      </c>
      <c r="E1119" s="43" t="s">
        <v>1331</v>
      </c>
      <c r="F1119" s="43" t="s">
        <v>369</v>
      </c>
      <c r="G1119" s="43" t="s">
        <v>370</v>
      </c>
      <c r="H1119" s="57" t="str">
        <f>Table1[[#This Row],[Tabela]]&amp;Table1[[#This Row],[Campo]]</f>
        <v>lt004_protectiontyp_ep_scr</v>
      </c>
      <c r="I1119" s="2" t="s">
        <v>613</v>
      </c>
      <c r="J1119" s="45">
        <f>VLOOKUP(Table1[[#This Row],[Status]],Auxiliar!$B$16:$C$24,2,0)</f>
        <v>1</v>
      </c>
      <c r="K1119" s="45" t="s">
        <v>1249</v>
      </c>
      <c r="L1119" s="46" t="s">
        <v>1252</v>
      </c>
      <c r="M1119" s="21" t="s">
        <v>1253</v>
      </c>
      <c r="N1119" s="48">
        <v>45632</v>
      </c>
      <c r="O1119" s="21">
        <f>INDEX(Auxiliar!$D$5:$F$13,MATCH(Table1[[#This Row],[Tipologia_Testes]],Auxiliar!$B$5:$B$13,0),MATCH(Table1[[#This Row],[Complexidade]],Auxiliar!$D$4:$F$4,0))</f>
        <v>0.1</v>
      </c>
      <c r="P1119" s="43"/>
      <c r="Q1119" s="395"/>
      <c r="R1119" s="152">
        <v>45583</v>
      </c>
      <c r="S1119" s="152"/>
      <c r="T1119" s="152">
        <v>45583</v>
      </c>
      <c r="U1119" s="152">
        <v>45611</v>
      </c>
      <c r="V1119" s="152">
        <v>45611</v>
      </c>
      <c r="W1119" s="2">
        <f>VLOOKUP(Table1[[#This Row],[Status]],Auxiliar!$B$16:$D$24,3,0)*Table1[[#This Row],[Estimação (horas)]]</f>
        <v>0.1</v>
      </c>
      <c r="X1119" s="114"/>
    </row>
    <row r="1120" spans="2:24" ht="17.7" hidden="1" customHeight="1">
      <c r="B1120" s="39" t="s">
        <v>26</v>
      </c>
      <c r="C1120" s="39" t="s">
        <v>26</v>
      </c>
      <c r="D1120" s="20" t="s">
        <v>400</v>
      </c>
      <c r="E1120" s="390" t="s">
        <v>38</v>
      </c>
      <c r="F1120" s="20" t="s">
        <v>369</v>
      </c>
      <c r="G1120" s="20" t="s">
        <v>436</v>
      </c>
      <c r="H1120" s="59" t="str">
        <f>Table1[[#This Row],[Tabela]]&amp;Table1[[#This Row],[Campo]]</f>
        <v>lt004_protectionrl_estt_pst_cd</v>
      </c>
      <c r="I1120" s="2" t="s">
        <v>613</v>
      </c>
      <c r="J1120" s="45">
        <f>VLOOKUP(Table1[[#This Row],[Status]],Auxiliar!$B$16:$C$24,2,0)</f>
        <v>1</v>
      </c>
      <c r="K1120" s="44" t="s">
        <v>1251</v>
      </c>
      <c r="L1120" s="46" t="s">
        <v>1252</v>
      </c>
      <c r="M1120" s="21" t="s">
        <v>1253</v>
      </c>
      <c r="N1120" s="48">
        <v>45632</v>
      </c>
      <c r="O1120" s="113">
        <v>0.1</v>
      </c>
      <c r="P1120" s="2"/>
      <c r="Q1120" s="395"/>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0" t="s">
        <v>38</v>
      </c>
      <c r="F1121" s="20" t="s">
        <v>369</v>
      </c>
      <c r="G1121" s="20" t="s">
        <v>435</v>
      </c>
      <c r="H1121" s="59" t="str">
        <f>Table1[[#This Row],[Tabela]]&amp;Table1[[#This Row],[Campo]]</f>
        <v>lt004_protectionrl_estt_clltrl_lctn</v>
      </c>
      <c r="I1121" s="2" t="s">
        <v>613</v>
      </c>
      <c r="J1121" s="45">
        <f>VLOOKUP(Table1[[#This Row],[Status]],Auxiliar!$B$16:$C$24,2,0)</f>
        <v>1</v>
      </c>
      <c r="K1121" s="44" t="s">
        <v>1251</v>
      </c>
      <c r="L1121" s="46" t="s">
        <v>1252</v>
      </c>
      <c r="M1121" s="21" t="s">
        <v>1253</v>
      </c>
      <c r="N1121" s="48">
        <v>45632</v>
      </c>
      <c r="O1121" s="113">
        <v>0.1</v>
      </c>
      <c r="P1121" s="2"/>
      <c r="Q1121" s="395"/>
      <c r="R1121" s="152">
        <v>45589</v>
      </c>
      <c r="S1121" s="152"/>
      <c r="T1121" s="152">
        <v>45589</v>
      </c>
      <c r="U1121" s="152">
        <v>45611</v>
      </c>
      <c r="V1121" s="152">
        <v>45611</v>
      </c>
      <c r="W1121" s="2">
        <f>VLOOKUP(Table1[[#This Row],[Status]],Auxiliar!$B$16:$D$24,3,0)*Table1[[#This Row],[Estimação (horas)]]</f>
        <v>0.1</v>
      </c>
      <c r="X1121" s="205"/>
    </row>
    <row r="1122" spans="2:24" ht="17.7" hidden="1" customHeight="1">
      <c r="B1122" s="41" t="s">
        <v>26</v>
      </c>
      <c r="C1122" s="41" t="s">
        <v>26</v>
      </c>
      <c r="D1122" s="2" t="s">
        <v>400</v>
      </c>
      <c r="E1122" s="40" t="s">
        <v>38</v>
      </c>
      <c r="F1122" s="2" t="s">
        <v>369</v>
      </c>
      <c r="G1122" s="2" t="s">
        <v>439</v>
      </c>
      <c r="H1122" s="57" t="str">
        <f>Table1[[#This Row],[Tabela]]&amp;Table1[[#This Row],[Campo]]</f>
        <v>lt004_protectionprtctn_vl</v>
      </c>
      <c r="I1122" s="2" t="s">
        <v>613</v>
      </c>
      <c r="J1122" s="45">
        <f>VLOOKUP(Table1[[#This Row],[Status]],Auxiliar!$B$16:$C$24,2,0)</f>
        <v>1</v>
      </c>
      <c r="K1122" s="44" t="s">
        <v>1251</v>
      </c>
      <c r="L1122" s="46" t="s">
        <v>1252</v>
      </c>
      <c r="M1122" s="21" t="s">
        <v>1253</v>
      </c>
      <c r="N1122" s="48">
        <v>45667</v>
      </c>
      <c r="O1122" s="113">
        <v>0.1</v>
      </c>
      <c r="P1122" s="2"/>
      <c r="Q1122" s="395"/>
      <c r="R1122" s="152">
        <v>45589</v>
      </c>
      <c r="S1122" s="152"/>
      <c r="T1122" s="152">
        <v>45589</v>
      </c>
      <c r="U1122" s="152">
        <v>45624</v>
      </c>
      <c r="V1122" s="152">
        <v>45624</v>
      </c>
      <c r="W1122" s="2">
        <f>VLOOKUP(Table1[[#This Row],[Status]],Auxiliar!$B$16:$D$24,3,0)*Table1[[#This Row],[Estimação (horas)]]</f>
        <v>0.1</v>
      </c>
      <c r="X1122" s="205"/>
    </row>
    <row r="1123" spans="2:24" ht="17.7" hidden="1" customHeight="1">
      <c r="B1123" s="39" t="s">
        <v>26</v>
      </c>
      <c r="C1123" s="39" t="s">
        <v>26</v>
      </c>
      <c r="D1123" s="20" t="s">
        <v>400</v>
      </c>
      <c r="E1123" s="390" t="s">
        <v>38</v>
      </c>
      <c r="F1123" s="20" t="s">
        <v>369</v>
      </c>
      <c r="G1123" s="20" t="s">
        <v>434</v>
      </c>
      <c r="H1123" s="59" t="str">
        <f>Table1[[#This Row],[Tabela]]&amp;Table1[[#This Row],[Campo]]</f>
        <v>lt004_protectionprtctn_id</v>
      </c>
      <c r="I1123" s="2" t="s">
        <v>613</v>
      </c>
      <c r="J1123" s="45">
        <f>VLOOKUP(Table1[[#This Row],[Status]],Auxiliar!$B$16:$C$24,2,0)</f>
        <v>1</v>
      </c>
      <c r="K1123" s="44" t="s">
        <v>1251</v>
      </c>
      <c r="L1123" s="46" t="s">
        <v>1252</v>
      </c>
      <c r="M1123" s="21" t="s">
        <v>1253</v>
      </c>
      <c r="N1123" s="48">
        <v>45642</v>
      </c>
      <c r="O1123" s="113">
        <v>0.1</v>
      </c>
      <c r="P1123" s="2"/>
      <c r="Q1123" s="395"/>
      <c r="R1123" s="152">
        <v>45589</v>
      </c>
      <c r="S1123" s="152"/>
      <c r="T1123" s="152">
        <v>45589</v>
      </c>
      <c r="U1123" s="152">
        <v>45611</v>
      </c>
      <c r="V1123" s="152">
        <v>45611</v>
      </c>
      <c r="W1123" s="2">
        <f>VLOOKUP(Table1[[#This Row],[Status]],Auxiliar!$B$16:$D$24,3,0)*Table1[[#This Row],[Estimação (horas)]]</f>
        <v>0.1</v>
      </c>
      <c r="X1123" s="205"/>
    </row>
    <row r="1124" spans="2:24" ht="17.7" hidden="1" customHeight="1">
      <c r="B1124" s="39" t="s">
        <v>26</v>
      </c>
      <c r="C1124" s="39" t="s">
        <v>26</v>
      </c>
      <c r="D1124" s="20" t="s">
        <v>400</v>
      </c>
      <c r="E1124" s="390" t="s">
        <v>38</v>
      </c>
      <c r="F1124" s="20" t="s">
        <v>369</v>
      </c>
      <c r="G1124" s="20" t="s">
        <v>438</v>
      </c>
      <c r="H1124" s="59" t="str">
        <f>Table1[[#This Row],[Tabela]]&amp;Table1[[#This Row],[Campo]]</f>
        <v>lt004_protectionorgnl_prtctn_vl</v>
      </c>
      <c r="I1124" s="2" t="s">
        <v>613</v>
      </c>
      <c r="J1124" s="45">
        <f>VLOOKUP(Table1[[#This Row],[Status]],Auxiliar!$B$16:$C$24,2,0)</f>
        <v>1</v>
      </c>
      <c r="K1124" s="44" t="s">
        <v>1251</v>
      </c>
      <c r="L1124" s="46" t="s">
        <v>1252</v>
      </c>
      <c r="M1124" s="21" t="s">
        <v>1253</v>
      </c>
      <c r="N1124" s="48">
        <v>45674</v>
      </c>
      <c r="O1124" s="253">
        <v>0.1</v>
      </c>
      <c r="P1124" s="2"/>
      <c r="Q1124" s="395"/>
      <c r="R1124" s="152">
        <v>45595</v>
      </c>
      <c r="S1124" s="152"/>
      <c r="T1124" s="152">
        <v>45595</v>
      </c>
      <c r="U1124" s="152">
        <v>45611</v>
      </c>
      <c r="V1124" s="152">
        <v>45611</v>
      </c>
      <c r="W1124" s="2">
        <f>VLOOKUP(Table1[[#This Row],[Status]],Auxiliar!$B$16:$D$24,3,0)*Table1[[#This Row],[Estimação (horas)]]</f>
        <v>0.1</v>
      </c>
      <c r="X1124" s="205"/>
    </row>
    <row r="1125" spans="2:24" ht="52.2" hidden="1" customHeight="1">
      <c r="B1125" s="41" t="s">
        <v>26</v>
      </c>
      <c r="C1125" s="41" t="s">
        <v>26</v>
      </c>
      <c r="D1125" s="37" t="s">
        <v>1349</v>
      </c>
      <c r="E1125" s="42" t="s">
        <v>1331</v>
      </c>
      <c r="F1125" s="40" t="s">
        <v>369</v>
      </c>
      <c r="G1125" s="38" t="s">
        <v>379</v>
      </c>
      <c r="H1125" s="60" t="str">
        <f>Table1[[#This Row],[Tabela]]&amp;Table1[[#This Row],[Campo]]</f>
        <v>lt004_protectionmthd_usd_prtctn_scp_3</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395"/>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379</v>
      </c>
      <c r="H1126" s="59" t="str">
        <f>Table1[[#This Row],[Tabela]]&amp;Table1[[#This Row],[Campo]]</f>
        <v>lt004_protectionmthd_usd_prtctn_scp_3</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395"/>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379</v>
      </c>
      <c r="H1127" s="59" t="str">
        <f>Table1[[#This Row],[Tabela]]&amp;Table1[[#This Row],[Campo]]</f>
        <v>lt004_protectionmthd_usd_prtctn_scp_3</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395"/>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378</v>
      </c>
      <c r="H1128" s="60" t="str">
        <f>Table1[[#This Row],[Tabela]]&amp;Table1[[#This Row],[Campo]]</f>
        <v>lt004_protectionmthd_usd_prtctn_scp_2</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378</v>
      </c>
      <c r="H1129" s="59" t="str">
        <f>Table1[[#This Row],[Tabela]]&amp;Table1[[#This Row],[Campo]]</f>
        <v>lt004_protectionmthd_usd_prtctn_scp_2</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378</v>
      </c>
      <c r="H1130" s="59" t="str">
        <f>Table1[[#This Row],[Tabela]]&amp;Table1[[#This Row],[Campo]]</f>
        <v>lt004_protectionmthd_usd_prtctn_scp_2</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52.2"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478</v>
      </c>
      <c r="E1134" s="40" t="s">
        <v>482</v>
      </c>
      <c r="F1134" s="40" t="s">
        <v>369</v>
      </c>
      <c r="G1134" s="38" t="s">
        <v>482</v>
      </c>
      <c r="H1134" s="60" t="str">
        <f>Table1[[#This Row],[Tabela]]&amp;Table1[[#This Row],[Campo]]</f>
        <v>lt004_protectionflg_pro</v>
      </c>
      <c r="I1134" s="2" t="s">
        <v>612</v>
      </c>
      <c r="J1134" s="45">
        <f>VLOOKUP(Table1[[#This Row],[Status]],Auxiliar!$B$16:$C$24,2,0)</f>
        <v>0</v>
      </c>
      <c r="K1134" s="45" t="s">
        <v>1246</v>
      </c>
      <c r="L1134" s="46" t="s">
        <v>1252</v>
      </c>
      <c r="M1134" s="21" t="s">
        <v>1253</v>
      </c>
      <c r="N1134" s="48">
        <v>45674</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0</v>
      </c>
      <c r="X1134" s="114"/>
    </row>
    <row r="1135" spans="2:24" ht="17.7" hidden="1" customHeight="1">
      <c r="B1135" s="39" t="s">
        <v>26</v>
      </c>
      <c r="C1135" s="39" t="s">
        <v>26</v>
      </c>
      <c r="D1135" s="39" t="s">
        <v>478</v>
      </c>
      <c r="E1135" s="39" t="s">
        <v>482</v>
      </c>
      <c r="F1135" s="39" t="s">
        <v>369</v>
      </c>
      <c r="G1135" s="39" t="s">
        <v>482</v>
      </c>
      <c r="H1135" s="59" t="str">
        <f>Table1[[#This Row],[Tabela]]&amp;Table1[[#This Row],[Campo]]</f>
        <v>lt004_protectionflg_pro</v>
      </c>
      <c r="I1135" s="2" t="s">
        <v>612</v>
      </c>
      <c r="J1135" s="45">
        <f>VLOOKUP(Table1[[#This Row],[Status]],Auxiliar!$B$16:$C$24,2,0)</f>
        <v>0</v>
      </c>
      <c r="K1135" s="45" t="s">
        <v>1247</v>
      </c>
      <c r="L1135" s="46" t="s">
        <v>1252</v>
      </c>
      <c r="M1135" s="21" t="s">
        <v>1253</v>
      </c>
      <c r="N1135" s="48">
        <v>45674</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0</v>
      </c>
      <c r="X1135" s="114"/>
    </row>
    <row r="1136" spans="2:24" ht="17.7" hidden="1" customHeight="1">
      <c r="B1136" s="39" t="s">
        <v>26</v>
      </c>
      <c r="C1136" s="39" t="s">
        <v>26</v>
      </c>
      <c r="D1136" s="39" t="s">
        <v>478</v>
      </c>
      <c r="E1136" s="39" t="s">
        <v>482</v>
      </c>
      <c r="F1136" s="39" t="s">
        <v>369</v>
      </c>
      <c r="G1136" s="39" t="s">
        <v>482</v>
      </c>
      <c r="H1136" s="59" t="str">
        <f>Table1[[#This Row],[Tabela]]&amp;Table1[[#This Row],[Campo]]</f>
        <v>lt004_protectionflg_pro</v>
      </c>
      <c r="I1136" s="2" t="s">
        <v>612</v>
      </c>
      <c r="J1136" s="45">
        <f>VLOOKUP(Table1[[#This Row],[Status]],Auxiliar!$B$16:$C$24,2,0)</f>
        <v>0</v>
      </c>
      <c r="K1136" s="45" t="s">
        <v>1249</v>
      </c>
      <c r="L1136" s="46" t="s">
        <v>1252</v>
      </c>
      <c r="M1136" s="21" t="s">
        <v>1253</v>
      </c>
      <c r="N1136" s="48">
        <v>45674</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v>
      </c>
      <c r="X1136" s="114"/>
    </row>
    <row r="1137" spans="2:24" ht="17.7" hidden="1" customHeight="1">
      <c r="B1137" s="41" t="s">
        <v>26</v>
      </c>
      <c r="C1137" s="41" t="s">
        <v>26</v>
      </c>
      <c r="D1137" s="37" t="s">
        <v>478</v>
      </c>
      <c r="E1137" s="42" t="s">
        <v>481</v>
      </c>
      <c r="F1137" s="40" t="s">
        <v>369</v>
      </c>
      <c r="G1137" s="38" t="s">
        <v>481</v>
      </c>
      <c r="H1137" s="60" t="str">
        <f>Table1[[#This Row],[Tabela]]&amp;Table1[[#This Row],[Campo]]</f>
        <v>lt004_protectionflg_fin</v>
      </c>
      <c r="I1137" s="2" t="s">
        <v>612</v>
      </c>
      <c r="J1137" s="45">
        <f>VLOOKUP(Table1[[#This Row],[Status]],Auxiliar!$B$16:$C$24,2,0)</f>
        <v>0</v>
      </c>
      <c r="K1137" s="45" t="s">
        <v>1246</v>
      </c>
      <c r="L1137" s="46" t="s">
        <v>1252</v>
      </c>
      <c r="M1137" s="21" t="s">
        <v>1253</v>
      </c>
      <c r="N1137" s="48">
        <v>45674</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0</v>
      </c>
      <c r="X1137" s="114"/>
    </row>
    <row r="1138" spans="2:24" ht="17.7" hidden="1" customHeight="1">
      <c r="B1138" s="39" t="s">
        <v>26</v>
      </c>
      <c r="C1138" s="39" t="s">
        <v>26</v>
      </c>
      <c r="D1138" s="39" t="s">
        <v>478</v>
      </c>
      <c r="E1138" s="39" t="s">
        <v>481</v>
      </c>
      <c r="F1138" s="39" t="s">
        <v>369</v>
      </c>
      <c r="G1138" s="39" t="s">
        <v>481</v>
      </c>
      <c r="H1138" s="59" t="str">
        <f>Table1[[#This Row],[Tabela]]&amp;Table1[[#This Row],[Campo]]</f>
        <v>lt004_protectionflg_fin</v>
      </c>
      <c r="I1138" s="2" t="s">
        <v>612</v>
      </c>
      <c r="J1138" s="45">
        <f>VLOOKUP(Table1[[#This Row],[Status]],Auxiliar!$B$16:$C$24,2,0)</f>
        <v>0</v>
      </c>
      <c r="K1138" s="45" t="s">
        <v>1247</v>
      </c>
      <c r="L1138" s="46" t="s">
        <v>1252</v>
      </c>
      <c r="M1138" s="21" t="s">
        <v>1253</v>
      </c>
      <c r="N1138" s="48">
        <v>45674</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0</v>
      </c>
      <c r="X1138" s="114"/>
    </row>
    <row r="1139" spans="2:24" ht="17.7" hidden="1" customHeight="1">
      <c r="B1139" s="39" t="s">
        <v>26</v>
      </c>
      <c r="C1139" s="39" t="s">
        <v>26</v>
      </c>
      <c r="D1139" s="39" t="s">
        <v>478</v>
      </c>
      <c r="E1139" s="39" t="s">
        <v>481</v>
      </c>
      <c r="F1139" s="39" t="s">
        <v>369</v>
      </c>
      <c r="G1139" s="39" t="s">
        <v>481</v>
      </c>
      <c r="H1139" s="59" t="str">
        <f>Table1[[#This Row],[Tabela]]&amp;Table1[[#This Row],[Campo]]</f>
        <v>lt004_protectionflg_fin</v>
      </c>
      <c r="I1139" s="2" t="s">
        <v>612</v>
      </c>
      <c r="J1139" s="45">
        <f>VLOOKUP(Table1[[#This Row],[Status]],Auxiliar!$B$16:$C$24,2,0)</f>
        <v>0</v>
      </c>
      <c r="K1139" s="45" t="s">
        <v>1249</v>
      </c>
      <c r="L1139" s="46" t="s">
        <v>1252</v>
      </c>
      <c r="M1139" s="21" t="s">
        <v>1253</v>
      </c>
      <c r="N1139" s="48">
        <v>45674</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v>
      </c>
      <c r="X1139" s="114"/>
    </row>
    <row r="1140" spans="2:24" ht="17.7" hidden="1" customHeight="1">
      <c r="B1140" s="41" t="s">
        <v>26</v>
      </c>
      <c r="C1140" s="41" t="s">
        <v>26</v>
      </c>
      <c r="D1140" s="37" t="s">
        <v>478</v>
      </c>
      <c r="E1140" s="42" t="s">
        <v>479</v>
      </c>
      <c r="F1140" s="40" t="s">
        <v>369</v>
      </c>
      <c r="G1140" s="38" t="s">
        <v>1355</v>
      </c>
      <c r="H1140" s="60" t="str">
        <f>Table1[[#This Row],[Tabela]]&amp;Table1[[#This Row],[Campo]]</f>
        <v>lt004_protectionflg_exec</v>
      </c>
      <c r="I1140" s="2" t="s">
        <v>612</v>
      </c>
      <c r="J1140" s="45">
        <f>VLOOKUP(Table1[[#This Row],[Status]],Auxiliar!$B$16:$C$24,2,0)</f>
        <v>0</v>
      </c>
      <c r="K1140" s="45" t="s">
        <v>1246</v>
      </c>
      <c r="L1140" s="46" t="s">
        <v>1252</v>
      </c>
      <c r="M1140" s="21" t="s">
        <v>1253</v>
      </c>
      <c r="N1140" s="48">
        <v>45674</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0</v>
      </c>
      <c r="X1140" s="114"/>
    </row>
    <row r="1141" spans="2:24" ht="17.7" hidden="1" customHeight="1">
      <c r="B1141" s="39" t="s">
        <v>26</v>
      </c>
      <c r="C1141" s="39" t="s">
        <v>26</v>
      </c>
      <c r="D1141" s="39" t="s">
        <v>478</v>
      </c>
      <c r="E1141" s="39" t="s">
        <v>479</v>
      </c>
      <c r="F1141" s="39" t="s">
        <v>369</v>
      </c>
      <c r="G1141" s="39" t="s">
        <v>1355</v>
      </c>
      <c r="H1141" s="59" t="str">
        <f>Table1[[#This Row],[Tabela]]&amp;Table1[[#This Row],[Campo]]</f>
        <v>lt004_protectionflg_exec</v>
      </c>
      <c r="I1141" s="2" t="s">
        <v>612</v>
      </c>
      <c r="J1141" s="45">
        <f>VLOOKUP(Table1[[#This Row],[Status]],Auxiliar!$B$16:$C$24,2,0)</f>
        <v>0</v>
      </c>
      <c r="K1141" s="45" t="s">
        <v>1247</v>
      </c>
      <c r="L1141" s="46" t="s">
        <v>1252</v>
      </c>
      <c r="M1141" s="21" t="s">
        <v>1253</v>
      </c>
      <c r="N1141" s="48">
        <v>45674</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0</v>
      </c>
      <c r="X1141" s="114"/>
    </row>
    <row r="1142" spans="2:24" ht="17.7" hidden="1" customHeight="1">
      <c r="B1142" s="39" t="s">
        <v>26</v>
      </c>
      <c r="C1142" s="39" t="s">
        <v>26</v>
      </c>
      <c r="D1142" s="39" t="s">
        <v>478</v>
      </c>
      <c r="E1142" s="39" t="s">
        <v>479</v>
      </c>
      <c r="F1142" s="39" t="s">
        <v>369</v>
      </c>
      <c r="G1142" s="39" t="s">
        <v>1355</v>
      </c>
      <c r="H1142" s="59" t="str">
        <f>Table1[[#This Row],[Tabela]]&amp;Table1[[#This Row],[Campo]]</f>
        <v>lt004_protectionflg_exec</v>
      </c>
      <c r="I1142" s="2" t="s">
        <v>612</v>
      </c>
      <c r="J1142" s="45">
        <f>VLOOKUP(Table1[[#This Row],[Status]],Auxiliar!$B$16:$C$24,2,0)</f>
        <v>0</v>
      </c>
      <c r="K1142" s="45" t="s">
        <v>1249</v>
      </c>
      <c r="L1142" s="46" t="s">
        <v>1252</v>
      </c>
      <c r="M1142" s="21" t="s">
        <v>1253</v>
      </c>
      <c r="N1142" s="48">
        <v>45674</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v>
      </c>
      <c r="X1142" s="114"/>
    </row>
    <row r="1143" spans="2:24" ht="34.950000000000003" hidden="1" customHeight="1">
      <c r="B1143" s="41" t="s">
        <v>26</v>
      </c>
      <c r="C1143" s="41" t="s">
        <v>26</v>
      </c>
      <c r="D1143" s="37" t="s">
        <v>478</v>
      </c>
      <c r="E1143" s="40" t="s">
        <v>480</v>
      </c>
      <c r="F1143" s="40" t="s">
        <v>369</v>
      </c>
      <c r="G1143" s="38" t="s">
        <v>480</v>
      </c>
      <c r="H1143" s="60" t="str">
        <f>Table1[[#This Row],[Tabela]]&amp;Table1[[#This Row],[Campo]]</f>
        <v>lt004_protectionflg_col</v>
      </c>
      <c r="I1143" s="2" t="s">
        <v>612</v>
      </c>
      <c r="J1143" s="45">
        <f>VLOOKUP(Table1[[#This Row],[Status]],Auxiliar!$B$16:$C$24,2,0)</f>
        <v>0</v>
      </c>
      <c r="K1143" s="45" t="s">
        <v>1246</v>
      </c>
      <c r="L1143" s="46" t="s">
        <v>1252</v>
      </c>
      <c r="M1143" s="21" t="s">
        <v>1253</v>
      </c>
      <c r="N1143" s="48">
        <v>45674</v>
      </c>
      <c r="O1143" s="21">
        <f>INDEX(Auxiliar!$D$5:$F$13,MATCH(Table1[[#This Row],[Tipologia_Testes]],Auxiliar!$B$5:$B$13,0),MATCH(Table1[[#This Row],[Complexidade]],Auxiliar!$D$4:$F$4,0))</f>
        <v>2</v>
      </c>
      <c r="P1143" s="43"/>
      <c r="Q1143" s="152"/>
      <c r="R1143" s="152">
        <v>45593</v>
      </c>
      <c r="S1143" s="152"/>
      <c r="T1143" s="152">
        <v>45593</v>
      </c>
      <c r="U1143" s="152">
        <v>45624</v>
      </c>
      <c r="V1143" s="152">
        <v>45624</v>
      </c>
      <c r="W1143" s="2">
        <f>VLOOKUP(Table1[[#This Row],[Status]],Auxiliar!$B$16:$D$24,3,0)*Table1[[#This Row],[Estimação (horas)]]</f>
        <v>0</v>
      </c>
      <c r="X1143" s="114"/>
    </row>
    <row r="1144" spans="2:24" ht="17.7" hidden="1" customHeight="1">
      <c r="B1144" s="39" t="s">
        <v>26</v>
      </c>
      <c r="C1144" s="39" t="s">
        <v>26</v>
      </c>
      <c r="D1144" s="39" t="s">
        <v>478</v>
      </c>
      <c r="E1144" s="39" t="s">
        <v>480</v>
      </c>
      <c r="F1144" s="39" t="s">
        <v>369</v>
      </c>
      <c r="G1144" s="39" t="s">
        <v>480</v>
      </c>
      <c r="H1144" s="59" t="str">
        <f>Table1[[#This Row],[Tabela]]&amp;Table1[[#This Row],[Campo]]</f>
        <v>lt004_protectionflg_col</v>
      </c>
      <c r="I1144" s="2" t="s">
        <v>612</v>
      </c>
      <c r="J1144" s="45">
        <f>VLOOKUP(Table1[[#This Row],[Status]],Auxiliar!$B$16:$C$24,2,0)</f>
        <v>0</v>
      </c>
      <c r="K1144" s="45" t="s">
        <v>1247</v>
      </c>
      <c r="L1144" s="46" t="s">
        <v>1252</v>
      </c>
      <c r="M1144" s="21" t="s">
        <v>1253</v>
      </c>
      <c r="N1144" s="48">
        <v>45674</v>
      </c>
      <c r="O1144" s="21">
        <f>INDEX(Auxiliar!$D$5:$F$13,MATCH(Table1[[#This Row],[Tipologia_Testes]],Auxiliar!$B$5:$B$13,0),MATCH(Table1[[#This Row],[Complexidade]],Auxiliar!$D$4:$F$4,0))</f>
        <v>2</v>
      </c>
      <c r="P1144" s="43"/>
      <c r="Q1144" s="152"/>
      <c r="R1144" s="152">
        <v>45593</v>
      </c>
      <c r="S1144" s="152"/>
      <c r="T1144" s="152">
        <v>45593</v>
      </c>
      <c r="U1144" s="152">
        <v>45624</v>
      </c>
      <c r="V1144" s="152">
        <v>45624</v>
      </c>
      <c r="W1144" s="2">
        <f>VLOOKUP(Table1[[#This Row],[Status]],Auxiliar!$B$16:$D$24,3,0)*Table1[[#This Row],[Estimação (horas)]]</f>
        <v>0</v>
      </c>
      <c r="X1144" s="114"/>
    </row>
    <row r="1145" spans="2:24" ht="17.7" hidden="1" customHeight="1">
      <c r="B1145" s="39" t="s">
        <v>26</v>
      </c>
      <c r="C1145" s="39" t="s">
        <v>26</v>
      </c>
      <c r="D1145" s="39" t="s">
        <v>478</v>
      </c>
      <c r="E1145" s="39" t="s">
        <v>480</v>
      </c>
      <c r="F1145" s="39" t="s">
        <v>369</v>
      </c>
      <c r="G1145" s="39" t="s">
        <v>480</v>
      </c>
      <c r="H1145" s="59" t="str">
        <f>Table1[[#This Row],[Tabela]]&amp;Table1[[#This Row],[Campo]]</f>
        <v>lt004_protectionflg_col</v>
      </c>
      <c r="I1145" s="2" t="s">
        <v>612</v>
      </c>
      <c r="J1145" s="45">
        <f>VLOOKUP(Table1[[#This Row],[Status]],Auxiliar!$B$16:$C$24,2,0)</f>
        <v>0</v>
      </c>
      <c r="K1145" s="45" t="s">
        <v>1249</v>
      </c>
      <c r="L1145" s="46" t="s">
        <v>1252</v>
      </c>
      <c r="M1145" s="21" t="s">
        <v>1253</v>
      </c>
      <c r="N1145" s="48">
        <v>45674</v>
      </c>
      <c r="O1145" s="21">
        <f>INDEX(Auxiliar!$D$5:$F$13,MATCH(Table1[[#This Row],[Tipologia_Testes]],Auxiliar!$B$5:$B$13,0),MATCH(Table1[[#This Row],[Complexidade]],Auxiliar!$D$4:$F$4,0))</f>
        <v>0.1</v>
      </c>
      <c r="P1145" s="43"/>
      <c r="Q1145" s="152"/>
      <c r="R1145" s="152">
        <v>45593</v>
      </c>
      <c r="S1145" s="152"/>
      <c r="T1145" s="152">
        <v>45593</v>
      </c>
      <c r="U1145" s="152">
        <v>45624</v>
      </c>
      <c r="V1145" s="152">
        <v>45624</v>
      </c>
      <c r="W1145" s="2">
        <f>VLOOKUP(Table1[[#This Row],[Status]],Auxiliar!$B$16:$D$24,3,0)*Table1[[#This Row],[Estimação (horas)]]</f>
        <v>0</v>
      </c>
      <c r="X1145" s="114"/>
    </row>
    <row r="1146" spans="2:24" ht="34.950000000000003" hidden="1" customHeight="1">
      <c r="B1146" s="41" t="s">
        <v>26</v>
      </c>
      <c r="C1146" s="41" t="s">
        <v>26</v>
      </c>
      <c r="D1146" s="36" t="s">
        <v>312</v>
      </c>
      <c r="E1146" s="40" t="s">
        <v>284</v>
      </c>
      <c r="F1146" s="40" t="s">
        <v>369</v>
      </c>
      <c r="G1146" s="38" t="s">
        <v>359</v>
      </c>
      <c r="H1146" s="60" t="str">
        <f>Table1[[#This Row],[Tabela]]&amp;Table1[[#This Row],[Campo]]</f>
        <v>lt004_protectionflg_chrnc_physcl_rsk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284</v>
      </c>
      <c r="F1147" s="39" t="s">
        <v>369</v>
      </c>
      <c r="G1147" s="39" t="s">
        <v>359</v>
      </c>
      <c r="H1147" s="59" t="str">
        <f>Table1[[#This Row],[Tabela]]&amp;Table1[[#This Row],[Campo]]</f>
        <v>lt004_protectionflg_chrnc_physcl_rsk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284</v>
      </c>
      <c r="F1148" s="39" t="s">
        <v>369</v>
      </c>
      <c r="G1148" s="39" t="s">
        <v>359</v>
      </c>
      <c r="H1148" s="59" t="str">
        <f>Table1[[#This Row],[Tabela]]&amp;Table1[[#This Row],[Campo]]</f>
        <v>lt004_protectionflg_chrnc_physcl_rsk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6" t="s">
        <v>312</v>
      </c>
      <c r="E1149" s="40" t="s">
        <v>283</v>
      </c>
      <c r="F1149" s="40" t="s">
        <v>369</v>
      </c>
      <c r="G1149" s="38" t="s">
        <v>358</v>
      </c>
      <c r="H1149" s="60" t="str">
        <f>Table1[[#This Row],[Tabela]]&amp;Table1[[#This Row],[Campo]]</f>
        <v>lt004_protectionflg_act_physcl_rsk</v>
      </c>
      <c r="I1149" s="2" t="s">
        <v>613</v>
      </c>
      <c r="J1149" s="45">
        <f>VLOOKUP(Table1[[#This Row],[Status]],Auxiliar!$B$16:$C$24,2,0)</f>
        <v>1</v>
      </c>
      <c r="K1149" s="45" t="s">
        <v>1246</v>
      </c>
      <c r="L1149" s="46" t="s">
        <v>1252</v>
      </c>
      <c r="M1149" s="21" t="s">
        <v>1253</v>
      </c>
      <c r="N1149" s="48">
        <v>45632</v>
      </c>
      <c r="O1149" s="21">
        <f>INDEX(Auxiliar!$D$5:$F$13,MATCH(Table1[[#This Row],[Tipologia_Testes]],Auxiliar!$B$5:$B$13,0),MATCH(Table1[[#This Row],[Complexidade]],Auxiliar!$D$4:$F$4,0))</f>
        <v>2</v>
      </c>
      <c r="P1149" s="43" t="s">
        <v>1338</v>
      </c>
      <c r="Q1149" s="152"/>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312</v>
      </c>
      <c r="E1150" s="39" t="s">
        <v>283</v>
      </c>
      <c r="F1150" s="39" t="s">
        <v>369</v>
      </c>
      <c r="G1150" s="39" t="s">
        <v>358</v>
      </c>
      <c r="H1150" s="59" t="str">
        <f>Table1[[#This Row],[Tabela]]&amp;Table1[[#This Row],[Campo]]</f>
        <v>lt004_protectionflg_act_physcl_rsk</v>
      </c>
      <c r="I1150" s="2" t="s">
        <v>613</v>
      </c>
      <c r="J1150" s="45">
        <f>VLOOKUP(Table1[[#This Row],[Status]],Auxiliar!$B$16:$C$24,2,0)</f>
        <v>1</v>
      </c>
      <c r="K1150" s="45" t="s">
        <v>1247</v>
      </c>
      <c r="L1150" s="46" t="s">
        <v>1252</v>
      </c>
      <c r="M1150" s="21" t="s">
        <v>1253</v>
      </c>
      <c r="N1150" s="48">
        <v>45632</v>
      </c>
      <c r="O1150" s="21">
        <f>INDEX(Auxiliar!$D$5:$F$13,MATCH(Table1[[#This Row],[Tipologia_Testes]],Auxiliar!$B$5:$B$13,0),MATCH(Table1[[#This Row],[Complexidade]],Auxiliar!$D$4:$F$4,0))</f>
        <v>2</v>
      </c>
      <c r="P1150" s="43" t="s">
        <v>1338</v>
      </c>
      <c r="Q1150" s="152"/>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312</v>
      </c>
      <c r="E1151" s="39" t="s">
        <v>283</v>
      </c>
      <c r="F1151" s="39" t="s">
        <v>369</v>
      </c>
      <c r="G1151" s="39" t="s">
        <v>358</v>
      </c>
      <c r="H1151" s="59" t="str">
        <f>Table1[[#This Row],[Tabela]]&amp;Table1[[#This Row],[Campo]]</f>
        <v>lt004_protectionflg_act_physcl_rsk</v>
      </c>
      <c r="I1151" s="2" t="s">
        <v>613</v>
      </c>
      <c r="J1151" s="45">
        <f>VLOOKUP(Table1[[#This Row],[Status]],Auxiliar!$B$16:$C$24,2,0)</f>
        <v>1</v>
      </c>
      <c r="K1151" s="45" t="s">
        <v>1249</v>
      </c>
      <c r="L1151" s="46" t="s">
        <v>1252</v>
      </c>
      <c r="M1151" s="21" t="s">
        <v>1253</v>
      </c>
      <c r="N1151" s="48">
        <v>45632</v>
      </c>
      <c r="O1151" s="21">
        <f>INDEX(Auxiliar!$D$5:$F$13,MATCH(Table1[[#This Row],[Tipologia_Testes]],Auxiliar!$B$5:$B$13,0),MATCH(Table1[[#This Row],[Complexidade]],Auxiliar!$D$4:$F$4,0))</f>
        <v>0.1</v>
      </c>
      <c r="P1151" s="43" t="s">
        <v>1338</v>
      </c>
      <c r="Q1151" s="152"/>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373</v>
      </c>
      <c r="H1152" s="60" t="str">
        <f>Table1[[#This Row],[Tabela]]&amp;Table1[[#This Row],[Campo]]</f>
        <v>lt004_protectionepc_lbl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43"/>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373</v>
      </c>
      <c r="H1153" s="59" t="str">
        <f>Table1[[#This Row],[Tabela]]&amp;Table1[[#This Row],[Campo]]</f>
        <v>lt004_protectionepc_lbl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43"/>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373</v>
      </c>
      <c r="H1154" s="59" t="str">
        <f>Table1[[#This Row],[Tabela]]&amp;Table1[[#This Row],[Campo]]</f>
        <v>lt004_protectionepc_lbl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43"/>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7" t="s">
        <v>1349</v>
      </c>
      <c r="E1155" s="42" t="s">
        <v>1331</v>
      </c>
      <c r="F1155" s="40" t="s">
        <v>369</v>
      </c>
      <c r="G1155" s="38" t="s">
        <v>371</v>
      </c>
      <c r="H1155" s="60" t="str">
        <f>Table1[[#This Row],[Tabela]]&amp;Table1[[#This Row],[Campo]]</f>
        <v>lt004_protectionep_scr</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1350</v>
      </c>
      <c r="Q1155" s="152"/>
      <c r="R1155" s="152">
        <v>45583</v>
      </c>
      <c r="S1155" s="152"/>
      <c r="T1155" s="152">
        <v>45583</v>
      </c>
      <c r="U1155" s="152">
        <v>45596</v>
      </c>
      <c r="V1155" s="152">
        <v>45596</v>
      </c>
      <c r="W1155" s="2">
        <f>VLOOKUP(Table1[[#This Row],[Status]],Auxiliar!$B$16:$D$24,3,0)*Table1[[#This Row],[Estimação (horas)]]</f>
        <v>2</v>
      </c>
      <c r="X1155" s="114"/>
    </row>
    <row r="1156" spans="2:24" ht="17.7" hidden="1" customHeight="1">
      <c r="B1156" s="39" t="s">
        <v>26</v>
      </c>
      <c r="C1156" s="39" t="s">
        <v>26</v>
      </c>
      <c r="D1156" s="39" t="s">
        <v>1349</v>
      </c>
      <c r="E1156" s="39" t="s">
        <v>1331</v>
      </c>
      <c r="F1156" s="39" t="s">
        <v>369</v>
      </c>
      <c r="G1156" s="39" t="s">
        <v>371</v>
      </c>
      <c r="H1156" s="59" t="str">
        <f>Table1[[#This Row],[Tabela]]&amp;Table1[[#This Row],[Campo]]</f>
        <v>lt004_protectionep_scr</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1350</v>
      </c>
      <c r="Q1156" s="152"/>
      <c r="R1156" s="152">
        <v>45583</v>
      </c>
      <c r="S1156" s="152"/>
      <c r="T1156" s="152">
        <v>45583</v>
      </c>
      <c r="U1156" s="152">
        <v>45596</v>
      </c>
      <c r="V1156" s="152">
        <v>45596</v>
      </c>
      <c r="W1156" s="2">
        <f>VLOOKUP(Table1[[#This Row],[Status]],Auxiliar!$B$16:$D$24,3,0)*Table1[[#This Row],[Estimação (horas)]]</f>
        <v>2</v>
      </c>
      <c r="X1156" s="114"/>
    </row>
    <row r="1157" spans="2:24" ht="17.7" hidden="1" customHeight="1">
      <c r="B1157" s="39" t="s">
        <v>26</v>
      </c>
      <c r="C1157" s="39" t="s">
        <v>26</v>
      </c>
      <c r="D1157" s="39" t="s">
        <v>1349</v>
      </c>
      <c r="E1157" s="39" t="s">
        <v>1331</v>
      </c>
      <c r="F1157" s="39" t="s">
        <v>369</v>
      </c>
      <c r="G1157" s="39" t="s">
        <v>371</v>
      </c>
      <c r="H1157" s="59" t="str">
        <f>Table1[[#This Row],[Tabela]]&amp;Table1[[#This Row],[Campo]]</f>
        <v>lt004_protectionep_scr</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1350</v>
      </c>
      <c r="Q1157" s="152"/>
      <c r="R1157" s="152">
        <v>45583</v>
      </c>
      <c r="S1157" s="152"/>
      <c r="T1157" s="152">
        <v>45583</v>
      </c>
      <c r="U1157" s="152">
        <v>45596</v>
      </c>
      <c r="V1157" s="152">
        <v>45596</v>
      </c>
      <c r="W1157" s="2">
        <f>VLOOKUP(Table1[[#This Row],[Status]],Auxiliar!$B$16:$D$24,3,0)*Table1[[#This Row],[Estimação (horas)]]</f>
        <v>0.1</v>
      </c>
      <c r="X1157" s="114"/>
    </row>
    <row r="1158" spans="2:24" ht="34.950000000000003" hidden="1" customHeight="1">
      <c r="B1158" s="41" t="s">
        <v>26</v>
      </c>
      <c r="C1158" s="41" t="s">
        <v>26</v>
      </c>
      <c r="D1158" s="36" t="s">
        <v>1351</v>
      </c>
      <c r="E1158" s="40" t="s">
        <v>1354</v>
      </c>
      <c r="F1158" s="40" t="s">
        <v>369</v>
      </c>
      <c r="G1158" s="38" t="s">
        <v>376</v>
      </c>
      <c r="H1158" s="60" t="str">
        <f>Table1[[#This Row],[Tabela]]&amp;Table1[[#This Row],[Campo]]</f>
        <v>lt004_protectionemssns_scp3_prtctn</v>
      </c>
      <c r="I1158" s="2" t="s">
        <v>613</v>
      </c>
      <c r="J1158" s="45">
        <f>VLOOKUP(Table1[[#This Row],[Status]],Auxiliar!$B$16:$C$24,2,0)</f>
        <v>1</v>
      </c>
      <c r="K1158" s="45" t="s">
        <v>1246</v>
      </c>
      <c r="L1158" s="46" t="s">
        <v>1252</v>
      </c>
      <c r="M1158" s="21" t="s">
        <v>1253</v>
      </c>
      <c r="N1158" s="48">
        <v>45667</v>
      </c>
      <c r="O1158" s="21">
        <f>INDEX(Auxiliar!$D$5:$F$13,MATCH(Table1[[#This Row],[Tipologia_Testes]],Auxiliar!$B$5:$B$13,0),MATCH(Table1[[#This Row],[Complexidade]],Auxiliar!$D$4:$F$4,0))</f>
        <v>2</v>
      </c>
      <c r="P1158" s="43" t="s">
        <v>1338</v>
      </c>
      <c r="Q1158" s="152"/>
      <c r="R1158" s="152">
        <v>45622</v>
      </c>
      <c r="S1158" s="152"/>
      <c r="T1158" s="152"/>
      <c r="U1158" s="152">
        <v>45631</v>
      </c>
      <c r="V1158" s="152">
        <v>45631</v>
      </c>
      <c r="W1158" s="2">
        <f>VLOOKUP(Table1[[#This Row],[Status]],Auxiliar!$B$16:$D$24,3,0)*Table1[[#This Row],[Estimação (horas)]]</f>
        <v>2</v>
      </c>
      <c r="X1158" s="114"/>
    </row>
    <row r="1159" spans="2:24" ht="17.7" hidden="1" customHeight="1">
      <c r="B1159" s="39" t="s">
        <v>26</v>
      </c>
      <c r="C1159" s="39" t="s">
        <v>26</v>
      </c>
      <c r="D1159" s="39" t="s">
        <v>1351</v>
      </c>
      <c r="E1159" s="39" t="s">
        <v>1354</v>
      </c>
      <c r="F1159" s="39" t="s">
        <v>369</v>
      </c>
      <c r="G1159" s="39" t="s">
        <v>376</v>
      </c>
      <c r="H1159" s="59" t="str">
        <f>Table1[[#This Row],[Tabela]]&amp;Table1[[#This Row],[Campo]]</f>
        <v>lt004_protectionemssns_scp3_prtctn</v>
      </c>
      <c r="I1159" s="2" t="s">
        <v>613</v>
      </c>
      <c r="J1159" s="45">
        <f>VLOOKUP(Table1[[#This Row],[Status]],Auxiliar!$B$16:$C$24,2,0)</f>
        <v>1</v>
      </c>
      <c r="K1159" s="45" t="s">
        <v>1247</v>
      </c>
      <c r="L1159" s="46" t="s">
        <v>1252</v>
      </c>
      <c r="M1159" s="21" t="s">
        <v>1253</v>
      </c>
      <c r="N1159" s="48">
        <v>45667</v>
      </c>
      <c r="O1159" s="21">
        <f>INDEX(Auxiliar!$D$5:$F$13,MATCH(Table1[[#This Row],[Tipologia_Testes]],Auxiliar!$B$5:$B$13,0),MATCH(Table1[[#This Row],[Complexidade]],Auxiliar!$D$4:$F$4,0))</f>
        <v>2</v>
      </c>
      <c r="P1159" s="43" t="s">
        <v>1338</v>
      </c>
      <c r="Q1159" s="152"/>
      <c r="R1159" s="152">
        <v>45622</v>
      </c>
      <c r="S1159" s="152"/>
      <c r="T1159" s="152"/>
      <c r="U1159" s="152">
        <v>45631</v>
      </c>
      <c r="V1159" s="152">
        <v>45631</v>
      </c>
      <c r="W1159" s="2">
        <f>VLOOKUP(Table1[[#This Row],[Status]],Auxiliar!$B$16:$D$24,3,0)*Table1[[#This Row],[Estimação (horas)]]</f>
        <v>2</v>
      </c>
      <c r="X1159" s="114"/>
    </row>
    <row r="1160" spans="2:24" ht="17.7" hidden="1" customHeight="1">
      <c r="B1160" s="39" t="s">
        <v>26</v>
      </c>
      <c r="C1160" s="39" t="s">
        <v>26</v>
      </c>
      <c r="D1160" s="39" t="s">
        <v>1351</v>
      </c>
      <c r="E1160" s="39" t="s">
        <v>1354</v>
      </c>
      <c r="F1160" s="39" t="s">
        <v>369</v>
      </c>
      <c r="G1160" s="39" t="s">
        <v>376</v>
      </c>
      <c r="H1160" s="59" t="str">
        <f>Table1[[#This Row],[Tabela]]&amp;Table1[[#This Row],[Campo]]</f>
        <v>lt004_protectionemssns_scp3_prtctn</v>
      </c>
      <c r="I1160" s="2" t="s">
        <v>613</v>
      </c>
      <c r="J1160" s="45">
        <f>VLOOKUP(Table1[[#This Row],[Status]],Auxiliar!$B$16:$C$24,2,0)</f>
        <v>1</v>
      </c>
      <c r="K1160" s="45" t="s">
        <v>1249</v>
      </c>
      <c r="L1160" s="46" t="s">
        <v>1252</v>
      </c>
      <c r="M1160" s="21" t="s">
        <v>1253</v>
      </c>
      <c r="N1160" s="48">
        <v>45667</v>
      </c>
      <c r="O1160" s="21">
        <f>INDEX(Auxiliar!$D$5:$F$13,MATCH(Table1[[#This Row],[Tipologia_Testes]],Auxiliar!$B$5:$B$13,0),MATCH(Table1[[#This Row],[Complexidade]],Auxiliar!$D$4:$F$4,0))</f>
        <v>0.1</v>
      </c>
      <c r="P1160" s="43" t="s">
        <v>1338</v>
      </c>
      <c r="Q1160" s="152"/>
      <c r="R1160" s="152">
        <v>45622</v>
      </c>
      <c r="S1160" s="152"/>
      <c r="T1160" s="152"/>
      <c r="U1160" s="152">
        <v>45631</v>
      </c>
      <c r="V1160" s="152">
        <v>45631</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381</v>
      </c>
      <c r="H1161" s="60" t="str">
        <f>Table1[[#This Row],[Tabela]]&amp;Table1[[#This Row],[Campo]]</f>
        <v>lt002_instrumentrsk_mtgtd_cct</v>
      </c>
      <c r="I1161" s="2" t="s">
        <v>613</v>
      </c>
      <c r="J1161" s="45">
        <f>VLOOKUP(Table1[[#This Row],[Status]],Auxiliar!$B$16:$C$24,2,0)</f>
        <v>1</v>
      </c>
      <c r="K1161" s="45" t="s">
        <v>1246</v>
      </c>
      <c r="L1161" s="46" t="s">
        <v>1252</v>
      </c>
      <c r="M1161" s="21" t="s">
        <v>1253</v>
      </c>
      <c r="N1161" s="48">
        <v>45625</v>
      </c>
      <c r="O1161" s="21">
        <f>INDEX(Auxiliar!$D$5:$F$13,MATCH(Table1[[#This Row],[Tipologia_Testes]],Auxiliar!$B$5:$B$13,0),MATCH(Table1[[#This Row],[Complexidade]],Auxiliar!$D$4:$F$4,0))</f>
        <v>2</v>
      </c>
      <c r="P1161" s="43"/>
      <c r="Q1161" s="152"/>
      <c r="R1161" s="152">
        <v>45595</v>
      </c>
      <c r="S1161" s="152"/>
      <c r="T1161" s="152">
        <v>45595</v>
      </c>
      <c r="U1161" s="152">
        <v>374329</v>
      </c>
      <c r="V1161" s="152">
        <v>374329</v>
      </c>
      <c r="W1161" s="2">
        <f>VLOOKUP(Table1[[#This Row],[Status]],Auxiliar!$B$16:$D$24,3,0)*Table1[[#This Row],[Estimação (horas)]]</f>
        <v>2</v>
      </c>
      <c r="X1161" s="114"/>
    </row>
    <row r="1162" spans="2:24" ht="17.7" hidden="1" customHeight="1">
      <c r="B1162" s="39" t="s">
        <v>26</v>
      </c>
      <c r="C1162" s="39" t="s">
        <v>26</v>
      </c>
      <c r="D1162" s="2" t="s">
        <v>38</v>
      </c>
      <c r="E1162" s="39" t="s">
        <v>38</v>
      </c>
      <c r="F1162" s="39" t="s">
        <v>380</v>
      </c>
      <c r="G1162" s="39" t="s">
        <v>381</v>
      </c>
      <c r="H1162" s="59" t="str">
        <f>Table1[[#This Row],[Tabela]]&amp;Table1[[#This Row],[Campo]]</f>
        <v>lt002_instrumentrsk_mtgtd_cct</v>
      </c>
      <c r="I1162" s="2" t="s">
        <v>613</v>
      </c>
      <c r="J1162" s="45">
        <f>VLOOKUP(Table1[[#This Row],[Status]],Auxiliar!$B$16:$C$24,2,0)</f>
        <v>1</v>
      </c>
      <c r="K1162" s="45" t="s">
        <v>1247</v>
      </c>
      <c r="L1162" s="46" t="s">
        <v>1252</v>
      </c>
      <c r="M1162" s="21" t="s">
        <v>1253</v>
      </c>
      <c r="N1162" s="48">
        <v>45625</v>
      </c>
      <c r="O1162" s="21">
        <f>INDEX(Auxiliar!$D$5:$F$13,MATCH(Table1[[#This Row],[Tipologia_Testes]],Auxiliar!$B$5:$B$13,0),MATCH(Table1[[#This Row],[Complexidade]],Auxiliar!$D$4:$F$4,0))</f>
        <v>2</v>
      </c>
      <c r="P1162" s="43"/>
      <c r="Q1162" s="152"/>
      <c r="R1162" s="152">
        <v>45595</v>
      </c>
      <c r="S1162" s="152"/>
      <c r="T1162" s="152">
        <v>45595</v>
      </c>
      <c r="U1162" s="152">
        <v>374329</v>
      </c>
      <c r="V1162" s="152">
        <v>374329</v>
      </c>
      <c r="W1162" s="2">
        <f>VLOOKUP(Table1[[#This Row],[Status]],Auxiliar!$B$16:$D$24,3,0)*Table1[[#This Row],[Estimação (horas)]]</f>
        <v>2</v>
      </c>
      <c r="X1162" s="114"/>
    </row>
    <row r="1163" spans="2:24" ht="17.7" hidden="1" customHeight="1">
      <c r="B1163" s="39" t="s">
        <v>26</v>
      </c>
      <c r="C1163" s="39" t="s">
        <v>26</v>
      </c>
      <c r="D1163" s="2" t="s">
        <v>38</v>
      </c>
      <c r="E1163" s="39" t="s">
        <v>38</v>
      </c>
      <c r="F1163" s="39" t="s">
        <v>380</v>
      </c>
      <c r="G1163" s="39" t="s">
        <v>381</v>
      </c>
      <c r="H1163" s="59" t="str">
        <f>Table1[[#This Row],[Tabela]]&amp;Table1[[#This Row],[Campo]]</f>
        <v>lt002_instrumentrsk_mtgtd_cct</v>
      </c>
      <c r="I1163" s="2" t="s">
        <v>613</v>
      </c>
      <c r="J1163" s="45">
        <f>VLOOKUP(Table1[[#This Row],[Status]],Auxiliar!$B$16:$C$24,2,0)</f>
        <v>1</v>
      </c>
      <c r="K1163" s="45" t="s">
        <v>1249</v>
      </c>
      <c r="L1163" s="46" t="s">
        <v>1252</v>
      </c>
      <c r="M1163" s="21" t="s">
        <v>1253</v>
      </c>
      <c r="N1163" s="48">
        <v>45625</v>
      </c>
      <c r="O1163" s="21">
        <f>INDEX(Auxiliar!$D$5:$F$13,MATCH(Table1[[#This Row],[Tipologia_Testes]],Auxiliar!$B$5:$B$13,0),MATCH(Table1[[#This Row],[Complexidade]],Auxiliar!$D$4:$F$4,0))</f>
        <v>0.1</v>
      </c>
      <c r="P1163" s="43"/>
      <c r="Q1163" s="152"/>
      <c r="R1163" s="152">
        <v>45595</v>
      </c>
      <c r="S1163" s="152"/>
      <c r="T1163" s="152">
        <v>45595</v>
      </c>
      <c r="U1163" s="152">
        <v>374329</v>
      </c>
      <c r="V1163" s="152">
        <v>374329</v>
      </c>
      <c r="W1163" s="2">
        <f>VLOOKUP(Table1[[#This Row],[Status]],Auxiliar!$B$16:$D$24,3,0)*Table1[[#This Row],[Estimação (horas)]]</f>
        <v>0.1</v>
      </c>
      <c r="X1163" s="114"/>
    </row>
    <row r="1164" spans="2:24" ht="17.7" hidden="1" customHeight="1">
      <c r="B1164" s="41" t="s">
        <v>26</v>
      </c>
      <c r="C1164" s="41" t="s">
        <v>26</v>
      </c>
      <c r="D1164" s="2" t="s">
        <v>38</v>
      </c>
      <c r="E1164" s="42" t="s">
        <v>38</v>
      </c>
      <c r="F1164" s="40" t="s">
        <v>380</v>
      </c>
      <c r="G1164" s="38" t="s">
        <v>382</v>
      </c>
      <c r="H1164" s="60" t="str">
        <f>Table1[[#This Row],[Tabela]]&amp;Table1[[#This Row],[Campo]]</f>
        <v>lt002_instrumentrsk_mtgtd_ccp</v>
      </c>
      <c r="I1164" s="2" t="s">
        <v>615</v>
      </c>
      <c r="J1164" s="45">
        <f>VLOOKUP(Table1[[#This Row],[Status]],Auxiliar!$B$16:$C$24,2,0)</f>
        <v>5</v>
      </c>
      <c r="K1164" s="45" t="s">
        <v>1246</v>
      </c>
      <c r="L1164" s="46" t="s">
        <v>1252</v>
      </c>
      <c r="M1164" s="21" t="s">
        <v>1253</v>
      </c>
      <c r="N1164" s="48">
        <v>45642</v>
      </c>
      <c r="O1164" s="21">
        <f>INDEX(Auxiliar!$D$5:$F$13,MATCH(Table1[[#This Row],[Tipologia_Testes]],Auxiliar!$B$5:$B$13,0),MATCH(Table1[[#This Row],[Complexidade]],Auxiliar!$D$4:$F$4,0))</f>
        <v>2</v>
      </c>
      <c r="P1164" s="43"/>
      <c r="Q1164" s="152"/>
      <c r="R1164" s="152">
        <v>45595</v>
      </c>
      <c r="S1164" s="152"/>
      <c r="T1164" s="152">
        <v>45595</v>
      </c>
      <c r="U1164" s="152">
        <v>374342</v>
      </c>
      <c r="V1164" s="152">
        <v>374342</v>
      </c>
      <c r="W1164" s="2">
        <f>VLOOKUP(Table1[[#This Row],[Status]],Auxiliar!$B$16:$D$24,3,0)*Table1[[#This Row],[Estimação (horas)]]</f>
        <v>0.5</v>
      </c>
      <c r="X1164" s="114"/>
    </row>
    <row r="1165" spans="2:24" ht="17.7" hidden="1" customHeight="1">
      <c r="B1165" s="39" t="s">
        <v>26</v>
      </c>
      <c r="C1165" s="39" t="s">
        <v>26</v>
      </c>
      <c r="D1165" s="2" t="s">
        <v>38</v>
      </c>
      <c r="E1165" s="39" t="s">
        <v>38</v>
      </c>
      <c r="F1165" s="39" t="s">
        <v>380</v>
      </c>
      <c r="G1165" s="39" t="s">
        <v>382</v>
      </c>
      <c r="H1165" s="59" t="str">
        <f>Table1[[#This Row],[Tabela]]&amp;Table1[[#This Row],[Campo]]</f>
        <v>lt002_instrumentrsk_mtgtd_ccp</v>
      </c>
      <c r="I1165" s="2" t="s">
        <v>615</v>
      </c>
      <c r="J1165" s="45">
        <f>VLOOKUP(Table1[[#This Row],[Status]],Auxiliar!$B$16:$C$24,2,0)</f>
        <v>5</v>
      </c>
      <c r="K1165" s="45" t="s">
        <v>1247</v>
      </c>
      <c r="L1165" s="46" t="s">
        <v>1252</v>
      </c>
      <c r="M1165" s="21" t="s">
        <v>1253</v>
      </c>
      <c r="N1165" s="48">
        <v>45642</v>
      </c>
      <c r="O1165" s="21">
        <f>INDEX(Auxiliar!$D$5:$F$13,MATCH(Table1[[#This Row],[Tipologia_Testes]],Auxiliar!$B$5:$B$13,0),MATCH(Table1[[#This Row],[Complexidade]],Auxiliar!$D$4:$F$4,0))</f>
        <v>2</v>
      </c>
      <c r="P1165" s="43"/>
      <c r="Q1165" s="152"/>
      <c r="R1165" s="152">
        <v>45595</v>
      </c>
      <c r="S1165" s="152"/>
      <c r="T1165" s="152">
        <v>45595</v>
      </c>
      <c r="U1165" s="152">
        <v>374342</v>
      </c>
      <c r="V1165" s="152">
        <v>374342</v>
      </c>
      <c r="W1165" s="2">
        <f>VLOOKUP(Table1[[#This Row],[Status]],Auxiliar!$B$16:$D$24,3,0)*Table1[[#This Row],[Estimação (horas)]]</f>
        <v>0.5</v>
      </c>
      <c r="X1165" s="114"/>
    </row>
    <row r="1166" spans="2:24" ht="17.7" hidden="1" customHeight="1">
      <c r="B1166" s="39" t="s">
        <v>26</v>
      </c>
      <c r="C1166" s="39" t="s">
        <v>26</v>
      </c>
      <c r="D1166" s="2" t="s">
        <v>38</v>
      </c>
      <c r="E1166" s="39" t="s">
        <v>38</v>
      </c>
      <c r="F1166" s="39" t="s">
        <v>380</v>
      </c>
      <c r="G1166" s="39" t="s">
        <v>382</v>
      </c>
      <c r="H1166" s="59" t="str">
        <f>Table1[[#This Row],[Tabela]]&amp;Table1[[#This Row],[Campo]]</f>
        <v>lt002_instrumentrsk_mtgtd_ccp</v>
      </c>
      <c r="I1166" s="2" t="s">
        <v>615</v>
      </c>
      <c r="J1166" s="45">
        <f>VLOOKUP(Table1[[#This Row],[Status]],Auxiliar!$B$16:$C$24,2,0)</f>
        <v>5</v>
      </c>
      <c r="K1166" s="45" t="s">
        <v>1249</v>
      </c>
      <c r="L1166" s="46" t="s">
        <v>1252</v>
      </c>
      <c r="M1166" s="21" t="s">
        <v>1253</v>
      </c>
      <c r="N1166" s="48">
        <v>45642</v>
      </c>
      <c r="O1166" s="21">
        <f>INDEX(Auxiliar!$D$5:$F$13,MATCH(Table1[[#This Row],[Tipologia_Testes]],Auxiliar!$B$5:$B$13,0),MATCH(Table1[[#This Row],[Complexidade]],Auxiliar!$D$4:$F$4,0))</f>
        <v>0.1</v>
      </c>
      <c r="P1166" s="43"/>
      <c r="Q1166" s="152"/>
      <c r="R1166" s="152">
        <v>45595</v>
      </c>
      <c r="S1166" s="152"/>
      <c r="T1166" s="152">
        <v>45595</v>
      </c>
      <c r="U1166" s="152">
        <v>374342</v>
      </c>
      <c r="V1166" s="152">
        <v>374342</v>
      </c>
      <c r="W1166" s="2">
        <f>VLOOKUP(Table1[[#This Row],[Status]],Auxiliar!$B$16:$D$24,3,0)*Table1[[#This Row],[Estimação (horas)]]</f>
        <v>2.5000000000000001E-2</v>
      </c>
      <c r="X1166" s="114"/>
    </row>
    <row r="1167" spans="2:24" ht="17.7" hidden="1" customHeight="1">
      <c r="B1167" s="41" t="s">
        <v>26</v>
      </c>
      <c r="C1167" s="41" t="s">
        <v>26</v>
      </c>
      <c r="D1167" s="37" t="s">
        <v>1349</v>
      </c>
      <c r="E1167" s="42" t="s">
        <v>1331</v>
      </c>
      <c r="F1167" s="40" t="s">
        <v>1948</v>
      </c>
      <c r="G1167" s="38" t="s">
        <v>383</v>
      </c>
      <c r="H1167" s="60" t="str">
        <f>Table1[[#This Row],[Tabela]]&amp;Table1[[#This Row],[Campo]]</f>
        <v>lt007_instr_activityenvrnmntl_objctv</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383</v>
      </c>
      <c r="H1168" s="59" t="str">
        <f>Table1[[#This Row],[Tabela]]&amp;Table1[[#This Row],[Campo]]</f>
        <v>lt007_instr_activityenvrnmntl_objctv</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383</v>
      </c>
      <c r="H1169" s="59" t="str">
        <f>Table1[[#This Row],[Tabela]]&amp;Table1[[#This Row],[Campo]]</f>
        <v>lt007_instr_activityenvrnmntl_objctv</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7" t="s">
        <v>1349</v>
      </c>
      <c r="E1170" s="42" t="s">
        <v>1331</v>
      </c>
      <c r="F1170" s="40" t="s">
        <v>1948</v>
      </c>
      <c r="G1170" s="38" t="s">
        <v>384</v>
      </c>
      <c r="H1170" s="60" t="str">
        <f>Table1[[#This Row],[Tabela]]&amp;Table1[[#This Row],[Campo]]</f>
        <v>lt007_instr_activitytyp_actvty</v>
      </c>
      <c r="I1170" s="2" t="s">
        <v>613</v>
      </c>
      <c r="J1170" s="45">
        <f>VLOOKUP(Table1[[#This Row],[Status]],Auxiliar!$B$16:$C$24,2,0)</f>
        <v>1</v>
      </c>
      <c r="K1170" s="45" t="s">
        <v>1246</v>
      </c>
      <c r="L1170" s="46" t="s">
        <v>1252</v>
      </c>
      <c r="M1170" s="21" t="s">
        <v>1253</v>
      </c>
      <c r="N1170" s="48">
        <v>45649</v>
      </c>
      <c r="O1170" s="21">
        <f>INDEX(Auxiliar!$D$5:$F$13,MATCH(Table1[[#This Row],[Tipologia_Testes]],Auxiliar!$B$5:$B$13,0),MATCH(Table1[[#This Row],[Complexidade]],Auxiliar!$D$4:$F$4,0))</f>
        <v>2</v>
      </c>
      <c r="P1170" s="43"/>
      <c r="Q1170" s="152"/>
      <c r="R1170" s="152">
        <v>45593</v>
      </c>
      <c r="S1170" s="152"/>
      <c r="T1170" s="152">
        <v>45593</v>
      </c>
      <c r="U1170" s="152">
        <v>45624</v>
      </c>
      <c r="V1170" s="152">
        <v>45624</v>
      </c>
      <c r="W1170" s="2">
        <f>VLOOKUP(Table1[[#This Row],[Status]],Auxiliar!$B$16:$D$24,3,0)*Table1[[#This Row],[Estimação (horas)]]</f>
        <v>2</v>
      </c>
      <c r="X1170" s="114"/>
    </row>
    <row r="1171" spans="2:24" ht="17.7" hidden="1" customHeight="1">
      <c r="B1171" s="39" t="s">
        <v>26</v>
      </c>
      <c r="C1171" s="39" t="s">
        <v>26</v>
      </c>
      <c r="D1171" s="39" t="s">
        <v>1349</v>
      </c>
      <c r="E1171" s="39" t="s">
        <v>1331</v>
      </c>
      <c r="F1171" s="40" t="s">
        <v>1948</v>
      </c>
      <c r="G1171" s="39" t="s">
        <v>384</v>
      </c>
      <c r="H1171" s="59" t="str">
        <f>Table1[[#This Row],[Tabela]]&amp;Table1[[#This Row],[Campo]]</f>
        <v>lt007_instr_activitytyp_actvty</v>
      </c>
      <c r="I1171" s="2" t="s">
        <v>613</v>
      </c>
      <c r="J1171" s="45">
        <f>VLOOKUP(Table1[[#This Row],[Status]],Auxiliar!$B$16:$C$24,2,0)</f>
        <v>1</v>
      </c>
      <c r="K1171" s="45" t="s">
        <v>1247</v>
      </c>
      <c r="L1171" s="46" t="s">
        <v>1252</v>
      </c>
      <c r="M1171" s="21" t="s">
        <v>1253</v>
      </c>
      <c r="N1171" s="48">
        <v>45649</v>
      </c>
      <c r="O1171" s="21">
        <f>INDEX(Auxiliar!$D$5:$F$13,MATCH(Table1[[#This Row],[Tipologia_Testes]],Auxiliar!$B$5:$B$13,0),MATCH(Table1[[#This Row],[Complexidade]],Auxiliar!$D$4:$F$4,0))</f>
        <v>2</v>
      </c>
      <c r="P1171" s="43"/>
      <c r="Q1171" s="152"/>
      <c r="R1171" s="152">
        <v>45593</v>
      </c>
      <c r="S1171" s="152"/>
      <c r="T1171" s="152">
        <v>45593</v>
      </c>
      <c r="U1171" s="152">
        <v>45624</v>
      </c>
      <c r="V1171" s="152">
        <v>45624</v>
      </c>
      <c r="W1171" s="2">
        <f>VLOOKUP(Table1[[#This Row],[Status]],Auxiliar!$B$16:$D$24,3,0)*Table1[[#This Row],[Estimação (horas)]]</f>
        <v>2</v>
      </c>
      <c r="X1171" s="114"/>
    </row>
    <row r="1172" spans="2:24" ht="17.7" hidden="1" customHeight="1">
      <c r="B1172" s="39" t="s">
        <v>26</v>
      </c>
      <c r="C1172" s="39" t="s">
        <v>26</v>
      </c>
      <c r="D1172" s="39" t="s">
        <v>1349</v>
      </c>
      <c r="E1172" s="39" t="s">
        <v>1331</v>
      </c>
      <c r="F1172" s="40" t="s">
        <v>1948</v>
      </c>
      <c r="G1172" s="39" t="s">
        <v>384</v>
      </c>
      <c r="H1172" s="59" t="str">
        <f>Table1[[#This Row],[Tabela]]&amp;Table1[[#This Row],[Campo]]</f>
        <v>lt007_instr_activitytyp_actvty</v>
      </c>
      <c r="I1172" s="2" t="s">
        <v>613</v>
      </c>
      <c r="J1172" s="45">
        <f>VLOOKUP(Table1[[#This Row],[Status]],Auxiliar!$B$16:$C$24,2,0)</f>
        <v>1</v>
      </c>
      <c r="K1172" s="45" t="s">
        <v>1249</v>
      </c>
      <c r="L1172" s="46" t="s">
        <v>1252</v>
      </c>
      <c r="M1172" s="21" t="s">
        <v>1253</v>
      </c>
      <c r="N1172" s="48">
        <v>45649</v>
      </c>
      <c r="O1172" s="21">
        <f>INDEX(Auxiliar!$D$5:$F$13,MATCH(Table1[[#This Row],[Tipologia_Testes]],Auxiliar!$B$5:$B$13,0),MATCH(Table1[[#This Row],[Complexidade]],Auxiliar!$D$4:$F$4,0))</f>
        <v>0.1</v>
      </c>
      <c r="P1172" s="43"/>
      <c r="Q1172" s="152"/>
      <c r="R1172" s="152">
        <v>45593</v>
      </c>
      <c r="S1172" s="152"/>
      <c r="T1172" s="152">
        <v>45593</v>
      </c>
      <c r="U1172" s="152">
        <v>45624</v>
      </c>
      <c r="V1172" s="152">
        <v>45624</v>
      </c>
      <c r="W1172" s="2">
        <f>VLOOKUP(Table1[[#This Row],[Status]],Auxiliar!$B$16:$D$24,3,0)*Table1[[#This Row],[Estimação (horas)]]</f>
        <v>0.1</v>
      </c>
      <c r="X1172" s="114"/>
    </row>
    <row r="1173" spans="2:24" ht="17.7" hidden="1" customHeight="1">
      <c r="B1173" s="41" t="s">
        <v>26</v>
      </c>
      <c r="C1173" s="41" t="s">
        <v>26</v>
      </c>
      <c r="D1173" s="38" t="s">
        <v>1349</v>
      </c>
      <c r="E1173" s="42" t="s">
        <v>1331</v>
      </c>
      <c r="F1173" s="40" t="s">
        <v>380</v>
      </c>
      <c r="G1173" s="38" t="s">
        <v>385</v>
      </c>
      <c r="H1173" s="60" t="str">
        <f>Table1[[#This Row],[Tabela]]&amp;Table1[[#This Row],[Campo]]</f>
        <v>lt002_instrumentlns_clltrlzd_clssfctn</v>
      </c>
      <c r="I1173" s="2" t="s">
        <v>613</v>
      </c>
      <c r="J1173" s="45">
        <f>VLOOKUP(Table1[[#This Row],[Status]],Auxiliar!$B$16:$C$24,2,0)</f>
        <v>1</v>
      </c>
      <c r="K1173" s="45" t="s">
        <v>1246</v>
      </c>
      <c r="L1173" s="46" t="s">
        <v>1252</v>
      </c>
      <c r="M1173" s="21" t="s">
        <v>1253</v>
      </c>
      <c r="N1173" s="48">
        <v>45583</v>
      </c>
      <c r="O1173" s="21">
        <f>INDEX(Auxiliar!$D$5:$F$13,MATCH(Table1[[#This Row],[Tipologia_Testes]],Auxiliar!$B$5:$B$13,0),MATCH(Table1[[#This Row],[Complexidade]],Auxiliar!$D$4:$F$4,0))</f>
        <v>2</v>
      </c>
      <c r="P1173" s="43" t="s">
        <v>1356</v>
      </c>
      <c r="Q1173" s="152"/>
      <c r="R1173" s="152">
        <v>45583</v>
      </c>
      <c r="S1173" s="152"/>
      <c r="T1173" s="152">
        <v>45583</v>
      </c>
      <c r="U1173" s="152">
        <v>45589</v>
      </c>
      <c r="V1173" s="152">
        <v>45589</v>
      </c>
      <c r="W1173" s="2">
        <f>VLOOKUP(Table1[[#This Row],[Status]],Auxiliar!$B$16:$D$24,3,0)*Table1[[#This Row],[Estimação (horas)]]</f>
        <v>2</v>
      </c>
      <c r="X1173" s="114"/>
    </row>
    <row r="1174" spans="2:24" ht="17.7" hidden="1" customHeight="1">
      <c r="B1174" s="39" t="s">
        <v>26</v>
      </c>
      <c r="C1174" s="39" t="s">
        <v>26</v>
      </c>
      <c r="D1174" s="39" t="s">
        <v>1349</v>
      </c>
      <c r="E1174" s="39" t="s">
        <v>1331</v>
      </c>
      <c r="F1174" s="39" t="s">
        <v>380</v>
      </c>
      <c r="G1174" s="39" t="s">
        <v>385</v>
      </c>
      <c r="H1174" s="59" t="str">
        <f>Table1[[#This Row],[Tabela]]&amp;Table1[[#This Row],[Campo]]</f>
        <v>lt002_instrumentlns_clltrlzd_clssfctn</v>
      </c>
      <c r="I1174" s="2" t="s">
        <v>613</v>
      </c>
      <c r="J1174" s="45">
        <f>VLOOKUP(Table1[[#This Row],[Status]],Auxiliar!$B$16:$C$24,2,0)</f>
        <v>1</v>
      </c>
      <c r="K1174" s="45" t="s">
        <v>1247</v>
      </c>
      <c r="L1174" s="46" t="s">
        <v>1252</v>
      </c>
      <c r="M1174" s="21" t="s">
        <v>1253</v>
      </c>
      <c r="N1174" s="48">
        <v>45596</v>
      </c>
      <c r="O1174" s="21">
        <f>INDEX(Auxiliar!$D$5:$F$13,MATCH(Table1[[#This Row],[Tipologia_Testes]],Auxiliar!$B$5:$B$13,0),MATCH(Table1[[#This Row],[Complexidade]],Auxiliar!$D$4:$F$4,0))</f>
        <v>2</v>
      </c>
      <c r="P1174" s="43" t="s">
        <v>1356</v>
      </c>
      <c r="Q1174" s="152"/>
      <c r="R1174" s="152">
        <v>45583</v>
      </c>
      <c r="S1174" s="152"/>
      <c r="T1174" s="152">
        <v>45583</v>
      </c>
      <c r="U1174" s="152"/>
      <c r="V1174" s="152">
        <v>45589</v>
      </c>
      <c r="W1174" s="2">
        <f>VLOOKUP(Table1[[#This Row],[Status]],Auxiliar!$B$16:$D$24,3,0)*Table1[[#This Row],[Estimação (horas)]]</f>
        <v>2</v>
      </c>
      <c r="X1174" s="114"/>
    </row>
    <row r="1175" spans="2:24" ht="17.7" hidden="1" customHeight="1">
      <c r="B1175" s="39" t="s">
        <v>26</v>
      </c>
      <c r="C1175" s="39" t="s">
        <v>26</v>
      </c>
      <c r="D1175" s="39" t="s">
        <v>1349</v>
      </c>
      <c r="E1175" s="39" t="s">
        <v>1331</v>
      </c>
      <c r="F1175" s="39" t="s">
        <v>380</v>
      </c>
      <c r="G1175" s="39" t="s">
        <v>385</v>
      </c>
      <c r="H1175" s="59" t="str">
        <f>Table1[[#This Row],[Tabela]]&amp;Table1[[#This Row],[Campo]]</f>
        <v>lt002_instrumentlns_clltrlzd_clssfctn</v>
      </c>
      <c r="I1175" s="2" t="s">
        <v>613</v>
      </c>
      <c r="J1175" s="45">
        <f>VLOOKUP(Table1[[#This Row],[Status]],Auxiliar!$B$16:$C$24,2,0)</f>
        <v>1</v>
      </c>
      <c r="K1175" s="45" t="s">
        <v>1249</v>
      </c>
      <c r="L1175" s="46" t="s">
        <v>1252</v>
      </c>
      <c r="M1175" s="21" t="s">
        <v>1253</v>
      </c>
      <c r="N1175" s="48">
        <v>45596</v>
      </c>
      <c r="O1175" s="21">
        <f>INDEX(Auxiliar!$D$5:$F$13,MATCH(Table1[[#This Row],[Tipologia_Testes]],Auxiliar!$B$5:$B$13,0),MATCH(Table1[[#This Row],[Complexidade]],Auxiliar!$D$4:$F$4,0))</f>
        <v>0.1</v>
      </c>
      <c r="P1175" s="43" t="s">
        <v>1356</v>
      </c>
      <c r="Q1175" s="152"/>
      <c r="R1175" s="152">
        <v>45583</v>
      </c>
      <c r="S1175" s="152"/>
      <c r="T1175" s="152">
        <v>45583</v>
      </c>
      <c r="U1175" s="152"/>
      <c r="V1175" s="152">
        <v>45589</v>
      </c>
      <c r="W1175" s="2">
        <f>VLOOKUP(Table1[[#This Row],[Status]],Auxiliar!$B$16:$D$24,3,0)*Table1[[#This Row],[Estimação (horas)]]</f>
        <v>0.1</v>
      </c>
      <c r="X1175" s="114"/>
    </row>
    <row r="1176" spans="2:24" ht="34.950000000000003" hidden="1" customHeight="1">
      <c r="B1176" s="41" t="s">
        <v>26</v>
      </c>
      <c r="C1176" s="41" t="s">
        <v>26</v>
      </c>
      <c r="D1176" s="37" t="s">
        <v>1949</v>
      </c>
      <c r="E1176" s="111" t="s">
        <v>38</v>
      </c>
      <c r="F1176" s="40" t="s">
        <v>380</v>
      </c>
      <c r="G1176" s="38" t="s">
        <v>386</v>
      </c>
      <c r="H1176" s="60" t="str">
        <f>Table1[[#This Row],[Tabela]]&amp;Table1[[#This Row],[Campo]]</f>
        <v>lt002_instrumentmthd_usd_instrmnt_scp_1</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386</v>
      </c>
      <c r="H1177" s="59" t="str">
        <f>Table1[[#This Row],[Tabela]]&amp;Table1[[#This Row],[Campo]]</f>
        <v>lt002_instrumentmthd_usd_instrmnt_scp_1</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386</v>
      </c>
      <c r="H1178" s="59" t="str">
        <f>Table1[[#This Row],[Tabela]]&amp;Table1[[#This Row],[Campo]]</f>
        <v>lt002_instrumentmthd_usd_instrmnt_scp_1</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41" t="s">
        <v>26</v>
      </c>
      <c r="C1179" s="41" t="s">
        <v>26</v>
      </c>
      <c r="D1179" s="37" t="s">
        <v>1949</v>
      </c>
      <c r="E1179" s="111" t="s">
        <v>38</v>
      </c>
      <c r="F1179" s="40" t="s">
        <v>380</v>
      </c>
      <c r="G1179" s="38" t="s">
        <v>387</v>
      </c>
      <c r="H1179" s="60" t="str">
        <f>Table1[[#This Row],[Tabela]]&amp;Table1[[#This Row],[Campo]]</f>
        <v>lt002_instrumentmthd_usd_instrmnt_scp_2</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387</v>
      </c>
      <c r="H1180" s="59" t="str">
        <f>Table1[[#This Row],[Tabela]]&amp;Table1[[#This Row],[Campo]]</f>
        <v>lt002_instrumentmthd_usd_instrmnt_scp_2</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387</v>
      </c>
      <c r="H1181" s="59" t="str">
        <f>Table1[[#This Row],[Tabela]]&amp;Table1[[#This Row],[Campo]]</f>
        <v>lt002_instrumentmthd_usd_instrmnt_scp_2</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34.950000000000003" hidden="1" customHeight="1">
      <c r="B1182" s="39" t="s">
        <v>26</v>
      </c>
      <c r="C1182" s="39" t="s">
        <v>26</v>
      </c>
      <c r="D1182" s="37" t="s">
        <v>1949</v>
      </c>
      <c r="E1182" s="111" t="s">
        <v>38</v>
      </c>
      <c r="F1182" s="40" t="s">
        <v>380</v>
      </c>
      <c r="G1182" s="38" t="s">
        <v>388</v>
      </c>
      <c r="H1182" s="60" t="str">
        <f>Table1[[#This Row],[Tabela]]&amp;Table1[[#This Row],[Campo]]</f>
        <v>lt002_instrumentmthd_usd_instrmnt_scp_3</v>
      </c>
      <c r="I1182" s="2" t="s">
        <v>614</v>
      </c>
      <c r="J1182" s="45">
        <f>VLOOKUP(Table1[[#This Row],[Status]],Auxiliar!$B$16:$C$24,2,0)</f>
        <v>4</v>
      </c>
      <c r="K1182" s="45" t="s">
        <v>1246</v>
      </c>
      <c r="L1182" s="46" t="s">
        <v>1252</v>
      </c>
      <c r="M1182" s="21" t="s">
        <v>1253</v>
      </c>
      <c r="N1182" s="48">
        <v>45667</v>
      </c>
      <c r="O1182" s="21">
        <f>INDEX(Auxiliar!$D$5:$F$13,MATCH(Table1[[#This Row],[Tipologia_Testes]],Auxiliar!$B$5:$B$13,0),MATCH(Table1[[#This Row],[Complexidade]],Auxiliar!$D$4:$F$4,0))</f>
        <v>2</v>
      </c>
      <c r="P1182" s="43"/>
      <c r="Q1182" s="152"/>
      <c r="R1182" s="152">
        <v>45622</v>
      </c>
      <c r="S1182" s="152"/>
      <c r="T1182" s="152"/>
      <c r="U1182" s="152">
        <v>45631</v>
      </c>
      <c r="V1182" s="152">
        <v>45631</v>
      </c>
      <c r="W1182" s="2">
        <f>VLOOKUP(Table1[[#This Row],[Status]],Auxiliar!$B$16:$D$24,3,0)*Table1[[#This Row],[Estimação (horas)]]</f>
        <v>0.5</v>
      </c>
      <c r="X1182" s="114"/>
    </row>
    <row r="1183" spans="2:24" ht="17.7" hidden="1" customHeight="1">
      <c r="B1183" s="39" t="s">
        <v>26</v>
      </c>
      <c r="C1183" s="39" t="s">
        <v>26</v>
      </c>
      <c r="D1183" s="39" t="s">
        <v>1949</v>
      </c>
      <c r="E1183" s="39" t="s">
        <v>38</v>
      </c>
      <c r="F1183" s="39" t="s">
        <v>380</v>
      </c>
      <c r="G1183" s="39" t="s">
        <v>388</v>
      </c>
      <c r="H1183" s="59" t="str">
        <f>Table1[[#This Row],[Tabela]]&amp;Table1[[#This Row],[Campo]]</f>
        <v>lt002_instrumentmthd_usd_instrmnt_scp_3</v>
      </c>
      <c r="I1183" s="2" t="s">
        <v>614</v>
      </c>
      <c r="J1183" s="45">
        <f>VLOOKUP(Table1[[#This Row],[Status]],Auxiliar!$B$16:$C$24,2,0)</f>
        <v>4</v>
      </c>
      <c r="K1183" s="45" t="s">
        <v>1247</v>
      </c>
      <c r="L1183" s="46" t="s">
        <v>1252</v>
      </c>
      <c r="M1183" s="21" t="s">
        <v>1253</v>
      </c>
      <c r="N1183" s="48">
        <v>45667</v>
      </c>
      <c r="O1183" s="21">
        <f>INDEX(Auxiliar!$D$5:$F$13,MATCH(Table1[[#This Row],[Tipologia_Testes]],Auxiliar!$B$5:$B$13,0),MATCH(Table1[[#This Row],[Complexidade]],Auxiliar!$D$4:$F$4,0))</f>
        <v>2</v>
      </c>
      <c r="P1183" s="43"/>
      <c r="Q1183" s="152"/>
      <c r="R1183" s="152">
        <v>45622</v>
      </c>
      <c r="S1183" s="152"/>
      <c r="T1183" s="152"/>
      <c r="U1183" s="152">
        <v>45631</v>
      </c>
      <c r="V1183" s="152">
        <v>45631</v>
      </c>
      <c r="W1183" s="2">
        <f>VLOOKUP(Table1[[#This Row],[Status]],Auxiliar!$B$16:$D$24,3,0)*Table1[[#This Row],[Estimação (horas)]]</f>
        <v>0.5</v>
      </c>
      <c r="X1183" s="114"/>
    </row>
    <row r="1184" spans="2:24" ht="17.7" hidden="1" customHeight="1">
      <c r="B1184" s="39" t="s">
        <v>26</v>
      </c>
      <c r="C1184" s="39" t="s">
        <v>26</v>
      </c>
      <c r="D1184" s="39" t="s">
        <v>1949</v>
      </c>
      <c r="E1184" s="39" t="s">
        <v>38</v>
      </c>
      <c r="F1184" s="39" t="s">
        <v>380</v>
      </c>
      <c r="G1184" s="39" t="s">
        <v>388</v>
      </c>
      <c r="H1184" s="59" t="str">
        <f>Table1[[#This Row],[Tabela]]&amp;Table1[[#This Row],[Campo]]</f>
        <v>lt002_instrumentmthd_usd_instrmnt_scp_3</v>
      </c>
      <c r="I1184" s="2" t="s">
        <v>614</v>
      </c>
      <c r="J1184" s="45">
        <f>VLOOKUP(Table1[[#This Row],[Status]],Auxiliar!$B$16:$C$24,2,0)</f>
        <v>4</v>
      </c>
      <c r="K1184" s="45" t="s">
        <v>1249</v>
      </c>
      <c r="L1184" s="46" t="s">
        <v>1252</v>
      </c>
      <c r="M1184" s="21" t="s">
        <v>1253</v>
      </c>
      <c r="N1184" s="48">
        <v>45667</v>
      </c>
      <c r="O1184" s="21">
        <f>INDEX(Auxiliar!$D$5:$F$13,MATCH(Table1[[#This Row],[Tipologia_Testes]],Auxiliar!$B$5:$B$13,0),MATCH(Table1[[#This Row],[Complexidade]],Auxiliar!$D$4:$F$4,0))</f>
        <v>0.1</v>
      </c>
      <c r="P1184" s="43"/>
      <c r="Q1184" s="152"/>
      <c r="R1184" s="152">
        <v>45622</v>
      </c>
      <c r="S1184" s="152"/>
      <c r="T1184" s="152"/>
      <c r="U1184" s="152">
        <v>45631</v>
      </c>
      <c r="V1184" s="152">
        <v>45631</v>
      </c>
      <c r="W1184" s="2">
        <f>VLOOKUP(Table1[[#This Row],[Status]],Auxiliar!$B$16:$D$24,3,0)*Table1[[#This Row],[Estimação (horas)]]</f>
        <v>2.5000000000000001E-2</v>
      </c>
      <c r="X1184" s="114"/>
    </row>
    <row r="1185" spans="2:24" ht="17.7" hidden="1" customHeight="1">
      <c r="B1185" s="39" t="s">
        <v>26</v>
      </c>
      <c r="C1185" s="39" t="s">
        <v>26</v>
      </c>
      <c r="D1185" s="40" t="s">
        <v>1357</v>
      </c>
      <c r="E1185" s="42" t="s">
        <v>1358</v>
      </c>
      <c r="F1185" s="40" t="s">
        <v>380</v>
      </c>
      <c r="G1185" s="38" t="s">
        <v>389</v>
      </c>
      <c r="H1185" s="60" t="str">
        <f>Table1[[#This Row],[Tabela]]&amp;Table1[[#This Row],[Campo]]</f>
        <v>lt002_instrumentsstnbl_ctgry_txnmy</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374329</v>
      </c>
      <c r="W1185" s="2">
        <f>VLOOKUP(Table1[[#This Row],[Status]],Auxiliar!$B$16:$D$24,3,0)*Table1[[#This Row],[Estimação (horas)]]</f>
        <v>2</v>
      </c>
      <c r="X1185" s="114"/>
    </row>
    <row r="1186" spans="2:24" ht="17.7" hidden="1" customHeight="1">
      <c r="B1186" s="39" t="s">
        <v>26</v>
      </c>
      <c r="C1186" s="39" t="s">
        <v>26</v>
      </c>
      <c r="D1186" s="39" t="s">
        <v>1357</v>
      </c>
      <c r="E1186" s="39" t="s">
        <v>1358</v>
      </c>
      <c r="F1186" s="39" t="s">
        <v>380</v>
      </c>
      <c r="G1186" s="39" t="s">
        <v>389</v>
      </c>
      <c r="H1186" s="59" t="str">
        <f>Table1[[#This Row],[Tabela]]&amp;Table1[[#This Row],[Campo]]</f>
        <v>lt002_instrumentsstnbl_ctgry_txnmy</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374329</v>
      </c>
      <c r="W1186" s="2">
        <f>VLOOKUP(Table1[[#This Row],[Status]],Auxiliar!$B$16:$D$24,3,0)*Table1[[#This Row],[Estimação (horas)]]</f>
        <v>2</v>
      </c>
      <c r="X1186" s="114"/>
    </row>
    <row r="1187" spans="2:24" ht="17.7" hidden="1" customHeight="1">
      <c r="B1187" s="39" t="s">
        <v>26</v>
      </c>
      <c r="C1187" s="39" t="s">
        <v>26</v>
      </c>
      <c r="D1187" s="39" t="s">
        <v>1357</v>
      </c>
      <c r="E1187" s="39" t="s">
        <v>1358</v>
      </c>
      <c r="F1187" s="39" t="s">
        <v>380</v>
      </c>
      <c r="G1187" s="39" t="s">
        <v>389</v>
      </c>
      <c r="H1187" s="59" t="str">
        <f>Table1[[#This Row],[Tabela]]&amp;Table1[[#This Row],[Campo]]</f>
        <v>lt002_instrumentsstnbl_ctgry_txnmy</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374329</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391</v>
      </c>
      <c r="H1188" s="60" t="str">
        <f>Table1[[#This Row],[Tabela]]&amp;Table1[[#This Row],[Campo]]</f>
        <v>lt827_mthd_usd_instrmntambito</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391</v>
      </c>
      <c r="H1189" s="59" t="str">
        <f>Table1[[#This Row],[Tabela]]&amp;Table1[[#This Row],[Campo]]</f>
        <v>lt827_mthd_usd_instrmntambito</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391</v>
      </c>
      <c r="H1190" s="59" t="str">
        <f>Table1[[#This Row],[Tabela]]&amp;Table1[[#This Row],[Campo]]</f>
        <v>lt827_mthd_usd_instrmntambito</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208</v>
      </c>
      <c r="H1191" s="60" t="str">
        <f>Table1[[#This Row],[Tabela]]&amp;Table1[[#This Row],[Campo]]</f>
        <v>lt827_mthd_usd_instrmntref_date</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208</v>
      </c>
      <c r="H1192" s="59" t="str">
        <f>Table1[[#This Row],[Tabela]]&amp;Table1[[#This Row],[Campo]]</f>
        <v>lt827_mthd_usd_instrmntref_date</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208</v>
      </c>
      <c r="H1193" s="59" t="str">
        <f>Table1[[#This Row],[Tabela]]&amp;Table1[[#This Row],[Campo]]</f>
        <v>lt827_mthd_usd_instrmntref_date</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211</v>
      </c>
      <c r="H1194" s="60" t="str">
        <f>Table1[[#This Row],[Tabela]]&amp;Table1[[#This Row],[Campo]]</f>
        <v>lt827_mthd_usd_instrmntordem</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211</v>
      </c>
      <c r="H1195" s="59" t="str">
        <f>Table1[[#This Row],[Tabela]]&amp;Table1[[#This Row],[Campo]]</f>
        <v>lt827_mthd_usd_instrmntordem</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211</v>
      </c>
      <c r="H1196" s="59" t="str">
        <f>Table1[[#This Row],[Tabela]]&amp;Table1[[#This Row],[Campo]]</f>
        <v>lt827_mthd_usd_instrmntordem</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40" t="s">
        <v>392</v>
      </c>
      <c r="H1197" s="60" t="str">
        <f>Table1[[#This Row],[Tabela]]&amp;Table1[[#This Row],[Campo]]</f>
        <v>lt827_mthd_usd_instrmnttabela</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392</v>
      </c>
      <c r="H1198" s="59" t="str">
        <f>Table1[[#This Row],[Tabela]]&amp;Table1[[#This Row],[Campo]]</f>
        <v>lt827_mthd_usd_instrmnttabela</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392</v>
      </c>
      <c r="H1199" s="59" t="str">
        <f>Table1[[#This Row],[Tabela]]&amp;Table1[[#This Row],[Campo]]</f>
        <v>lt827_mthd_usd_instrmnttabela</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320</v>
      </c>
      <c r="H1200" s="60" t="str">
        <f>Table1[[#This Row],[Tabela]]&amp;Table1[[#This Row],[Campo]]</f>
        <v>lt827_mthd_usd_instrmntorigem_scp1_emss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320</v>
      </c>
      <c r="H1201" s="59" t="str">
        <f>Table1[[#This Row],[Tabela]]&amp;Table1[[#This Row],[Campo]]</f>
        <v>lt827_mthd_usd_instrmntorigem_scp1_emss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320</v>
      </c>
      <c r="H1202" s="59" t="str">
        <f>Table1[[#This Row],[Tabela]]&amp;Table1[[#This Row],[Campo]]</f>
        <v>lt827_mthd_usd_instrmntorigem_scp1_emss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321</v>
      </c>
      <c r="H1203" s="60" t="str">
        <f>Table1[[#This Row],[Tabela]]&amp;Table1[[#This Row],[Campo]]</f>
        <v>lt827_mthd_usd_instrmntorigem_scp2_emss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321</v>
      </c>
      <c r="H1204" s="59" t="str">
        <f>Table1[[#This Row],[Tabela]]&amp;Table1[[#This Row],[Campo]]</f>
        <v>lt827_mthd_usd_instrmntorigem_scp2_emss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321</v>
      </c>
      <c r="H1205" s="59" t="str">
        <f>Table1[[#This Row],[Tabela]]&amp;Table1[[#This Row],[Campo]]</f>
        <v>lt827_mthd_usd_instrmntorigem_scp2_emss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322</v>
      </c>
      <c r="H1206" s="60" t="str">
        <f>Table1[[#This Row],[Tabela]]&amp;Table1[[#This Row],[Campo]]</f>
        <v>lt827_mthd_usd_instrmntorigem_scp3_emss</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322</v>
      </c>
      <c r="H1207" s="59" t="str">
        <f>Table1[[#This Row],[Tabela]]&amp;Table1[[#This Row],[Campo]]</f>
        <v>lt827_mthd_usd_instrmntorigem_scp3_emss</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322</v>
      </c>
      <c r="H1208" s="59" t="str">
        <f>Table1[[#This Row],[Tabela]]&amp;Table1[[#This Row],[Campo]]</f>
        <v>lt827_mthd_usd_instrmntorigem_scp3_emss</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386</v>
      </c>
      <c r="H1209" s="60" t="str">
        <f>Table1[[#This Row],[Tabela]]&amp;Table1[[#This Row],[Campo]]</f>
        <v>lt827_mthd_usd_instrmntmthd_usd_instrmnt_scp_1</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386</v>
      </c>
      <c r="H1210" s="59" t="str">
        <f>Table1[[#This Row],[Tabela]]&amp;Table1[[#This Row],[Campo]]</f>
        <v>lt827_mthd_usd_instrmntmthd_usd_instrmnt_scp_1</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386</v>
      </c>
      <c r="H1211" s="59" t="str">
        <f>Table1[[#This Row],[Tabela]]&amp;Table1[[#This Row],[Campo]]</f>
        <v>lt827_mthd_usd_instrmntmthd_usd_instrmnt_scp_1</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387</v>
      </c>
      <c r="H1212" s="60" t="str">
        <f>Table1[[#This Row],[Tabela]]&amp;Table1[[#This Row],[Campo]]</f>
        <v>lt827_mthd_usd_instrmntmthd_usd_instrmnt_scp_2</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387</v>
      </c>
      <c r="H1213" s="59" t="str">
        <f>Table1[[#This Row],[Tabela]]&amp;Table1[[#This Row],[Campo]]</f>
        <v>lt827_mthd_usd_instrmntmthd_usd_instrmnt_scp_2</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387</v>
      </c>
      <c r="H1214" s="59" t="str">
        <f>Table1[[#This Row],[Tabela]]&amp;Table1[[#This Row],[Campo]]</f>
        <v>lt827_mthd_usd_instrmntmthd_usd_instrmnt_scp_2</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40" t="s">
        <v>38</v>
      </c>
      <c r="F1215" s="40" t="s">
        <v>1949</v>
      </c>
      <c r="G1215" s="38" t="s">
        <v>388</v>
      </c>
      <c r="H1215" s="60" t="str">
        <f>Table1[[#This Row],[Tabela]]&amp;Table1[[#This Row],[Campo]]</f>
        <v>lt827_mthd_usd_instrmntmthd_usd_instrmnt_scp_3</v>
      </c>
      <c r="I1215" s="2" t="s">
        <v>613</v>
      </c>
      <c r="J1215" s="45">
        <f>VLOOKUP(Table1[[#This Row],[Status]],Auxiliar!$B$16:$C$24,2,0)</f>
        <v>1</v>
      </c>
      <c r="K1215" s="45" t="s">
        <v>1246</v>
      </c>
      <c r="L1215" s="46" t="s">
        <v>1252</v>
      </c>
      <c r="M1215" s="21" t="s">
        <v>1253</v>
      </c>
      <c r="N1215" s="48">
        <v>45625</v>
      </c>
      <c r="O1215" s="21">
        <f>INDEX(Auxiliar!$D$5:$F$13,MATCH(Table1[[#This Row],[Tipologia_Testes]],Auxiliar!$B$5:$B$13,0),MATCH(Table1[[#This Row],[Complexidade]],Auxiliar!$D$4:$F$4,0))</f>
        <v>2</v>
      </c>
      <c r="P1215" s="43"/>
      <c r="Q1215" s="152"/>
      <c r="R1215" s="152">
        <v>45593</v>
      </c>
      <c r="S1215" s="152"/>
      <c r="T1215" s="152">
        <v>45593</v>
      </c>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388</v>
      </c>
      <c r="H1216" s="59" t="str">
        <f>Table1[[#This Row],[Tabela]]&amp;Table1[[#This Row],[Campo]]</f>
        <v>lt827_mthd_usd_instrmntmthd_usd_instrmnt_scp_3</v>
      </c>
      <c r="I1216" s="2" t="s">
        <v>613</v>
      </c>
      <c r="J1216" s="45">
        <f>VLOOKUP(Table1[[#This Row],[Status]],Auxiliar!$B$16:$C$24,2,0)</f>
        <v>1</v>
      </c>
      <c r="K1216" s="45" t="s">
        <v>1247</v>
      </c>
      <c r="L1216" s="46" t="s">
        <v>1252</v>
      </c>
      <c r="M1216" s="21" t="s">
        <v>1253</v>
      </c>
      <c r="N1216" s="48">
        <v>45625</v>
      </c>
      <c r="O1216" s="21">
        <f>INDEX(Auxiliar!$D$5:$F$13,MATCH(Table1[[#This Row],[Tipologia_Testes]],Auxiliar!$B$5:$B$13,0),MATCH(Table1[[#This Row],[Complexidade]],Auxiliar!$D$4:$F$4,0))</f>
        <v>2</v>
      </c>
      <c r="P1216" s="43"/>
      <c r="Q1216" s="152"/>
      <c r="R1216" s="152">
        <v>45593</v>
      </c>
      <c r="S1216" s="152"/>
      <c r="T1216" s="152">
        <v>45593</v>
      </c>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388</v>
      </c>
      <c r="H1217" s="59" t="str">
        <f>Table1[[#This Row],[Tabela]]&amp;Table1[[#This Row],[Campo]]</f>
        <v>lt827_mthd_usd_instrmntmthd_usd_instrmnt_scp_3</v>
      </c>
      <c r="I1217" s="2" t="s">
        <v>613</v>
      </c>
      <c r="J1217" s="45">
        <f>VLOOKUP(Table1[[#This Row],[Status]],Auxiliar!$B$16:$C$24,2,0)</f>
        <v>1</v>
      </c>
      <c r="K1217" s="45" t="s">
        <v>1249</v>
      </c>
      <c r="L1217" s="46" t="s">
        <v>1252</v>
      </c>
      <c r="M1217" s="21" t="s">
        <v>1253</v>
      </c>
      <c r="N1217" s="48">
        <v>45625</v>
      </c>
      <c r="O1217" s="21">
        <f>INDEX(Auxiliar!$D$5:$F$13,MATCH(Table1[[#This Row],[Tipologia_Testes]],Auxiliar!$B$5:$B$13,0),MATCH(Table1[[#This Row],[Complexidade]],Auxiliar!$D$4:$F$4,0))</f>
        <v>0.1</v>
      </c>
      <c r="P1217" s="43"/>
      <c r="Q1217" s="152"/>
      <c r="R1217" s="152">
        <v>45593</v>
      </c>
      <c r="S1217" s="152"/>
      <c r="T1217" s="152">
        <v>45593</v>
      </c>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1933</v>
      </c>
      <c r="H1218" s="59" t="str">
        <f>Table1[[#This Row],[Tabela]]&amp;Table1[[#This Row],[Campo]]</f>
        <v>lt827_mthd_usd_instrmntpurpose_code</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1933</v>
      </c>
      <c r="H1219" s="59" t="str">
        <f>Table1[[#This Row],[Tabela]]&amp;Table1[[#This Row],[Campo]]</f>
        <v>lt827_mthd_usd_instrmntpurpose_code</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1933</v>
      </c>
      <c r="H1220" s="59" t="str">
        <f>Table1[[#This Row],[Tabela]]&amp;Table1[[#This Row],[Campo]]</f>
        <v>lt827_mthd_usd_instrmntpurpose_code</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481</v>
      </c>
      <c r="H1221" s="59" t="str">
        <f>Table1[[#This Row],[Tabela]]&amp;Table1[[#This Row],[Campo]]</f>
        <v>lt827_mthd_usd_instrmntflg_fin</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481</v>
      </c>
      <c r="H1222" s="59" t="str">
        <f>Table1[[#This Row],[Tabela]]&amp;Table1[[#This Row],[Campo]]</f>
        <v>lt827_mthd_usd_instrmntflg_fin</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481</v>
      </c>
      <c r="H1223" s="59" t="str">
        <f>Table1[[#This Row],[Tabela]]&amp;Table1[[#This Row],[Campo]]</f>
        <v>lt827_mthd_usd_instrmntflg_fin</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1355</v>
      </c>
      <c r="H1224" s="59" t="str">
        <f>Table1[[#This Row],[Tabela]]&amp;Table1[[#This Row],[Campo]]</f>
        <v>lt827_mthd_usd_instrmntflg_exec</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1355</v>
      </c>
      <c r="H1225" s="59" t="str">
        <f>Table1[[#This Row],[Tabela]]&amp;Table1[[#This Row],[Campo]]</f>
        <v>lt827_mthd_usd_instrmntflg_exec</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1355</v>
      </c>
      <c r="H1226" s="59" t="str">
        <f>Table1[[#This Row],[Tabela]]&amp;Table1[[#This Row],[Campo]]</f>
        <v>lt827_mthd_usd_instrmntflg_exec</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480</v>
      </c>
      <c r="H1227" s="59" t="str">
        <f>Table1[[#This Row],[Tabela]]&amp;Table1[[#This Row],[Campo]]</f>
        <v>lt827_mthd_usd_instrmntflg_col</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480</v>
      </c>
      <c r="H1228" s="59" t="str">
        <f>Table1[[#This Row],[Tabela]]&amp;Table1[[#This Row],[Campo]]</f>
        <v>lt827_mthd_usd_instrmntflg_col</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480</v>
      </c>
      <c r="H1229" s="59" t="str">
        <f>Table1[[#This Row],[Tabela]]&amp;Table1[[#This Row],[Campo]]</f>
        <v>lt827_mthd_usd_instrmntflg_col</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39" t="s">
        <v>38</v>
      </c>
      <c r="F1230" s="39" t="s">
        <v>1949</v>
      </c>
      <c r="G1230" s="39" t="s">
        <v>482</v>
      </c>
      <c r="H1230" s="59" t="str">
        <f>Table1[[#This Row],[Tabela]]&amp;Table1[[#This Row],[Campo]]</f>
        <v>lt827_mthd_usd_instrmntflg_pro</v>
      </c>
      <c r="I1230" s="2" t="s">
        <v>613</v>
      </c>
      <c r="J1230" s="45">
        <f>VLOOKUP(Table1[[#This Row],[Status]],Auxiliar!$B$16:$C$24,2,0)</f>
        <v>1</v>
      </c>
      <c r="K1230" s="45" t="s">
        <v>1246</v>
      </c>
      <c r="L1230" s="46" t="s">
        <v>1252</v>
      </c>
      <c r="M1230" s="21" t="s">
        <v>1253</v>
      </c>
      <c r="N1230" s="48">
        <v>45625</v>
      </c>
      <c r="O1230" s="21">
        <f>INDEX(Auxiliar!$D$5:$F$11,MATCH(Table1[[#This Row],[Tipologia_Testes]],Auxiliar!$B$5:$B$11,0),MATCH(Table1[[#This Row],[Complexidade]],Auxiliar!$D$4:$F$4,0))</f>
        <v>2</v>
      </c>
      <c r="P1230" s="43"/>
      <c r="Q1230" s="152"/>
      <c r="R1230" s="152"/>
      <c r="S1230" s="152"/>
      <c r="T1230" s="152"/>
      <c r="U1230" s="152">
        <v>45611</v>
      </c>
      <c r="V1230" s="152">
        <v>45611</v>
      </c>
      <c r="W1230" s="2">
        <f>VLOOKUP(Table1[[#This Row],[Status]],Auxiliar!$B$16:$D$24,3,0)*Table1[[#This Row],[Estimação (horas)]]</f>
        <v>2</v>
      </c>
      <c r="X1230" s="114"/>
    </row>
    <row r="1231" spans="2:24" ht="17.7" hidden="1" customHeight="1">
      <c r="B1231" s="39" t="s">
        <v>26</v>
      </c>
      <c r="C1231" s="39" t="s">
        <v>26</v>
      </c>
      <c r="D1231" s="2" t="s">
        <v>38</v>
      </c>
      <c r="E1231" s="39" t="s">
        <v>38</v>
      </c>
      <c r="F1231" s="39" t="s">
        <v>1949</v>
      </c>
      <c r="G1231" s="39" t="s">
        <v>482</v>
      </c>
      <c r="H1231" s="59" t="str">
        <f>Table1[[#This Row],[Tabela]]&amp;Table1[[#This Row],[Campo]]</f>
        <v>lt827_mthd_usd_instrmntflg_pro</v>
      </c>
      <c r="I1231" s="2" t="s">
        <v>613</v>
      </c>
      <c r="J1231" s="45">
        <f>VLOOKUP(Table1[[#This Row],[Status]],Auxiliar!$B$16:$C$24,2,0)</f>
        <v>1</v>
      </c>
      <c r="K1231" s="45" t="s">
        <v>1247</v>
      </c>
      <c r="L1231" s="46" t="s">
        <v>1252</v>
      </c>
      <c r="M1231" s="21" t="s">
        <v>1253</v>
      </c>
      <c r="N1231" s="48">
        <v>45625</v>
      </c>
      <c r="O1231" s="21">
        <f>INDEX(Auxiliar!$D$5:$F$11,MATCH(Table1[[#This Row],[Tipologia_Testes]],Auxiliar!$B$5:$B$11,0),MATCH(Table1[[#This Row],[Complexidade]],Auxiliar!$D$4:$F$4,0))</f>
        <v>2</v>
      </c>
      <c r="P1231" s="43"/>
      <c r="Q1231" s="152"/>
      <c r="R1231" s="152"/>
      <c r="S1231" s="152"/>
      <c r="T1231" s="152"/>
      <c r="U1231" s="152">
        <v>45611</v>
      </c>
      <c r="V1231" s="152">
        <v>45611</v>
      </c>
      <c r="W1231" s="2">
        <f>VLOOKUP(Table1[[#This Row],[Status]],Auxiliar!$B$16:$D$24,3,0)*Table1[[#This Row],[Estimação (horas)]]</f>
        <v>2</v>
      </c>
      <c r="X1231" s="114"/>
    </row>
    <row r="1232" spans="2:24" ht="17.7" hidden="1" customHeight="1">
      <c r="B1232" s="39" t="s">
        <v>26</v>
      </c>
      <c r="C1232" s="39" t="s">
        <v>26</v>
      </c>
      <c r="D1232" s="2" t="s">
        <v>38</v>
      </c>
      <c r="E1232" s="39" t="s">
        <v>38</v>
      </c>
      <c r="F1232" s="39" t="s">
        <v>1949</v>
      </c>
      <c r="G1232" s="39" t="s">
        <v>482</v>
      </c>
      <c r="H1232" s="59" t="str">
        <f>Table1[[#This Row],[Tabela]]&amp;Table1[[#This Row],[Campo]]</f>
        <v>lt827_mthd_usd_instrmntflg_pro</v>
      </c>
      <c r="I1232" s="2" t="s">
        <v>613</v>
      </c>
      <c r="J1232" s="45">
        <f>VLOOKUP(Table1[[#This Row],[Status]],Auxiliar!$B$16:$C$24,2,0)</f>
        <v>1</v>
      </c>
      <c r="K1232" s="45" t="s">
        <v>1249</v>
      </c>
      <c r="L1232" s="46" t="s">
        <v>1252</v>
      </c>
      <c r="M1232" s="21" t="s">
        <v>1253</v>
      </c>
      <c r="N1232" s="48">
        <v>45625</v>
      </c>
      <c r="O1232" s="21">
        <f>INDEX(Auxiliar!$D$5:$F$11,MATCH(Table1[[#This Row],[Tipologia_Testes]],Auxiliar!$B$5:$B$11,0),MATCH(Table1[[#This Row],[Complexidade]],Auxiliar!$D$4:$F$4,0))</f>
        <v>0.1</v>
      </c>
      <c r="P1232" s="43"/>
      <c r="Q1232" s="152"/>
      <c r="R1232" s="152"/>
      <c r="S1232" s="152"/>
      <c r="T1232" s="152"/>
      <c r="U1232" s="152">
        <v>45611</v>
      </c>
      <c r="V1232" s="152">
        <v>45611</v>
      </c>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391</v>
      </c>
      <c r="H1233" s="60" t="str">
        <f>Table1[[#This Row],[Tabela]]&amp;Table1[[#This Row],[Campo]]</f>
        <v>lt826_esg_sbsctrambito</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391</v>
      </c>
      <c r="H1234" s="59" t="str">
        <f>Table1[[#This Row],[Tabela]]&amp;Table1[[#This Row],[Campo]]</f>
        <v>lt826_esg_sbsctrambito</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391</v>
      </c>
      <c r="H1235" s="59" t="str">
        <f>Table1[[#This Row],[Tabela]]&amp;Table1[[#This Row],[Campo]]</f>
        <v>lt826_esg_sbsctrambito</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208</v>
      </c>
      <c r="H1236" s="60" t="str">
        <f>Table1[[#This Row],[Tabela]]&amp;Table1[[#This Row],[Campo]]</f>
        <v>lt826_esg_sbsctrref_date</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208</v>
      </c>
      <c r="H1237" s="59" t="str">
        <f>Table1[[#This Row],[Tabela]]&amp;Table1[[#This Row],[Campo]]</f>
        <v>lt826_esg_sbsctrref_date</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208</v>
      </c>
      <c r="H1238" s="59" t="str">
        <f>Table1[[#This Row],[Tabela]]&amp;Table1[[#This Row],[Campo]]</f>
        <v>lt826_esg_sbsctrref_date</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40" t="s">
        <v>211</v>
      </c>
      <c r="H1239" s="60" t="str">
        <f>Table1[[#This Row],[Tabela]]&amp;Table1[[#This Row],[Campo]]</f>
        <v>lt826_esg_sbsctrordem</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211</v>
      </c>
      <c r="H1240" s="59" t="str">
        <f>Table1[[#This Row],[Tabela]]&amp;Table1[[#This Row],[Campo]]</f>
        <v>lt826_esg_sbsctrordem</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211</v>
      </c>
      <c r="H1241" s="59" t="str">
        <f>Table1[[#This Row],[Tabela]]&amp;Table1[[#This Row],[Campo]]</f>
        <v>lt826_esg_sbsctrordem</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394</v>
      </c>
      <c r="H1242" s="60" t="str">
        <f>Table1[[#This Row],[Tabela]]&amp;Table1[[#This Row],[Campo]]</f>
        <v>lt826_esg_sbsctrnace_code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394</v>
      </c>
      <c r="H1243" s="59" t="str">
        <f>Table1[[#This Row],[Tabela]]&amp;Table1[[#This Row],[Campo]]</f>
        <v>lt826_esg_sbsctrnace_code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394</v>
      </c>
      <c r="H1244" s="59" t="str">
        <f>Table1[[#This Row],[Tabela]]&amp;Table1[[#This Row],[Campo]]</f>
        <v>lt826_esg_sbsctrnace_code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395</v>
      </c>
      <c r="H1245" s="60" t="str">
        <f>Table1[[#This Row],[Tabela]]&amp;Table1[[#This Row],[Campo]]</f>
        <v>lt826_esg_sbsctrcontraparte</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395</v>
      </c>
      <c r="H1246" s="59" t="str">
        <f>Table1[[#This Row],[Tabela]]&amp;Table1[[#This Row],[Campo]]</f>
        <v>lt826_esg_sbsctrcontraparte</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395</v>
      </c>
      <c r="H1247" s="59" t="str">
        <f>Table1[[#This Row],[Tabela]]&amp;Table1[[#This Row],[Campo]]</f>
        <v>lt826_esg_sbsctrcontraparte</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396</v>
      </c>
      <c r="H1248" s="60" t="str">
        <f>Table1[[#This Row],[Tabela]]&amp;Table1[[#This Row],[Campo]]</f>
        <v>lt826_esg_sbsctrcnatureza_juri</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396</v>
      </c>
      <c r="H1249" s="59" t="str">
        <f>Table1[[#This Row],[Tabela]]&amp;Table1[[#This Row],[Campo]]</f>
        <v>lt826_esg_sbsctrcnatureza_juri</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396</v>
      </c>
      <c r="H1250" s="59" t="str">
        <f>Table1[[#This Row],[Tabela]]&amp;Table1[[#This Row],[Campo]]</f>
        <v>lt826_esg_sbsctrcnatureza_juri</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397</v>
      </c>
      <c r="H1251" s="60" t="str">
        <f>Table1[[#This Row],[Tabela]]&amp;Table1[[#This Row],[Campo]]</f>
        <v>lt826_esg_sbsctridcomb</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397</v>
      </c>
      <c r="H1252" s="59" t="str">
        <f>Table1[[#This Row],[Tabela]]&amp;Table1[[#This Row],[Campo]]</f>
        <v>lt826_esg_sbsctridcomb</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397</v>
      </c>
      <c r="H1253" s="59" t="str">
        <f>Table1[[#This Row],[Tabela]]&amp;Table1[[#This Row],[Campo]]</f>
        <v>lt826_esg_sbsctridcomb</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361</v>
      </c>
      <c r="H1254" s="60" t="str">
        <f>Table1[[#This Row],[Tabela]]&amp;Table1[[#This Row],[Campo]]</f>
        <v>lt826_esg_sbsctresg_sbsctr</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39" t="s">
        <v>38</v>
      </c>
      <c r="F1255" s="39" t="s">
        <v>393</v>
      </c>
      <c r="G1255" s="39" t="s">
        <v>361</v>
      </c>
      <c r="H1255" s="59" t="str">
        <f>Table1[[#This Row],[Tabela]]&amp;Table1[[#This Row],[Campo]]</f>
        <v>lt826_esg_sbsctresg_sbsctr</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39" t="s">
        <v>38</v>
      </c>
      <c r="F1256" s="39" t="s">
        <v>393</v>
      </c>
      <c r="G1256" s="39" t="s">
        <v>361</v>
      </c>
      <c r="H1256" s="59" t="str">
        <f>Table1[[#This Row],[Tabela]]&amp;Table1[[#This Row],[Campo]]</f>
        <v>lt826_esg_sbsctresg_sbsctr</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2" t="s">
        <v>38</v>
      </c>
      <c r="E1257" s="40" t="s">
        <v>38</v>
      </c>
      <c r="F1257" s="40" t="s">
        <v>393</v>
      </c>
      <c r="G1257" s="38" t="s">
        <v>398</v>
      </c>
      <c r="H1257" s="60" t="str">
        <f>Table1[[#This Row],[Tabela]]&amp;Table1[[#This Row],[Campo]]</f>
        <v>lt826_esg_sbsctrdescrição</v>
      </c>
      <c r="I1257" s="2" t="s">
        <v>613</v>
      </c>
      <c r="J1257" s="45">
        <f>VLOOKUP(Table1[[#This Row],[Status]],Auxiliar!$B$16:$C$24,2,0)</f>
        <v>1</v>
      </c>
      <c r="K1257" s="45" t="s">
        <v>1246</v>
      </c>
      <c r="L1257" s="46" t="s">
        <v>1252</v>
      </c>
      <c r="M1257" s="21" t="s">
        <v>1253</v>
      </c>
      <c r="N1257" s="48">
        <v>45581</v>
      </c>
      <c r="O1257" s="21">
        <f>INDEX(Auxiliar!$D$5:$F$13,MATCH(Table1[[#This Row],[Tipologia_Testes]],Auxiliar!$B$5:$B$13,0),MATCH(Table1[[#This Row],[Complexidade]],Auxiliar!$D$4:$F$4,0))</f>
        <v>2</v>
      </c>
      <c r="P1257" s="43" t="s">
        <v>1335</v>
      </c>
      <c r="Q1257" s="152"/>
      <c r="R1257" s="152">
        <v>45261</v>
      </c>
      <c r="S1257" s="152"/>
      <c r="T1257" s="152"/>
      <c r="U1257" s="152"/>
      <c r="V1257" s="152"/>
      <c r="W1257" s="2">
        <f>VLOOKUP(Table1[[#This Row],[Status]],Auxiliar!$B$16:$D$24,3,0)*Table1[[#This Row],[Estimação (horas)]]</f>
        <v>2</v>
      </c>
      <c r="X1257" s="114"/>
    </row>
    <row r="1258" spans="2:24" ht="17.7" hidden="1" customHeight="1">
      <c r="B1258" s="39" t="s">
        <v>26</v>
      </c>
      <c r="C1258" s="39" t="s">
        <v>26</v>
      </c>
      <c r="D1258" s="2" t="s">
        <v>38</v>
      </c>
      <c r="E1258" s="112" t="s">
        <v>38</v>
      </c>
      <c r="F1258" s="39" t="s">
        <v>393</v>
      </c>
      <c r="G1258" s="39" t="s">
        <v>398</v>
      </c>
      <c r="H1258" s="59" t="str">
        <f>Table1[[#This Row],[Tabela]]&amp;Table1[[#This Row],[Campo]]</f>
        <v>lt826_esg_sbsctrdescrição</v>
      </c>
      <c r="I1258" s="2" t="s">
        <v>613</v>
      </c>
      <c r="J1258" s="45">
        <f>VLOOKUP(Table1[[#This Row],[Status]],Auxiliar!$B$16:$C$24,2,0)</f>
        <v>1</v>
      </c>
      <c r="K1258" s="45" t="s">
        <v>1247</v>
      </c>
      <c r="L1258" s="46" t="s">
        <v>1252</v>
      </c>
      <c r="M1258" s="21" t="s">
        <v>1253</v>
      </c>
      <c r="N1258" s="48">
        <v>45581</v>
      </c>
      <c r="O1258" s="21">
        <f>INDEX(Auxiliar!$D$5:$F$13,MATCH(Table1[[#This Row],[Tipologia_Testes]],Auxiliar!$B$5:$B$13,0),MATCH(Table1[[#This Row],[Complexidade]],Auxiliar!$D$4:$F$4,0))</f>
        <v>2</v>
      </c>
      <c r="P1258" s="43" t="s">
        <v>1335</v>
      </c>
      <c r="Q1258" s="152"/>
      <c r="R1258" s="152">
        <v>45261</v>
      </c>
      <c r="S1258" s="152"/>
      <c r="T1258" s="152"/>
      <c r="U1258" s="152"/>
      <c r="V1258" s="152"/>
      <c r="W1258" s="2">
        <f>VLOOKUP(Table1[[#This Row],[Status]],Auxiliar!$B$16:$D$24,3,0)*Table1[[#This Row],[Estimação (horas)]]</f>
        <v>2</v>
      </c>
      <c r="X1258" s="114"/>
    </row>
    <row r="1259" spans="2:24" ht="17.7" hidden="1" customHeight="1">
      <c r="B1259" s="39" t="s">
        <v>26</v>
      </c>
      <c r="C1259" s="39" t="s">
        <v>26</v>
      </c>
      <c r="D1259" s="2" t="s">
        <v>38</v>
      </c>
      <c r="E1259" s="112" t="s">
        <v>38</v>
      </c>
      <c r="F1259" s="39" t="s">
        <v>393</v>
      </c>
      <c r="G1259" s="39" t="s">
        <v>398</v>
      </c>
      <c r="H1259" s="59" t="str">
        <f>Table1[[#This Row],[Tabela]]&amp;Table1[[#This Row],[Campo]]</f>
        <v>lt826_esg_sbsctrdescrição</v>
      </c>
      <c r="I1259" s="2" t="s">
        <v>613</v>
      </c>
      <c r="J1259" s="45">
        <f>VLOOKUP(Table1[[#This Row],[Status]],Auxiliar!$B$16:$C$24,2,0)</f>
        <v>1</v>
      </c>
      <c r="K1259" s="45" t="s">
        <v>1249</v>
      </c>
      <c r="L1259" s="46" t="s">
        <v>1252</v>
      </c>
      <c r="M1259" s="21" t="s">
        <v>1253</v>
      </c>
      <c r="N1259" s="48">
        <v>45581</v>
      </c>
      <c r="O1259" s="21">
        <f>INDEX(Auxiliar!$D$5:$F$13,MATCH(Table1[[#This Row],[Tipologia_Testes]],Auxiliar!$B$5:$B$13,0),MATCH(Table1[[#This Row],[Complexidade]],Auxiliar!$D$4:$F$4,0))</f>
        <v>0.1</v>
      </c>
      <c r="P1259" s="43" t="s">
        <v>1335</v>
      </c>
      <c r="Q1259" s="152"/>
      <c r="R1259" s="152">
        <v>45261</v>
      </c>
      <c r="S1259" s="152"/>
      <c r="T1259" s="152"/>
      <c r="U1259" s="152"/>
      <c r="V1259" s="152"/>
      <c r="W1259" s="2">
        <f>VLOOKUP(Table1[[#This Row],[Status]],Auxiliar!$B$16:$D$24,3,0)*Table1[[#This Row],[Estimação (horas)]]</f>
        <v>0.1</v>
      </c>
      <c r="X1259" s="114"/>
    </row>
    <row r="1260" spans="2:24" ht="17.7" hidden="1" customHeight="1">
      <c r="B1260" s="39" t="s">
        <v>26</v>
      </c>
      <c r="C1260" s="39" t="s">
        <v>26</v>
      </c>
      <c r="D1260" s="13" t="s">
        <v>400</v>
      </c>
      <c r="E1260" s="112" t="s">
        <v>38</v>
      </c>
      <c r="F1260" s="2" t="s">
        <v>380</v>
      </c>
      <c r="G1260" s="13" t="s">
        <v>399</v>
      </c>
      <c r="H1260" s="59" t="str">
        <f>Table1[[#This Row],[Tabela]]&amp;Table1[[#This Row],[Campo]]</f>
        <v>lt002_instrumentdt_rfrnc</v>
      </c>
      <c r="I1260" s="2" t="s">
        <v>613</v>
      </c>
      <c r="J1260" s="45">
        <f>VLOOKUP(Table1[[#This Row],[Status]],Auxiliar!$B$16:$C$24,2,0)</f>
        <v>1</v>
      </c>
      <c r="K1260" s="21" t="s">
        <v>1251</v>
      </c>
      <c r="L1260" s="46" t="s">
        <v>1252</v>
      </c>
      <c r="M1260" s="21" t="s">
        <v>1253</v>
      </c>
      <c r="N1260" s="48">
        <v>45506</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401</v>
      </c>
      <c r="H1261" s="59" t="str">
        <f>Table1[[#This Row],[Tabela]]&amp;Table1[[#This Row],[Campo]]</f>
        <v>lt002_instrumentinstrmnt_id</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402</v>
      </c>
      <c r="H1262" s="59" t="str">
        <f>Table1[[#This Row],[Tabela]]&amp;Table1[[#This Row],[Campo]]</f>
        <v>lt002_instrumentdt_incptn</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403</v>
      </c>
      <c r="H1263" s="59" t="str">
        <f>Table1[[#This Row],[Tabela]]&amp;Table1[[#This Row],[Campo]]</f>
        <v>lt002_instrumentdflt_stts_instrmnt</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404</v>
      </c>
      <c r="H1264" s="59" t="str">
        <f>Table1[[#This Row],[Tabela]]&amp;Table1[[#This Row],[Campo]]</f>
        <v>lt002_instrumentimprmnt_stts</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405</v>
      </c>
      <c r="H1265" s="59" t="str">
        <f>Table1[[#This Row],[Tabela]]&amp;Table1[[#This Row],[Campo]]</f>
        <v>lt002_instrumentprfrmng_stts</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406</v>
      </c>
      <c r="H1266" s="59" t="str">
        <f>Table1[[#This Row],[Tabela]]&amp;Table1[[#This Row],[Campo]]</f>
        <v>lt002_instrumentprjct_fnnc_ln</v>
      </c>
      <c r="I1266" s="2" t="s">
        <v>613</v>
      </c>
      <c r="J1266" s="45">
        <f>VLOOKUP(Table1[[#This Row],[Status]],Auxiliar!$B$16:$C$24,2,0)</f>
        <v>1</v>
      </c>
      <c r="K1266" s="21" t="s">
        <v>1251</v>
      </c>
      <c r="L1266" s="46" t="s">
        <v>1252</v>
      </c>
      <c r="M1266" s="21" t="s">
        <v>1253</v>
      </c>
      <c r="N1266" s="48">
        <v>45509</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407</v>
      </c>
      <c r="H1267" s="59" t="str">
        <f>Table1[[#This Row],[Tabela]]&amp;Table1[[#This Row],[Campo]]</f>
        <v>lt002_instrumenttyp_instrmnt</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408</v>
      </c>
      <c r="H1268" s="59" t="str">
        <f>Table1[[#This Row],[Tabela]]&amp;Table1[[#This Row],[Campo]]</f>
        <v>lt002_instrumentgrss_crryng_amnt_instrmnt</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v>45631</v>
      </c>
      <c r="V1268" s="152">
        <v>45631</v>
      </c>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409</v>
      </c>
      <c r="H1269" s="59" t="str">
        <f>Table1[[#This Row],[Tabela]]&amp;Table1[[#This Row],[Campo]]</f>
        <v>lt002_instrumentaccmltd_chngs_fv_cr_instrmnt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410</v>
      </c>
      <c r="H1270" s="59" t="str">
        <f>Table1[[#This Row],[Tabela]]&amp;Table1[[#This Row],[Campo]]</f>
        <v>lt002_instrumentaccntng_clssfctn</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411</v>
      </c>
      <c r="H1271" s="59" t="str">
        <f>Table1[[#This Row],[Tabela]]&amp;Table1[[#This Row],[Campo]]</f>
        <v>lt002_instrumentdt_lgl_fnl_mtrty</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412</v>
      </c>
      <c r="H1272" s="59" t="str">
        <f>Table1[[#This Row],[Tabela]]&amp;Table1[[#This Row],[Campo]]</f>
        <v>lt002_instrumentaccmltd_imprmnt_instrmnt</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413</v>
      </c>
      <c r="H1273" s="59" t="str">
        <f>Table1[[#This Row],[Tabela]]&amp;Table1[[#This Row],[Campo]]</f>
        <v>lt002_instrumentissr_cntry</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414</v>
      </c>
      <c r="H1274" s="59" t="str">
        <f>Table1[[#This Row],[Tabela]]&amp;Table1[[#This Row],[Campo]]</f>
        <v>lt002_instrumentissr_nace_sctr</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13" t="s">
        <v>400</v>
      </c>
      <c r="E1275" s="112" t="s">
        <v>38</v>
      </c>
      <c r="F1275" s="2" t="s">
        <v>380</v>
      </c>
      <c r="G1275" s="13" t="s">
        <v>415</v>
      </c>
      <c r="H1275" s="59" t="str">
        <f>Table1[[#This Row],[Tabela]]&amp;Table1[[#This Row],[Campo]]</f>
        <v>lt002_instrumentprmry_asst_clssf</v>
      </c>
      <c r="I1275" s="2" t="s">
        <v>613</v>
      </c>
      <c r="J1275" s="45">
        <f>VLOOKUP(Table1[[#This Row],[Status]],Auxiliar!$B$16:$C$24,2,0)</f>
        <v>1</v>
      </c>
      <c r="K1275" s="21" t="s">
        <v>1251</v>
      </c>
      <c r="L1275" s="46" t="s">
        <v>1252</v>
      </c>
      <c r="M1275" s="21" t="s">
        <v>1253</v>
      </c>
      <c r="N1275" s="48">
        <v>45506</v>
      </c>
      <c r="O1275" s="113">
        <v>0.1</v>
      </c>
      <c r="P1275" s="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400</v>
      </c>
      <c r="E1276" s="112" t="s">
        <v>38</v>
      </c>
      <c r="F1276" s="2" t="s">
        <v>380</v>
      </c>
      <c r="G1276" s="13" t="s">
        <v>416</v>
      </c>
      <c r="H1276" s="59" t="str">
        <f>Table1[[#This Row],[Tabela]]&amp;Table1[[#This Row],[Campo]]</f>
        <v>lt002_instrumentsubportfolio_id</v>
      </c>
      <c r="I1276" s="2" t="s">
        <v>613</v>
      </c>
      <c r="J1276" s="45">
        <f>VLOOKUP(Table1[[#This Row],[Status]],Auxiliar!$B$16:$C$24,2,0)</f>
        <v>1</v>
      </c>
      <c r="K1276" s="21" t="s">
        <v>1251</v>
      </c>
      <c r="L1276" s="46" t="s">
        <v>1252</v>
      </c>
      <c r="M1276" s="21" t="s">
        <v>1253</v>
      </c>
      <c r="N1276" s="48">
        <v>45506</v>
      </c>
      <c r="O1276" s="113">
        <v>0.1</v>
      </c>
      <c r="P1276" s="2"/>
      <c r="Q1276" s="152"/>
      <c r="R1276" s="152"/>
      <c r="S1276" s="152"/>
      <c r="T1276" s="152"/>
      <c r="U1276" s="152"/>
      <c r="V1276" s="152"/>
      <c r="W1276" s="2">
        <f>VLOOKUP(Table1[[#This Row],[Status]],Auxiliar!$B$16:$D$24,3,0)*Table1[[#This Row],[Estimação (horas)]]</f>
        <v>0.1</v>
      </c>
      <c r="X1276" s="205"/>
    </row>
    <row r="1277" spans="2:24" ht="17.7" hidden="1" customHeight="1">
      <c r="B1277" s="39" t="s">
        <v>26</v>
      </c>
      <c r="C1277" s="39" t="s">
        <v>26</v>
      </c>
      <c r="D1277" s="13" t="s">
        <v>400</v>
      </c>
      <c r="E1277" s="112" t="s">
        <v>38</v>
      </c>
      <c r="F1277" s="2" t="s">
        <v>380</v>
      </c>
      <c r="G1277" s="13" t="s">
        <v>417</v>
      </c>
      <c r="H1277" s="59" t="str">
        <f>Table1[[#This Row],[Tabela]]&amp;Table1[[#This Row],[Campo]]</f>
        <v>lt002_instrumentcod_soc</v>
      </c>
      <c r="I1277" s="2" t="s">
        <v>613</v>
      </c>
      <c r="J1277" s="45">
        <f>VLOOKUP(Table1[[#This Row],[Status]],Auxiliar!$B$16:$C$24,2,0)</f>
        <v>1</v>
      </c>
      <c r="K1277" s="21" t="s">
        <v>1251</v>
      </c>
      <c r="L1277" s="46" t="s">
        <v>1252</v>
      </c>
      <c r="M1277" s="21" t="s">
        <v>1253</v>
      </c>
      <c r="N1277" s="48">
        <v>45506</v>
      </c>
      <c r="O1277" s="113">
        <v>0.1</v>
      </c>
      <c r="P1277" s="2"/>
      <c r="Q1277" s="152"/>
      <c r="R1277" s="152"/>
      <c r="S1277" s="152"/>
      <c r="T1277" s="152"/>
      <c r="U1277" s="152"/>
      <c r="V1277" s="152"/>
      <c r="W1277" s="2">
        <f>VLOOKUP(Table1[[#This Row],[Status]],Auxiliar!$B$16:$D$24,3,0)*Table1[[#This Row],[Estimação (horas)]]</f>
        <v>0.1</v>
      </c>
      <c r="X1277" s="205"/>
    </row>
    <row r="1278" spans="2:24" ht="17.7" hidden="1" customHeight="1">
      <c r="B1278" s="39" t="s">
        <v>26</v>
      </c>
      <c r="C1278" s="39" t="s">
        <v>26</v>
      </c>
      <c r="D1278" s="20" t="s">
        <v>400</v>
      </c>
      <c r="E1278" s="112" t="s">
        <v>38</v>
      </c>
      <c r="F1278" s="32" t="s">
        <v>380</v>
      </c>
      <c r="G1278" s="20" t="s">
        <v>418</v>
      </c>
      <c r="H1278" s="59" t="str">
        <f>Table1[[#This Row],[Tabela]]&amp;Table1[[#This Row],[Campo]]</f>
        <v>lt002_instrumentlcl_instmrnt_id</v>
      </c>
      <c r="I1278" s="2" t="s">
        <v>613</v>
      </c>
      <c r="J1278" s="45">
        <f>VLOOKUP(Table1[[#This Row],[Status]],Auxiliar!$B$16:$C$24,2,0)</f>
        <v>1</v>
      </c>
      <c r="K1278" s="21" t="s">
        <v>1251</v>
      </c>
      <c r="L1278" s="46" t="s">
        <v>1252</v>
      </c>
      <c r="M1278" s="21" t="s">
        <v>1253</v>
      </c>
      <c r="N1278" s="48">
        <v>45510</v>
      </c>
      <c r="O1278" s="113">
        <v>0.1</v>
      </c>
      <c r="P1278" s="32"/>
      <c r="Q1278" s="152"/>
      <c r="R1278" s="152"/>
      <c r="S1278" s="152"/>
      <c r="T1278" s="152"/>
      <c r="U1278" s="152"/>
      <c r="V1278" s="152"/>
      <c r="W1278" s="2">
        <f>VLOOKUP(Table1[[#This Row],[Status]],Auxiliar!$B$16:$D$24,3,0)*Table1[[#This Row],[Estimação (horas)]]</f>
        <v>0.1</v>
      </c>
      <c r="X1278" s="205"/>
    </row>
    <row r="1279" spans="2:24" ht="17.7" hidden="1" customHeight="1">
      <c r="B1279" s="39" t="s">
        <v>26</v>
      </c>
      <c r="C1279" s="39" t="s">
        <v>26</v>
      </c>
      <c r="D1279" s="13" t="s">
        <v>31</v>
      </c>
      <c r="E1279" s="112" t="s">
        <v>38</v>
      </c>
      <c r="F1279" s="2" t="s">
        <v>1948</v>
      </c>
      <c r="G1279" s="13" t="s">
        <v>419</v>
      </c>
      <c r="H1279" s="59" t="str">
        <f>Table1[[#This Row],[Tabela]]&amp;Table1[[#This Row],[Campo]]</f>
        <v>lt007_instr_activitysstnbl_indctr</v>
      </c>
      <c r="I1279" s="2" t="s">
        <v>613</v>
      </c>
      <c r="J1279" s="45">
        <f>VLOOKUP(Table1[[#This Row],[Status]],Auxiliar!$B$16:$C$24,2,0)</f>
        <v>1</v>
      </c>
      <c r="K1279" s="21" t="s">
        <v>1251</v>
      </c>
      <c r="L1279" s="46" t="s">
        <v>1252</v>
      </c>
      <c r="M1279" s="21" t="s">
        <v>1253</v>
      </c>
      <c r="N1279" s="48">
        <v>45649</v>
      </c>
      <c r="O1279" s="113">
        <v>0.1</v>
      </c>
      <c r="P1279" s="43"/>
      <c r="Q1279" s="152"/>
      <c r="R1279" s="152"/>
      <c r="S1279" s="152"/>
      <c r="T1279" s="152"/>
      <c r="U1279" s="152">
        <v>45624</v>
      </c>
      <c r="V1279" s="152">
        <v>45624</v>
      </c>
      <c r="W1279" s="2">
        <f>VLOOKUP(Table1[[#This Row],[Status]],Auxiliar!$B$16:$D$24,3,0)*Table1[[#This Row],[Estimação (horas)]]</f>
        <v>0.1</v>
      </c>
      <c r="X1279" s="205"/>
    </row>
    <row r="1280" spans="2:24" ht="17.7" hidden="1" customHeight="1">
      <c r="B1280" s="39" t="s">
        <v>26</v>
      </c>
      <c r="C1280" s="39" t="s">
        <v>26</v>
      </c>
      <c r="D1280" s="13" t="s">
        <v>31</v>
      </c>
      <c r="E1280" s="112" t="s">
        <v>38</v>
      </c>
      <c r="F1280" s="2" t="s">
        <v>1948</v>
      </c>
      <c r="G1280" s="13" t="s">
        <v>420</v>
      </c>
      <c r="H1280" s="59" t="str">
        <f>Table1[[#This Row],[Tabela]]&amp;Table1[[#This Row],[Campo]]</f>
        <v>lt007_instr_activitysstnbl_ctgry</v>
      </c>
      <c r="I1280" s="2" t="s">
        <v>615</v>
      </c>
      <c r="J1280" s="45">
        <f>VLOOKUP(Table1[[#This Row],[Status]],Auxiliar!$B$16:$C$24,2,0)</f>
        <v>5</v>
      </c>
      <c r="K1280" s="21" t="s">
        <v>1251</v>
      </c>
      <c r="L1280" s="46" t="s">
        <v>1252</v>
      </c>
      <c r="M1280" s="21" t="s">
        <v>1253</v>
      </c>
      <c r="N1280" s="48">
        <v>45625</v>
      </c>
      <c r="O1280" s="113">
        <v>0.1</v>
      </c>
      <c r="P1280" s="43"/>
      <c r="Q1280" s="152"/>
      <c r="R1280" s="152">
        <v>45593</v>
      </c>
      <c r="S1280" s="152"/>
      <c r="T1280" s="152">
        <v>45593</v>
      </c>
      <c r="U1280" s="152">
        <v>45624</v>
      </c>
      <c r="V1280" s="152">
        <v>45624</v>
      </c>
      <c r="W1280" s="2">
        <f>VLOOKUP(Table1[[#This Row],[Status]],Auxiliar!$B$16:$D$24,3,0)*Table1[[#This Row],[Estimação (horas)]]</f>
        <v>2.5000000000000001E-2</v>
      </c>
      <c r="X1280" s="205"/>
    </row>
    <row r="1281" spans="2:24" ht="17.7" hidden="1" customHeight="1">
      <c r="B1281" s="39" t="s">
        <v>26</v>
      </c>
      <c r="C1281" s="39" t="s">
        <v>26</v>
      </c>
      <c r="D1281" s="13" t="s">
        <v>31</v>
      </c>
      <c r="E1281" s="112" t="s">
        <v>38</v>
      </c>
      <c r="F1281" s="2" t="s">
        <v>380</v>
      </c>
      <c r="G1281" s="13" t="s">
        <v>421</v>
      </c>
      <c r="H1281" s="59" t="str">
        <f>Table1[[#This Row],[Tabela]]&amp;Table1[[#This Row],[Campo]]</f>
        <v>lt002_instrumentgrss_intrst_incm</v>
      </c>
      <c r="I1281" s="2" t="s">
        <v>1921</v>
      </c>
      <c r="J1281" s="45">
        <f>VLOOKUP(Table1[[#This Row],[Status]],Auxiliar!$B$16:$C$24,2,0)</f>
        <v>2</v>
      </c>
      <c r="K1281" s="21" t="s">
        <v>1251</v>
      </c>
      <c r="L1281" s="46" t="s">
        <v>1252</v>
      </c>
      <c r="M1281" s="21" t="s">
        <v>1253</v>
      </c>
      <c r="N1281" s="48">
        <v>45632</v>
      </c>
      <c r="O1281" s="113">
        <v>0.1</v>
      </c>
      <c r="P1281" s="2"/>
      <c r="Q1281" s="152"/>
      <c r="R1281" s="152"/>
      <c r="S1281" s="152"/>
      <c r="T1281" s="152">
        <v>45618</v>
      </c>
      <c r="U1281" s="152">
        <v>45631</v>
      </c>
      <c r="V1281" s="152">
        <v>45631</v>
      </c>
      <c r="W1281" s="2">
        <f>VLOOKUP(Table1[[#This Row],[Status]],Auxiliar!$B$16:$D$24,3,0)*Table1[[#This Row],[Estimação (horas)]]</f>
        <v>0.05</v>
      </c>
      <c r="X1281" s="205"/>
    </row>
    <row r="1282" spans="2:24" ht="17.7" hidden="1" customHeight="1">
      <c r="B1282" s="39" t="s">
        <v>26</v>
      </c>
      <c r="C1282" s="39" t="s">
        <v>26</v>
      </c>
      <c r="D1282" s="13" t="s">
        <v>31</v>
      </c>
      <c r="E1282" s="112" t="s">
        <v>38</v>
      </c>
      <c r="F1282" s="2" t="s">
        <v>380</v>
      </c>
      <c r="G1282" s="13" t="s">
        <v>422</v>
      </c>
      <c r="H1282" s="59" t="str">
        <f>Table1[[#This Row],[Tabela]]&amp;Table1[[#This Row],[Campo]]</f>
        <v>lt002_instrumentgrss_cmmssn_incm</v>
      </c>
      <c r="I1282" s="2" t="s">
        <v>1921</v>
      </c>
      <c r="J1282" s="45">
        <f>VLOOKUP(Table1[[#This Row],[Status]],Auxiliar!$B$16:$C$24,2,0)</f>
        <v>2</v>
      </c>
      <c r="K1282" s="21" t="s">
        <v>1251</v>
      </c>
      <c r="L1282" s="46" t="s">
        <v>1252</v>
      </c>
      <c r="M1282" s="21" t="s">
        <v>1253</v>
      </c>
      <c r="N1282" s="48">
        <v>45632</v>
      </c>
      <c r="O1282" s="113">
        <v>0.1</v>
      </c>
      <c r="P1282" s="2"/>
      <c r="Q1282" s="152"/>
      <c r="R1282" s="152"/>
      <c r="S1282" s="152"/>
      <c r="T1282" s="152">
        <v>45618</v>
      </c>
      <c r="U1282" s="152">
        <v>45631</v>
      </c>
      <c r="V1282" s="152">
        <v>45631</v>
      </c>
      <c r="W1282" s="2">
        <f>VLOOKUP(Table1[[#This Row],[Status]],Auxiliar!$B$16:$D$24,3,0)*Table1[[#This Row],[Estimação (horas)]]</f>
        <v>0.05</v>
      </c>
      <c r="X1282" s="205"/>
    </row>
    <row r="1283" spans="2:24" ht="17.7" hidden="1" customHeight="1">
      <c r="B1283" s="39" t="s">
        <v>26</v>
      </c>
      <c r="C1283" s="39" t="s">
        <v>26</v>
      </c>
      <c r="D1283" s="13" t="s">
        <v>31</v>
      </c>
      <c r="E1283" s="112" t="s">
        <v>38</v>
      </c>
      <c r="F1283" s="2" t="s">
        <v>380</v>
      </c>
      <c r="G1283" s="13" t="s">
        <v>423</v>
      </c>
      <c r="H1283" s="59" t="str">
        <f>Table1[[#This Row],[Tabela]]&amp;Table1[[#This Row],[Campo]]</f>
        <v>lt002_instrumentgrss_cmmssn_incm_off_blnc</v>
      </c>
      <c r="I1283" s="2" t="s">
        <v>1921</v>
      </c>
      <c r="J1283" s="45">
        <f>VLOOKUP(Table1[[#This Row],[Status]],Auxiliar!$B$16:$C$24,2,0)</f>
        <v>2</v>
      </c>
      <c r="K1283" s="21" t="s">
        <v>1251</v>
      </c>
      <c r="L1283" s="46" t="s">
        <v>1252</v>
      </c>
      <c r="M1283" s="21" t="s">
        <v>1253</v>
      </c>
      <c r="N1283" s="48">
        <v>45632</v>
      </c>
      <c r="O1283" s="113">
        <v>0.1</v>
      </c>
      <c r="P1283" s="2"/>
      <c r="Q1283" s="152"/>
      <c r="R1283" s="152"/>
      <c r="S1283" s="152"/>
      <c r="T1283" s="152">
        <v>45618</v>
      </c>
      <c r="U1283" s="152">
        <v>45631</v>
      </c>
      <c r="V1283" s="152">
        <v>45631</v>
      </c>
      <c r="W1283" s="2">
        <f>VLOOKUP(Table1[[#This Row],[Status]],Auxiliar!$B$16:$D$24,3,0)*Table1[[#This Row],[Estimação (horas)]]</f>
        <v>0.05</v>
      </c>
      <c r="X1283" s="205"/>
    </row>
    <row r="1284" spans="2:24" ht="17.7" hidden="1" customHeight="1">
      <c r="B1284" s="39" t="s">
        <v>26</v>
      </c>
      <c r="C1284" s="39" t="s">
        <v>26</v>
      </c>
      <c r="D1284" s="13" t="s">
        <v>400</v>
      </c>
      <c r="E1284" s="112" t="s">
        <v>38</v>
      </c>
      <c r="F1284" s="2" t="s">
        <v>380</v>
      </c>
      <c r="G1284" s="13" t="s">
        <v>424</v>
      </c>
      <c r="H1284" s="59" t="str">
        <f>Table1[[#This Row],[Tabela]]&amp;Table1[[#This Row],[Campo]]</f>
        <v>lt002_instrumentidcmb</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425</v>
      </c>
      <c r="H1285" s="59" t="str">
        <f>Table1[[#This Row],[Tabela]]&amp;Table1[[#This Row],[Campo]]</f>
        <v>lt003_entitycntry</v>
      </c>
      <c r="I1285" s="2" t="s">
        <v>613</v>
      </c>
      <c r="J1285" s="45">
        <f>VLOOKUP(Table1[[#This Row],[Status]],Auxiliar!$B$16:$C$24,2,0)</f>
        <v>1</v>
      </c>
      <c r="K1285" s="21" t="s">
        <v>1251</v>
      </c>
      <c r="L1285" s="46" t="s">
        <v>1252</v>
      </c>
      <c r="M1285" s="21" t="s">
        <v>1253</v>
      </c>
      <c r="N1285" s="48">
        <v>45505</v>
      </c>
      <c r="O1285" s="113">
        <v>0.1</v>
      </c>
      <c r="P1285" s="2"/>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399</v>
      </c>
      <c r="H1286" s="59" t="str">
        <f>Table1[[#This Row],[Tabela]]&amp;Table1[[#This Row],[Campo]]</f>
        <v>lt003_entitydt_rfrnc</v>
      </c>
      <c r="I1286" s="2" t="s">
        <v>613</v>
      </c>
      <c r="J1286" s="45">
        <f>VLOOKUP(Table1[[#This Row],[Status]],Auxiliar!$B$16:$C$24,2,0)</f>
        <v>1</v>
      </c>
      <c r="K1286" s="21" t="s">
        <v>1251</v>
      </c>
      <c r="L1286" s="46" t="s">
        <v>1252</v>
      </c>
      <c r="M1286" s="21" t="s">
        <v>1253</v>
      </c>
      <c r="N1286" s="48">
        <v>45506</v>
      </c>
      <c r="O1286" s="113">
        <v>0.1</v>
      </c>
      <c r="P1286" s="2"/>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426</v>
      </c>
      <c r="H1287" s="59" t="str">
        <f>Table1[[#This Row],[Tabela]]&amp;Table1[[#This Row],[Campo]]</f>
        <v>lt003_entityentty_id</v>
      </c>
      <c r="I1287" s="2" t="s">
        <v>613</v>
      </c>
      <c r="J1287" s="45">
        <f>VLOOKUP(Table1[[#This Row],[Status]],Auxiliar!$B$16:$C$24,2,0)</f>
        <v>1</v>
      </c>
      <c r="K1287" s="21" t="s">
        <v>1251</v>
      </c>
      <c r="L1287" s="46" t="s">
        <v>1252</v>
      </c>
      <c r="M1287" s="21" t="s">
        <v>1253</v>
      </c>
      <c r="N1287" s="48">
        <v>45506</v>
      </c>
      <c r="O1287" s="113">
        <v>0.1</v>
      </c>
      <c r="P1287" s="2"/>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427</v>
      </c>
      <c r="H1288" s="59" t="str">
        <f>Table1[[#This Row],[Tabela]]&amp;Table1[[#This Row],[Campo]]</f>
        <v>lt003_entitylei</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428</v>
      </c>
      <c r="H1289" s="59" t="str">
        <f>Table1[[#This Row],[Tabela]]&amp;Table1[[#This Row],[Campo]]</f>
        <v>lt003_entityecnmc_actvty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429</v>
      </c>
      <c r="H1290" s="59" t="str">
        <f>Table1[[#This Row],[Tabela]]&amp;Table1[[#This Row],[Campo]]</f>
        <v>lt003_entitygrp_eqty</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430</v>
      </c>
      <c r="H1291" s="59" t="str">
        <f>Table1[[#This Row],[Tabela]]&amp;Table1[[#This Row],[Campo]]</f>
        <v>lt003_entityannl_trnvr_le</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13" t="s">
        <v>400</v>
      </c>
      <c r="E1292" s="112" t="s">
        <v>38</v>
      </c>
      <c r="F1292" s="2" t="s">
        <v>336</v>
      </c>
      <c r="G1292" s="13" t="s">
        <v>431</v>
      </c>
      <c r="H1292" s="59" t="str">
        <f>Table1[[#This Row],[Tabela]]&amp;Table1[[#This Row],[Campo]]</f>
        <v>lt003_entityeqty</v>
      </c>
      <c r="I1292" s="2" t="s">
        <v>613</v>
      </c>
      <c r="J1292" s="45">
        <f>VLOOKUP(Table1[[#This Row],[Status]],Auxiliar!$B$16:$C$24,2,0)</f>
        <v>1</v>
      </c>
      <c r="K1292" s="21" t="s">
        <v>1251</v>
      </c>
      <c r="L1292" s="46" t="s">
        <v>1252</v>
      </c>
      <c r="M1292" s="21" t="s">
        <v>1253</v>
      </c>
      <c r="N1292" s="48">
        <v>45509</v>
      </c>
      <c r="O1292" s="113">
        <v>0.1</v>
      </c>
      <c r="P1292" s="2" t="s">
        <v>1359</v>
      </c>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336</v>
      </c>
      <c r="G1293" s="13" t="s">
        <v>432</v>
      </c>
      <c r="H1293" s="59" t="str">
        <f>Table1[[#This Row],[Tabela]]&amp;Table1[[#This Row],[Campo]]</f>
        <v>lt003_entitygrp_ttl_dbt</v>
      </c>
      <c r="I1293" s="2" t="s">
        <v>613</v>
      </c>
      <c r="J1293" s="45">
        <f>VLOOKUP(Table1[[#This Row],[Status]],Auxiliar!$B$16:$C$24,2,0)</f>
        <v>1</v>
      </c>
      <c r="K1293" s="21" t="s">
        <v>1251</v>
      </c>
      <c r="L1293" s="46" t="s">
        <v>1252</v>
      </c>
      <c r="M1293" s="21" t="s">
        <v>1253</v>
      </c>
      <c r="N1293" s="48">
        <v>45509</v>
      </c>
      <c r="O1293" s="113">
        <v>0.1</v>
      </c>
      <c r="P1293" s="2" t="s">
        <v>1359</v>
      </c>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336</v>
      </c>
      <c r="G1294" s="13" t="s">
        <v>433</v>
      </c>
      <c r="H1294" s="59" t="str">
        <f>Table1[[#This Row],[Tabela]]&amp;Table1[[#This Row],[Campo]]</f>
        <v>lt003_entityttl_dbt</v>
      </c>
      <c r="I1294" s="2" t="s">
        <v>613</v>
      </c>
      <c r="J1294" s="45">
        <f>VLOOKUP(Table1[[#This Row],[Status]],Auxiliar!$B$16:$C$24,2,0)</f>
        <v>1</v>
      </c>
      <c r="K1294" s="21" t="s">
        <v>1251</v>
      </c>
      <c r="L1294" s="46" t="s">
        <v>1252</v>
      </c>
      <c r="M1294" s="21" t="s">
        <v>1253</v>
      </c>
      <c r="N1294" s="48">
        <v>45509</v>
      </c>
      <c r="O1294" s="113">
        <v>0.1</v>
      </c>
      <c r="P1294" s="2" t="s">
        <v>1359</v>
      </c>
      <c r="Q1294" s="152"/>
      <c r="R1294" s="152"/>
      <c r="S1294" s="152"/>
      <c r="T1294" s="152"/>
      <c r="U1294" s="152"/>
      <c r="V1294" s="152"/>
      <c r="W1294" s="2">
        <f>VLOOKUP(Table1[[#This Row],[Status]],Auxiliar!$B$16:$D$24,3,0)*Table1[[#This Row],[Estimação (horas)]]</f>
        <v>0.1</v>
      </c>
      <c r="X1294" s="205"/>
    </row>
    <row r="1295" spans="2:24" ht="17.7" hidden="1" customHeight="1">
      <c r="B1295" s="39" t="s">
        <v>26</v>
      </c>
      <c r="C1295" s="39" t="s">
        <v>26</v>
      </c>
      <c r="D1295" s="20" t="s">
        <v>400</v>
      </c>
      <c r="E1295" s="112" t="s">
        <v>38</v>
      </c>
      <c r="F1295" s="32" t="s">
        <v>336</v>
      </c>
      <c r="G1295" s="20" t="s">
        <v>417</v>
      </c>
      <c r="H1295" s="59" t="str">
        <f>Table1[[#This Row],[Tabela]]&amp;Table1[[#This Row],[Campo]]</f>
        <v>lt003_entitycod_soc</v>
      </c>
      <c r="I1295" s="2" t="s">
        <v>613</v>
      </c>
      <c r="J1295" s="45">
        <f>VLOOKUP(Table1[[#This Row],[Status]],Auxiliar!$B$16:$C$24,2,0)</f>
        <v>1</v>
      </c>
      <c r="K1295" s="21" t="s">
        <v>1251</v>
      </c>
      <c r="L1295" s="46" t="s">
        <v>1252</v>
      </c>
      <c r="M1295" s="21" t="s">
        <v>1253</v>
      </c>
      <c r="N1295" s="48">
        <v>45491</v>
      </c>
      <c r="O1295" s="113">
        <v>0.1</v>
      </c>
      <c r="P1295" s="32"/>
      <c r="Q1295" s="152"/>
      <c r="R1295" s="152"/>
      <c r="S1295" s="152"/>
      <c r="T1295" s="152"/>
      <c r="U1295" s="152"/>
      <c r="V1295" s="152"/>
      <c r="W1295" s="2">
        <f>VLOOKUP(Table1[[#This Row],[Status]],Auxiliar!$B$16:$D$24,3,0)*Table1[[#This Row],[Estimação (horas)]]</f>
        <v>0.1</v>
      </c>
      <c r="X1295" s="205"/>
    </row>
    <row r="1296" spans="2:24" ht="17.7" hidden="1" customHeight="1">
      <c r="B1296" s="39" t="s">
        <v>26</v>
      </c>
      <c r="C1296" s="39" t="s">
        <v>26</v>
      </c>
      <c r="D1296" s="389" t="s">
        <v>1351</v>
      </c>
      <c r="E1296" s="112" t="s">
        <v>1353</v>
      </c>
      <c r="F1296" s="40" t="s">
        <v>369</v>
      </c>
      <c r="G1296" s="393" t="s">
        <v>375</v>
      </c>
      <c r="H1296" s="394" t="str">
        <f>Table1[[#This Row],[Tabela]]&amp;Table1[[#This Row],[Campo]]</f>
        <v>lt004_protectionemssns_scp2_prtctn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152"/>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1353</v>
      </c>
      <c r="F1297" s="43" t="s">
        <v>369</v>
      </c>
      <c r="G1297" s="41" t="s">
        <v>375</v>
      </c>
      <c r="H1297" s="59" t="str">
        <f>Table1[[#This Row],[Tabela]]&amp;Table1[[#This Row],[Campo]]</f>
        <v>lt004_protectionemssns_scp2_prtctn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152"/>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1353</v>
      </c>
      <c r="F1298" s="43" t="s">
        <v>369</v>
      </c>
      <c r="G1298" s="41" t="s">
        <v>375</v>
      </c>
      <c r="H1298" s="59" t="str">
        <f>Table1[[#This Row],[Tabela]]&amp;Table1[[#This Row],[Campo]]</f>
        <v>lt004_protectionemssns_scp2_prtctn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152"/>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389" t="s">
        <v>1351</v>
      </c>
      <c r="E1299" s="112" t="s">
        <v>1352</v>
      </c>
      <c r="F1299" s="40" t="s">
        <v>369</v>
      </c>
      <c r="G1299" s="393" t="s">
        <v>374</v>
      </c>
      <c r="H1299" s="394" t="str">
        <f>Table1[[#This Row],[Tabela]]&amp;Table1[[#This Row],[Campo]]</f>
        <v>lt004_protectionemssns_scp1_prtctn</v>
      </c>
      <c r="I1299" s="2" t="s">
        <v>613</v>
      </c>
      <c r="J1299" s="45">
        <f>VLOOKUP(Table1[[#This Row],[Status]],Auxiliar!$B$16:$C$24,2,0)</f>
        <v>1</v>
      </c>
      <c r="K1299" s="46" t="s">
        <v>1246</v>
      </c>
      <c r="L1299" s="46" t="s">
        <v>1252</v>
      </c>
      <c r="M1299" s="21" t="s">
        <v>1253</v>
      </c>
      <c r="N1299" s="48">
        <v>45667</v>
      </c>
      <c r="O1299" s="21">
        <f>INDEX(Auxiliar!$D$5:$F$13,MATCH(Table1[[#This Row],[Tipologia_Testes]],Auxiliar!$B$5:$B$13,0),MATCH(Table1[[#This Row],[Complexidade]],Auxiliar!$D$4:$F$4,0))</f>
        <v>2</v>
      </c>
      <c r="P1299" s="43" t="s">
        <v>1338</v>
      </c>
      <c r="Q1299" s="43"/>
      <c r="R1299" s="152">
        <v>45622</v>
      </c>
      <c r="S1299" s="152"/>
      <c r="T1299" s="152"/>
      <c r="U1299" s="152">
        <v>45631</v>
      </c>
      <c r="V1299" s="152">
        <v>45631</v>
      </c>
      <c r="W1299" s="2">
        <f>VLOOKUP(Table1[[#This Row],[Status]],Auxiliar!$B$16:$D$24,3,0)*Table1[[#This Row],[Estimação (horas)]]</f>
        <v>2</v>
      </c>
      <c r="X1299" s="114"/>
    </row>
    <row r="1300" spans="2:24" ht="17.7" hidden="1" customHeight="1">
      <c r="B1300" s="39" t="s">
        <v>26</v>
      </c>
      <c r="C1300" s="39" t="s">
        <v>26</v>
      </c>
      <c r="D1300" s="41" t="s">
        <v>1351</v>
      </c>
      <c r="E1300" s="47" t="s">
        <v>1352</v>
      </c>
      <c r="F1300" s="43" t="s">
        <v>369</v>
      </c>
      <c r="G1300" s="41" t="s">
        <v>374</v>
      </c>
      <c r="H1300" s="59" t="str">
        <f>Table1[[#This Row],[Tabela]]&amp;Table1[[#This Row],[Campo]]</f>
        <v>lt004_protectionemssns_scp1_prtctn</v>
      </c>
      <c r="I1300" s="2" t="s">
        <v>613</v>
      </c>
      <c r="J1300" s="45">
        <f>VLOOKUP(Table1[[#This Row],[Status]],Auxiliar!$B$16:$C$24,2,0)</f>
        <v>1</v>
      </c>
      <c r="K1300" s="46" t="s">
        <v>1247</v>
      </c>
      <c r="L1300" s="46" t="s">
        <v>1252</v>
      </c>
      <c r="M1300" s="21" t="s">
        <v>1253</v>
      </c>
      <c r="N1300" s="48">
        <v>45667</v>
      </c>
      <c r="O1300" s="21">
        <f>INDEX(Auxiliar!$D$5:$F$13,MATCH(Table1[[#This Row],[Tipologia_Testes]],Auxiliar!$B$5:$B$13,0),MATCH(Table1[[#This Row],[Complexidade]],Auxiliar!$D$4:$F$4,0))</f>
        <v>2</v>
      </c>
      <c r="P1300" s="43" t="s">
        <v>1338</v>
      </c>
      <c r="Q1300" s="43"/>
      <c r="R1300" s="152">
        <v>45622</v>
      </c>
      <c r="S1300" s="152"/>
      <c r="T1300" s="152"/>
      <c r="U1300" s="152">
        <v>45631</v>
      </c>
      <c r="V1300" s="152">
        <v>45631</v>
      </c>
      <c r="W1300" s="2">
        <f>VLOOKUP(Table1[[#This Row],[Status]],Auxiliar!$B$16:$D$24,3,0)*Table1[[#This Row],[Estimação (horas)]]</f>
        <v>2</v>
      </c>
      <c r="X1300" s="114"/>
    </row>
    <row r="1301" spans="2:24" ht="17.7" hidden="1" customHeight="1">
      <c r="B1301" s="39" t="s">
        <v>26</v>
      </c>
      <c r="C1301" s="39" t="s">
        <v>26</v>
      </c>
      <c r="D1301" s="41" t="s">
        <v>1351</v>
      </c>
      <c r="E1301" s="47" t="s">
        <v>1352</v>
      </c>
      <c r="F1301" s="43" t="s">
        <v>369</v>
      </c>
      <c r="G1301" s="41" t="s">
        <v>374</v>
      </c>
      <c r="H1301" s="59" t="str">
        <f>Table1[[#This Row],[Tabela]]&amp;Table1[[#This Row],[Campo]]</f>
        <v>lt004_protectionemssns_scp1_prtctn</v>
      </c>
      <c r="I1301" s="2" t="s">
        <v>613</v>
      </c>
      <c r="J1301" s="45">
        <f>VLOOKUP(Table1[[#This Row],[Status]],Auxiliar!$B$16:$C$24,2,0)</f>
        <v>1</v>
      </c>
      <c r="K1301" s="46" t="s">
        <v>1249</v>
      </c>
      <c r="L1301" s="46" t="s">
        <v>1252</v>
      </c>
      <c r="M1301" s="21" t="s">
        <v>1253</v>
      </c>
      <c r="N1301" s="48">
        <v>45667</v>
      </c>
      <c r="O1301" s="21">
        <f>INDEX(Auxiliar!$D$5:$F$13,MATCH(Table1[[#This Row],[Tipologia_Testes]],Auxiliar!$B$5:$B$13,0),MATCH(Table1[[#This Row],[Complexidade]],Auxiliar!$D$4:$F$4,0))</f>
        <v>0.1</v>
      </c>
      <c r="P1301" s="43" t="s">
        <v>1338</v>
      </c>
      <c r="Q1301" s="43"/>
      <c r="R1301" s="152">
        <v>45622</v>
      </c>
      <c r="S1301" s="152"/>
      <c r="T1301" s="152"/>
      <c r="U1301" s="152">
        <v>45631</v>
      </c>
      <c r="V1301" s="152">
        <v>45631</v>
      </c>
      <c r="W1301" s="2">
        <f>VLOOKUP(Table1[[#This Row],[Status]],Auxiliar!$B$16:$D$24,3,0)*Table1[[#This Row],[Estimação (horas)]]</f>
        <v>0.1</v>
      </c>
      <c r="X1301" s="114"/>
    </row>
    <row r="1302" spans="2:24" ht="17.7" hidden="1" customHeight="1">
      <c r="B1302" s="39" t="s">
        <v>26</v>
      </c>
      <c r="C1302" s="39" t="s">
        <v>26</v>
      </c>
      <c r="D1302" s="13" t="s">
        <v>400</v>
      </c>
      <c r="E1302" s="112" t="s">
        <v>38</v>
      </c>
      <c r="F1302" s="2" t="s">
        <v>369</v>
      </c>
      <c r="G1302" s="13" t="s">
        <v>399</v>
      </c>
      <c r="H1302" s="59" t="str">
        <f>Table1[[#This Row],[Tabela]]&amp;Table1[[#This Row],[Campo]]</f>
        <v>lt004_protectiondt_rfrnc</v>
      </c>
      <c r="I1302" s="2" t="s">
        <v>613</v>
      </c>
      <c r="J1302" s="45">
        <f>VLOOKUP(Table1[[#This Row],[Status]],Auxiliar!$B$16:$C$24,2,0)</f>
        <v>1</v>
      </c>
      <c r="K1302" s="21" t="s">
        <v>1251</v>
      </c>
      <c r="L1302" s="46" t="s">
        <v>1252</v>
      </c>
      <c r="M1302" s="21" t="s">
        <v>1253</v>
      </c>
      <c r="N1302" s="48">
        <v>45509</v>
      </c>
      <c r="O1302" s="113">
        <v>0.1</v>
      </c>
      <c r="P1302" s="2"/>
      <c r="Q1302" s="152"/>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32" t="s">
        <v>369</v>
      </c>
      <c r="G1303" t="s">
        <v>417</v>
      </c>
      <c r="H1303" s="59" t="str">
        <f>Table1[[#This Row],[Tabela]]&amp;Table1[[#This Row],[Campo]]</f>
        <v>lt004_protectioncod_soc</v>
      </c>
      <c r="I1303" s="2" t="s">
        <v>613</v>
      </c>
      <c r="J1303" s="45">
        <f>VLOOKUP(Table1[[#This Row],[Status]],Auxiliar!$B$16:$C$24,2,0)</f>
        <v>1</v>
      </c>
      <c r="K1303" s="21" t="s">
        <v>1251</v>
      </c>
      <c r="L1303" s="46" t="s">
        <v>1252</v>
      </c>
      <c r="M1303" s="21" t="s">
        <v>1253</v>
      </c>
      <c r="N1303" s="48">
        <v>45590</v>
      </c>
      <c r="O1303" s="113">
        <v>0.1</v>
      </c>
      <c r="P1303" s="32" t="s">
        <v>1335</v>
      </c>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399</v>
      </c>
      <c r="H1304" s="59" t="str">
        <f>Table1[[#This Row],[Tabela]]&amp;Table1[[#This Row],[Campo]]</f>
        <v>lt005_instr_entdt_rfrnc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426</v>
      </c>
      <c r="H1305" s="59" t="str">
        <f>Table1[[#This Row],[Tabela]]&amp;Table1[[#This Row],[Campo]]</f>
        <v>lt005_instr_ententty_id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440</v>
      </c>
      <c r="G1306" s="13" t="s">
        <v>401</v>
      </c>
      <c r="H1306" s="59" t="str">
        <f>Table1[[#This Row],[Tabela]]&amp;Table1[[#This Row],[Campo]]</f>
        <v>lt005_instr_entinstrmnt_id</v>
      </c>
      <c r="I1306" s="2" t="s">
        <v>613</v>
      </c>
      <c r="J1306" s="45">
        <f>VLOOKUP(Table1[[#This Row],[Status]],Auxiliar!$B$16:$C$24,2,0)</f>
        <v>1</v>
      </c>
      <c r="K1306" s="21" t="s">
        <v>1251</v>
      </c>
      <c r="L1306" s="46" t="s">
        <v>1252</v>
      </c>
      <c r="M1306" s="21" t="s">
        <v>1253</v>
      </c>
      <c r="N1306" s="48">
        <v>45510</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440</v>
      </c>
      <c r="G1307" s="13" t="s">
        <v>417</v>
      </c>
      <c r="H1307" s="59" t="str">
        <f>Table1[[#This Row],[Tabela]]&amp;Table1[[#This Row],[Campo]]</f>
        <v>lt005_instr_entcod_soc</v>
      </c>
      <c r="I1307" s="2" t="s">
        <v>613</v>
      </c>
      <c r="J1307" s="45">
        <f>VLOOKUP(Table1[[#This Row],[Status]],Auxiliar!$B$16:$C$24,2,0)</f>
        <v>1</v>
      </c>
      <c r="K1307" s="21" t="s">
        <v>1251</v>
      </c>
      <c r="L1307" s="46" t="s">
        <v>1252</v>
      </c>
      <c r="M1307" s="21" t="s">
        <v>1253</v>
      </c>
      <c r="N1307" s="48">
        <v>45510</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440</v>
      </c>
      <c r="G1308" s="13" t="s">
        <v>441</v>
      </c>
      <c r="H1308" s="59" t="str">
        <f>Table1[[#This Row],[Tabela]]&amp;Table1[[#This Row],[Campo]]</f>
        <v>lt005_instr_entmn_entty_id</v>
      </c>
      <c r="I1308" s="2" t="s">
        <v>613</v>
      </c>
      <c r="J1308" s="45">
        <f>VLOOKUP(Table1[[#This Row],[Status]],Auxiliar!$B$16:$C$24,2,0)</f>
        <v>1</v>
      </c>
      <c r="K1308" s="21" t="s">
        <v>1251</v>
      </c>
      <c r="L1308" s="46" t="s">
        <v>1252</v>
      </c>
      <c r="M1308" s="21" t="s">
        <v>1253</v>
      </c>
      <c r="N1308" s="48">
        <v>45510</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399</v>
      </c>
      <c r="H1309" s="59" t="str">
        <f>Table1[[#This Row],[Tabela]]&amp;Table1[[#This Row],[Campo]]</f>
        <v>lt006_instr_protdt_rfrnc</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2" t="s">
        <v>442</v>
      </c>
      <c r="G1310" s="13" t="s">
        <v>401</v>
      </c>
      <c r="H1310" s="59" t="str">
        <f>Table1[[#This Row],[Tabela]]&amp;Table1[[#This Row],[Campo]]</f>
        <v>lt006_instr_protinstrmnt_id</v>
      </c>
      <c r="I1310" s="2" t="s">
        <v>613</v>
      </c>
      <c r="J1310" s="45">
        <f>VLOOKUP(Table1[[#This Row],[Status]],Auxiliar!$B$16:$C$24,2,0)</f>
        <v>1</v>
      </c>
      <c r="K1310" s="21" t="s">
        <v>1251</v>
      </c>
      <c r="L1310" s="46" t="s">
        <v>1252</v>
      </c>
      <c r="M1310" s="21" t="s">
        <v>1253</v>
      </c>
      <c r="N1310" s="48">
        <v>45509</v>
      </c>
      <c r="O1310" s="113">
        <v>0.1</v>
      </c>
      <c r="P1310" s="2"/>
      <c r="Q1310" s="205"/>
      <c r="R1310" s="152"/>
      <c r="S1310" s="152"/>
      <c r="T1310" s="152"/>
      <c r="U1310" s="152"/>
      <c r="V1310" s="152"/>
      <c r="W1310" s="2">
        <f>VLOOKUP(Table1[[#This Row],[Status]],Auxiliar!$B$16:$D$24,3,0)*Table1[[#This Row],[Estimação (horas)]]</f>
        <v>0.1</v>
      </c>
      <c r="X1310" s="205"/>
    </row>
    <row r="1311" spans="2:24" ht="17.7" hidden="1" customHeight="1">
      <c r="B1311" s="39" t="s">
        <v>26</v>
      </c>
      <c r="C1311" s="39" t="s">
        <v>26</v>
      </c>
      <c r="D1311" s="20" t="s">
        <v>400</v>
      </c>
      <c r="E1311" s="112" t="s">
        <v>38</v>
      </c>
      <c r="F1311" s="2" t="s">
        <v>442</v>
      </c>
      <c r="G1311" s="13" t="s">
        <v>434</v>
      </c>
      <c r="H1311" s="59" t="str">
        <f>Table1[[#This Row],[Tabela]]&amp;Table1[[#This Row],[Campo]]</f>
        <v>lt006_instr_protprtctn_id</v>
      </c>
      <c r="I1311" s="2" t="s">
        <v>613</v>
      </c>
      <c r="J1311" s="45">
        <f>VLOOKUP(Table1[[#This Row],[Status]],Auxiliar!$B$16:$C$24,2,0)</f>
        <v>1</v>
      </c>
      <c r="K1311" s="21" t="s">
        <v>1251</v>
      </c>
      <c r="L1311" s="46" t="s">
        <v>1252</v>
      </c>
      <c r="M1311" s="21" t="s">
        <v>1253</v>
      </c>
      <c r="N1311" s="48">
        <v>45509</v>
      </c>
      <c r="O1311" s="113">
        <v>0.1</v>
      </c>
      <c r="P1311" s="2"/>
      <c r="Q1311" s="205"/>
      <c r="R1311" s="152"/>
      <c r="S1311" s="152"/>
      <c r="T1311" s="152"/>
      <c r="U1311" s="152"/>
      <c r="V1311" s="152"/>
      <c r="W1311" s="2">
        <f>VLOOKUP(Table1[[#This Row],[Status]],Auxiliar!$B$16:$D$24,3,0)*Table1[[#This Row],[Estimação (horas)]]</f>
        <v>0.1</v>
      </c>
      <c r="X1311" s="205"/>
    </row>
    <row r="1312" spans="2:24" ht="17.7" hidden="1" customHeight="1">
      <c r="B1312" s="39" t="s">
        <v>26</v>
      </c>
      <c r="C1312" s="39" t="s">
        <v>26</v>
      </c>
      <c r="D1312" s="20" t="s">
        <v>400</v>
      </c>
      <c r="E1312" s="112" t="s">
        <v>38</v>
      </c>
      <c r="F1312" s="2" t="s">
        <v>442</v>
      </c>
      <c r="G1312" s="13" t="s">
        <v>443</v>
      </c>
      <c r="H1312" s="59" t="str">
        <f>Table1[[#This Row],[Tabela]]&amp;Table1[[#This Row],[Campo]]</f>
        <v>lt006_instr_protprtctn_allctd_vl</v>
      </c>
      <c r="I1312" s="2" t="s">
        <v>613</v>
      </c>
      <c r="J1312" s="45">
        <f>VLOOKUP(Table1[[#This Row],[Status]],Auxiliar!$B$16:$C$24,2,0)</f>
        <v>1</v>
      </c>
      <c r="K1312" s="21" t="s">
        <v>1251</v>
      </c>
      <c r="L1312" s="46" t="s">
        <v>1252</v>
      </c>
      <c r="M1312" s="21" t="s">
        <v>1253</v>
      </c>
      <c r="N1312" s="48">
        <v>45509</v>
      </c>
      <c r="O1312" s="113">
        <v>0.1</v>
      </c>
      <c r="P1312" s="2"/>
      <c r="Q1312" s="205"/>
      <c r="R1312" s="152"/>
      <c r="S1312" s="152"/>
      <c r="T1312" s="152"/>
      <c r="U1312" s="152"/>
      <c r="V1312" s="152"/>
      <c r="W1312" s="2">
        <f>VLOOKUP(Table1[[#This Row],[Status]],Auxiliar!$B$16:$D$24,3,0)*Table1[[#This Row],[Estimação (horas)]]</f>
        <v>0.1</v>
      </c>
      <c r="X1312" s="205"/>
    </row>
    <row r="1313" spans="2:24" ht="17.7" hidden="1" customHeight="1">
      <c r="B1313" s="39" t="s">
        <v>26</v>
      </c>
      <c r="C1313" s="39" t="s">
        <v>26</v>
      </c>
      <c r="D1313" s="20" t="s">
        <v>400</v>
      </c>
      <c r="E1313" s="112" t="s">
        <v>38</v>
      </c>
      <c r="F1313" s="32" t="s">
        <v>442</v>
      </c>
      <c r="G1313" s="20" t="s">
        <v>417</v>
      </c>
      <c r="H1313" s="59" t="str">
        <f>Table1[[#This Row],[Tabela]]&amp;Table1[[#This Row],[Campo]]</f>
        <v>lt006_instr_protcod_soc</v>
      </c>
      <c r="I1313" s="2" t="s">
        <v>613</v>
      </c>
      <c r="J1313" s="45">
        <f>VLOOKUP(Table1[[#This Row],[Status]],Auxiliar!$B$16:$C$24,2,0)</f>
        <v>1</v>
      </c>
      <c r="K1313" s="21" t="s">
        <v>1251</v>
      </c>
      <c r="L1313" s="46" t="s">
        <v>1252</v>
      </c>
      <c r="M1313" s="21" t="s">
        <v>1253</v>
      </c>
      <c r="N1313" s="48">
        <v>45509</v>
      </c>
      <c r="O1313" s="113">
        <v>0.1</v>
      </c>
      <c r="P1313" s="32"/>
      <c r="Q1313" s="205"/>
      <c r="R1313" s="152"/>
      <c r="S1313" s="152"/>
      <c r="T1313" s="152"/>
      <c r="U1313" s="152"/>
      <c r="V1313" s="152"/>
      <c r="W1313" s="2">
        <f>VLOOKUP(Table1[[#This Row],[Status]],Auxiliar!$B$16:$D$24,3,0)*Table1[[#This Row],[Estimação (horas)]]</f>
        <v>0.1</v>
      </c>
      <c r="X1313" s="205"/>
    </row>
    <row r="1314" spans="2:24" ht="17.7" hidden="1" customHeight="1">
      <c r="B1314" s="13" t="s">
        <v>26</v>
      </c>
      <c r="C1314" s="13" t="s">
        <v>181</v>
      </c>
      <c r="D1314" s="13" t="s">
        <v>1296</v>
      </c>
      <c r="E1314" s="2" t="s">
        <v>38</v>
      </c>
      <c r="F1314" s="2" t="s">
        <v>219</v>
      </c>
      <c r="G1314" s="13" t="s">
        <v>221</v>
      </c>
      <c r="H1314" s="59" t="str">
        <f>Table1[[#This Row],[Tabela]]&amp;Table1[[#This Row],[Campo]]</f>
        <v>modesg_inp_emss_nacenome_regiao</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660</v>
      </c>
      <c r="H1315" s="59" t="str">
        <f>Table1[[#This Row],[Tabela]]&amp;Table1[[#This Row],[Campo]]</f>
        <v>modesg_inp_emss_nacearea_atividade</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661</v>
      </c>
      <c r="H1316" s="59" t="str">
        <f>Table1[[#This Row],[Tabela]]&amp;Table1[[#This Row],[Campo]]</f>
        <v>modesg_inp_emss_nacetipo_atividade</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662</v>
      </c>
      <c r="H1317" s="59" t="str">
        <f>Table1[[#This Row],[Tabela]]&amp;Table1[[#This Row],[Campo]]</f>
        <v>modesg_inp_emss_nacesub_tipo_atividade_1</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219</v>
      </c>
      <c r="G1318" s="13" t="s">
        <v>663</v>
      </c>
      <c r="H1318" s="59" t="str">
        <f>Table1[[#This Row],[Tabela]]&amp;Table1[[#This Row],[Campo]]</f>
        <v>modesg_inp_emss_nacesub_tipo_atividade_2</v>
      </c>
      <c r="I1318" s="2" t="s">
        <v>612</v>
      </c>
      <c r="J1318" s="45">
        <f>VLOOKUP(Table1[[#This Row],[Status]],Auxiliar!$B$16:$C$24,2,0)</f>
        <v>0</v>
      </c>
      <c r="K1318" s="21" t="s">
        <v>1257</v>
      </c>
      <c r="L1318" s="21" t="s">
        <v>1264</v>
      </c>
      <c r="M1318" s="21" t="s">
        <v>1253</v>
      </c>
      <c r="N1318" s="48">
        <v>45501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219</v>
      </c>
      <c r="G1319" s="13" t="s">
        <v>664</v>
      </c>
      <c r="H1319" s="59" t="str">
        <f>Table1[[#This Row],[Tabela]]&amp;Table1[[#This Row],[Campo]]</f>
        <v>modesg_inp_emss_naceunidades_unidade_funcional</v>
      </c>
      <c r="I1319" s="2" t="s">
        <v>612</v>
      </c>
      <c r="J1319" s="45">
        <f>VLOOKUP(Table1[[#This Row],[Status]],Auxiliar!$B$16:$C$24,2,0)</f>
        <v>0</v>
      </c>
      <c r="K1319" s="21" t="s">
        <v>1257</v>
      </c>
      <c r="L1319" s="21" t="s">
        <v>1264</v>
      </c>
      <c r="M1319" s="21" t="s">
        <v>1253</v>
      </c>
      <c r="N1319" s="48">
        <v>45501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13" t="s">
        <v>26</v>
      </c>
      <c r="C1320" s="13" t="s">
        <v>181</v>
      </c>
      <c r="D1320" s="13" t="s">
        <v>1296</v>
      </c>
      <c r="E1320" s="2" t="s">
        <v>38</v>
      </c>
      <c r="F1320" s="2" t="s">
        <v>219</v>
      </c>
      <c r="G1320" s="13" t="s">
        <v>665</v>
      </c>
      <c r="H1320" s="59" t="str">
        <f>Table1[[#This Row],[Tabela]]&amp;Table1[[#This Row],[Campo]]</f>
        <v>modesg_inp_emss_nacefator_emissao</v>
      </c>
      <c r="I1320" s="2" t="s">
        <v>612</v>
      </c>
      <c r="J1320" s="45">
        <f>VLOOKUP(Table1[[#This Row],[Status]],Auxiliar!$B$16:$C$24,2,0)</f>
        <v>0</v>
      </c>
      <c r="K1320" s="21" t="s">
        <v>1257</v>
      </c>
      <c r="L1320" s="21" t="s">
        <v>1264</v>
      </c>
      <c r="M1320" s="21" t="s">
        <v>1253</v>
      </c>
      <c r="N1320" s="48">
        <v>45501</v>
      </c>
      <c r="O1320" s="21">
        <f>INDEX(Auxiliar!$D$5:$F$13,MATCH(Table1[[#This Row],[Tipologia_Testes]],Auxiliar!$B$5:$B$13,0),MATCH(Table1[[#This Row],[Complexidade]],Auxiliar!$D$4:$F$4,0))</f>
        <v>0.5</v>
      </c>
      <c r="P1320" s="2"/>
      <c r="Q1320" s="205"/>
      <c r="R1320" s="152"/>
      <c r="S1320" s="152"/>
      <c r="T1320" s="152"/>
      <c r="U1320" s="152"/>
      <c r="V1320" s="152"/>
      <c r="W1320" s="2">
        <f>VLOOKUP(Table1[[#This Row],[Status]],Auxiliar!$B$16:$D$24,3,0)*Table1[[#This Row],[Estimação (horas)]]</f>
        <v>0</v>
      </c>
      <c r="X1320" s="205"/>
    </row>
    <row r="1321" spans="2:24" ht="17.7" hidden="1" customHeight="1">
      <c r="B1321" s="13" t="s">
        <v>26</v>
      </c>
      <c r="C1321" s="13" t="s">
        <v>181</v>
      </c>
      <c r="D1321" s="13" t="s">
        <v>1296</v>
      </c>
      <c r="E1321" s="2" t="s">
        <v>38</v>
      </c>
      <c r="F1321" s="2" t="s">
        <v>214</v>
      </c>
      <c r="G1321" s="13" t="s">
        <v>666</v>
      </c>
      <c r="H1321" s="59" t="str">
        <f>Table1[[#This Row],[Tabela]]&amp;Table1[[#This Row],[Campo]]</f>
        <v>modesg_inp_km_medios_emss_vclsmedia_scp1_emss</v>
      </c>
      <c r="I1321" s="2" t="s">
        <v>612</v>
      </c>
      <c r="J1321" s="45">
        <f>VLOOKUP(Table1[[#This Row],[Status]],Auxiliar!$B$16:$C$24,2,0)</f>
        <v>0</v>
      </c>
      <c r="K1321" s="21" t="s">
        <v>1257</v>
      </c>
      <c r="L1321" s="21" t="s">
        <v>1264</v>
      </c>
      <c r="M1321" s="21" t="s">
        <v>1253</v>
      </c>
      <c r="N1321" s="48">
        <v>45491</v>
      </c>
      <c r="O1321" s="21">
        <f>INDEX(Auxiliar!$D$5:$F$13,MATCH(Table1[[#This Row],[Tipologia_Testes]],Auxiliar!$B$5:$B$13,0),MATCH(Table1[[#This Row],[Complexidade]],Auxiliar!$D$4:$F$4,0))</f>
        <v>0.5</v>
      </c>
      <c r="P1321" s="2"/>
      <c r="Q1321" s="205"/>
      <c r="R1321" s="152"/>
      <c r="S1321" s="152"/>
      <c r="T1321" s="152"/>
      <c r="U1321" s="152"/>
      <c r="V1321" s="152"/>
      <c r="W1321" s="2">
        <f>VLOOKUP(Table1[[#This Row],[Status]],Auxiliar!$B$16:$D$24,3,0)*Table1[[#This Row],[Estimação (horas)]]</f>
        <v>0</v>
      </c>
      <c r="X1321" s="205"/>
    </row>
    <row r="1322" spans="2:24" ht="17.7" hidden="1" customHeight="1">
      <c r="B1322" s="13" t="s">
        <v>26</v>
      </c>
      <c r="C1322" s="13" t="s">
        <v>181</v>
      </c>
      <c r="D1322" s="13" t="s">
        <v>1296</v>
      </c>
      <c r="E1322" s="2" t="s">
        <v>38</v>
      </c>
      <c r="F1322" s="2" t="s">
        <v>214</v>
      </c>
      <c r="G1322" s="13" t="s">
        <v>667</v>
      </c>
      <c r="H1322" s="59" t="str">
        <f>Table1[[#This Row],[Tabela]]&amp;Table1[[#This Row],[Campo]]</f>
        <v>modesg_inp_km_medios_emss_vclsmedia_scp2_emss</v>
      </c>
      <c r="I1322" s="2" t="s">
        <v>612</v>
      </c>
      <c r="J1322" s="45">
        <f>VLOOKUP(Table1[[#This Row],[Status]],Auxiliar!$B$16:$C$24,2,0)</f>
        <v>0</v>
      </c>
      <c r="K1322" s="21" t="s">
        <v>1257</v>
      </c>
      <c r="L1322" s="21" t="s">
        <v>1264</v>
      </c>
      <c r="M1322" s="21" t="s">
        <v>1253</v>
      </c>
      <c r="N1322" s="48">
        <v>45491</v>
      </c>
      <c r="O1322" s="21">
        <f>INDEX(Auxiliar!$D$5:$F$13,MATCH(Table1[[#This Row],[Tipologia_Testes]],Auxiliar!$B$5:$B$13,0),MATCH(Table1[[#This Row],[Complexidade]],Auxiliar!$D$4:$F$4,0))</f>
        <v>0.5</v>
      </c>
      <c r="P1322" s="2"/>
      <c r="Q1322" s="205"/>
      <c r="R1322" s="152"/>
      <c r="S1322" s="152"/>
      <c r="T1322" s="152"/>
      <c r="U1322" s="152"/>
      <c r="V1322" s="152"/>
      <c r="W1322" s="2">
        <f>VLOOKUP(Table1[[#This Row],[Status]],Auxiliar!$B$16:$D$24,3,0)*Table1[[#This Row],[Estimação (horas)]]</f>
        <v>0</v>
      </c>
      <c r="X1322" s="205"/>
    </row>
    <row r="1323" spans="2:24" ht="17.7" hidden="1" customHeight="1">
      <c r="B1323" s="20" t="s">
        <v>26</v>
      </c>
      <c r="C1323" s="20" t="s">
        <v>181</v>
      </c>
      <c r="D1323" s="13" t="s">
        <v>1296</v>
      </c>
      <c r="E1323" s="2" t="s">
        <v>38</v>
      </c>
      <c r="F1323" s="32" t="s">
        <v>214</v>
      </c>
      <c r="G1323" s="20" t="s">
        <v>668</v>
      </c>
      <c r="H1323" s="59" t="str">
        <f>Table1[[#This Row],[Tabela]]&amp;Table1[[#This Row],[Campo]]</f>
        <v>modesg_inp_km_medios_emss_vclsmedia_scp3_emss</v>
      </c>
      <c r="I1323" s="2" t="s">
        <v>612</v>
      </c>
      <c r="J1323" s="45">
        <f>VLOOKUP(Table1[[#This Row],[Status]],Auxiliar!$B$16:$C$24,2,0)</f>
        <v>0</v>
      </c>
      <c r="K1323" s="21" t="s">
        <v>1257</v>
      </c>
      <c r="L1323" s="21" t="s">
        <v>1264</v>
      </c>
      <c r="M1323" s="21" t="s">
        <v>1253</v>
      </c>
      <c r="N1323" s="48">
        <v>45491</v>
      </c>
      <c r="O1323" s="21">
        <f>INDEX(Auxiliar!$D$5:$F$13,MATCH(Table1[[#This Row],[Tipologia_Testes]],Auxiliar!$B$5:$B$13,0),MATCH(Table1[[#This Row],[Complexidade]],Auxiliar!$D$4:$F$4,0))</f>
        <v>0.5</v>
      </c>
      <c r="P1323" s="2" t="s">
        <v>1266</v>
      </c>
      <c r="Q1323" s="205"/>
      <c r="R1323" s="152"/>
      <c r="S1323" s="152"/>
      <c r="T1323" s="152"/>
      <c r="U1323" s="152"/>
      <c r="V1323" s="152"/>
      <c r="W1323" s="2">
        <f>VLOOKUP(Table1[[#This Row],[Status]],Auxiliar!$B$16:$D$24,3,0)*Table1[[#This Row],[Estimação (horas)]]</f>
        <v>0</v>
      </c>
      <c r="X1323"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69" operator="containsText" id="{F0FC3167-D078-4732-B252-F6CF35A33118}">
            <xm:f>NOT(ISERROR(SEARCH(Auxiliar!$B$21,I127)))</xm:f>
            <xm:f>Auxiliar!$B$21</xm:f>
            <x14:dxf>
              <font>
                <b/>
                <i val="0"/>
                <color rgb="FFFFC000"/>
              </font>
              <fill>
                <patternFill>
                  <bgColor theme="9" tint="0.59996337778862885"/>
                </patternFill>
              </fill>
            </x14:dxf>
          </x14:cfRule>
          <x14:cfRule type="cellIs" priority="170" operator="equal" id="{0DF84132-7044-4342-A136-5BB25A806900}">
            <xm:f>Auxiliar!$B$24</xm:f>
            <x14:dxf>
              <font>
                <b/>
                <i val="0"/>
                <color theme="1"/>
              </font>
              <fill>
                <patternFill patternType="darkUp">
                  <bgColor theme="0"/>
                </patternFill>
              </fill>
            </x14:dxf>
          </x14:cfRule>
          <x14:cfRule type="cellIs" priority="171" operator="equal" id="{0AA668F3-08F2-48AD-824F-FDAAFE4C3390}">
            <xm:f>Auxiliar!$B$18</xm:f>
            <x14:dxf>
              <font>
                <b/>
                <i val="0"/>
                <color theme="0" tint="-0.499984740745262"/>
              </font>
              <fill>
                <patternFill>
                  <bgColor theme="0" tint="-4.9989318521683403E-2"/>
                </patternFill>
              </fill>
            </x14:dxf>
          </x14:cfRule>
          <x14:cfRule type="containsText" priority="17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7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21" operator="containsText" id="{740F90F7-AB92-479A-85BF-13BAB76C3411}">
            <xm:f>NOT(ISERROR(SEARCH(Auxiliar!$B$21,I1017)))</xm:f>
            <xm:f>Auxiliar!$B$21</xm:f>
            <x14:dxf>
              <font>
                <b/>
                <i val="0"/>
                <color rgb="FFFFC000"/>
              </font>
              <fill>
                <patternFill>
                  <bgColor theme="9" tint="0.59996337778862885"/>
                </patternFill>
              </fill>
            </x14:dxf>
          </x14:cfRule>
          <x14:cfRule type="cellIs" priority="122" operator="equal" id="{88AE8B12-357A-4B8A-9319-781057D8ABD6}">
            <xm:f>Auxiliar!$B$24</xm:f>
            <x14:dxf>
              <font>
                <b/>
                <i val="0"/>
                <color theme="1"/>
              </font>
              <fill>
                <patternFill patternType="darkUp">
                  <bgColor theme="0"/>
                </patternFill>
              </fill>
            </x14:dxf>
          </x14:cfRule>
          <x14:cfRule type="cellIs" priority="123" operator="equal" id="{BC303029-A698-4297-8685-4F827375138C}">
            <xm:f>Auxiliar!$B$18</xm:f>
            <x14:dxf>
              <font>
                <b/>
                <i val="0"/>
                <color theme="0" tint="-0.499984740745262"/>
              </font>
              <fill>
                <patternFill>
                  <bgColor theme="0" tint="-4.9989318521683403E-2"/>
                </patternFill>
              </fill>
            </x14:dxf>
          </x14:cfRule>
          <x14:cfRule type="containsText" priority="124" operator="containsText" id="{2BADB501-C230-4648-AC9D-1AC0A7F13148}">
            <xm:f>NOT(ISERROR(SEARCH(Auxiliar!$B$22,I1017)))</xm:f>
            <xm:f>Auxiliar!$B$22</xm:f>
            <x14:dxf>
              <font>
                <b/>
                <i val="0"/>
                <color rgb="FFC00000"/>
              </font>
              <fill>
                <patternFill>
                  <bgColor theme="4" tint="0.79998168889431442"/>
                </patternFill>
              </fill>
            </x14:dxf>
          </x14:cfRule>
          <x14:cfRule type="containsText" priority="125" operator="containsText" id="{AE4522B3-BC49-4A22-8071-DE4E78DD10CF}">
            <xm:f>NOT(ISERROR(SEARCH(Auxiliar!$B$19,I1017)))</xm:f>
            <xm:f>Auxiliar!$B$19</xm:f>
            <x14:dxf>
              <font>
                <b/>
                <i val="0"/>
                <color theme="9" tint="-0.499984740745262"/>
              </font>
              <fill>
                <patternFill>
                  <bgColor theme="9" tint="0.79998168889431442"/>
                </patternFill>
              </fill>
            </x14:dxf>
          </x14:cfRule>
          <x14:cfRule type="containsText" priority="126" operator="containsText" id="{67559983-07F8-49CE-B5B7-452567C44002}">
            <xm:f>NOT(ISERROR(SEARCH(Auxiliar!$B$16,I1017)))</xm:f>
            <xm:f>Auxiliar!$B$16</xm:f>
            <x14:dxf>
              <font>
                <b/>
                <i val="0"/>
                <color theme="7"/>
              </font>
              <fill>
                <patternFill>
                  <bgColor theme="7" tint="0.79998168889431442"/>
                </patternFill>
              </fill>
            </x14:dxf>
          </x14:cfRule>
          <xm:sqref>I1017:I1076</xm:sqref>
        </x14:conditionalFormatting>
        <x14:conditionalFormatting xmlns:xm="http://schemas.microsoft.com/office/excel/2006/main">
          <x14:cfRule type="containsText" priority="103" operator="containsText" id="{F48B2BF5-6845-4309-99E8-30933C9EE615}">
            <xm:f>NOT(ISERROR(SEARCH(Auxiliar!$B$21,I1083)))</xm:f>
            <xm:f>Auxiliar!$B$21</xm:f>
            <x14:dxf>
              <font>
                <b/>
                <i val="0"/>
                <color rgb="FFFFC000"/>
              </font>
              <fill>
                <patternFill>
                  <bgColor theme="9" tint="0.59996337778862885"/>
                </patternFill>
              </fill>
            </x14:dxf>
          </x14:cfRule>
          <x14:cfRule type="cellIs" priority="104" operator="equal" id="{13D25AAA-9E27-4596-8161-C1D8B229FB78}">
            <xm:f>Auxiliar!$B$24</xm:f>
            <x14:dxf>
              <font>
                <b/>
                <i val="0"/>
                <color theme="1"/>
              </font>
              <fill>
                <patternFill patternType="darkUp">
                  <bgColor theme="0"/>
                </patternFill>
              </fill>
            </x14:dxf>
          </x14:cfRule>
          <x14:cfRule type="cellIs" priority="105" operator="equal" id="{22B4EADE-6286-4A66-8996-D7CA931879E6}">
            <xm:f>Auxiliar!$B$18</xm:f>
            <x14:dxf>
              <font>
                <b/>
                <i val="0"/>
                <color theme="0" tint="-0.499984740745262"/>
              </font>
              <fill>
                <patternFill>
                  <bgColor theme="0" tint="-4.9989318521683403E-2"/>
                </patternFill>
              </fill>
            </x14:dxf>
          </x14:cfRule>
          <x14:cfRule type="containsText" priority="106" operator="containsText" id="{C2F100D2-230C-4775-95E5-1B756C722026}">
            <xm:f>NOT(ISERROR(SEARCH(Auxiliar!$B$22,I1083)))</xm:f>
            <xm:f>Auxiliar!$B$22</xm:f>
            <x14:dxf>
              <font>
                <b/>
                <i val="0"/>
                <color rgb="FFC00000"/>
              </font>
              <fill>
                <patternFill>
                  <bgColor theme="4" tint="0.79998168889431442"/>
                </patternFill>
              </fill>
            </x14:dxf>
          </x14:cfRule>
          <x14:cfRule type="containsText" priority="107" operator="containsText" id="{89B66DB3-A772-4893-9D67-D65B5194EBAD}">
            <xm:f>NOT(ISERROR(SEARCH(Auxiliar!$B$19,I1083)))</xm:f>
            <xm:f>Auxiliar!$B$19</xm:f>
            <x14:dxf>
              <font>
                <b/>
                <i val="0"/>
                <color theme="9" tint="-0.499984740745262"/>
              </font>
              <fill>
                <patternFill>
                  <bgColor theme="9" tint="0.79998168889431442"/>
                </patternFill>
              </fill>
            </x14:dxf>
          </x14:cfRule>
          <x14:cfRule type="containsText" priority="108" operator="containsText" id="{5D1F0C29-4DCB-4FAB-A3CE-17A3E4B54DB4}">
            <xm:f>NOT(ISERROR(SEARCH(Auxiliar!$B$16,I1083)))</xm:f>
            <xm:f>Auxiliar!$B$16</xm:f>
            <x14:dxf>
              <font>
                <b/>
                <i val="0"/>
                <color theme="7"/>
              </font>
              <fill>
                <patternFill>
                  <bgColor theme="7" tint="0.79998168889431442"/>
                </patternFill>
              </fill>
            </x14:dxf>
          </x14:cfRule>
          <xm:sqref>I1083:I1100 I1113:I1148</xm:sqref>
        </x14:conditionalFormatting>
        <x14:conditionalFormatting xmlns:xm="http://schemas.microsoft.com/office/excel/2006/main">
          <x14:cfRule type="containsText" priority="97" operator="containsText" id="{5ED364A6-7788-43B4-ABBB-E3185B87783C}">
            <xm:f>NOT(ISERROR(SEARCH(Auxiliar!$B$21,I1173)))</xm:f>
            <xm:f>Auxiliar!$B$21</xm:f>
            <x14:dxf>
              <font>
                <b/>
                <i val="0"/>
                <color rgb="FFFFC000"/>
              </font>
              <fill>
                <patternFill>
                  <bgColor theme="9" tint="0.59996337778862885"/>
                </patternFill>
              </fill>
            </x14:dxf>
          </x14:cfRule>
          <x14:cfRule type="cellIs" priority="98" operator="equal" id="{CC216F48-AEAC-42B0-BAEF-B859E88448DD}">
            <xm:f>Auxiliar!$B$24</xm:f>
            <x14:dxf>
              <font>
                <b/>
                <i val="0"/>
                <color theme="1"/>
              </font>
              <fill>
                <patternFill patternType="darkUp">
                  <bgColor theme="0"/>
                </patternFill>
              </fill>
            </x14:dxf>
          </x14:cfRule>
          <x14:cfRule type="cellIs" priority="99" operator="equal" id="{23819E92-56C5-4D3E-B9E1-67FDD9E7882C}">
            <xm:f>Auxiliar!$B$18</xm:f>
            <x14:dxf>
              <font>
                <b/>
                <i val="0"/>
                <color theme="0" tint="-0.499984740745262"/>
              </font>
              <fill>
                <patternFill>
                  <bgColor theme="0" tint="-4.9989318521683403E-2"/>
                </patternFill>
              </fill>
            </x14:dxf>
          </x14:cfRule>
          <x14:cfRule type="containsText" priority="100"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101"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102" operator="containsText" id="{9D69CC26-ED2C-4C88-8B01-1607714BDD42}">
            <xm:f>NOT(ISERROR(SEARCH(Auxiliar!$B$16,I1173)))</xm:f>
            <xm:f>Auxiliar!$B$16</xm:f>
            <x14:dxf>
              <font>
                <b/>
                <i val="0"/>
                <color theme="7"/>
              </font>
              <fill>
                <patternFill>
                  <bgColor theme="7" tint="0.79998168889431442"/>
                </patternFill>
              </fill>
            </x14:dxf>
          </x14:cfRule>
          <xm:sqref>I1173:I1184</xm:sqref>
        </x14:conditionalFormatting>
        <x14:conditionalFormatting xmlns:xm="http://schemas.microsoft.com/office/excel/2006/main">
          <x14:cfRule type="containsText" priority="703" operator="containsText" id="{A0E353A4-BC40-460B-BB47-B57EC0BDDA87}">
            <xm:f>NOT(ISERROR(SEARCH(Auxiliar!$B$21,I350)))</xm:f>
            <xm:f>Auxiliar!$B$21</xm:f>
            <x14:dxf>
              <font>
                <b/>
                <i val="0"/>
                <color rgb="FFFFC000"/>
              </font>
              <fill>
                <patternFill>
                  <bgColor theme="9" tint="0.59996337778862885"/>
                </patternFill>
              </fill>
            </x14:dxf>
          </x14:cfRule>
          <xm:sqref>I1188:I1232 J1017:J1148 J1173:J1184 J1189:J1259 J1297:J1303 I1304:J1323 I1185:J1188 I1284:J1296 J1281:J1283 I1260:J1280 J1155:J1157 I1149:J1154 I1158:J1172 I350:J1016</xm:sqref>
        </x14:conditionalFormatting>
        <x14:conditionalFormatting xmlns:xm="http://schemas.microsoft.com/office/excel/2006/main">
          <x14:cfRule type="containsText" priority="145" operator="containsText" id="{818B4E3F-A611-4A6A-A815-B804D1E3C747}">
            <xm:f>NOT(ISERROR(SEARCH(Auxiliar!$B$21,I1189)))</xm:f>
            <xm:f>Auxiliar!$B$21</xm:f>
            <x14:dxf>
              <font>
                <b/>
                <i val="0"/>
                <color rgb="FFFFC000"/>
              </font>
              <fill>
                <patternFill>
                  <bgColor theme="9" tint="0.59996337778862885"/>
                </patternFill>
              </fill>
            </x14:dxf>
          </x14:cfRule>
          <x14:cfRule type="cellIs" priority="146" operator="equal" id="{49F42230-2FF0-42CE-B047-38469DF4FF91}">
            <xm:f>Auxiliar!$B$24</xm:f>
            <x14:dxf>
              <font>
                <b/>
                <i val="0"/>
                <color theme="1"/>
              </font>
              <fill>
                <patternFill patternType="darkUp">
                  <bgColor theme="0"/>
                </patternFill>
              </fill>
            </x14:dxf>
          </x14:cfRule>
          <x14:cfRule type="cellIs" priority="147" operator="equal" id="{340814F4-4DC4-4851-925E-2EA110D79ECA}">
            <xm:f>Auxiliar!$B$18</xm:f>
            <x14:dxf>
              <font>
                <b/>
                <i val="0"/>
                <color theme="0" tint="-0.499984740745262"/>
              </font>
              <fill>
                <patternFill>
                  <bgColor theme="0" tint="-4.9989318521683403E-2"/>
                </patternFill>
              </fill>
            </x14:dxf>
          </x14:cfRule>
          <x14:cfRule type="containsText" priority="148" operator="containsText" id="{E28141F3-5A6E-41CE-B06F-37F11754FF33}">
            <xm:f>NOT(ISERROR(SEARCH(Auxiliar!$B$22,I1189)))</xm:f>
            <xm:f>Auxiliar!$B$22</xm:f>
            <x14:dxf>
              <font>
                <b/>
                <i val="0"/>
                <color rgb="FFC00000"/>
              </font>
              <fill>
                <patternFill>
                  <bgColor theme="4" tint="0.79998168889431442"/>
                </patternFill>
              </fill>
            </x14:dxf>
          </x14:cfRule>
          <x14:cfRule type="containsText" priority="149" operator="containsText" id="{FFEC3B97-FFCD-4F44-80C1-F8E1BE955C8F}">
            <xm:f>NOT(ISERROR(SEARCH(Auxiliar!$B$19,I1189)))</xm:f>
            <xm:f>Auxiliar!$B$19</xm:f>
            <x14:dxf>
              <font>
                <b/>
                <i val="0"/>
                <color theme="9" tint="-0.499984740745262"/>
              </font>
              <fill>
                <patternFill>
                  <bgColor theme="9" tint="0.79998168889431442"/>
                </patternFill>
              </fill>
            </x14:dxf>
          </x14:cfRule>
          <x14:cfRule type="containsText" priority="150" operator="containsText" id="{CD308544-9CE6-4FAC-9303-AD8028CE88C4}">
            <xm:f>NOT(ISERROR(SEARCH(Auxiliar!$B$16,I1189)))</xm:f>
            <xm:f>Auxiliar!$B$16</xm:f>
            <x14:dxf>
              <font>
                <b/>
                <i val="0"/>
                <color theme="7"/>
              </font>
              <fill>
                <patternFill>
                  <bgColor theme="7" tint="0.79998168889431442"/>
                </patternFill>
              </fill>
            </x14:dxf>
          </x14:cfRule>
          <xm:sqref>I1189:I1259</xm:sqref>
        </x14:conditionalFormatting>
        <x14:conditionalFormatting xmlns:xm="http://schemas.microsoft.com/office/excel/2006/main">
          <x14:cfRule type="containsText" priority="559" operator="containsText" id="{EA64DC1C-861B-48F8-9621-E598024B99B0}">
            <xm:f>NOT(ISERROR(SEARCH(Auxiliar!$B$21,I1297)))</xm:f>
            <xm:f>Auxiliar!$B$21</xm:f>
            <x14:dxf>
              <font>
                <b/>
                <i val="0"/>
                <color rgb="FFFFC000"/>
              </font>
              <fill>
                <patternFill>
                  <bgColor theme="9" tint="0.59996337778862885"/>
                </patternFill>
              </fill>
            </x14:dxf>
          </x14:cfRule>
          <x14:cfRule type="cellIs" priority="560" operator="equal" id="{839A85C4-8947-4392-8D52-FE7821AB5714}">
            <xm:f>Auxiliar!$B$24</xm:f>
            <x14:dxf>
              <font>
                <b/>
                <i val="0"/>
                <color theme="1"/>
              </font>
              <fill>
                <patternFill patternType="darkUp">
                  <bgColor theme="0"/>
                </patternFill>
              </fill>
            </x14:dxf>
          </x14:cfRule>
          <x14:cfRule type="cellIs" priority="561" operator="equal" id="{AFCEA854-203F-4E0E-9E0B-A825AA0A5D6E}">
            <xm:f>Auxiliar!$B$18</xm:f>
            <x14:dxf>
              <font>
                <b/>
                <i val="0"/>
                <color theme="0" tint="-0.499984740745262"/>
              </font>
              <fill>
                <patternFill>
                  <bgColor theme="0" tint="-4.9989318521683403E-2"/>
                </patternFill>
              </fill>
            </x14:dxf>
          </x14:cfRule>
          <x14:cfRule type="containsText" priority="56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56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564" operator="containsText" id="{04D6B225-779D-4593-8DEC-29BFE75B36C6}">
            <xm:f>NOT(ISERROR(SEARCH(Auxiliar!$B$16,I1297)))</xm:f>
            <xm:f>Auxiliar!$B$16</xm:f>
            <x14:dxf>
              <font>
                <b/>
                <i val="0"/>
                <color theme="7"/>
              </font>
              <fill>
                <patternFill>
                  <bgColor theme="7" tint="0.79998168889431442"/>
                </patternFill>
              </fill>
            </x14:dxf>
          </x14:cfRule>
          <xm:sqref>I1297:I1299 I1303</xm:sqref>
        </x14:conditionalFormatting>
        <x14:conditionalFormatting xmlns:xm="http://schemas.microsoft.com/office/excel/2006/main">
          <x14:cfRule type="containsText" priority="553" operator="containsText" id="{22EE3303-E871-4FDC-B876-3AC40B4BB29E}">
            <xm:f>NOT(ISERROR(SEARCH(Auxiliar!$B$21,I9)))</xm:f>
            <xm:f>Auxiliar!$B$21</xm:f>
            <x14:dxf>
              <font>
                <b/>
                <i val="0"/>
                <color rgb="FFFFC000"/>
              </font>
              <fill>
                <patternFill>
                  <bgColor theme="9" tint="0.59996337778862885"/>
                </patternFill>
              </fill>
            </x14:dxf>
          </x14:cfRule>
          <x14:cfRule type="cellIs" priority="554" operator="equal" id="{A75C795E-F66D-4DC2-A9AF-15BDCED7DA25}">
            <xm:f>Auxiliar!$B$24</xm:f>
            <x14:dxf>
              <font>
                <b/>
                <i val="0"/>
                <color theme="1"/>
              </font>
              <fill>
                <patternFill patternType="darkUp">
                  <bgColor theme="0"/>
                </patternFill>
              </fill>
            </x14:dxf>
          </x14:cfRule>
          <x14:cfRule type="cellIs" priority="555" operator="equal" id="{68C7A1CE-73C7-4D91-A2AC-1493C4E277DD}">
            <xm:f>Auxiliar!$B$18</xm:f>
            <x14:dxf>
              <font>
                <b/>
                <i val="0"/>
                <color theme="0" tint="-0.499984740745262"/>
              </font>
              <fill>
                <patternFill>
                  <bgColor theme="0" tint="-4.9989318521683403E-2"/>
                </patternFill>
              </fill>
            </x14:dxf>
          </x14:cfRule>
          <x14:cfRule type="containsText" priority="55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5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5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37" operator="containsText" id="{6928D489-0130-4A60-BE2B-1D9108B02454}">
            <xm:f>NOT(ISERROR(SEARCH(Auxiliar!$B$21,I130)))</xm:f>
            <xm:f>Auxiliar!$B$21</xm:f>
            <x14:dxf>
              <font>
                <b/>
                <i val="0"/>
                <color rgb="FFFFC000"/>
              </font>
              <fill>
                <patternFill>
                  <bgColor theme="9" tint="0.59996337778862885"/>
                </patternFill>
              </fill>
            </x14:dxf>
          </x14:cfRule>
          <x14:cfRule type="cellIs" priority="638" operator="equal" id="{E2F14AF0-878C-4184-86EE-1EC72D11FF82}">
            <xm:f>Auxiliar!$B$24</xm:f>
            <x14:dxf>
              <font>
                <b/>
                <i val="0"/>
                <color theme="1"/>
              </font>
              <fill>
                <patternFill patternType="darkUp">
                  <bgColor theme="0"/>
                </patternFill>
              </fill>
            </x14:dxf>
          </x14:cfRule>
          <x14:cfRule type="cellIs" priority="639" operator="equal" id="{662C2D77-73A6-422E-B043-D39190EAAFD3}">
            <xm:f>Auxiliar!$B$18</xm:f>
            <x14:dxf>
              <font>
                <b/>
                <i val="0"/>
                <color theme="0" tint="-0.499984740745262"/>
              </font>
              <fill>
                <patternFill>
                  <bgColor theme="0" tint="-4.9989318521683403E-2"/>
                </patternFill>
              </fill>
            </x14:dxf>
          </x14:cfRule>
          <x14:cfRule type="containsText" priority="64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4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42" operator="containsText" id="{E1F4ABAD-4246-42AD-B2CD-8E341D15C381}">
            <xm:f>NOT(ISERROR(SEARCH(Auxiliar!$B$16,I130)))</xm:f>
            <xm:f>Auxiliar!$B$16</xm:f>
            <x14:dxf>
              <font>
                <b/>
                <i val="0"/>
                <color theme="7"/>
              </font>
              <fill>
                <patternFill>
                  <bgColor theme="7" tint="0.79998168889431442"/>
                </patternFill>
              </fill>
            </x14:dxf>
          </x14:cfRule>
          <xm:sqref>I130:J157 I161:J178 J158:J160 I182:J223 J179:J181 I227:J250 J224:J226 I254:J325 J251:J253</xm:sqref>
        </x14:conditionalFormatting>
        <x14:conditionalFormatting xmlns:xm="http://schemas.microsoft.com/office/excel/2006/main">
          <x14:cfRule type="cellIs" priority="704" operator="equal" id="{461BEC2A-3AB6-4974-9160-0CC657CD83C0}">
            <xm:f>Auxiliar!$B$24</xm:f>
            <x14:dxf>
              <font>
                <b/>
                <i val="0"/>
                <color theme="1"/>
              </font>
              <fill>
                <patternFill patternType="darkUp">
                  <bgColor theme="0"/>
                </patternFill>
              </fill>
            </x14:dxf>
          </x14:cfRule>
          <x14:cfRule type="cellIs" priority="1171" operator="equal" id="{5CC18A3F-CC0C-4983-A19C-E91C49A3DB8A}">
            <xm:f>Auxiliar!$B$18</xm:f>
            <x14:dxf>
              <font>
                <b/>
                <i val="0"/>
                <color theme="0" tint="-0.499984740745262"/>
              </font>
              <fill>
                <patternFill>
                  <bgColor theme="0" tint="-4.9989318521683403E-2"/>
                </patternFill>
              </fill>
            </x14:dxf>
          </x14:cfRule>
          <x14:cfRule type="containsText" priority="1172" operator="containsText" id="{660301DE-C76B-41C9-A83A-298D08A1276D}">
            <xm:f>NOT(ISERROR(SEARCH(Auxiliar!$B$22,I350)))</xm:f>
            <xm:f>Auxiliar!$B$22</xm:f>
            <x14:dxf>
              <font>
                <b/>
                <i val="0"/>
                <color rgb="FFC00000"/>
              </font>
              <fill>
                <patternFill>
                  <bgColor theme="4" tint="0.79998168889431442"/>
                </patternFill>
              </fill>
            </x14:dxf>
          </x14:cfRule>
          <x14:cfRule type="containsText" priority="1173" operator="containsText" id="{E48215E9-5888-4D3F-A01B-A05864457930}">
            <xm:f>NOT(ISERROR(SEARCH(Auxiliar!$B$19,I350)))</xm:f>
            <xm:f>Auxiliar!$B$19</xm:f>
            <x14:dxf>
              <font>
                <b/>
                <i val="0"/>
                <color theme="9" tint="-0.499984740745262"/>
              </font>
              <fill>
                <patternFill>
                  <bgColor theme="9" tint="0.79998168889431442"/>
                </patternFill>
              </fill>
            </x14:dxf>
          </x14:cfRule>
          <x14:cfRule type="containsText" priority="1174" operator="containsText" id="{E24FE097-F3CC-4A48-80A2-F7619DECA0EF}">
            <xm:f>NOT(ISERROR(SEARCH(Auxiliar!$B$16,I350)))</xm:f>
            <xm:f>Auxiliar!$B$16</xm:f>
            <x14:dxf>
              <font>
                <b/>
                <i val="0"/>
                <color theme="7"/>
              </font>
              <fill>
                <patternFill>
                  <bgColor theme="7" tint="0.79998168889431442"/>
                </patternFill>
              </fill>
            </x14:dxf>
          </x14:cfRule>
          <xm:sqref>J1017:J1148 J1173:J1184 I1188:I1232 J1189:J1259 J1297:J1303 I1304:J1323 I1185:J1188 I1284:J1296 J1281:J1283 I1260:J1280 J1155:J1157 I1149:J1154 I1158:J1172 I350:J1016</xm:sqref>
        </x14:conditionalFormatting>
        <x14:conditionalFormatting xmlns:xm="http://schemas.microsoft.com/office/excel/2006/main">
          <x14:cfRule type="containsText" priority="529" operator="containsText" id="{B9BA2292-98F1-4845-8262-A781D9352444}">
            <xm:f>NOT(ISERROR(SEARCH(Auxiliar!$B$21,J127)))</xm:f>
            <xm:f>Auxiliar!$B$21</xm:f>
            <x14:dxf>
              <font>
                <b/>
                <i val="0"/>
                <color rgb="FFFFC000"/>
              </font>
              <fill>
                <patternFill>
                  <bgColor theme="9" tint="0.59996337778862885"/>
                </patternFill>
              </fill>
            </x14:dxf>
          </x14:cfRule>
          <x14:cfRule type="cellIs" priority="530" operator="equal" id="{D32B9961-C82B-426A-A975-2475FFC80C76}">
            <xm:f>Auxiliar!$B$24</xm:f>
            <x14:dxf>
              <font>
                <b/>
                <i val="0"/>
                <color theme="1"/>
              </font>
              <fill>
                <patternFill patternType="darkUp">
                  <bgColor theme="0"/>
                </patternFill>
              </fill>
            </x14:dxf>
          </x14:cfRule>
          <x14:cfRule type="cellIs" priority="531" operator="equal" id="{EE9F5D7D-A515-4B4F-859E-E804329C9CE0}">
            <xm:f>Auxiliar!$B$18</xm:f>
            <x14:dxf>
              <font>
                <b/>
                <i val="0"/>
                <color theme="0" tint="-0.499984740745262"/>
              </font>
              <fill>
                <patternFill>
                  <bgColor theme="0" tint="-4.9989318521683403E-2"/>
                </patternFill>
              </fill>
            </x14:dxf>
          </x14:cfRule>
          <x14:cfRule type="containsText" priority="53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3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3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55" operator="containsText" id="{576165AC-18FE-49D8-90D0-249BF5B7AAD2}">
            <xm:f>NOT(ISERROR(SEARCH(Auxiliar!$B$21,J326)))</xm:f>
            <xm:f>Auxiliar!$B$21</xm:f>
            <x14:dxf>
              <font>
                <b/>
                <i val="0"/>
                <color rgb="FFFFC000"/>
              </font>
              <fill>
                <patternFill>
                  <bgColor theme="9" tint="0.59996337778862885"/>
                </patternFill>
              </fill>
            </x14:dxf>
          </x14:cfRule>
          <x14:cfRule type="cellIs" priority="656" operator="equal" id="{2BEF1854-999B-428C-B198-117A6D75B6CF}">
            <xm:f>Auxiliar!$B$24</xm:f>
            <x14:dxf>
              <font>
                <b/>
                <i val="0"/>
                <color theme="1"/>
              </font>
              <fill>
                <patternFill patternType="darkUp">
                  <bgColor theme="0"/>
                </patternFill>
              </fill>
            </x14:dxf>
          </x14:cfRule>
          <x14:cfRule type="cellIs" priority="657" operator="equal" id="{82150E9C-7DB3-4C92-B25A-09099C09088C}">
            <xm:f>Auxiliar!$B$18</xm:f>
            <x14:dxf>
              <font>
                <b/>
                <i val="0"/>
                <color theme="0" tint="-0.499984740745262"/>
              </font>
              <fill>
                <patternFill>
                  <bgColor theme="0" tint="-4.9989318521683403E-2"/>
                </patternFill>
              </fill>
            </x14:dxf>
          </x14:cfRule>
          <x14:cfRule type="containsText" priority="65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5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60" operator="containsText" id="{9385C25B-E63C-416B-A9A9-CB4E3502313C}">
            <xm:f>NOT(ISERROR(SEARCH(Auxiliar!$B$16,J326)))</xm:f>
            <xm:f>Auxiliar!$B$16</xm:f>
            <x14:dxf>
              <font>
                <b/>
                <i val="0"/>
                <color theme="7"/>
              </font>
              <fill>
                <patternFill>
                  <bgColor theme="7" tint="0.79998168889431442"/>
                </patternFill>
              </fill>
            </x14:dxf>
          </x14:cfRule>
          <xm:sqref>J326:J343 J347:J349</xm:sqref>
        </x14:conditionalFormatting>
        <x14:conditionalFormatting xmlns:xm="http://schemas.microsoft.com/office/excel/2006/main">
          <x14:cfRule type="containsText" priority="91" operator="containsText" id="{DF181235-FA9E-40EA-A648-292B48022DA0}">
            <xm:f>NOT(ISERROR(SEARCH(Auxiliar!$B$21,I1281)))</xm:f>
            <xm:f>Auxiliar!$B$21</xm:f>
            <x14:dxf>
              <font>
                <b/>
                <i val="0"/>
                <color rgb="FFFFC000"/>
              </font>
              <fill>
                <patternFill>
                  <bgColor theme="9" tint="0.59996337778862885"/>
                </patternFill>
              </fill>
            </x14:dxf>
          </x14:cfRule>
          <x14:cfRule type="cellIs" priority="92" operator="equal" id="{9C7C6505-25DE-4647-8F2A-4962829050E1}">
            <xm:f>Auxiliar!$B$24</xm:f>
            <x14:dxf>
              <font>
                <b/>
                <i val="0"/>
                <color theme="1"/>
              </font>
              <fill>
                <patternFill patternType="darkUp">
                  <bgColor theme="0"/>
                </patternFill>
              </fill>
            </x14:dxf>
          </x14:cfRule>
          <x14:cfRule type="cellIs" priority="93" operator="equal" id="{3CFB144F-84F5-4773-AE43-EF621B2D2154}">
            <xm:f>Auxiliar!$B$18</xm:f>
            <x14:dxf>
              <font>
                <b/>
                <i val="0"/>
                <color theme="0" tint="-0.499984740745262"/>
              </font>
              <fill>
                <patternFill>
                  <bgColor theme="0" tint="-4.9989318521683403E-2"/>
                </patternFill>
              </fill>
            </x14:dxf>
          </x14:cfRule>
          <x14:cfRule type="containsText" priority="94" operator="containsText" id="{0A42159F-6CA5-47EA-8D39-3C8D3A129086}">
            <xm:f>NOT(ISERROR(SEARCH(Auxiliar!$B$22,I1281)))</xm:f>
            <xm:f>Auxiliar!$B$22</xm:f>
            <x14:dxf>
              <font>
                <b/>
                <i val="0"/>
                <color rgb="FFC00000"/>
              </font>
              <fill>
                <patternFill>
                  <bgColor theme="4" tint="0.79998168889431442"/>
                </patternFill>
              </fill>
            </x14:dxf>
          </x14:cfRule>
          <x14:cfRule type="containsText" priority="95" operator="containsText" id="{5A58F008-0DFB-4FE4-B344-E402BDA2C837}">
            <xm:f>NOT(ISERROR(SEARCH(Auxiliar!$B$19,I1281)))</xm:f>
            <xm:f>Auxiliar!$B$19</xm:f>
            <x14:dxf>
              <font>
                <b/>
                <i val="0"/>
                <color theme="9" tint="-0.499984740745262"/>
              </font>
              <fill>
                <patternFill>
                  <bgColor theme="9" tint="0.79998168889431442"/>
                </patternFill>
              </fill>
            </x14:dxf>
          </x14:cfRule>
          <x14:cfRule type="containsText" priority="96" operator="containsText" id="{DF74522A-C0D5-4C88-9207-BE75C4C8DE4E}">
            <xm:f>NOT(ISERROR(SEARCH(Auxiliar!$B$16,I1281)))</xm:f>
            <xm:f>Auxiliar!$B$16</xm:f>
            <x14:dxf>
              <font>
                <b/>
                <i val="0"/>
                <color theme="7"/>
              </font>
              <fill>
                <patternFill>
                  <bgColor theme="7" tint="0.79998168889431442"/>
                </patternFill>
              </fill>
            </x14:dxf>
          </x14:cfRule>
          <xm:sqref>I1281:I1283</xm:sqref>
        </x14:conditionalFormatting>
        <x14:conditionalFormatting xmlns:xm="http://schemas.microsoft.com/office/excel/2006/main">
          <x14:cfRule type="containsText" priority="85" operator="containsText" id="{823160F8-9997-4794-9B4E-C576A6FE222D}">
            <xm:f>NOT(ISERROR(SEARCH(Auxiliar!$B$21,I326)))</xm:f>
            <xm:f>Auxiliar!$B$21</xm:f>
            <x14:dxf>
              <font>
                <b/>
                <i val="0"/>
                <color rgb="FFFFC000"/>
              </font>
              <fill>
                <patternFill>
                  <bgColor theme="9" tint="0.59996337778862885"/>
                </patternFill>
              </fill>
            </x14:dxf>
          </x14:cfRule>
          <x14:cfRule type="cellIs" priority="86" operator="equal" id="{C1156D3F-4924-4518-B96A-5B9AA8B5BE50}">
            <xm:f>Auxiliar!$B$24</xm:f>
            <x14:dxf>
              <font>
                <b/>
                <i val="0"/>
                <color theme="1"/>
              </font>
              <fill>
                <patternFill patternType="darkUp">
                  <bgColor theme="0"/>
                </patternFill>
              </fill>
            </x14:dxf>
          </x14:cfRule>
          <x14:cfRule type="cellIs" priority="87" operator="equal" id="{BD765773-A292-448A-90DA-70399168E638}">
            <xm:f>Auxiliar!$B$18</xm:f>
            <x14:dxf>
              <font>
                <b/>
                <i val="0"/>
                <color theme="0" tint="-0.499984740745262"/>
              </font>
              <fill>
                <patternFill>
                  <bgColor theme="0" tint="-4.9989318521683403E-2"/>
                </patternFill>
              </fill>
            </x14:dxf>
          </x14:cfRule>
          <x14:cfRule type="containsText" priority="8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8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90" operator="containsText" id="{83ADEF97-2D81-44D6-8483-B2AB1130B3D0}">
            <xm:f>NOT(ISERROR(SEARCH(Auxiliar!$B$16,I326)))</xm:f>
            <xm:f>Auxiliar!$B$16</xm:f>
            <x14:dxf>
              <font>
                <b/>
                <i val="0"/>
                <color theme="7"/>
              </font>
              <fill>
                <patternFill>
                  <bgColor theme="7" tint="0.79998168889431442"/>
                </patternFill>
              </fill>
            </x14:dxf>
          </x14:cfRule>
          <xm:sqref>I326:I343 I347:I349</xm:sqref>
        </x14:conditionalFormatting>
        <x14:conditionalFormatting xmlns:xm="http://schemas.microsoft.com/office/excel/2006/main">
          <x14:cfRule type="containsText" priority="79" operator="containsText" id="{2C9A8ECC-40D2-4BF8-9013-94EF4681BA37}">
            <xm:f>NOT(ISERROR(SEARCH(Auxiliar!$B$21,I1077)))</xm:f>
            <xm:f>Auxiliar!$B$21</xm:f>
            <x14:dxf>
              <font>
                <b/>
                <i val="0"/>
                <color rgb="FFFFC000"/>
              </font>
              <fill>
                <patternFill>
                  <bgColor theme="9" tint="0.59996337778862885"/>
                </patternFill>
              </fill>
            </x14:dxf>
          </x14:cfRule>
          <x14:cfRule type="cellIs" priority="80" operator="equal" id="{59A9144D-6CCA-4414-829D-6E250F57C9C1}">
            <xm:f>Auxiliar!$B$24</xm:f>
            <x14:dxf>
              <font>
                <b/>
                <i val="0"/>
                <color theme="1"/>
              </font>
              <fill>
                <patternFill patternType="darkUp">
                  <bgColor theme="0"/>
                </patternFill>
              </fill>
            </x14:dxf>
          </x14:cfRule>
          <x14:cfRule type="cellIs" priority="81" operator="equal" id="{E214B4E9-46D7-4587-9E1C-3B66F94D73F5}">
            <xm:f>Auxiliar!$B$18</xm:f>
            <x14:dxf>
              <font>
                <b/>
                <i val="0"/>
                <color theme="0" tint="-0.499984740745262"/>
              </font>
              <fill>
                <patternFill>
                  <bgColor theme="0" tint="-4.9989318521683403E-2"/>
                </patternFill>
              </fill>
            </x14:dxf>
          </x14:cfRule>
          <x14:cfRule type="containsText" priority="82" operator="containsText" id="{E34DF700-1CC5-49B0-95AC-09D0DD9766F5}">
            <xm:f>NOT(ISERROR(SEARCH(Auxiliar!$B$22,I1077)))</xm:f>
            <xm:f>Auxiliar!$B$22</xm:f>
            <x14:dxf>
              <font>
                <b/>
                <i val="0"/>
                <color rgb="FFC00000"/>
              </font>
              <fill>
                <patternFill>
                  <bgColor theme="4" tint="0.79998168889431442"/>
                </patternFill>
              </fill>
            </x14:dxf>
          </x14:cfRule>
          <x14:cfRule type="containsText" priority="83" operator="containsText" id="{33E2FE36-9E3B-4AEA-A113-912502D1B3F8}">
            <xm:f>NOT(ISERROR(SEARCH(Auxiliar!$B$19,I1077)))</xm:f>
            <xm:f>Auxiliar!$B$19</xm:f>
            <x14:dxf>
              <font>
                <b/>
                <i val="0"/>
                <color theme="9" tint="-0.499984740745262"/>
              </font>
              <fill>
                <patternFill>
                  <bgColor theme="9" tint="0.79998168889431442"/>
                </patternFill>
              </fill>
            </x14:dxf>
          </x14:cfRule>
          <x14:cfRule type="containsText" priority="84" operator="containsText" id="{2520360D-6E71-4B8B-92CF-72B06A5A18D8}">
            <xm:f>NOT(ISERROR(SEARCH(Auxiliar!$B$16,I1077)))</xm:f>
            <xm:f>Auxiliar!$B$16</xm:f>
            <x14:dxf>
              <font>
                <b/>
                <i val="0"/>
                <color theme="7"/>
              </font>
              <fill>
                <patternFill>
                  <bgColor theme="7" tint="0.79998168889431442"/>
                </patternFill>
              </fill>
            </x14:dxf>
          </x14:cfRule>
          <xm:sqref>I1101:I1103 I1077:I1082</xm:sqref>
        </x14:conditionalFormatting>
        <x14:conditionalFormatting xmlns:xm="http://schemas.microsoft.com/office/excel/2006/main">
          <x14:cfRule type="containsText" priority="73" operator="containsText" id="{95C8CC35-B63E-4B6E-978B-89C7B3BB0D0F}">
            <xm:f>NOT(ISERROR(SEARCH(Auxiliar!$B$21,I1301)))</xm:f>
            <xm:f>Auxiliar!$B$21</xm:f>
            <x14:dxf>
              <font>
                <b/>
                <i val="0"/>
                <color rgb="FFFFC000"/>
              </font>
              <fill>
                <patternFill>
                  <bgColor theme="9" tint="0.59996337778862885"/>
                </patternFill>
              </fill>
            </x14:dxf>
          </x14:cfRule>
          <x14:cfRule type="cellIs" priority="74" operator="equal" id="{2CF4FBE2-212B-4B8E-A4FF-359DE385C765}">
            <xm:f>Auxiliar!$B$24</xm:f>
            <x14:dxf>
              <font>
                <b/>
                <i val="0"/>
                <color theme="1"/>
              </font>
              <fill>
                <patternFill patternType="darkUp">
                  <bgColor theme="0"/>
                </patternFill>
              </fill>
            </x14:dxf>
          </x14:cfRule>
          <x14:cfRule type="cellIs" priority="75" operator="equal" id="{DFAEB673-DE6E-4608-B609-F2F737B60C9A}">
            <xm:f>Auxiliar!$B$18</xm:f>
            <x14:dxf>
              <font>
                <b/>
                <i val="0"/>
                <color theme="0" tint="-0.499984740745262"/>
              </font>
              <fill>
                <patternFill>
                  <bgColor theme="0" tint="-4.9989318521683403E-2"/>
                </patternFill>
              </fill>
            </x14:dxf>
          </x14:cfRule>
          <x14:cfRule type="containsText" priority="76" operator="containsText" id="{4F0CE456-5F76-4B3C-B3AB-A49838976662}">
            <xm:f>NOT(ISERROR(SEARCH(Auxiliar!$B$22,I1301)))</xm:f>
            <xm:f>Auxiliar!$B$22</xm:f>
            <x14:dxf>
              <font>
                <b/>
                <i val="0"/>
                <color rgb="FFC00000"/>
              </font>
              <fill>
                <patternFill>
                  <bgColor theme="4" tint="0.79998168889431442"/>
                </patternFill>
              </fill>
            </x14:dxf>
          </x14:cfRule>
          <x14:cfRule type="containsText" priority="77" operator="containsText" id="{24FCCA02-CA0E-45A7-B9A8-AE3F9B950333}">
            <xm:f>NOT(ISERROR(SEARCH(Auxiliar!$B$19,I1301)))</xm:f>
            <xm:f>Auxiliar!$B$19</xm:f>
            <x14:dxf>
              <font>
                <b/>
                <i val="0"/>
                <color theme="9" tint="-0.499984740745262"/>
              </font>
              <fill>
                <patternFill>
                  <bgColor theme="9" tint="0.79998168889431442"/>
                </patternFill>
              </fill>
            </x14:dxf>
          </x14:cfRule>
          <x14:cfRule type="containsText" priority="78" operator="containsText" id="{6141A62C-659B-4A19-9663-DFF6F5A7812C}">
            <xm:f>NOT(ISERROR(SEARCH(Auxiliar!$B$16,I1301)))</xm:f>
            <xm:f>Auxiliar!$B$16</xm:f>
            <x14:dxf>
              <font>
                <b/>
                <i val="0"/>
                <color theme="7"/>
              </font>
              <fill>
                <patternFill>
                  <bgColor theme="7" tint="0.79998168889431442"/>
                </patternFill>
              </fill>
            </x14:dxf>
          </x14:cfRule>
          <xm:sqref>I1301</xm:sqref>
        </x14:conditionalFormatting>
        <x14:conditionalFormatting xmlns:xm="http://schemas.microsoft.com/office/excel/2006/main">
          <x14:cfRule type="containsText" priority="55" operator="containsText" id="{670F9BD4-6E72-4C8A-9DE6-6D760ABE2EF2}">
            <xm:f>NOT(ISERROR(SEARCH(Auxiliar!$B$21,I1155)))</xm:f>
            <xm:f>Auxiliar!$B$21</xm:f>
            <x14:dxf>
              <font>
                <b/>
                <i val="0"/>
                <color rgb="FFFFC000"/>
              </font>
              <fill>
                <patternFill>
                  <bgColor theme="9" tint="0.59996337778862885"/>
                </patternFill>
              </fill>
            </x14:dxf>
          </x14:cfRule>
          <x14:cfRule type="cellIs" priority="56" operator="equal" id="{A21A7634-FA0B-4602-AFC1-02F4105C6810}">
            <xm:f>Auxiliar!$B$24</xm:f>
            <x14:dxf>
              <font>
                <b/>
                <i val="0"/>
                <color theme="1"/>
              </font>
              <fill>
                <patternFill patternType="darkUp">
                  <bgColor theme="0"/>
                </patternFill>
              </fill>
            </x14:dxf>
          </x14:cfRule>
          <x14:cfRule type="cellIs" priority="57" operator="equal" id="{6FE9802C-F381-43CA-A21F-54F14A81F8B2}">
            <xm:f>Auxiliar!$B$18</xm:f>
            <x14:dxf>
              <font>
                <b/>
                <i val="0"/>
                <color theme="0" tint="-0.499984740745262"/>
              </font>
              <fill>
                <patternFill>
                  <bgColor theme="0" tint="-4.9989318521683403E-2"/>
                </patternFill>
              </fill>
            </x14:dxf>
          </x14:cfRule>
          <x14:cfRule type="containsText" priority="58" operator="containsText" id="{3F557497-5FC7-4369-843E-84988C61F081}">
            <xm:f>NOT(ISERROR(SEARCH(Auxiliar!$B$22,I1155)))</xm:f>
            <xm:f>Auxiliar!$B$22</xm:f>
            <x14:dxf>
              <font>
                <b/>
                <i val="0"/>
                <color rgb="FFC00000"/>
              </font>
              <fill>
                <patternFill>
                  <bgColor theme="4" tint="0.79998168889431442"/>
                </patternFill>
              </fill>
            </x14:dxf>
          </x14:cfRule>
          <x14:cfRule type="containsText" priority="59" operator="containsText" id="{268E68D1-CAFE-4DB2-86A7-B86374BA2AC6}">
            <xm:f>NOT(ISERROR(SEARCH(Auxiliar!$B$19,I1155)))</xm:f>
            <xm:f>Auxiliar!$B$19</xm:f>
            <x14:dxf>
              <font>
                <b/>
                <i val="0"/>
                <color theme="9" tint="-0.499984740745262"/>
              </font>
              <fill>
                <patternFill>
                  <bgColor theme="9" tint="0.79998168889431442"/>
                </patternFill>
              </fill>
            </x14:dxf>
          </x14:cfRule>
          <x14:cfRule type="containsText" priority="60" operator="containsText" id="{36383A9E-1DBC-409A-B9CC-1EFA73D81E81}">
            <xm:f>NOT(ISERROR(SEARCH(Auxiliar!$B$16,I1155)))</xm:f>
            <xm:f>Auxiliar!$B$16</xm:f>
            <x14:dxf>
              <font>
                <b/>
                <i val="0"/>
                <color theme="7"/>
              </font>
              <fill>
                <patternFill>
                  <bgColor theme="7" tint="0.79998168889431442"/>
                </patternFill>
              </fill>
            </x14:dxf>
          </x14:cfRule>
          <xm:sqref>I1155</xm:sqref>
        </x14:conditionalFormatting>
        <x14:conditionalFormatting xmlns:xm="http://schemas.microsoft.com/office/excel/2006/main">
          <x14:cfRule type="containsText" priority="49" operator="containsText" id="{6142BEC0-530B-491C-A9B0-54D3FDEFA333}">
            <xm:f>NOT(ISERROR(SEARCH(Auxiliar!$B$21,I1156)))</xm:f>
            <xm:f>Auxiliar!$B$21</xm:f>
            <x14:dxf>
              <font>
                <b/>
                <i val="0"/>
                <color rgb="FFFFC000"/>
              </font>
              <fill>
                <patternFill>
                  <bgColor theme="9" tint="0.59996337778862885"/>
                </patternFill>
              </fill>
            </x14:dxf>
          </x14:cfRule>
          <x14:cfRule type="cellIs" priority="50" operator="equal" id="{358F6D0A-F9F7-465B-A1B9-1F10C2092035}">
            <xm:f>Auxiliar!$B$24</xm:f>
            <x14:dxf>
              <font>
                <b/>
                <i val="0"/>
                <color theme="1"/>
              </font>
              <fill>
                <patternFill patternType="darkUp">
                  <bgColor theme="0"/>
                </patternFill>
              </fill>
            </x14:dxf>
          </x14:cfRule>
          <x14:cfRule type="cellIs" priority="51" operator="equal" id="{0F0BF42A-65A3-4A1C-A9D9-C3D22AEF3526}">
            <xm:f>Auxiliar!$B$18</xm:f>
            <x14:dxf>
              <font>
                <b/>
                <i val="0"/>
                <color theme="0" tint="-0.499984740745262"/>
              </font>
              <fill>
                <patternFill>
                  <bgColor theme="0" tint="-4.9989318521683403E-2"/>
                </patternFill>
              </fill>
            </x14:dxf>
          </x14:cfRule>
          <x14:cfRule type="containsText" priority="52" operator="containsText" id="{AB275E1F-B651-4730-8321-08DD63466F62}">
            <xm:f>NOT(ISERROR(SEARCH(Auxiliar!$B$22,I1156)))</xm:f>
            <xm:f>Auxiliar!$B$22</xm:f>
            <x14:dxf>
              <font>
                <b/>
                <i val="0"/>
                <color rgb="FFC00000"/>
              </font>
              <fill>
                <patternFill>
                  <bgColor theme="4" tint="0.79998168889431442"/>
                </patternFill>
              </fill>
            </x14:dxf>
          </x14:cfRule>
          <x14:cfRule type="containsText" priority="53" operator="containsText" id="{6108E5DA-0A6D-46D4-AB08-0967CF535CB3}">
            <xm:f>NOT(ISERROR(SEARCH(Auxiliar!$B$19,I1156)))</xm:f>
            <xm:f>Auxiliar!$B$19</xm:f>
            <x14:dxf>
              <font>
                <b/>
                <i val="0"/>
                <color theme="9" tint="-0.499984740745262"/>
              </font>
              <fill>
                <patternFill>
                  <bgColor theme="9" tint="0.79998168889431442"/>
                </patternFill>
              </fill>
            </x14:dxf>
          </x14:cfRule>
          <x14:cfRule type="containsText" priority="54" operator="containsText" id="{26B8B3B0-7C1C-4390-8CA5-1A701CAA1D5E}">
            <xm:f>NOT(ISERROR(SEARCH(Auxiliar!$B$16,I1156)))</xm:f>
            <xm:f>Auxiliar!$B$16</xm:f>
            <x14:dxf>
              <font>
                <b/>
                <i val="0"/>
                <color theme="7"/>
              </font>
              <fill>
                <patternFill>
                  <bgColor theme="7" tint="0.79998168889431442"/>
                </patternFill>
              </fill>
            </x14:dxf>
          </x14:cfRule>
          <xm:sqref>I1156:I1157</xm:sqref>
        </x14:conditionalFormatting>
        <x14:conditionalFormatting xmlns:xm="http://schemas.microsoft.com/office/excel/2006/main">
          <x14:cfRule type="containsText" priority="43" operator="containsText" id="{41D9C7DC-0343-4880-92C3-E9E5E74035D0}">
            <xm:f>NOT(ISERROR(SEARCH(Auxiliar!$B$21,I1302)))</xm:f>
            <xm:f>Auxiliar!$B$21</xm:f>
            <x14:dxf>
              <font>
                <b/>
                <i val="0"/>
                <color rgb="FFFFC000"/>
              </font>
              <fill>
                <patternFill>
                  <bgColor theme="9" tint="0.59996337778862885"/>
                </patternFill>
              </fill>
            </x14:dxf>
          </x14:cfRule>
          <x14:cfRule type="cellIs" priority="44" operator="equal" id="{1312F701-7E73-45EE-AB28-2D9E99DC8EF2}">
            <xm:f>Auxiliar!$B$24</xm:f>
            <x14:dxf>
              <font>
                <b/>
                <i val="0"/>
                <color theme="1"/>
              </font>
              <fill>
                <patternFill patternType="darkUp">
                  <bgColor theme="0"/>
                </patternFill>
              </fill>
            </x14:dxf>
          </x14:cfRule>
          <x14:cfRule type="cellIs" priority="45" operator="equal" id="{D2E876AF-8F02-4700-85A4-0261345B6B8E}">
            <xm:f>Auxiliar!$B$18</xm:f>
            <x14:dxf>
              <font>
                <b/>
                <i val="0"/>
                <color theme="0" tint="-0.499984740745262"/>
              </font>
              <fill>
                <patternFill>
                  <bgColor theme="0" tint="-4.9989318521683403E-2"/>
                </patternFill>
              </fill>
            </x14:dxf>
          </x14:cfRule>
          <x14:cfRule type="containsText" priority="46" operator="containsText" id="{7A9B92B3-1F4F-4AF2-915D-9BF9328E602D}">
            <xm:f>NOT(ISERROR(SEARCH(Auxiliar!$B$22,I1302)))</xm:f>
            <xm:f>Auxiliar!$B$22</xm:f>
            <x14:dxf>
              <font>
                <b/>
                <i val="0"/>
                <color rgb="FFC00000"/>
              </font>
              <fill>
                <patternFill>
                  <bgColor theme="4" tint="0.79998168889431442"/>
                </patternFill>
              </fill>
            </x14:dxf>
          </x14:cfRule>
          <x14:cfRule type="containsText" priority="47" operator="containsText" id="{21659B19-9605-4A88-B735-022CDBEDA910}">
            <xm:f>NOT(ISERROR(SEARCH(Auxiliar!$B$19,I1302)))</xm:f>
            <xm:f>Auxiliar!$B$19</xm:f>
            <x14:dxf>
              <font>
                <b/>
                <i val="0"/>
                <color theme="9" tint="-0.499984740745262"/>
              </font>
              <fill>
                <patternFill>
                  <bgColor theme="9" tint="0.79998168889431442"/>
                </patternFill>
              </fill>
            </x14:dxf>
          </x14:cfRule>
          <x14:cfRule type="containsText" priority="48" operator="containsText" id="{400C445E-1A34-4FCD-9B79-6D519EC39E7E}">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37" operator="containsText" id="{2894A03C-3E5F-44BE-8B6E-722E39F9710E}">
            <xm:f>NOT(ISERROR(SEARCH(Auxiliar!$B$21,I1300)))</xm:f>
            <xm:f>Auxiliar!$B$21</xm:f>
            <x14:dxf>
              <font>
                <b/>
                <i val="0"/>
                <color rgb="FFFFC000"/>
              </font>
              <fill>
                <patternFill>
                  <bgColor theme="9" tint="0.59996337778862885"/>
                </patternFill>
              </fill>
            </x14:dxf>
          </x14:cfRule>
          <x14:cfRule type="cellIs" priority="38" operator="equal" id="{EB5D0CD7-AEBB-44EB-B1FA-46E6B515B772}">
            <xm:f>Auxiliar!$B$24</xm:f>
            <x14:dxf>
              <font>
                <b/>
                <i val="0"/>
                <color theme="1"/>
              </font>
              <fill>
                <patternFill patternType="darkUp">
                  <bgColor theme="0"/>
                </patternFill>
              </fill>
            </x14:dxf>
          </x14:cfRule>
          <x14:cfRule type="cellIs" priority="39" operator="equal" id="{71888C3E-3039-46F4-B52E-38A7B2E9EBE7}">
            <xm:f>Auxiliar!$B$18</xm:f>
            <x14:dxf>
              <font>
                <b/>
                <i val="0"/>
                <color theme="0" tint="-0.499984740745262"/>
              </font>
              <fill>
                <patternFill>
                  <bgColor theme="0" tint="-4.9989318521683403E-2"/>
                </patternFill>
              </fill>
            </x14:dxf>
          </x14:cfRule>
          <x14:cfRule type="containsText" priority="40" operator="containsText" id="{E06D4046-F08F-4120-941B-B0477FD33D17}">
            <xm:f>NOT(ISERROR(SEARCH(Auxiliar!$B$22,I1300)))</xm:f>
            <xm:f>Auxiliar!$B$22</xm:f>
            <x14:dxf>
              <font>
                <b/>
                <i val="0"/>
                <color rgb="FFC00000"/>
              </font>
              <fill>
                <patternFill>
                  <bgColor theme="4" tint="0.79998168889431442"/>
                </patternFill>
              </fill>
            </x14:dxf>
          </x14:cfRule>
          <x14:cfRule type="containsText" priority="41" operator="containsText" id="{15423AE7-3867-4E7E-A4F6-E0615B5BC45B}">
            <xm:f>NOT(ISERROR(SEARCH(Auxiliar!$B$19,I1300)))</xm:f>
            <xm:f>Auxiliar!$B$19</xm:f>
            <x14:dxf>
              <font>
                <b/>
                <i val="0"/>
                <color theme="9" tint="-0.499984740745262"/>
              </font>
              <fill>
                <patternFill>
                  <bgColor theme="9" tint="0.79998168889431442"/>
                </patternFill>
              </fill>
            </x14:dxf>
          </x14:cfRule>
          <x14:cfRule type="containsText" priority="42" operator="containsText" id="{EA7B4AB5-08EC-4F26-8A35-523E69125988}">
            <xm:f>NOT(ISERROR(SEARCH(Auxiliar!$B$16,I1300)))</xm:f>
            <xm:f>Auxiliar!$B$16</xm:f>
            <x14:dxf>
              <font>
                <b/>
                <i val="0"/>
                <color theme="7"/>
              </font>
              <fill>
                <patternFill>
                  <bgColor theme="7" tint="0.79998168889431442"/>
                </patternFill>
              </fill>
            </x14:dxf>
          </x14:cfRule>
          <xm:sqref>I1300</xm:sqref>
        </x14:conditionalFormatting>
        <x14:conditionalFormatting xmlns:xm="http://schemas.microsoft.com/office/excel/2006/main">
          <x14:cfRule type="containsText" priority="13" operator="containsText" id="{E3BB2710-C741-4DF5-8D19-1B415C19CE71}">
            <xm:f>NOT(ISERROR(SEARCH(Auxiliar!$B$21,I344)))</xm:f>
            <xm:f>Auxiliar!$B$21</xm:f>
            <x14:dxf>
              <font>
                <b/>
                <i val="0"/>
                <color rgb="FFFFC000"/>
              </font>
              <fill>
                <patternFill>
                  <bgColor theme="9" tint="0.59996337778862885"/>
                </patternFill>
              </fill>
            </x14:dxf>
          </x14:cfRule>
          <x14:cfRule type="cellIs" priority="14" operator="equal" id="{0B3DA3C8-A704-493D-B3A5-F25FEE5B8F3C}">
            <xm:f>Auxiliar!$B$24</xm:f>
            <x14:dxf>
              <font>
                <b/>
                <i val="0"/>
                <color theme="1"/>
              </font>
              <fill>
                <patternFill patternType="darkUp">
                  <bgColor theme="0"/>
                </patternFill>
              </fill>
            </x14:dxf>
          </x14:cfRule>
          <x14:cfRule type="cellIs" priority="15" operator="equal" id="{126B789A-B4AA-48A3-9BA6-9AEFBDA12DBB}">
            <xm:f>Auxiliar!$B$18</xm:f>
            <x14:dxf>
              <font>
                <b/>
                <i val="0"/>
                <color theme="0" tint="-0.499984740745262"/>
              </font>
              <fill>
                <patternFill>
                  <bgColor theme="0" tint="-4.9989318521683403E-2"/>
                </patternFill>
              </fill>
            </x14:dxf>
          </x14:cfRule>
          <x14:cfRule type="containsText" priority="16" operator="containsText" id="{388E322F-83D3-4274-BB6D-D4B938523A2C}">
            <xm:f>NOT(ISERROR(SEARCH(Auxiliar!$B$22,I344)))</xm:f>
            <xm:f>Auxiliar!$B$22</xm:f>
            <x14:dxf>
              <font>
                <b/>
                <i val="0"/>
                <color rgb="FFC00000"/>
              </font>
              <fill>
                <patternFill>
                  <bgColor theme="4" tint="0.79998168889431442"/>
                </patternFill>
              </fill>
            </x14:dxf>
          </x14:cfRule>
          <x14:cfRule type="containsText" priority="17" operator="containsText" id="{E2642AA8-541C-4663-8184-7A99020AC5CA}">
            <xm:f>NOT(ISERROR(SEARCH(Auxiliar!$B$19,I344)))</xm:f>
            <xm:f>Auxiliar!$B$19</xm:f>
            <x14:dxf>
              <font>
                <b/>
                <i val="0"/>
                <color theme="9" tint="-0.499984740745262"/>
              </font>
              <fill>
                <patternFill>
                  <bgColor theme="9" tint="0.79998168889431442"/>
                </patternFill>
              </fill>
            </x14:dxf>
          </x14:cfRule>
          <x14:cfRule type="containsText" priority="18" operator="containsText" id="{C51B6767-566A-4856-BF48-9F9941D8CCE2}">
            <xm:f>NOT(ISERROR(SEARCH(Auxiliar!$B$16,I344)))</xm:f>
            <xm:f>Auxiliar!$B$16</xm:f>
            <x14:dxf>
              <font>
                <b/>
                <i val="0"/>
                <color theme="7"/>
              </font>
              <fill>
                <patternFill>
                  <bgColor theme="7" tint="0.79998168889431442"/>
                </patternFill>
              </fill>
            </x14:dxf>
          </x14:cfRule>
          <xm:sqref>I344:I346</xm:sqref>
        </x14:conditionalFormatting>
        <x14:conditionalFormatting xmlns:xm="http://schemas.microsoft.com/office/excel/2006/main">
          <x14:cfRule type="containsText" priority="19" operator="containsText" id="{68B7879D-8888-41E7-95DE-17E280293E9E}">
            <xm:f>NOT(ISERROR(SEARCH(Auxiliar!$B$21,J344)))</xm:f>
            <xm:f>Auxiliar!$B$21</xm:f>
            <x14:dxf>
              <font>
                <b/>
                <i val="0"/>
                <color rgb="FFFFC000"/>
              </font>
              <fill>
                <patternFill>
                  <bgColor theme="9" tint="0.59996337778862885"/>
                </patternFill>
              </fill>
            </x14:dxf>
          </x14:cfRule>
          <x14:cfRule type="cellIs" priority="20" operator="equal" id="{E7918B5B-09E9-4D9E-8DEF-22B78ADEF4EC}">
            <xm:f>Auxiliar!$B$24</xm:f>
            <x14:dxf>
              <font>
                <b/>
                <i val="0"/>
                <color theme="1"/>
              </font>
              <fill>
                <patternFill patternType="darkUp">
                  <bgColor theme="0"/>
                </patternFill>
              </fill>
            </x14:dxf>
          </x14:cfRule>
          <x14:cfRule type="cellIs" priority="21" operator="equal" id="{C9734D25-1591-44F4-B84A-F9635F7E3A1E}">
            <xm:f>Auxiliar!$B$18</xm:f>
            <x14:dxf>
              <font>
                <b/>
                <i val="0"/>
                <color theme="0" tint="-0.499984740745262"/>
              </font>
              <fill>
                <patternFill>
                  <bgColor theme="0" tint="-4.9989318521683403E-2"/>
                </patternFill>
              </fill>
            </x14:dxf>
          </x14:cfRule>
          <x14:cfRule type="containsText" priority="22" operator="containsText" id="{8EC9EB6C-BAAE-4C5B-A0A3-D4BEBFE063BC}">
            <xm:f>NOT(ISERROR(SEARCH(Auxiliar!$B$22,J344)))</xm:f>
            <xm:f>Auxiliar!$B$22</xm:f>
            <x14:dxf>
              <font>
                <b/>
                <i val="0"/>
                <color rgb="FFC00000"/>
              </font>
              <fill>
                <patternFill>
                  <bgColor theme="4" tint="0.79998168889431442"/>
                </patternFill>
              </fill>
            </x14:dxf>
          </x14:cfRule>
          <x14:cfRule type="containsText" priority="23" operator="containsText" id="{65C65B03-C4AD-4686-BF38-974CBE69DD1C}">
            <xm:f>NOT(ISERROR(SEARCH(Auxiliar!$B$19,J344)))</xm:f>
            <xm:f>Auxiliar!$B$19</xm:f>
            <x14:dxf>
              <font>
                <b/>
                <i val="0"/>
                <color theme="9" tint="-0.499984740745262"/>
              </font>
              <fill>
                <patternFill>
                  <bgColor theme="9" tint="0.79998168889431442"/>
                </patternFill>
              </fill>
            </x14:dxf>
          </x14:cfRule>
          <x14:cfRule type="containsText" priority="24" operator="containsText" id="{9D562BB6-8DA0-42FC-B513-95C95541161C}">
            <xm:f>NOT(ISERROR(SEARCH(Auxiliar!$B$16,J344)))</xm:f>
            <xm:f>Auxiliar!$B$16</xm:f>
            <x14:dxf>
              <font>
                <b/>
                <i val="0"/>
                <color theme="7"/>
              </font>
              <fill>
                <patternFill>
                  <bgColor theme="7" tint="0.79998168889431442"/>
                </patternFill>
              </fill>
            </x14:dxf>
          </x14:cfRule>
          <xm:sqref>J344:J346</xm:sqref>
        </x14:conditionalFormatting>
        <x14:conditionalFormatting xmlns:xm="http://schemas.microsoft.com/office/excel/2006/main">
          <x14:cfRule type="containsText" priority="7" operator="containsText" id="{053ADE2A-33DC-4D47-87A0-A43E990FCFE0}">
            <xm:f>NOT(ISERROR(SEARCH(Auxiliar!$B$21,I1104)))</xm:f>
            <xm:f>Auxiliar!$B$21</xm:f>
            <x14:dxf>
              <font>
                <b/>
                <i val="0"/>
                <color rgb="FFFFC000"/>
              </font>
              <fill>
                <patternFill>
                  <bgColor theme="9" tint="0.59996337778862885"/>
                </patternFill>
              </fill>
            </x14:dxf>
          </x14:cfRule>
          <x14:cfRule type="cellIs" priority="8" operator="equal" id="{161CC153-EC49-49E2-992A-09D95CA921AB}">
            <xm:f>Auxiliar!$B$24</xm:f>
            <x14:dxf>
              <font>
                <b/>
                <i val="0"/>
                <color theme="1"/>
              </font>
              <fill>
                <patternFill patternType="darkUp">
                  <bgColor theme="0"/>
                </patternFill>
              </fill>
            </x14:dxf>
          </x14:cfRule>
          <x14:cfRule type="cellIs" priority="9" operator="equal" id="{36936196-4C4F-4C1E-AE27-5A3FB5998847}">
            <xm:f>Auxiliar!$B$18</xm:f>
            <x14:dxf>
              <font>
                <b/>
                <i val="0"/>
                <color theme="0" tint="-0.499984740745262"/>
              </font>
              <fill>
                <patternFill>
                  <bgColor theme="0" tint="-4.9989318521683403E-2"/>
                </patternFill>
              </fill>
            </x14:dxf>
          </x14:cfRule>
          <x14:cfRule type="containsText" priority="10" operator="containsText" id="{A35DF5C1-6505-4F71-81B9-EC793DD58A2A}">
            <xm:f>NOT(ISERROR(SEARCH(Auxiliar!$B$22,I1104)))</xm:f>
            <xm:f>Auxiliar!$B$22</xm:f>
            <x14:dxf>
              <font>
                <b/>
                <i val="0"/>
                <color rgb="FFC00000"/>
              </font>
              <fill>
                <patternFill>
                  <bgColor theme="4" tint="0.79998168889431442"/>
                </patternFill>
              </fill>
            </x14:dxf>
          </x14:cfRule>
          <x14:cfRule type="containsText" priority="11" operator="containsText" id="{888E9B03-536E-4723-8351-6FDEB4C9B656}">
            <xm:f>NOT(ISERROR(SEARCH(Auxiliar!$B$19,I1104)))</xm:f>
            <xm:f>Auxiliar!$B$19</xm:f>
            <x14:dxf>
              <font>
                <b/>
                <i val="0"/>
                <color theme="9" tint="-0.499984740745262"/>
              </font>
              <fill>
                <patternFill>
                  <bgColor theme="9" tint="0.79998168889431442"/>
                </patternFill>
              </fill>
            </x14:dxf>
          </x14:cfRule>
          <x14:cfRule type="containsText" priority="12" operator="containsText" id="{A30A48BE-F908-4BAB-885A-79BA64286271}">
            <xm:f>NOT(ISERROR(SEARCH(Auxiliar!$B$16,I1104)))</xm:f>
            <xm:f>Auxiliar!$B$16</xm:f>
            <x14:dxf>
              <font>
                <b/>
                <i val="0"/>
                <color theme="7"/>
              </font>
              <fill>
                <patternFill>
                  <bgColor theme="7" tint="0.79998168889431442"/>
                </patternFill>
              </fill>
            </x14:dxf>
          </x14:cfRule>
          <xm:sqref>I1104:I1112</xm:sqref>
        </x14:conditionalFormatting>
        <x14:conditionalFormatting xmlns:xm="http://schemas.microsoft.com/office/excel/2006/main">
          <x14:cfRule type="containsText" priority="1" operator="containsText" id="{92CEDF85-910A-4567-8051-8D6C208B7E44}">
            <xm:f>NOT(ISERROR(SEARCH(Auxiliar!$B$21,I158)))</xm:f>
            <xm:f>Auxiliar!$B$21</xm:f>
            <x14:dxf>
              <font>
                <b/>
                <i val="0"/>
                <color rgb="FFFFC000"/>
              </font>
              <fill>
                <patternFill>
                  <bgColor theme="9" tint="0.59996337778862885"/>
                </patternFill>
              </fill>
            </x14:dxf>
          </x14:cfRule>
          <x14:cfRule type="cellIs" priority="2" operator="equal" id="{65A65C1D-2123-4567-8E89-68E0C9FC5D8E}">
            <xm:f>Auxiliar!$B$24</xm:f>
            <x14:dxf>
              <font>
                <b/>
                <i val="0"/>
                <color theme="1"/>
              </font>
              <fill>
                <patternFill patternType="darkUp">
                  <bgColor theme="0"/>
                </patternFill>
              </fill>
            </x14:dxf>
          </x14:cfRule>
          <x14:cfRule type="cellIs" priority="3" operator="equal" id="{9F5577E8-AA9A-4851-BA91-7746AF8EC79B}">
            <xm:f>Auxiliar!$B$18</xm:f>
            <x14:dxf>
              <font>
                <b/>
                <i val="0"/>
                <color theme="0" tint="-0.499984740745262"/>
              </font>
              <fill>
                <patternFill>
                  <bgColor theme="0" tint="-4.9989318521683403E-2"/>
                </patternFill>
              </fill>
            </x14:dxf>
          </x14:cfRule>
          <x14:cfRule type="containsText" priority="4" operator="containsText" id="{89D4649B-B088-4553-B06A-575C5B1C5943}">
            <xm:f>NOT(ISERROR(SEARCH(Auxiliar!$B$22,I158)))</xm:f>
            <xm:f>Auxiliar!$B$22</xm:f>
            <x14:dxf>
              <font>
                <b/>
                <i val="0"/>
                <color rgb="FFC00000"/>
              </font>
              <fill>
                <patternFill>
                  <bgColor theme="4" tint="0.79998168889431442"/>
                </patternFill>
              </fill>
            </x14:dxf>
          </x14:cfRule>
          <x14:cfRule type="containsText" priority="5" operator="containsText" id="{4DBA64CA-C77F-4DFC-A4EE-A74D4ED8108D}">
            <xm:f>NOT(ISERROR(SEARCH(Auxiliar!$B$19,I158)))</xm:f>
            <xm:f>Auxiliar!$B$19</xm:f>
            <x14:dxf>
              <font>
                <b/>
                <i val="0"/>
                <color theme="9" tint="-0.499984740745262"/>
              </font>
              <fill>
                <patternFill>
                  <bgColor theme="9" tint="0.79998168889431442"/>
                </patternFill>
              </fill>
            </x14:dxf>
          </x14:cfRule>
          <x14:cfRule type="containsText" priority="6" operator="containsText" id="{805CE944-C556-4D58-821E-CF7AB752C2B1}">
            <xm:f>NOT(ISERROR(SEARCH(Auxiliar!$B$16,I158)))</xm:f>
            <xm:f>Auxiliar!$B$16</xm:f>
            <x14:dxf>
              <font>
                <b/>
                <i val="0"/>
                <color theme="7"/>
              </font>
              <fill>
                <patternFill>
                  <bgColor theme="7" tint="0.79998168889431442"/>
                </patternFill>
              </fill>
            </x14:dxf>
          </x14:cfRule>
          <xm:sqref>I251:I253 I224:I226 I179:I181 I158:I160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M9:M1323</xm:sqref>
        </x14:dataValidation>
        <x14:dataValidation type="list" allowBlank="1" showInputMessage="1" showErrorMessage="1">
          <x14:formula1>
            <xm:f>Auxiliar!$B$5:$B$13</xm:f>
          </x14:formula1>
          <xm:sqref>K9:K1323</xm:sqref>
        </x14:dataValidation>
        <x14:dataValidation type="list" allowBlank="1" showInputMessage="1" showErrorMessage="1">
          <x14:formula1>
            <xm:f>Auxiliar!$B$16:$B$24</xm:f>
          </x14:formula1>
          <xm:sqref>I9:I1323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6"/>
  <sheetViews>
    <sheetView workbookViewId="0">
      <selection activeCell="D13" sqref="D13"/>
    </sheetView>
  </sheetViews>
  <sheetFormatPr defaultRowHeight="13.8"/>
  <cols>
    <col min="2" max="2" width="36.09765625" bestFit="1" customWidth="1"/>
    <col min="4" max="4" width="30" customWidth="1"/>
  </cols>
  <sheetData>
    <row r="2" spans="2:4">
      <c r="B2" t="s">
        <v>38</v>
      </c>
    </row>
    <row r="3" spans="2:4">
      <c r="B3" t="s">
        <v>41</v>
      </c>
      <c r="D3" s="267" t="s">
        <v>2083</v>
      </c>
    </row>
    <row r="4" spans="2:4">
      <c r="B4" t="s">
        <v>42</v>
      </c>
      <c r="D4" s="267" t="s">
        <v>2084</v>
      </c>
    </row>
    <row r="5" spans="2:4">
      <c r="B5" t="s">
        <v>43</v>
      </c>
      <c r="D5" s="267" t="s">
        <v>2085</v>
      </c>
    </row>
    <row r="6" spans="2:4">
      <c r="B6" t="s">
        <v>44</v>
      </c>
      <c r="D6" s="267" t="s">
        <v>2086</v>
      </c>
    </row>
    <row r="7" spans="2:4">
      <c r="B7" t="s">
        <v>45</v>
      </c>
      <c r="D7" s="267" t="s">
        <v>2087</v>
      </c>
    </row>
    <row r="8" spans="2:4">
      <c r="B8" t="s">
        <v>46</v>
      </c>
      <c r="D8" s="267" t="s">
        <v>2088</v>
      </c>
    </row>
    <row r="9" spans="2:4">
      <c r="B9" t="s">
        <v>47</v>
      </c>
      <c r="D9" s="267" t="s">
        <v>2089</v>
      </c>
    </row>
    <row r="10" spans="2:4">
      <c r="B10" t="s">
        <v>48</v>
      </c>
      <c r="D10" s="267" t="s">
        <v>2090</v>
      </c>
    </row>
    <row r="11" spans="2:4">
      <c r="B11" t="s">
        <v>49</v>
      </c>
      <c r="D11" s="267" t="s">
        <v>2091</v>
      </c>
    </row>
    <row r="12" spans="2:4">
      <c r="B12" t="s">
        <v>50</v>
      </c>
      <c r="D12" s="267" t="s">
        <v>2092</v>
      </c>
    </row>
    <row r="13" spans="2:4">
      <c r="B13" t="s">
        <v>51</v>
      </c>
      <c r="D13" s="267" t="s">
        <v>2093</v>
      </c>
    </row>
    <row r="14" spans="2:4">
      <c r="B14" t="s">
        <v>52</v>
      </c>
      <c r="D14" s="267" t="s">
        <v>2094</v>
      </c>
    </row>
    <row r="15" spans="2:4">
      <c r="D15" s="267" t="s">
        <v>2095</v>
      </c>
    </row>
    <row r="16" spans="2:4">
      <c r="D16" s="267" t="s">
        <v>2096</v>
      </c>
    </row>
    <row r="17" spans="4:4">
      <c r="D17" s="267" t="s">
        <v>2097</v>
      </c>
    </row>
    <row r="18" spans="4:4">
      <c r="D18" s="267" t="s">
        <v>2098</v>
      </c>
    </row>
    <row r="19" spans="4:4">
      <c r="D19" s="267" t="s">
        <v>2099</v>
      </c>
    </row>
    <row r="20" spans="4:4">
      <c r="D20" s="267" t="s">
        <v>2100</v>
      </c>
    </row>
    <row r="21" spans="4:4">
      <c r="D21" s="267" t="s">
        <v>2101</v>
      </c>
    </row>
    <row r="22" spans="4:4">
      <c r="D22" s="267" t="s">
        <v>2102</v>
      </c>
    </row>
    <row r="23" spans="4:4">
      <c r="D23" s="267" t="s">
        <v>2103</v>
      </c>
    </row>
    <row r="24" spans="4:4">
      <c r="D24" s="267" t="s">
        <v>2104</v>
      </c>
    </row>
    <row r="25" spans="4:4">
      <c r="D25" s="267" t="s">
        <v>2105</v>
      </c>
    </row>
    <row r="26" spans="4:4">
      <c r="D26" s="267" t="s">
        <v>2106</v>
      </c>
    </row>
    <row r="27" spans="4:4">
      <c r="D27" s="267" t="s">
        <v>2107</v>
      </c>
    </row>
    <row r="28" spans="4:4">
      <c r="D28" s="267" t="s">
        <v>2108</v>
      </c>
    </row>
    <row r="29" spans="4:4">
      <c r="D29" s="267" t="s">
        <v>2109</v>
      </c>
    </row>
    <row r="30" spans="4:4">
      <c r="D30" s="267" t="s">
        <v>2110</v>
      </c>
    </row>
    <row r="31" spans="4:4">
      <c r="D31" s="267" t="s">
        <v>2111</v>
      </c>
    </row>
    <row r="32" spans="4:4">
      <c r="D32" s="267" t="s">
        <v>2112</v>
      </c>
    </row>
    <row r="33" spans="4:4">
      <c r="D33" s="267" t="s">
        <v>2113</v>
      </c>
    </row>
    <row r="34" spans="4:4">
      <c r="D34" s="267" t="s">
        <v>2114</v>
      </c>
    </row>
    <row r="35" spans="4:4">
      <c r="D35" s="267" t="s">
        <v>2115</v>
      </c>
    </row>
    <row r="36" spans="4:4">
      <c r="D36" s="267" t="s">
        <v>2116</v>
      </c>
    </row>
    <row r="37" spans="4:4">
      <c r="D37" s="267" t="s">
        <v>2117</v>
      </c>
    </row>
    <row r="38" spans="4:4">
      <c r="D38" s="267" t="s">
        <v>2118</v>
      </c>
    </row>
    <row r="39" spans="4:4">
      <c r="D39" s="267" t="s">
        <v>2119</v>
      </c>
    </row>
    <row r="40" spans="4:4">
      <c r="D40" s="267" t="s">
        <v>2120</v>
      </c>
    </row>
    <row r="41" spans="4:4">
      <c r="D41" s="267" t="s">
        <v>2121</v>
      </c>
    </row>
    <row r="42" spans="4:4">
      <c r="D42" s="267" t="s">
        <v>2122</v>
      </c>
    </row>
    <row r="43" spans="4:4">
      <c r="D43" s="267" t="s">
        <v>2123</v>
      </c>
    </row>
    <row r="44" spans="4:4">
      <c r="D44" s="267" t="s">
        <v>2124</v>
      </c>
    </row>
    <row r="45" spans="4:4">
      <c r="D45" s="267" t="s">
        <v>2125</v>
      </c>
    </row>
    <row r="46" spans="4:4">
      <c r="D46" s="267" t="s">
        <v>2126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10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zoomScale="70" zoomScaleNormal="70" workbookViewId="0">
      <selection activeCell="H208" sqref="H208"/>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7"/>
      <c r="Y7" s="252">
        <f t="shared" ref="Y7:AD7" si="2">SUM(Y17:Y258)</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SUM(AY17:AY258)</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1</v>
      </c>
      <c r="CH7" s="252">
        <f t="shared" si="3"/>
        <v>1</v>
      </c>
      <c r="CI7" s="252">
        <f t="shared" si="3"/>
        <v>0</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2014</v>
      </c>
      <c r="J15" s="266" t="s">
        <v>2014</v>
      </c>
      <c r="K15" s="266" t="s">
        <v>2014</v>
      </c>
      <c r="L15" s="266" t="s">
        <v>2014</v>
      </c>
      <c r="M15" s="266" t="s">
        <v>2014</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2016</v>
      </c>
      <c r="K16" s="214" t="s">
        <v>2017</v>
      </c>
      <c r="L16" s="319" t="s">
        <v>1999</v>
      </c>
      <c r="M16" s="319" t="s">
        <v>2000</v>
      </c>
      <c r="N16" s="319" t="s">
        <v>2015</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2004</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outlineLevel="1">
      <c r="A18" s="274" t="str">
        <f>E18&amp;G18</f>
        <v>lt002_instrumentlns_clltrlzd_clssfctn</v>
      </c>
      <c r="B18" s="142" t="s">
        <v>26</v>
      </c>
      <c r="C18" s="138" t="s">
        <v>26</v>
      </c>
      <c r="D18" s="235" t="s">
        <v>40</v>
      </c>
      <c r="E18" s="238" t="s">
        <v>380</v>
      </c>
      <c r="F18" s="238"/>
      <c r="G18" s="238" t="s">
        <v>385</v>
      </c>
      <c r="H18" s="235" t="str">
        <f>VLOOKUP(A18,'2. Status Detalhe Campos FY24'!$A$7:$G$575,7,0)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 r="A19" s="274"/>
      <c r="B19" s="142" t="s">
        <v>26</v>
      </c>
      <c r="C19" s="138" t="s">
        <v>311</v>
      </c>
      <c r="D19" s="134"/>
      <c r="E19" s="239" t="s">
        <v>312</v>
      </c>
      <c r="F19" s="239" t="s">
        <v>1996</v>
      </c>
      <c r="G19" s="240">
        <f>COUNTA(G20:G27)</f>
        <v>8</v>
      </c>
      <c r="H19" s="295" t="s">
        <v>2004</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 FY24'!$A$7:$G$575,7,0)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outlineLevel="1">
      <c r="A21" s="274" t="str">
        <f t="shared" si="7"/>
        <v>modesg_out_bens_imoveisorigem_scp2_emss</v>
      </c>
      <c r="B21" s="142" t="s">
        <v>26</v>
      </c>
      <c r="C21" s="138" t="s">
        <v>311</v>
      </c>
      <c r="D21" s="235" t="s">
        <v>40</v>
      </c>
      <c r="E21" s="236" t="s">
        <v>312</v>
      </c>
      <c r="F21" s="236"/>
      <c r="G21" s="235" t="s">
        <v>321</v>
      </c>
      <c r="H21" s="235" t="str">
        <f>VLOOKUP(A21,'2. Status Detalhe Campos FY24'!$A$7:$G$575,7,0)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outlineLevel="1">
      <c r="A22" s="274" t="str">
        <f t="shared" si="7"/>
        <v>modesg_out_bens_imoveisorigem_scp3_emss</v>
      </c>
      <c r="B22" s="142" t="s">
        <v>26</v>
      </c>
      <c r="C22" s="138" t="s">
        <v>311</v>
      </c>
      <c r="D22" s="235" t="s">
        <v>40</v>
      </c>
      <c r="E22" s="236" t="s">
        <v>312</v>
      </c>
      <c r="F22" s="236"/>
      <c r="G22" s="235" t="s">
        <v>322</v>
      </c>
      <c r="H22" s="235" t="str">
        <f>VLOOKUP(A22,'2. Status Detalhe Campos FY24'!$A$7:$G$575,7,0)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outlineLevel="1">
      <c r="A23" s="274" t="str">
        <f t="shared" si="7"/>
        <v>modesg_out_bens_imoveisscp1_emss</v>
      </c>
      <c r="B23" s="142" t="s">
        <v>26</v>
      </c>
      <c r="C23" s="138" t="s">
        <v>311</v>
      </c>
      <c r="D23" s="235" t="s">
        <v>40</v>
      </c>
      <c r="E23" s="236" t="s">
        <v>312</v>
      </c>
      <c r="F23" s="236"/>
      <c r="G23" s="235" t="s">
        <v>286</v>
      </c>
      <c r="H23" s="235" t="str">
        <f>VLOOKUP(A23,'2. Status Detalhe Campos FY24'!$A$7:$G$575,7,0)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outlineLevel="1">
      <c r="A24" s="274" t="str">
        <f t="shared" si="7"/>
        <v>modesg_out_bens_imoveisscp2_emss</v>
      </c>
      <c r="B24" s="142" t="s">
        <v>26</v>
      </c>
      <c r="C24" s="138" t="s">
        <v>311</v>
      </c>
      <c r="D24" s="235" t="s">
        <v>40</v>
      </c>
      <c r="E24" s="236" t="s">
        <v>312</v>
      </c>
      <c r="F24" s="236"/>
      <c r="G24" s="235" t="s">
        <v>287</v>
      </c>
      <c r="H24" s="235" t="str">
        <f>VLOOKUP(A24,'2. Status Detalhe Campos FY24'!$A$7:$G$575,7,0)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outlineLevel="1">
      <c r="A25" s="274" t="str">
        <f t="shared" si="7"/>
        <v>modesg_out_bens_imoveisunidade_funcional_scp1_emss</v>
      </c>
      <c r="B25" s="142" t="s">
        <v>26</v>
      </c>
      <c r="C25" s="138" t="s">
        <v>311</v>
      </c>
      <c r="D25" s="235" t="s">
        <v>40</v>
      </c>
      <c r="E25" s="236" t="s">
        <v>312</v>
      </c>
      <c r="F25" s="236"/>
      <c r="G25" s="235" t="s">
        <v>323</v>
      </c>
      <c r="H25" s="235" t="str">
        <f>VLOOKUP(A25,'2. Status Detalhe Campos FY24'!$A$7:$G$575,7,0)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outlineLevel="1">
      <c r="A26" s="274" t="str">
        <f t="shared" si="7"/>
        <v>modesg_out_bens_imoveisunidade_funcional_scp2_emss</v>
      </c>
      <c r="B26" s="142" t="s">
        <v>26</v>
      </c>
      <c r="C26" s="138" t="s">
        <v>311</v>
      </c>
      <c r="D26" s="235" t="s">
        <v>40</v>
      </c>
      <c r="E26" s="236" t="s">
        <v>312</v>
      </c>
      <c r="F26" s="236"/>
      <c r="G26" s="235" t="s">
        <v>324</v>
      </c>
      <c r="H26" s="235" t="str">
        <f>VLOOKUP(A26,'2. Status Detalhe Campos FY24'!$A$7:$G$575,7,0)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outlineLevel="1">
      <c r="A27" s="274" t="str">
        <f t="shared" si="7"/>
        <v>modesg_out_bens_imoveisunidade_funcional_scp3_emss</v>
      </c>
      <c r="B27" s="142" t="s">
        <v>26</v>
      </c>
      <c r="C27" s="138" t="s">
        <v>311</v>
      </c>
      <c r="D27" s="235" t="s">
        <v>40</v>
      </c>
      <c r="E27" s="236" t="s">
        <v>312</v>
      </c>
      <c r="F27" s="236"/>
      <c r="G27" s="235" t="s">
        <v>325</v>
      </c>
      <c r="H27" s="235" t="str">
        <f>VLOOKUP(A27,'2. Status Detalhe Campos FY24'!$A$7:$G$575,7,0)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 r="A28" s="274"/>
      <c r="B28" s="142" t="s">
        <v>26</v>
      </c>
      <c r="C28" s="138" t="s">
        <v>181</v>
      </c>
      <c r="D28" s="134"/>
      <c r="E28" s="239" t="s">
        <v>182</v>
      </c>
      <c r="F28" s="239" t="s">
        <v>1972</v>
      </c>
      <c r="G28" s="240">
        <f>COUNTA(G29:G43)</f>
        <v>15</v>
      </c>
      <c r="H28" s="295" t="s">
        <v>2004</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 FY24'!$A$7:$G$575,7,0)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outlineLevel="1">
      <c r="A30" s="274" t="str">
        <f t="shared" si="11"/>
        <v>modesg_param_sfcs_taxon_europeiacomite</v>
      </c>
      <c r="B30" s="142" t="s">
        <v>26</v>
      </c>
      <c r="C30" s="138" t="s">
        <v>181</v>
      </c>
      <c r="D30" s="235" t="s">
        <v>40</v>
      </c>
      <c r="E30" s="236" t="s">
        <v>182</v>
      </c>
      <c r="F30" s="236"/>
      <c r="G30" s="235" t="s">
        <v>192</v>
      </c>
      <c r="H30" s="235" t="str">
        <f>VLOOKUP(A30,'2. Status Detalhe Campos FY24'!$A$7:$G$575,7,0)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outlineLevel="1">
      <c r="A31" s="274" t="str">
        <f t="shared" si="11"/>
        <v>modesg_param_sfcs_taxon_europeiadata_aprvc</v>
      </c>
      <c r="B31" s="142" t="s">
        <v>26</v>
      </c>
      <c r="C31" s="138" t="s">
        <v>181</v>
      </c>
      <c r="D31" s="235" t="s">
        <v>40</v>
      </c>
      <c r="E31" s="236" t="s">
        <v>182</v>
      </c>
      <c r="F31" s="236"/>
      <c r="G31" s="235" t="s">
        <v>193</v>
      </c>
      <c r="H31" s="235" t="str">
        <f>VLOOKUP(A31,'2. Status Detalhe Campos FY24'!$A$7:$G$575,7,0)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outlineLevel="1">
      <c r="A32" s="274" t="str">
        <f t="shared" si="11"/>
        <v>modesg_param_sfcs_taxon_europeiadata_final</v>
      </c>
      <c r="B32" s="142" t="s">
        <v>26</v>
      </c>
      <c r="C32" s="138" t="s">
        <v>181</v>
      </c>
      <c r="D32" s="235" t="s">
        <v>40</v>
      </c>
      <c r="E32" s="236" t="s">
        <v>182</v>
      </c>
      <c r="F32" s="236"/>
      <c r="G32" s="235" t="s">
        <v>194</v>
      </c>
      <c r="H32" s="235" t="str">
        <f>VLOOKUP(A32,'2. Status Detalhe Campos FY24'!$A$7:$G$575,7,0)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outlineLevel="1">
      <c r="A33" s="274" t="str">
        <f t="shared" si="11"/>
        <v>modesg_param_sfcs_taxon_europeiadata_inicial</v>
      </c>
      <c r="B33" s="142" t="s">
        <v>26</v>
      </c>
      <c r="C33" s="138" t="s">
        <v>181</v>
      </c>
      <c r="D33" s="235" t="s">
        <v>40</v>
      </c>
      <c r="E33" s="236" t="s">
        <v>182</v>
      </c>
      <c r="F33" s="236"/>
      <c r="G33" s="235" t="s">
        <v>195</v>
      </c>
      <c r="H33" s="235" t="str">
        <f>VLOOKUP(A33,'2. Status Detalhe Campos FY24'!$A$7:$G$575,7,0)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 FY24'!$A$7:$G$575,7,0)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outlineLevel="1">
      <c r="A35" s="274" t="str">
        <f t="shared" si="11"/>
        <v>modesg_param_sfcs_taxon_europeiacfinalidad</v>
      </c>
      <c r="B35" s="142" t="s">
        <v>26</v>
      </c>
      <c r="C35" s="138" t="s">
        <v>181</v>
      </c>
      <c r="D35" s="235" t="s">
        <v>40</v>
      </c>
      <c r="E35" s="236" t="s">
        <v>182</v>
      </c>
      <c r="F35" s="236"/>
      <c r="G35" s="235" t="s">
        <v>200</v>
      </c>
      <c r="H35" s="235" t="str">
        <f>VLOOKUP(A35,'2. Status Detalhe Campos FY24'!$A$7:$G$575,7,0)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outlineLevel="1">
      <c r="A36" s="274" t="str">
        <f t="shared" si="11"/>
        <v>modesg_param_sfcs_taxon_europeiatipo_combust</v>
      </c>
      <c r="B36" s="142" t="s">
        <v>26</v>
      </c>
      <c r="C36" s="138" t="s">
        <v>181</v>
      </c>
      <c r="D36" s="235" t="s">
        <v>40</v>
      </c>
      <c r="E36" s="236" t="s">
        <v>182</v>
      </c>
      <c r="F36" s="236"/>
      <c r="G36" s="235" t="s">
        <v>201</v>
      </c>
      <c r="H36" s="235" t="str">
        <f>VLOOKUP(A36,'2. Status Detalhe Campos FY24'!$A$7:$G$575,7,0)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outlineLevel="1">
      <c r="A37" s="274" t="str">
        <f t="shared" si="11"/>
        <v>modesg_param_sfcs_taxon_europeiamontante_pndrc</v>
      </c>
      <c r="B37" s="142" t="s">
        <v>26</v>
      </c>
      <c r="C37" s="138" t="s">
        <v>181</v>
      </c>
      <c r="D37" s="235" t="s">
        <v>40</v>
      </c>
      <c r="E37" s="236" t="s">
        <v>182</v>
      </c>
      <c r="F37" s="236"/>
      <c r="G37" s="235" t="s">
        <v>202</v>
      </c>
      <c r="H37" s="235" t="str">
        <f>VLOOKUP(A37,'2. Status Detalhe Campos FY24'!$A$7:$G$575,7,0)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 FY24'!$A$7:$G$575,7,0)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outlineLevel="1">
      <c r="A39" s="274" t="str">
        <f t="shared" si="11"/>
        <v>modesg_param_sfcs_taxon_europeianome_purpose_esg</v>
      </c>
      <c r="B39" s="142" t="s">
        <v>26</v>
      </c>
      <c r="C39" s="138" t="s">
        <v>181</v>
      </c>
      <c r="D39" s="235" t="s">
        <v>40</v>
      </c>
      <c r="E39" s="236" t="s">
        <v>182</v>
      </c>
      <c r="F39" s="236"/>
      <c r="G39" s="235" t="s">
        <v>205</v>
      </c>
      <c r="H39" s="235" t="str">
        <f>VLOOKUP(A39,'2. Status Detalhe Campos FY24'!$A$7:$G$575,7,0)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 FY24'!$A$7:$G$575,7,0)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 FY24'!$A$7:$G$575,7,0)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outlineLevel="1">
      <c r="A42" s="274" t="str">
        <f t="shared" si="11"/>
        <v>modesg_param_sfcs_taxon_europeiazcliente</v>
      </c>
      <c r="B42" s="142" t="s">
        <v>26</v>
      </c>
      <c r="C42" s="138" t="s">
        <v>181</v>
      </c>
      <c r="D42" s="235" t="s">
        <v>40</v>
      </c>
      <c r="E42" s="236" t="s">
        <v>182</v>
      </c>
      <c r="F42" s="236"/>
      <c r="G42" s="235" t="s">
        <v>209</v>
      </c>
      <c r="H42" s="235" t="str">
        <f>VLOOKUP(A42,'2. Status Detalhe Campos FY24'!$A$7:$G$575,7,0)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outlineLevel="1">
      <c r="A43" s="274" t="str">
        <f t="shared" si="11"/>
        <v>modesg_param_sfcs_taxon_europeiazdeposit</v>
      </c>
      <c r="B43" s="142" t="s">
        <v>26</v>
      </c>
      <c r="C43" s="138" t="s">
        <v>181</v>
      </c>
      <c r="D43" s="235" t="s">
        <v>40</v>
      </c>
      <c r="E43" s="236" t="s">
        <v>182</v>
      </c>
      <c r="F43" s="236"/>
      <c r="G43" s="235" t="s">
        <v>210</v>
      </c>
      <c r="H43" s="235" t="str">
        <f>VLOOKUP(A43,'2. Status Detalhe Campos FY24'!$A$7:$G$575,7,0)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 r="A44" s="274"/>
      <c r="B44" s="142" t="s">
        <v>26</v>
      </c>
      <c r="C44" s="138" t="s">
        <v>181</v>
      </c>
      <c r="D44" s="134"/>
      <c r="E44" s="239" t="s">
        <v>182</v>
      </c>
      <c r="F44" s="239" t="s">
        <v>2050</v>
      </c>
      <c r="G44" s="240">
        <f>COUNTA(G45:G45)</f>
        <v>1</v>
      </c>
      <c r="H44" s="294" t="s">
        <v>2047</v>
      </c>
      <c r="I44" s="276" t="s">
        <v>38</v>
      </c>
      <c r="J44" s="277">
        <f>MIN(J45)</f>
        <v>45603</v>
      </c>
      <c r="K44" s="277">
        <f>MIN(K45)</f>
        <v>45604</v>
      </c>
      <c r="L44" s="277">
        <f>MIN(L45:L224)</f>
        <v>45600</v>
      </c>
      <c r="M44" s="277">
        <f>MIN(M45:M224)</f>
        <v>45600</v>
      </c>
      <c r="N44" s="323" t="s">
        <v>1951</v>
      </c>
      <c r="O44" s="314">
        <f>SUMPRODUCT(O45,U45)/SUM(U45)</f>
        <v>0.25</v>
      </c>
      <c r="P44" s="314">
        <f ca="1">SUMPRODUCT(P45,U45)/SUM(U45)</f>
        <v>1</v>
      </c>
      <c r="Q44" s="247">
        <f t="shared" ref="Q44:Q49" ca="1" si="15">O44-P44</f>
        <v>-0.75</v>
      </c>
      <c r="R44" s="262" t="s">
        <v>2079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outlineLevel="1">
      <c r="A45" s="274" t="str">
        <f>E45&amp;G45</f>
        <v>modesg_param_sfcs_taxon_europeianome_ctgr_sfcs</v>
      </c>
      <c r="B45" s="142" t="s">
        <v>26</v>
      </c>
      <c r="C45" s="138" t="s">
        <v>181</v>
      </c>
      <c r="D45" s="235" t="s">
        <v>40</v>
      </c>
      <c r="E45" s="236" t="s">
        <v>182</v>
      </c>
      <c r="F45" s="236"/>
      <c r="G45" s="235" t="s">
        <v>203</v>
      </c>
      <c r="H45" s="235" t="str">
        <f>VLOOKUP(A45,'2. Status Detalhe Campos FY24'!$A$7:$G$575,7,0)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 r="A46" s="274"/>
      <c r="B46" s="142" t="s">
        <v>26</v>
      </c>
      <c r="C46" s="138" t="s">
        <v>311</v>
      </c>
      <c r="D46" s="134"/>
      <c r="E46" s="239" t="s">
        <v>332</v>
      </c>
      <c r="F46" s="239" t="s">
        <v>1972</v>
      </c>
      <c r="G46" s="240">
        <f>COUNTA(G47:G49)</f>
        <v>3</v>
      </c>
      <c r="H46" s="295" t="s">
        <v>2004</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outlineLevel="1">
      <c r="A47" s="274" t="str">
        <f>E47&amp;G47</f>
        <v>modesg_out_emss_vclscnsm_co2</v>
      </c>
      <c r="B47" s="142" t="s">
        <v>26</v>
      </c>
      <c r="C47" s="138" t="s">
        <v>311</v>
      </c>
      <c r="D47" s="235" t="s">
        <v>40</v>
      </c>
      <c r="E47" s="236" t="s">
        <v>332</v>
      </c>
      <c r="F47" s="236"/>
      <c r="G47" s="235" t="s">
        <v>188</v>
      </c>
      <c r="H47" s="235" t="str">
        <f>VLOOKUP(A47,'2. Status Detalhe Campos FY24'!$A$7:$G$575,7,0)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outlineLevel="1">
      <c r="A48" s="274" t="str">
        <f>E48&amp;G48</f>
        <v>modesg_out_emss_vclsorigem_scp3_emss</v>
      </c>
      <c r="B48" s="142" t="s">
        <v>26</v>
      </c>
      <c r="C48" s="138" t="s">
        <v>311</v>
      </c>
      <c r="D48" s="235" t="s">
        <v>40</v>
      </c>
      <c r="E48" s="236" t="s">
        <v>332</v>
      </c>
      <c r="F48" s="236"/>
      <c r="G48" s="235" t="s">
        <v>322</v>
      </c>
      <c r="H48" s="235" t="str">
        <f>VLOOKUP(A48,'2. Status Detalhe Campos FY24'!$A$7:$G$575,7,0)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outlineLevel="1">
      <c r="A49" s="274" t="str">
        <f>E49&amp;G49</f>
        <v>modesg_out_emss_vclsscp3_emss</v>
      </c>
      <c r="B49" s="142" t="s">
        <v>26</v>
      </c>
      <c r="C49" s="138" t="s">
        <v>311</v>
      </c>
      <c r="D49" s="235" t="s">
        <v>40</v>
      </c>
      <c r="E49" s="236" t="s">
        <v>332</v>
      </c>
      <c r="F49" s="236"/>
      <c r="G49" s="235" t="s">
        <v>288</v>
      </c>
      <c r="H49" s="235" t="str">
        <f>VLOOKUP(A49,'2. Status Detalhe Campos FY24'!$A$7:$G$575,7,0)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 r="A50" s="274"/>
      <c r="B50" s="142" t="s">
        <v>26</v>
      </c>
      <c r="C50" s="138" t="s">
        <v>26</v>
      </c>
      <c r="D50" s="134"/>
      <c r="E50" s="241" t="s">
        <v>1949</v>
      </c>
      <c r="F50" s="239" t="s">
        <v>1996</v>
      </c>
      <c r="G50" s="240">
        <f>COUNTA(G51:G60)</f>
        <v>10</v>
      </c>
      <c r="H50" s="295" t="s">
        <v>2004</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2013</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outlineLevel="1">
      <c r="A51" s="274" t="str">
        <f t="shared" ref="A51:A60" si="17">E51&amp;G51</f>
        <v>lt827_mthd_usd_instrmntambito</v>
      </c>
      <c r="B51" s="142" t="s">
        <v>26</v>
      </c>
      <c r="C51" s="138" t="s">
        <v>26</v>
      </c>
      <c r="D51" s="235" t="s">
        <v>40</v>
      </c>
      <c r="E51" s="238" t="s">
        <v>1949</v>
      </c>
      <c r="F51" s="238"/>
      <c r="G51" s="238" t="s">
        <v>391</v>
      </c>
      <c r="H51" s="235" t="str">
        <f>VLOOKUP(A51,'2. Status Detalhe Campos FY24'!$A$7:$G$575,7,0)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outlineLevel="1">
      <c r="A52" s="274" t="str">
        <f t="shared" si="17"/>
        <v>lt827_mthd_usd_instrmntref_date</v>
      </c>
      <c r="B52" s="142" t="s">
        <v>26</v>
      </c>
      <c r="C52" s="138" t="s">
        <v>26</v>
      </c>
      <c r="D52" s="235" t="s">
        <v>40</v>
      </c>
      <c r="E52" s="238" t="s">
        <v>1949</v>
      </c>
      <c r="F52" s="238"/>
      <c r="G52" s="238" t="s">
        <v>208</v>
      </c>
      <c r="H52" s="235" t="str">
        <f>VLOOKUP(A52,'2. Status Detalhe Campos FY24'!$A$7:$G$575,7,0)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outlineLevel="1">
      <c r="A53" s="274" t="str">
        <f t="shared" si="17"/>
        <v>lt827_mthd_usd_instrmntordem</v>
      </c>
      <c r="B53" s="142" t="s">
        <v>26</v>
      </c>
      <c r="C53" s="138" t="s">
        <v>26</v>
      </c>
      <c r="D53" s="235" t="s">
        <v>40</v>
      </c>
      <c r="E53" s="238" t="s">
        <v>1949</v>
      </c>
      <c r="F53" s="238"/>
      <c r="G53" s="238" t="s">
        <v>211</v>
      </c>
      <c r="H53" s="235" t="str">
        <f>VLOOKUP(A53,'2. Status Detalhe Campos FY24'!$A$7:$G$575,7,0)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outlineLevel="1">
      <c r="A54" s="274" t="str">
        <f t="shared" si="17"/>
        <v>lt827_mthd_usd_instrmnttabela</v>
      </c>
      <c r="B54" s="142" t="s">
        <v>26</v>
      </c>
      <c r="C54" s="138" t="s">
        <v>26</v>
      </c>
      <c r="D54" s="235" t="s">
        <v>40</v>
      </c>
      <c r="E54" s="238" t="s">
        <v>1949</v>
      </c>
      <c r="F54" s="238"/>
      <c r="G54" s="238" t="s">
        <v>392</v>
      </c>
      <c r="H54" s="235" t="str">
        <f>VLOOKUP(A54,'2. Status Detalhe Campos FY24'!$A$7:$G$575,7,0)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outlineLevel="1">
      <c r="A55" s="274" t="str">
        <f t="shared" si="17"/>
        <v>lt827_mthd_usd_instrmntorigem_scp1_emss</v>
      </c>
      <c r="B55" s="142" t="s">
        <v>26</v>
      </c>
      <c r="C55" s="138" t="s">
        <v>26</v>
      </c>
      <c r="D55" s="235" t="s">
        <v>40</v>
      </c>
      <c r="E55" s="238" t="s">
        <v>1949</v>
      </c>
      <c r="F55" s="238"/>
      <c r="G55" s="238" t="s">
        <v>320</v>
      </c>
      <c r="H55" s="235" t="str">
        <f>VLOOKUP(A55,'2. Status Detalhe Campos FY24'!$A$7:$G$575,7,0)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outlineLevel="1">
      <c r="A56" s="274" t="str">
        <f t="shared" si="17"/>
        <v>lt827_mthd_usd_instrmntorigem_scp2_emss</v>
      </c>
      <c r="B56" s="142" t="s">
        <v>26</v>
      </c>
      <c r="C56" s="138" t="s">
        <v>26</v>
      </c>
      <c r="D56" s="235" t="s">
        <v>40</v>
      </c>
      <c r="E56" s="238" t="s">
        <v>1949</v>
      </c>
      <c r="F56" s="238"/>
      <c r="G56" s="238" t="s">
        <v>321</v>
      </c>
      <c r="H56" s="235" t="str">
        <f>VLOOKUP(A56,'2. Status Detalhe Campos FY24'!$A$7:$G$575,7,0)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outlineLevel="1">
      <c r="A57" s="274" t="str">
        <f t="shared" si="17"/>
        <v>lt827_mthd_usd_instrmntorigem_scp3_emss</v>
      </c>
      <c r="B57" s="142" t="s">
        <v>26</v>
      </c>
      <c r="C57" s="138" t="s">
        <v>26</v>
      </c>
      <c r="D57" s="235" t="s">
        <v>40</v>
      </c>
      <c r="E57" s="238" t="s">
        <v>1949</v>
      </c>
      <c r="F57" s="238"/>
      <c r="G57" s="238" t="s">
        <v>322</v>
      </c>
      <c r="H57" s="235" t="str">
        <f>VLOOKUP(A57,'2. Status Detalhe Campos FY24'!$A$7:$G$575,7,0)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outlineLevel="1">
      <c r="A58" s="274" t="str">
        <f t="shared" si="17"/>
        <v>lt827_mthd_usd_instrmntmthd_usd_instrmnt_scp_1</v>
      </c>
      <c r="B58" s="142" t="s">
        <v>26</v>
      </c>
      <c r="C58" s="138" t="s">
        <v>26</v>
      </c>
      <c r="D58" s="235" t="s">
        <v>40</v>
      </c>
      <c r="E58" s="238" t="s">
        <v>1949</v>
      </c>
      <c r="F58" s="238"/>
      <c r="G58" s="238" t="s">
        <v>386</v>
      </c>
      <c r="H58" s="235" t="str">
        <f>VLOOKUP(A58,'2. Status Detalhe Campos FY24'!$A$7:$G$575,7,0)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outlineLevel="1">
      <c r="A59" s="274" t="str">
        <f t="shared" si="17"/>
        <v>lt827_mthd_usd_instrmntmthd_usd_instrmnt_scp_2</v>
      </c>
      <c r="B59" s="142" t="s">
        <v>26</v>
      </c>
      <c r="C59" s="138" t="s">
        <v>26</v>
      </c>
      <c r="D59" s="235" t="s">
        <v>40</v>
      </c>
      <c r="E59" s="238" t="s">
        <v>1949</v>
      </c>
      <c r="F59" s="238"/>
      <c r="G59" s="238" t="s">
        <v>387</v>
      </c>
      <c r="H59" s="235" t="str">
        <f>VLOOKUP(A59,'2. Status Detalhe Campos FY24'!$A$7:$G$575,7,0)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outlineLevel="1">
      <c r="A60" s="274" t="str">
        <f t="shared" si="17"/>
        <v>lt827_mthd_usd_instrmntmthd_usd_instrmnt_scp_3</v>
      </c>
      <c r="B60" s="142" t="s">
        <v>26</v>
      </c>
      <c r="C60" s="138" t="s">
        <v>26</v>
      </c>
      <c r="D60" s="235" t="s">
        <v>40</v>
      </c>
      <c r="E60" s="238" t="s">
        <v>1949</v>
      </c>
      <c r="F60" s="238"/>
      <c r="G60" s="238" t="s">
        <v>388</v>
      </c>
      <c r="H60" s="235" t="str">
        <f>VLOOKUP(A60,'2. Status Detalhe Campos FY24'!$A$7:$G$575,7,0)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 r="A61" s="274"/>
      <c r="B61" s="142" t="s">
        <v>26</v>
      </c>
      <c r="C61" s="138" t="s">
        <v>26</v>
      </c>
      <c r="D61" s="134"/>
      <c r="E61" s="241" t="s">
        <v>336</v>
      </c>
      <c r="F61" s="239" t="s">
        <v>1972</v>
      </c>
      <c r="G61" s="240">
        <f>COUNTA(G62:G76)</f>
        <v>15</v>
      </c>
      <c r="H61" s="295" t="s">
        <v>2004</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2013</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 FY24'!$A$7:$G$575,7,0)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outlineLevel="1">
      <c r="A63" s="274" t="str">
        <f t="shared" si="22"/>
        <v>lt003_entitytxnmy_elgbl_trnvr_ccm</v>
      </c>
      <c r="B63" s="142" t="s">
        <v>26</v>
      </c>
      <c r="C63" s="138" t="s">
        <v>26</v>
      </c>
      <c r="D63" s="235" t="s">
        <v>40</v>
      </c>
      <c r="E63" s="238" t="s">
        <v>336</v>
      </c>
      <c r="F63" s="238"/>
      <c r="G63" s="238" t="s">
        <v>340</v>
      </c>
      <c r="H63" s="235" t="str">
        <f>VLOOKUP(A63,'2. Status Detalhe Campos FY24'!$A$7:$G$575,7,0)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outlineLevel="1">
      <c r="A64" s="274" t="str">
        <f t="shared" si="22"/>
        <v>lt003_entitytxnmy_elgbl_capex_cca</v>
      </c>
      <c r="B64" s="142" t="s">
        <v>26</v>
      </c>
      <c r="C64" s="138" t="s">
        <v>26</v>
      </c>
      <c r="D64" s="235" t="s">
        <v>40</v>
      </c>
      <c r="E64" s="238" t="s">
        <v>336</v>
      </c>
      <c r="F64" s="238"/>
      <c r="G64" s="238" t="s">
        <v>341</v>
      </c>
      <c r="H64" s="235" t="str">
        <f>VLOOKUP(A64,'2. Status Detalhe Campos FY24'!$A$7:$G$575,7,0)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outlineLevel="1">
      <c r="A65" s="274" t="str">
        <f t="shared" si="22"/>
        <v>lt003_entitytxnmy_elgbl_trnvr_cca</v>
      </c>
      <c r="B65" s="142" t="s">
        <v>26</v>
      </c>
      <c r="C65" s="138" t="s">
        <v>26</v>
      </c>
      <c r="D65" s="235" t="s">
        <v>40</v>
      </c>
      <c r="E65" s="238" t="s">
        <v>336</v>
      </c>
      <c r="F65" s="238"/>
      <c r="G65" s="238" t="s">
        <v>342</v>
      </c>
      <c r="H65" s="235" t="str">
        <f>VLOOKUP(A65,'2. Status Detalhe Campos FY24'!$A$7:$G$575,7,0)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outlineLevel="1">
      <c r="A66" s="274" t="str">
        <f t="shared" si="22"/>
        <v>lt003_entityenblng_capex_ccm</v>
      </c>
      <c r="B66" s="142" t="s">
        <v>26</v>
      </c>
      <c r="C66" s="138" t="s">
        <v>26</v>
      </c>
      <c r="D66" s="235" t="s">
        <v>40</v>
      </c>
      <c r="E66" s="238" t="s">
        <v>336</v>
      </c>
      <c r="F66" s="238"/>
      <c r="G66" s="238" t="s">
        <v>343</v>
      </c>
      <c r="H66" s="235" t="str">
        <f>VLOOKUP(A66,'2. Status Detalhe Campos FY24'!$A$7:$G$575,7,0)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outlineLevel="1">
      <c r="A67" s="274" t="str">
        <f t="shared" si="22"/>
        <v>lt003_entityenblng_capex_cca</v>
      </c>
      <c r="B67" s="142" t="s">
        <v>26</v>
      </c>
      <c r="C67" s="138" t="s">
        <v>26</v>
      </c>
      <c r="D67" s="235" t="s">
        <v>40</v>
      </c>
      <c r="E67" s="238" t="s">
        <v>336</v>
      </c>
      <c r="F67" s="238"/>
      <c r="G67" s="238" t="s">
        <v>344</v>
      </c>
      <c r="H67" s="235" t="str">
        <f>VLOOKUP(A67,'2. Status Detalhe Campos FY24'!$A$7:$G$575,7,0)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outlineLevel="1">
      <c r="A68" s="274" t="str">
        <f t="shared" si="22"/>
        <v>lt003_entitytrnstnl_capex</v>
      </c>
      <c r="B68" s="142" t="s">
        <v>26</v>
      </c>
      <c r="C68" s="138" t="s">
        <v>26</v>
      </c>
      <c r="D68" s="235" t="s">
        <v>40</v>
      </c>
      <c r="E68" s="238" t="s">
        <v>336</v>
      </c>
      <c r="F68" s="238"/>
      <c r="G68" s="238" t="s">
        <v>345</v>
      </c>
      <c r="H68" s="235" t="str">
        <f>VLOOKUP(A68,'2. Status Detalhe Campos FY24'!$A$7:$G$575,7,0)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outlineLevel="1">
      <c r="A69" s="274" t="str">
        <f t="shared" si="22"/>
        <v>lt003_entitypure_capex_ccm</v>
      </c>
      <c r="B69" s="142" t="s">
        <v>26</v>
      </c>
      <c r="C69" s="138" t="s">
        <v>26</v>
      </c>
      <c r="D69" s="235" t="s">
        <v>40</v>
      </c>
      <c r="E69" s="238" t="s">
        <v>336</v>
      </c>
      <c r="F69" s="238"/>
      <c r="G69" s="238" t="s">
        <v>346</v>
      </c>
      <c r="H69" s="235" t="str">
        <f>VLOOKUP(A69,'2. Status Detalhe Campos FY24'!$A$7:$G$575,7,0)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outlineLevel="1">
      <c r="A70" s="274" t="str">
        <f t="shared" si="22"/>
        <v>lt003_entityenblng_trnvr_ccm</v>
      </c>
      <c r="B70" s="142" t="s">
        <v>26</v>
      </c>
      <c r="C70" s="138" t="s">
        <v>26</v>
      </c>
      <c r="D70" s="235" t="s">
        <v>40</v>
      </c>
      <c r="E70" s="238" t="s">
        <v>336</v>
      </c>
      <c r="F70" s="238"/>
      <c r="G70" s="238" t="s">
        <v>348</v>
      </c>
      <c r="H70" s="235" t="str">
        <f>VLOOKUP(A70,'2. Status Detalhe Campos FY24'!$A$7:$G$575,7,0)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outlineLevel="1">
      <c r="A71" s="274" t="str">
        <f t="shared" si="22"/>
        <v>lt003_entityenblng_trnvr_cca</v>
      </c>
      <c r="B71" s="142" t="s">
        <v>26</v>
      </c>
      <c r="C71" s="138" t="s">
        <v>26</v>
      </c>
      <c r="D71" s="235" t="s">
        <v>40</v>
      </c>
      <c r="E71" s="238" t="s">
        <v>336</v>
      </c>
      <c r="F71" s="238"/>
      <c r="G71" s="238" t="s">
        <v>349</v>
      </c>
      <c r="H71" s="235" t="str">
        <f>VLOOKUP(A71,'2. Status Detalhe Campos FY24'!$A$7:$G$575,7,0)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outlineLevel="1">
      <c r="A72" s="274" t="str">
        <f t="shared" si="22"/>
        <v>lt003_entitytrnstnl_trnvr</v>
      </c>
      <c r="B72" s="142" t="s">
        <v>26</v>
      </c>
      <c r="C72" s="138" t="s">
        <v>26</v>
      </c>
      <c r="D72" s="235" t="s">
        <v>40</v>
      </c>
      <c r="E72" s="238" t="s">
        <v>336</v>
      </c>
      <c r="F72" s="238"/>
      <c r="G72" s="238" t="s">
        <v>350</v>
      </c>
      <c r="H72" s="235" t="str">
        <f>VLOOKUP(A72,'2. Status Detalhe Campos FY24'!$A$7:$G$575,7,0)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outlineLevel="1">
      <c r="A73" s="274" t="str">
        <f t="shared" si="22"/>
        <v>lt003_entitypure_trnvr_ccm</v>
      </c>
      <c r="B73" s="142" t="s">
        <v>26</v>
      </c>
      <c r="C73" s="138" t="s">
        <v>26</v>
      </c>
      <c r="D73" s="235" t="s">
        <v>40</v>
      </c>
      <c r="E73" s="238" t="s">
        <v>336</v>
      </c>
      <c r="F73" s="238"/>
      <c r="G73" s="238" t="s">
        <v>351</v>
      </c>
      <c r="H73" s="235" t="str">
        <f>VLOOKUP(A73,'2. Status Detalhe Campos FY24'!$A$7:$G$575,7,0)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outlineLevel="1">
      <c r="A74" s="274" t="str">
        <f t="shared" si="22"/>
        <v>lt003_entitypure_trnvr_cca</v>
      </c>
      <c r="B74" s="142" t="s">
        <v>26</v>
      </c>
      <c r="C74" s="138" t="s">
        <v>26</v>
      </c>
      <c r="D74" s="235" t="s">
        <v>40</v>
      </c>
      <c r="E74" s="238" t="s">
        <v>336</v>
      </c>
      <c r="F74" s="238"/>
      <c r="G74" s="238" t="s">
        <v>352</v>
      </c>
      <c r="H74" s="235" t="str">
        <f>VLOOKUP(A74,'2. Status Detalhe Campos FY24'!$A$7:$G$575,7,0)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outlineLevel="1">
      <c r="A75" s="274" t="str">
        <f t="shared" si="22"/>
        <v>lt003_entityflg_excldd_eu_prs_algnd_bnchmrk</v>
      </c>
      <c r="B75" s="142" t="s">
        <v>26</v>
      </c>
      <c r="C75" s="138" t="s">
        <v>26</v>
      </c>
      <c r="D75" s="235" t="s">
        <v>40</v>
      </c>
      <c r="E75" s="238" t="s">
        <v>336</v>
      </c>
      <c r="F75" s="238"/>
      <c r="G75" s="238" t="s">
        <v>357</v>
      </c>
      <c r="H75" s="235" t="str">
        <f>VLOOKUP(A75,'2. Status Detalhe Campos FY24'!$A$7:$G$575,7,0)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outlineLevel="1">
      <c r="A76" s="274" t="str">
        <f>E76&amp;G76</f>
        <v>lt003_entitypst_cd</v>
      </c>
      <c r="B76" s="142" t="s">
        <v>26</v>
      </c>
      <c r="C76" s="138" t="s">
        <v>26</v>
      </c>
      <c r="D76" s="235" t="s">
        <v>40</v>
      </c>
      <c r="E76" s="238" t="s">
        <v>336</v>
      </c>
      <c r="F76" s="238"/>
      <c r="G76" s="238" t="s">
        <v>360</v>
      </c>
      <c r="H76" s="235" t="str">
        <f>VLOOKUP(A76,'2. Status Detalhe Campos FY24'!$A$7:$G$575,7,0)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 r="A77" s="274"/>
      <c r="B77" s="142" t="s">
        <v>26</v>
      </c>
      <c r="C77" s="138" t="s">
        <v>26</v>
      </c>
      <c r="D77" s="134"/>
      <c r="E77" s="241" t="s">
        <v>380</v>
      </c>
      <c r="F77" s="239" t="s">
        <v>1993</v>
      </c>
      <c r="G77" s="240">
        <f>COUNTA(G78:G79)</f>
        <v>2</v>
      </c>
      <c r="H77" s="295" t="s">
        <v>2004</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2013</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outlineLevel="1">
      <c r="A78" s="274" t="str">
        <f>E78&amp;G78</f>
        <v>lt002_instrumentrsk_mtgtd_cct</v>
      </c>
      <c r="B78" s="142" t="s">
        <v>26</v>
      </c>
      <c r="C78" s="138" t="s">
        <v>26</v>
      </c>
      <c r="D78" s="235" t="s">
        <v>40</v>
      </c>
      <c r="E78" s="238" t="s">
        <v>380</v>
      </c>
      <c r="F78" s="238"/>
      <c r="G78" s="238" t="s">
        <v>381</v>
      </c>
      <c r="H78" s="235" t="str">
        <f>VLOOKUP(A78,'2. Status Detalhe Campos FY24'!$A$7:$G$575,7,0)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outlineLevel="1">
      <c r="A79" s="274" t="str">
        <f>E79&amp;G79</f>
        <v>lt002_instrumentsstnbl_ctgry_txnmy</v>
      </c>
      <c r="B79" s="142" t="s">
        <v>26</v>
      </c>
      <c r="C79" s="138" t="s">
        <v>26</v>
      </c>
      <c r="D79" s="235" t="s">
        <v>40</v>
      </c>
      <c r="E79" s="238" t="s">
        <v>380</v>
      </c>
      <c r="F79" s="238"/>
      <c r="G79" s="238" t="s">
        <v>389</v>
      </c>
      <c r="H79" s="235" t="str">
        <f>VLOOKUP(A79,'2. Status Detalhe Campos FY24'!$A$7:$G$575,7,0)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2004</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2" t="s">
        <v>2037</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outlineLevel="1">
      <c r="A81" s="274" t="str">
        <f>E81&amp;G81</f>
        <v>lt004_protectionflg_act_physcl_rsk</v>
      </c>
      <c r="B81" s="142" t="s">
        <v>26</v>
      </c>
      <c r="C81" s="138" t="s">
        <v>26</v>
      </c>
      <c r="D81" s="235" t="s">
        <v>40</v>
      </c>
      <c r="E81" s="238" t="s">
        <v>369</v>
      </c>
      <c r="F81" s="238"/>
      <c r="G81" s="242" t="s">
        <v>358</v>
      </c>
      <c r="H81" s="235" t="str">
        <f>VLOOKUP(A81,'2. Status Detalhe Campos FY24'!$A$7:$G$575,7,0)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outlineLevel="1">
      <c r="A82" s="274" t="str">
        <f>E82&amp;G82</f>
        <v>lt004_protectionflg_chrnc_physcl_rsk</v>
      </c>
      <c r="B82" s="142" t="s">
        <v>26</v>
      </c>
      <c r="C82" s="138" t="s">
        <v>26</v>
      </c>
      <c r="D82" s="235" t="s">
        <v>40</v>
      </c>
      <c r="E82" s="238" t="s">
        <v>369</v>
      </c>
      <c r="F82" s="238"/>
      <c r="G82" s="242" t="s">
        <v>359</v>
      </c>
      <c r="H82" s="235" t="str">
        <f>VLOOKUP(A82,'2. Status Detalhe Campos FY24'!$A$7:$G$575,7,0)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2012</v>
      </c>
      <c r="G83" s="240">
        <f>COUNTA(G84:G85)</f>
        <v>2</v>
      </c>
      <c r="H83" s="295" t="s">
        <v>2004</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6"/>
        <v>0</v>
      </c>
      <c r="R83" s="372" t="s">
        <v>2055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outlineLevel="1">
      <c r="A84" s="274" t="str">
        <f>E84&amp;G84</f>
        <v>lt004_protectionep_scr</v>
      </c>
      <c r="B84" s="142" t="s">
        <v>26</v>
      </c>
      <c r="C84" s="138" t="s">
        <v>26</v>
      </c>
      <c r="D84" s="235" t="s">
        <v>40</v>
      </c>
      <c r="E84" s="238" t="s">
        <v>369</v>
      </c>
      <c r="F84" s="238"/>
      <c r="G84" s="242" t="s">
        <v>371</v>
      </c>
      <c r="H84" s="235" t="str">
        <f>VLOOKUP(A84,'2. Status Detalhe Campos FY24'!$A$7:$G$575,7,0)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outlineLevel="1">
      <c r="A85" s="274" t="str">
        <f>E85&amp;G85</f>
        <v>lt004_protectionepc_lbl</v>
      </c>
      <c r="B85" s="142" t="s">
        <v>26</v>
      </c>
      <c r="C85" s="138" t="s">
        <v>26</v>
      </c>
      <c r="D85" s="235" t="s">
        <v>40</v>
      </c>
      <c r="E85" s="238" t="s">
        <v>369</v>
      </c>
      <c r="F85" s="238"/>
      <c r="G85" s="242" t="s">
        <v>373</v>
      </c>
      <c r="H85" s="235" t="str">
        <f>VLOOKUP(A85,'2. Status Detalhe Campos FY24'!$A$7:$G$575,7,0)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2012</v>
      </c>
      <c r="G86" s="240">
        <f>COUNTA(G87)</f>
        <v>1</v>
      </c>
      <c r="H86" s="295" t="s">
        <v>2004</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2" t="s">
        <v>2043</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outlineLevel="1">
      <c r="A87" s="274" t="str">
        <f>E87&amp;G87</f>
        <v>lt004_protectiontyp_epc_lbl</v>
      </c>
      <c r="B87" s="142" t="s">
        <v>26</v>
      </c>
      <c r="C87" s="138" t="s">
        <v>26</v>
      </c>
      <c r="D87" s="235" t="s">
        <v>40</v>
      </c>
      <c r="E87" s="238" t="s">
        <v>369</v>
      </c>
      <c r="F87" s="238"/>
      <c r="G87" s="242" t="s">
        <v>372</v>
      </c>
      <c r="H87" s="235" t="str">
        <f>VLOOKUP(A87,'2. Status Detalhe Campos FY24'!$A$7:$G$575,7,0)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2004</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2" t="s">
        <v>2037</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outlineLevel="1">
      <c r="A89" s="274" t="str">
        <f>E89&amp;G89</f>
        <v>lt003_entityflg_nfrd_applcblty</v>
      </c>
      <c r="B89" s="142" t="s">
        <v>26</v>
      </c>
      <c r="C89" s="138" t="s">
        <v>26</v>
      </c>
      <c r="D89" s="235" t="s">
        <v>40</v>
      </c>
      <c r="E89" s="238" t="s">
        <v>336</v>
      </c>
      <c r="F89" s="238"/>
      <c r="G89" s="238" t="s">
        <v>353</v>
      </c>
      <c r="H89" s="235" t="str">
        <f>VLOOKUP(A89,'2. Status Detalhe Campos FY24'!$A$7:$G$575,7,0)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outlineLevel="1">
      <c r="A90" s="274" t="str">
        <f>E90&amp;G90</f>
        <v>lt003_entitypure_capex_cca</v>
      </c>
      <c r="B90" s="142" t="s">
        <v>26</v>
      </c>
      <c r="C90" s="138" t="s">
        <v>26</v>
      </c>
      <c r="D90" s="235" t="s">
        <v>40</v>
      </c>
      <c r="E90" s="238" t="s">
        <v>336</v>
      </c>
      <c r="F90" s="238"/>
      <c r="G90" s="238" t="s">
        <v>347</v>
      </c>
      <c r="H90" s="235" t="str">
        <f>VLOOKUP(A90,'2. Status Detalhe Campos FY24'!$A$7:$G$575,7,0)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outlineLevel="1">
      <c r="A91" s="274" t="str">
        <f>E91&amp;G91</f>
        <v>lt003_entitygrp_annl_trnvr_le</v>
      </c>
      <c r="B91" s="142" t="s">
        <v>26</v>
      </c>
      <c r="C91" s="138" t="s">
        <v>26</v>
      </c>
      <c r="D91" s="235" t="s">
        <v>40</v>
      </c>
      <c r="E91" s="238" t="s">
        <v>336</v>
      </c>
      <c r="F91" s="238"/>
      <c r="G91" s="238" t="s">
        <v>363</v>
      </c>
      <c r="H91" s="235" t="str">
        <f>VLOOKUP(A91,'2. Status Detalhe Campos FY24'!$A$7:$G$575,7,0)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2038</v>
      </c>
      <c r="G92" s="240">
        <f>COUNTA(G93)</f>
        <v>1</v>
      </c>
      <c r="H92" s="295" t="s">
        <v>2004</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2" t="s">
        <v>2045</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outlineLevel="1">
      <c r="A93" s="274" t="str">
        <f>E93&amp;G93</f>
        <v>lt003_entityesg_sbsctr</v>
      </c>
      <c r="B93" s="142" t="s">
        <v>26</v>
      </c>
      <c r="C93" s="138" t="s">
        <v>26</v>
      </c>
      <c r="D93" s="235" t="s">
        <v>40</v>
      </c>
      <c r="E93" s="238" t="s">
        <v>336</v>
      </c>
      <c r="F93" s="238"/>
      <c r="G93" s="238" t="s">
        <v>361</v>
      </c>
      <c r="H93" s="235" t="str">
        <f>VLOOKUP(A93,'2. Status Detalhe Campos FY24'!$A$7:$G$575,7,0)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1"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2039</v>
      </c>
      <c r="G94" s="240">
        <f>COUNTA(G95)</f>
        <v>1</v>
      </c>
      <c r="H94" s="295" t="s">
        <v>2004</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2" t="s">
        <v>2045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outlineLevel="1">
      <c r="A95" s="274" t="str">
        <f>E95&amp;G95</f>
        <v>lt003_entitygrp_ttl_lblty</v>
      </c>
      <c r="B95" s="142" t="s">
        <v>26</v>
      </c>
      <c r="C95" s="138" t="s">
        <v>26</v>
      </c>
      <c r="D95" s="235" t="s">
        <v>40</v>
      </c>
      <c r="E95" s="238" t="s">
        <v>336</v>
      </c>
      <c r="F95" s="238"/>
      <c r="G95" s="238" t="s">
        <v>364</v>
      </c>
      <c r="H95" s="235" t="str">
        <f>VLOOKUP(A95,'2. Status Detalhe Campos FY24'!$A$7:$G$575,7,0)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1"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2040</v>
      </c>
      <c r="G96" s="240">
        <f>COUNTA(G97)</f>
        <v>1</v>
      </c>
      <c r="H96" s="295" t="s">
        <v>2004</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2" t="s">
        <v>2043</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outlineLevel="1">
      <c r="A97" s="274" t="str">
        <f>E97&amp;G97</f>
        <v>lt003_entityisin</v>
      </c>
      <c r="B97" s="142" t="s">
        <v>26</v>
      </c>
      <c r="C97" s="138" t="s">
        <v>26</v>
      </c>
      <c r="D97" s="235" t="s">
        <v>40</v>
      </c>
      <c r="E97" s="238" t="s">
        <v>336</v>
      </c>
      <c r="F97" s="238"/>
      <c r="G97" s="238" t="s">
        <v>239</v>
      </c>
      <c r="H97" s="235" t="str">
        <f>VLOOKUP(A97,'2. Status Detalhe Campos FY24'!$A$7:$G$575,7,0)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3" t="s">
        <v>369</v>
      </c>
      <c r="F98" s="239" t="s">
        <v>1993</v>
      </c>
      <c r="G98" s="240">
        <f>COUNTA(G99:G101)</f>
        <v>3</v>
      </c>
      <c r="H98" s="295" t="s">
        <v>2004</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2" t="s">
        <v>2037</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customHeight="1" outlineLevel="1">
      <c r="A99" s="274" t="str">
        <f>E99&amp;G99</f>
        <v>lt004_protectionrl_estt_clltrl_lctn</v>
      </c>
      <c r="B99" s="142" t="s">
        <v>26</v>
      </c>
      <c r="C99" s="138" t="s">
        <v>26</v>
      </c>
      <c r="D99" s="235" t="s">
        <v>40</v>
      </c>
      <c r="E99" s="238" t="s">
        <v>369</v>
      </c>
      <c r="F99" s="238"/>
      <c r="G99" s="242" t="s">
        <v>435</v>
      </c>
      <c r="H99" s="235" t="str">
        <f>VLOOKUP(A99,'2. Status Detalhe Campos FY24'!$A$7:$G$575,7,0)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customHeight="1" outlineLevel="1">
      <c r="A100" s="274" t="str">
        <f>E100&amp;G100</f>
        <v>lt004_protectionrl_estt_pst_cd</v>
      </c>
      <c r="B100" s="142" t="s">
        <v>26</v>
      </c>
      <c r="C100" s="138" t="s">
        <v>26</v>
      </c>
      <c r="D100" s="235" t="s">
        <v>40</v>
      </c>
      <c r="E100" s="238" t="s">
        <v>369</v>
      </c>
      <c r="F100" s="238"/>
      <c r="G100" s="242" t="s">
        <v>436</v>
      </c>
      <c r="H100" s="235" t="str">
        <f>VLOOKUP(A100,'2. Status Detalhe Campos FY24'!$A$7:$G$575,7,0)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outlineLevel="1">
      <c r="A101" s="274" t="str">
        <f>E101&amp;G101</f>
        <v>lt004_protectiontyp_ep_scr</v>
      </c>
      <c r="B101" s="142" t="s">
        <v>26</v>
      </c>
      <c r="C101" s="138" t="s">
        <v>26</v>
      </c>
      <c r="D101" s="235"/>
      <c r="E101" s="238" t="s">
        <v>369</v>
      </c>
      <c r="F101" s="238"/>
      <c r="G101" s="242" t="s">
        <v>370</v>
      </c>
      <c r="H101" s="235" t="str">
        <f>VLOOKUP(A101,'2. Status Detalhe Campos FY24'!$A$7:$G$575,7,0)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3" t="s">
        <v>369</v>
      </c>
      <c r="F102" s="239" t="s">
        <v>1993</v>
      </c>
      <c r="G102" s="240">
        <f>COUNTA(G103)</f>
        <v>1</v>
      </c>
      <c r="H102" s="295" t="s">
        <v>2004</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2" t="s">
        <v>2043</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customHeight="1" outlineLevel="1">
      <c r="A103" s="274" t="str">
        <f>E103&amp;G103</f>
        <v>lt004_protectionprtctn_id</v>
      </c>
      <c r="B103" s="142" t="s">
        <v>26</v>
      </c>
      <c r="C103" s="138" t="s">
        <v>26</v>
      </c>
      <c r="D103" s="235" t="s">
        <v>40</v>
      </c>
      <c r="E103" s="238" t="s">
        <v>369</v>
      </c>
      <c r="F103" s="238"/>
      <c r="G103" s="242" t="s">
        <v>434</v>
      </c>
      <c r="H103" s="235" t="str">
        <f>VLOOKUP(A103,'2. Status Detalhe Campos FY24'!$A$7:$G$575,7,0)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3" t="s">
        <v>369</v>
      </c>
      <c r="F104" s="239" t="s">
        <v>2038</v>
      </c>
      <c r="G104" s="240">
        <f>COUNTA(G105)</f>
        <v>1</v>
      </c>
      <c r="H104" s="295" t="s">
        <v>2004</v>
      </c>
      <c r="I104" s="278" t="s">
        <v>38</v>
      </c>
      <c r="J104" s="277">
        <f>MIN(J105)</f>
        <v>0</v>
      </c>
      <c r="K104" s="277">
        <f>MIN(K105)</f>
        <v>0</v>
      </c>
      <c r="L104" s="277">
        <f>MIN(L105)</f>
        <v>45629</v>
      </c>
      <c r="M104" s="278">
        <f>MAX(M105)</f>
        <v>45639</v>
      </c>
      <c r="N104" s="323">
        <f t="array" ref="N104">MAX(IF(W104:CI104&gt;0,$W$16:$CI$16))</f>
        <v>45667</v>
      </c>
      <c r="O104" s="322">
        <f>O105</f>
        <v>1</v>
      </c>
      <c r="P104" s="322">
        <f ca="1">P105</f>
        <v>1</v>
      </c>
      <c r="Q104" s="313">
        <f ca="1">O104-P104</f>
        <v>0</v>
      </c>
      <c r="R104" s="372" t="s">
        <v>2076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outlineLevel="1">
      <c r="A105" s="274" t="str">
        <f>E105&amp;G105</f>
        <v>lt004_protectionorgnl_prtctn_vl</v>
      </c>
      <c r="B105" s="142" t="s">
        <v>26</v>
      </c>
      <c r="C105" s="138" t="s">
        <v>26</v>
      </c>
      <c r="D105" s="235" t="s">
        <v>40</v>
      </c>
      <c r="E105" s="238" t="s">
        <v>369</v>
      </c>
      <c r="F105" s="238"/>
      <c r="G105" s="242" t="s">
        <v>438</v>
      </c>
      <c r="H105" s="235" t="str">
        <f>VLOOKUP(A105,'2. Status Detalhe Campos FY24'!$A$7:$G$575,7,0)</f>
        <v>1. Concluído</v>
      </c>
      <c r="I105" s="285" t="s">
        <v>38</v>
      </c>
      <c r="J105" s="324"/>
      <c r="K105" s="324"/>
      <c r="L105" s="290">
        <f t="array" ref="L105">MIN(IF(W105:CI105&gt;0,$W$16:$CI$16))</f>
        <v>45629</v>
      </c>
      <c r="M105" s="291">
        <f t="array" ref="M105">MAX(IF(W105:CI105&gt;0,$W$16:$CI$16))</f>
        <v>45639</v>
      </c>
      <c r="N105" s="291"/>
      <c r="O105" s="248">
        <f>VLOOKUP(H105,Auxiliar!$B$16:$E$24,4,0)</f>
        <v>1</v>
      </c>
      <c r="P105" s="248">
        <f ca="1">IF(TODAY()&lt;=L105,0,MIN((TODAY()-L105)/(M105-L105+1),100%))</f>
        <v>1</v>
      </c>
      <c r="Q105" s="247">
        <f ca="1">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2004</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2" t="s">
        <v>2042</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 FY24'!$A$7:$G$575,7,0)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1"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 FY24'!$A$7:$G$575,7,0)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1"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 FY24'!$A$7:$G$575,7,0)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1"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 FY24'!$A$7:$G$575,7,0)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1"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 FY24'!$A$7:$G$575,7,0)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1"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 FY24'!$A$7:$G$575,7,0)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1"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 FY24'!$A$7:$G$575,7,0)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1"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 FY24'!$A$7:$G$575,7,0)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1"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 FY24'!$A$7:$G$575,7,0)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1"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 FY24'!$A$7:$G$575,7,0)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1"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 FY24'!$A$7:$G$575,7,0)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1"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 FY24'!$A$7:$G$575,7,0)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1"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 FY24'!$A$7:$G$575,7,0)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1"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 FY24'!$A$7:$G$575,7,0)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1"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2004</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2" t="s">
        <v>2045</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outlineLevel="1">
      <c r="A122" s="274" t="str">
        <f>E122&amp;G122</f>
        <v>lt003_entityttl_lblty</v>
      </c>
      <c r="B122" s="142" t="s">
        <v>26</v>
      </c>
      <c r="C122" s="138" t="s">
        <v>26</v>
      </c>
      <c r="D122" s="235" t="s">
        <v>40</v>
      </c>
      <c r="E122" s="238" t="s">
        <v>336</v>
      </c>
      <c r="F122" s="238"/>
      <c r="G122" s="238" t="s">
        <v>362</v>
      </c>
      <c r="H122" s="235" t="str">
        <f>VLOOKUP(A122,'2. Status Detalhe Campos FY24'!$A$7:$G$575,7,0)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1"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2012</v>
      </c>
      <c r="G123" s="240">
        <f>COUNTA(G124:G127)</f>
        <v>4</v>
      </c>
      <c r="H123" s="295" t="s">
        <v>2004</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2" t="s">
        <v>2037</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outlineLevel="1">
      <c r="A124" s="274" t="str">
        <f>E124&amp;G124</f>
        <v>modesg_out_emss_vclsorigem_scp1_emss</v>
      </c>
      <c r="B124" s="142" t="s">
        <v>26</v>
      </c>
      <c r="C124" s="138" t="s">
        <v>311</v>
      </c>
      <c r="D124" s="235" t="s">
        <v>40</v>
      </c>
      <c r="E124" s="236" t="s">
        <v>332</v>
      </c>
      <c r="F124" s="236"/>
      <c r="G124" s="235" t="s">
        <v>320</v>
      </c>
      <c r="H124" s="235" t="str">
        <f>VLOOKUP(A124,'2. Status Detalhe Campos FY24'!$A$7:$G$575,7,0)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outlineLevel="1">
      <c r="A125" s="274" t="str">
        <f>E125&amp;G125</f>
        <v>modesg_out_emss_vclsorigem_scp2_emss</v>
      </c>
      <c r="B125" s="142" t="s">
        <v>26</v>
      </c>
      <c r="C125" s="138" t="s">
        <v>311</v>
      </c>
      <c r="D125" s="235" t="s">
        <v>40</v>
      </c>
      <c r="E125" s="236" t="s">
        <v>332</v>
      </c>
      <c r="F125" s="236"/>
      <c r="G125" s="235" t="s">
        <v>321</v>
      </c>
      <c r="H125" s="235" t="str">
        <f>VLOOKUP(A125,'2. Status Detalhe Campos FY24'!$A$7:$G$575,7,0)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outlineLevel="1">
      <c r="A126" s="274" t="str">
        <f>E126&amp;G126</f>
        <v>modesg_out_emss_vclsscp1_emss</v>
      </c>
      <c r="B126" s="142" t="s">
        <v>26</v>
      </c>
      <c r="C126" s="138" t="s">
        <v>311</v>
      </c>
      <c r="D126" s="235" t="s">
        <v>40</v>
      </c>
      <c r="E126" s="236" t="s">
        <v>332</v>
      </c>
      <c r="F126" s="236"/>
      <c r="G126" s="235" t="s">
        <v>286</v>
      </c>
      <c r="H126" s="235" t="str">
        <f>VLOOKUP(A126,'2. Status Detalhe Campos FY24'!$A$7:$G$575,7,0)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outlineLevel="1">
      <c r="A127" s="274" t="str">
        <f>E127&amp;G127</f>
        <v>modesg_out_emss_vclsscp2_emss</v>
      </c>
      <c r="B127" s="142" t="s">
        <v>26</v>
      </c>
      <c r="C127" s="138" t="s">
        <v>311</v>
      </c>
      <c r="D127" s="235" t="s">
        <v>40</v>
      </c>
      <c r="E127" s="236" t="s">
        <v>332</v>
      </c>
      <c r="F127" s="236"/>
      <c r="G127" s="235" t="s">
        <v>287</v>
      </c>
      <c r="H127" s="235" t="str">
        <f>VLOOKUP(A127,'2. Status Detalhe Campos FY24'!$A$7:$G$575,7,0)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3" t="s">
        <v>336</v>
      </c>
      <c r="F128" s="377" t="s">
        <v>2041</v>
      </c>
      <c r="G128" s="240">
        <f>COUNTA(G129:G129)</f>
        <v>1</v>
      </c>
      <c r="H128" s="295" t="s">
        <v>2004</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31">O128-P128</f>
        <v>0</v>
      </c>
      <c r="R128" s="372" t="s">
        <v>2042</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outlineLevel="1">
      <c r="A129" s="274" t="str">
        <f>E129&amp;G129</f>
        <v>lt003_entityflg_grp_nfrd_applcblty</v>
      </c>
      <c r="B129" s="142" t="s">
        <v>26</v>
      </c>
      <c r="C129" s="138" t="s">
        <v>26</v>
      </c>
      <c r="D129" s="235" t="s">
        <v>40</v>
      </c>
      <c r="E129" s="238" t="s">
        <v>336</v>
      </c>
      <c r="F129" s="238"/>
      <c r="G129" s="238" t="s">
        <v>365</v>
      </c>
      <c r="H129" s="235" t="str">
        <f>VLOOKUP(A129,'2. Status Detalhe Campos FY24'!$A$7:$G$575,7,0)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2">IF(TODAY()&lt;=L129,0,MIN((TODAY()-L129)/(M129-L129+1),100%))</f>
        <v>1</v>
      </c>
      <c r="Q129" s="247">
        <f t="shared" ca="1" si="31"/>
        <v>0</v>
      </c>
      <c r="R129" s="261"/>
      <c r="S129" s="280"/>
      <c r="T129" s="270">
        <v>4.0999999999999996</v>
      </c>
      <c r="U129" s="270">
        <f>ROUND(T129/8,1)</f>
        <v>0.5</v>
      </c>
      <c r="V129" s="270">
        <f t="shared" ref="V129:V135" si="33">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3" t="s">
        <v>336</v>
      </c>
      <c r="F130" s="377" t="s">
        <v>2041</v>
      </c>
      <c r="G130" s="408">
        <f>COUNTA(G131)</f>
        <v>1</v>
      </c>
      <c r="H130" s="295" t="s">
        <v>2004</v>
      </c>
      <c r="I130" s="278">
        <f>MAX(I131:I138)</f>
        <v>45589</v>
      </c>
      <c r="J130" s="277">
        <f>MIN(J131:J138)</f>
        <v>45596</v>
      </c>
      <c r="K130" s="278">
        <f>MIN(K131:K138)</f>
        <v>45596</v>
      </c>
      <c r="L130" s="277">
        <f>MIN(L131:L138)</f>
        <v>45623</v>
      </c>
      <c r="M130" s="278">
        <f>MAX(M131:M138)</f>
        <v>45667</v>
      </c>
      <c r="N130" s="323">
        <f t="array" ref="N130">MAX(IF(W130:CI130&gt;0,$W$16:$CI$16))</f>
        <v>45674</v>
      </c>
      <c r="O130" s="322">
        <f>SUMPRODUCT(O131:O132,U131:U132)/SUM(U131:U132)</f>
        <v>1</v>
      </c>
      <c r="P130" s="322">
        <f ca="1">SUMPRODUCT(P131:P132,U131:U132)/SUM(U131:U132)</f>
        <v>1</v>
      </c>
      <c r="Q130" s="256">
        <f t="shared" ref="Q130:Q131" ca="1" si="34">O130-P130</f>
        <v>0</v>
      </c>
      <c r="R130" s="372" t="s">
        <v>2059</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t="s">
        <v>444</v>
      </c>
      <c r="CH130" s="281"/>
      <c r="CI130" s="281"/>
    </row>
    <row r="131" spans="1:87" ht="16.2" outlineLevel="1">
      <c r="A131" s="274" t="str">
        <f>E131&amp;G131</f>
        <v>lt003_entitynace_esg</v>
      </c>
      <c r="B131" s="142" t="s">
        <v>26</v>
      </c>
      <c r="C131" s="138" t="s">
        <v>26</v>
      </c>
      <c r="D131" s="235" t="s">
        <v>40</v>
      </c>
      <c r="E131" s="238" t="s">
        <v>336</v>
      </c>
      <c r="F131" s="238"/>
      <c r="G131" s="238" t="s">
        <v>337</v>
      </c>
      <c r="H131" s="235" t="str">
        <f>VLOOKUP(A131,'2. Status Detalhe Campos FY24'!$A$7:$G$575,7,0)</f>
        <v>1. Concluído</v>
      </c>
      <c r="I131" s="276">
        <v>45583</v>
      </c>
      <c r="J131" s="301">
        <v>45596</v>
      </c>
      <c r="K131" s="285">
        <v>45596</v>
      </c>
      <c r="L131" s="290">
        <f t="array" ref="L131">MIN(IF(W131:CI131&gt;0,$W$16:$CI$16))</f>
        <v>45623</v>
      </c>
      <c r="M131" s="291">
        <f t="array" ref="M131">MAX(IF(W131:CI131&gt;0,$W$16:$CI$16))</f>
        <v>45623</v>
      </c>
      <c r="N131" s="291"/>
      <c r="O131" s="322">
        <f>VLOOKUP(H131,Auxiliar!$B$16:$E$24,4,0)</f>
        <v>1</v>
      </c>
      <c r="P131" s="322">
        <f t="shared" ref="P131" ca="1" si="35">IF(TODAY()&lt;=L131,0,MIN((TODAY()-L131)/(M131-L131+1),100%))</f>
        <v>1</v>
      </c>
      <c r="Q131" s="247">
        <f t="shared" ca="1" si="34"/>
        <v>0</v>
      </c>
      <c r="R131" s="261"/>
      <c r="S131" s="280"/>
      <c r="T131" s="270">
        <v>4.0999999999999996</v>
      </c>
      <c r="U131" s="270">
        <f>ROUND(T131/8,1)</f>
        <v>0.5</v>
      </c>
      <c r="V131" s="270">
        <f t="shared" ref="V131" si="36">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3" t="s">
        <v>336</v>
      </c>
      <c r="F132" s="239" t="s">
        <v>2041</v>
      </c>
      <c r="G132" s="408">
        <f>COUNTA(G133:G135)</f>
        <v>3</v>
      </c>
      <c r="H132" s="295" t="s">
        <v>2004</v>
      </c>
      <c r="I132" s="278">
        <f>MAX(I133:I139)</f>
        <v>45589</v>
      </c>
      <c r="J132" s="277">
        <f>MIN(J133:J139)</f>
        <v>45596</v>
      </c>
      <c r="K132" s="278">
        <f>MIN(K133:K139)</f>
        <v>45596</v>
      </c>
      <c r="L132" s="277">
        <f>MIN(L133:L139)</f>
        <v>45625</v>
      </c>
      <c r="M132" s="278">
        <f>MAX(M133:M139)</f>
        <v>45667</v>
      </c>
      <c r="N132" s="323">
        <f t="array" ref="N132">MAX(IF(W132:CI132&gt;0,$W$16:$CI$16))</f>
        <v>45674</v>
      </c>
      <c r="O132" s="322">
        <f>SUMPRODUCT(O133:O135,U133:U135)/SUM(U133:U135)</f>
        <v>1</v>
      </c>
      <c r="P132" s="322">
        <f ca="1">SUMPRODUCT(P133:P135,U133:U135)/SUM(U133:U135)</f>
        <v>1</v>
      </c>
      <c r="Q132" s="256">
        <f t="shared" ca="1" si="31"/>
        <v>0</v>
      </c>
      <c r="R132" s="372" t="s">
        <v>2058</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t="s">
        <v>2049</v>
      </c>
      <c r="CH132" s="281"/>
      <c r="CI132" s="281"/>
    </row>
    <row r="133" spans="1:87" ht="16.2" outlineLevel="1">
      <c r="A133" s="274" t="str">
        <f>E133&amp;G133</f>
        <v>lt003_entitygrp_emssns_scp1</v>
      </c>
      <c r="B133" s="142" t="s">
        <v>26</v>
      </c>
      <c r="C133" s="138" t="s">
        <v>26</v>
      </c>
      <c r="D133" s="235" t="s">
        <v>40</v>
      </c>
      <c r="E133" s="238" t="s">
        <v>336</v>
      </c>
      <c r="F133" s="238"/>
      <c r="G133" s="238" t="s">
        <v>366</v>
      </c>
      <c r="H133" s="235" t="str">
        <f>VLOOKUP(A133,'2. Status Detalhe Campos FY24'!$A$7:$G$575,7,0)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ca="1">IF(TODAY()&lt;=L133,0,MIN((TODAY()-L133)/(M133-L133+1),100%))</f>
        <v>1</v>
      </c>
      <c r="Q133" s="247">
        <f t="shared" ca="1" si="31"/>
        <v>0</v>
      </c>
      <c r="R133" s="372"/>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outlineLevel="1">
      <c r="A134" s="274" t="str">
        <f>E134&amp;G134</f>
        <v>lt003_entitygrp_emssns_scp2</v>
      </c>
      <c r="B134" s="142" t="s">
        <v>26</v>
      </c>
      <c r="C134" s="138" t="s">
        <v>26</v>
      </c>
      <c r="D134" s="235" t="s">
        <v>40</v>
      </c>
      <c r="E134" s="238" t="s">
        <v>336</v>
      </c>
      <c r="F134" s="238"/>
      <c r="G134" s="238" t="s">
        <v>367</v>
      </c>
      <c r="H134" s="235" t="str">
        <f>VLOOKUP(A134,'2. Status Detalhe Campos FY24'!$A$7:$G$575,7,0)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ca="1">IF(TODAY()&lt;=L134,0,MIN((TODAY()-L134)/(M134-L134+1),100%))</f>
        <v>1</v>
      </c>
      <c r="Q134" s="247">
        <f t="shared" ca="1" si="31"/>
        <v>0</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outlineLevel="1">
      <c r="A135" s="274" t="str">
        <f>E135&amp;G135</f>
        <v>lt003_entitygrp_emssns_scp3</v>
      </c>
      <c r="B135" s="142" t="s">
        <v>26</v>
      </c>
      <c r="C135" s="138" t="s">
        <v>26</v>
      </c>
      <c r="D135" s="235" t="s">
        <v>40</v>
      </c>
      <c r="E135" s="238" t="s">
        <v>336</v>
      </c>
      <c r="F135" s="238"/>
      <c r="G135" s="238" t="s">
        <v>368</v>
      </c>
      <c r="H135" s="235" t="str">
        <f>VLOOKUP(A135,'2. Status Detalhe Campos FY24'!$A$7:$G$575,7,0)</f>
        <v>1. Concluído</v>
      </c>
      <c r="I135" s="285">
        <v>45588</v>
      </c>
      <c r="J135" s="301">
        <v>45596</v>
      </c>
      <c r="K135" s="285">
        <v>45596</v>
      </c>
      <c r="L135" s="290">
        <f t="array" ref="L135">MIN(IF(W135:CI135&gt;0,$W$16:$CI$16))</f>
        <v>45639</v>
      </c>
      <c r="M135" s="291">
        <f t="array" ref="M135">MAX(IF(W135:CI135&gt;0,$W$16:$CI$16))</f>
        <v>45639</v>
      </c>
      <c r="N135" s="291"/>
      <c r="O135" s="248">
        <f>VLOOKUP(H135,Auxiliar!$B$16:$E$24,4,0)</f>
        <v>1</v>
      </c>
      <c r="P135" s="248">
        <f t="shared" ca="1" si="32"/>
        <v>1</v>
      </c>
      <c r="Q135" s="247">
        <f t="shared" ca="1" si="31"/>
        <v>0</v>
      </c>
      <c r="R135" s="261"/>
      <c r="S135" s="280"/>
      <c r="T135" s="270">
        <v>4.0999999999999996</v>
      </c>
      <c r="U135" s="270">
        <f>ROUND(T135/8,1)</f>
        <v>0.5</v>
      </c>
      <c r="V135" s="270">
        <f t="shared" si="33"/>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customHeight="1" collapsed="1">
      <c r="A136" s="274"/>
      <c r="B136" s="142" t="s">
        <v>26</v>
      </c>
      <c r="C136" s="138" t="s">
        <v>26</v>
      </c>
      <c r="D136" s="134"/>
      <c r="E136" s="373" t="s">
        <v>336</v>
      </c>
      <c r="F136" s="239" t="s">
        <v>2018</v>
      </c>
      <c r="G136" s="240">
        <f>COUNTA(G137:G138)</f>
        <v>2</v>
      </c>
      <c r="H136" s="295" t="s">
        <v>2004</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2"/>
        <v>1</v>
      </c>
      <c r="Q136" s="256">
        <f t="shared" ca="1" si="31"/>
        <v>0</v>
      </c>
      <c r="R136" s="372" t="s">
        <v>2042</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outlineLevel="1">
      <c r="A137" s="274" t="str">
        <f>E137&amp;G137</f>
        <v>lt003_entityflg_act_physcl_rsk</v>
      </c>
      <c r="B137" s="142" t="s">
        <v>26</v>
      </c>
      <c r="C137" s="138" t="s">
        <v>26</v>
      </c>
      <c r="D137" s="235" t="s">
        <v>40</v>
      </c>
      <c r="E137" s="238" t="s">
        <v>336</v>
      </c>
      <c r="F137" s="238"/>
      <c r="G137" s="238" t="s">
        <v>358</v>
      </c>
      <c r="H137" s="235" t="str">
        <f>VLOOKUP(A137,'2. Status Detalhe Campos FY24'!$A$7:$G$575,7,0)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outlineLevel="1">
      <c r="A138" s="274" t="str">
        <f>E138&amp;G138</f>
        <v>lt003_entityflg_chrnc_physcl_rsk</v>
      </c>
      <c r="B138" s="142" t="s">
        <v>26</v>
      </c>
      <c r="C138" s="138" t="s">
        <v>26</v>
      </c>
      <c r="D138" s="235" t="s">
        <v>40</v>
      </c>
      <c r="E138" s="238" t="s">
        <v>336</v>
      </c>
      <c r="F138" s="238"/>
      <c r="G138" s="238" t="s">
        <v>359</v>
      </c>
      <c r="H138" s="235" t="str">
        <f>VLOOKUP(A138,'2. Status Detalhe Campos FY24'!$A$7:$G$575,7,0)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31"/>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customHeight="1" collapsed="1">
      <c r="A139" s="274"/>
      <c r="B139" s="142" t="s">
        <v>26</v>
      </c>
      <c r="C139" s="138" t="s">
        <v>311</v>
      </c>
      <c r="D139" s="134"/>
      <c r="E139" s="377" t="s">
        <v>326</v>
      </c>
      <c r="F139" s="239" t="s">
        <v>1972</v>
      </c>
      <c r="G139" s="408">
        <f>COUNTA(G140)</f>
        <v>1</v>
      </c>
      <c r="H139" s="407" t="s">
        <v>573</v>
      </c>
      <c r="I139" s="276" t="s">
        <v>38</v>
      </c>
      <c r="J139" s="277">
        <f>MIN(J140:J143)</f>
        <v>45614</v>
      </c>
      <c r="K139" s="277">
        <f>MIN(K140:K158)</f>
        <v>45596</v>
      </c>
      <c r="L139" s="277">
        <f>MIN(L140:L158)</f>
        <v>45625</v>
      </c>
      <c r="M139" s="278">
        <f>MAX(M140:M158)</f>
        <v>45667</v>
      </c>
      <c r="N139" s="323" t="s">
        <v>1951</v>
      </c>
      <c r="O139" s="314">
        <f>O140</f>
        <v>0</v>
      </c>
      <c r="P139" s="314">
        <f ca="1">P140</f>
        <v>1</v>
      </c>
      <c r="Q139" s="256">
        <f t="shared" ref="Q139:Q166" ca="1" si="37">O139-P139</f>
        <v>-1</v>
      </c>
      <c r="R139" s="372" t="s">
        <v>2060</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outlineLevel="1">
      <c r="A140" s="274" t="str">
        <f t="shared" ref="A140:A143" si="38">E140&amp;G140</f>
        <v>modesg_out_empr_info_nfincod_nace_esg</v>
      </c>
      <c r="B140" s="142" t="s">
        <v>26</v>
      </c>
      <c r="C140" s="138" t="s">
        <v>311</v>
      </c>
      <c r="D140" s="235" t="s">
        <v>40</v>
      </c>
      <c r="E140" s="236" t="s">
        <v>326</v>
      </c>
      <c r="F140" s="236"/>
      <c r="G140" s="237" t="s">
        <v>282</v>
      </c>
      <c r="H140" s="235" t="str">
        <f>VLOOKUP(A140,'2. Status Detalhe Campos FY24'!$A$7:$G$575,7,0)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9">IF(TODAY()&lt;=L140,0,MIN((TODAY()-L140)/(M140-L140+1),100%))</f>
        <v>1</v>
      </c>
      <c r="Q140" s="247">
        <f t="shared" ca="1" si="37"/>
        <v>-1</v>
      </c>
      <c r="R140" s="262" t="s">
        <v>38</v>
      </c>
      <c r="S140" s="280"/>
      <c r="T140" s="270">
        <v>16.100000000000001</v>
      </c>
      <c r="U140" s="270">
        <f t="shared" ref="U140:U143" si="40">ROUND(T140/8,1)</f>
        <v>2</v>
      </c>
      <c r="V140" s="270">
        <f t="shared" ref="V140:V143" si="41">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customHeight="1">
      <c r="A141" s="274"/>
      <c r="B141" s="142" t="s">
        <v>26</v>
      </c>
      <c r="C141" s="138" t="s">
        <v>311</v>
      </c>
      <c r="D141" s="134"/>
      <c r="E141" s="377" t="s">
        <v>326</v>
      </c>
      <c r="F141" s="239" t="s">
        <v>1996</v>
      </c>
      <c r="G141" s="240">
        <f>COUNTA(G142:G143)</f>
        <v>2</v>
      </c>
      <c r="H141" s="295" t="s">
        <v>2004</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2" t="s">
        <v>2055</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outlineLevel="1">
      <c r="A142" s="274" t="str">
        <f t="shared" si="38"/>
        <v>modesg_out_empr_info_nfinorigem_alinhamentos</v>
      </c>
      <c r="B142" s="142" t="s">
        <v>26</v>
      </c>
      <c r="C142" s="138" t="s">
        <v>311</v>
      </c>
      <c r="D142" s="235" t="s">
        <v>40</v>
      </c>
      <c r="E142" s="236" t="s">
        <v>326</v>
      </c>
      <c r="F142" s="236"/>
      <c r="G142" s="235" t="s">
        <v>329</v>
      </c>
      <c r="H142" s="235" t="str">
        <f>VLOOKUP(A142,'2. Status Detalhe Campos FY24'!$A$7:$G$575,7,0)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9"/>
        <v>1</v>
      </c>
      <c r="Q142" s="247">
        <f t="shared" ca="1" si="37"/>
        <v>0</v>
      </c>
      <c r="R142" s="262" t="s">
        <v>38</v>
      </c>
      <c r="S142" s="280"/>
      <c r="T142" s="270">
        <v>4.0999999999999996</v>
      </c>
      <c r="U142" s="270">
        <f t="shared" si="40"/>
        <v>0.5</v>
      </c>
      <c r="V142" s="270">
        <f t="shared" si="41"/>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outlineLevel="1">
      <c r="A143" s="274" t="str">
        <f t="shared" si="38"/>
        <v>modesg_out_empr_info_nfinorigem_flg_nfrd</v>
      </c>
      <c r="B143" s="142" t="s">
        <v>26</v>
      </c>
      <c r="C143" s="138" t="s">
        <v>311</v>
      </c>
      <c r="D143" s="235" t="s">
        <v>40</v>
      </c>
      <c r="E143" s="236" t="s">
        <v>326</v>
      </c>
      <c r="F143" s="236"/>
      <c r="G143" s="235" t="s">
        <v>331</v>
      </c>
      <c r="H143" s="235" t="str">
        <f>VLOOKUP(A143,'2. Status Detalhe Campos FY24'!$A$7:$G$575,7,0)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9"/>
        <v>1</v>
      </c>
      <c r="Q143" s="247">
        <f t="shared" ca="1" si="37"/>
        <v>0</v>
      </c>
      <c r="R143" s="262" t="s">
        <v>38</v>
      </c>
      <c r="S143" s="280"/>
      <c r="T143" s="270">
        <v>4.0999999999999996</v>
      </c>
      <c r="U143" s="270">
        <f t="shared" si="40"/>
        <v>0.5</v>
      </c>
      <c r="V143" s="270">
        <f t="shared" si="41"/>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customHeight="1" collapsed="1">
      <c r="A144" s="274"/>
      <c r="B144" s="142" t="s">
        <v>26</v>
      </c>
      <c r="C144" s="138" t="s">
        <v>311</v>
      </c>
      <c r="D144" s="134"/>
      <c r="E144" s="377" t="s">
        <v>326</v>
      </c>
      <c r="F144" s="239" t="s">
        <v>2039</v>
      </c>
      <c r="G144" s="240">
        <f>COUNTA(G145:G147)</f>
        <v>3</v>
      </c>
      <c r="H144" s="295" t="s">
        <v>2004</v>
      </c>
      <c r="I144" s="276" t="s">
        <v>38</v>
      </c>
      <c r="J144" s="277">
        <f>MIN(J145:J155)</f>
        <v>45614</v>
      </c>
      <c r="K144" s="277">
        <f>MIN(K145:K166)</f>
        <v>45596</v>
      </c>
      <c r="L144" s="277">
        <f>MIN(L145:L166)</f>
        <v>45625</v>
      </c>
      <c r="M144" s="278">
        <f>MAX(M145:M166)</f>
        <v>45667</v>
      </c>
      <c r="N144" s="323">
        <f t="array" ref="N144">MAX(IF(W144:CI144&gt;0,$W$16:$CI$16))</f>
        <v>45674</v>
      </c>
      <c r="O144" s="322">
        <f>SUMPRODUCT(O145:O149,U145:U149)/SUM(U145:U149)</f>
        <v>1</v>
      </c>
      <c r="P144" s="322">
        <f ca="1">SUMPRODUCT(P145:P149,U145:U149)/SUM(U145:U149)</f>
        <v>1</v>
      </c>
      <c r="Q144" s="256">
        <f ca="1">O144-P144</f>
        <v>0</v>
      </c>
      <c r="R144" s="372" t="s">
        <v>2078</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outlineLevel="1">
      <c r="A145" s="274" t="str">
        <f t="shared" ref="A145:A147" si="42">E145&amp;G145</f>
        <v>modesg_out_empr_info_nfinflg_emprs_excl_paris</v>
      </c>
      <c r="B145" s="142" t="s">
        <v>26</v>
      </c>
      <c r="C145" s="138" t="s">
        <v>311</v>
      </c>
      <c r="D145" s="235" t="s">
        <v>40</v>
      </c>
      <c r="E145" s="236" t="s">
        <v>326</v>
      </c>
      <c r="F145" s="236"/>
      <c r="G145" s="235" t="s">
        <v>328</v>
      </c>
      <c r="H145" s="235" t="str">
        <f>VLOOKUP(A145,'2. Status Detalhe Campos FY24'!$A$7:$G$575,7,0)</f>
        <v>1. Concluído</v>
      </c>
      <c r="I145" s="276" t="s">
        <v>38</v>
      </c>
      <c r="J145" s="285">
        <v>45614</v>
      </c>
      <c r="K145" s="285">
        <v>45615</v>
      </c>
      <c r="L145" s="290">
        <f t="array" ref="L145">MIN(IF(W145:CI145&gt;0,$W$16:$CI$16))</f>
        <v>45646</v>
      </c>
      <c r="M145" s="291">
        <f t="array" ref="M145">MAX(IF(W145:CI145&gt;0,$W$16:$CI$16))</f>
        <v>45646</v>
      </c>
      <c r="N145" s="291"/>
      <c r="O145" s="322">
        <f>VLOOKUP(H145,Auxiliar!$B$16:$E$24,4,0)</f>
        <v>1</v>
      </c>
      <c r="P145" s="322">
        <f t="shared" ref="P145:P147" ca="1" si="43">IF(TODAY()&lt;=L145,0,MIN((TODAY()-L145)/(M145-L145+1),100%))</f>
        <v>1</v>
      </c>
      <c r="Q145" s="247">
        <f t="shared" ref="Q145:Q147" ca="1" si="44">O145-P145</f>
        <v>0</v>
      </c>
      <c r="R145" s="262" t="s">
        <v>38</v>
      </c>
      <c r="S145" s="280"/>
      <c r="T145" s="270">
        <v>8.1</v>
      </c>
      <c r="U145" s="270">
        <f t="shared" ref="U145:U147" si="45">ROUND(T145/8,1)</f>
        <v>1</v>
      </c>
      <c r="V145" s="270">
        <f t="shared" ref="V145:V147" si="46">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outlineLevel="1">
      <c r="A146" s="274" t="str">
        <f t="shared" si="42"/>
        <v>modesg_out_empr_info_nfinflg_nfrd</v>
      </c>
      <c r="B146" s="142" t="s">
        <v>26</v>
      </c>
      <c r="C146" s="138" t="s">
        <v>311</v>
      </c>
      <c r="D146" s="235" t="s">
        <v>40</v>
      </c>
      <c r="E146" s="236" t="s">
        <v>326</v>
      </c>
      <c r="F146" s="236"/>
      <c r="G146" s="235" t="s">
        <v>245</v>
      </c>
      <c r="H146" s="235" t="str">
        <f>VLOOKUP(A146,'2. Status Detalhe Campos FY24'!$A$7:$G$575,7,0)</f>
        <v>1. Concluído</v>
      </c>
      <c r="I146" s="276" t="s">
        <v>38</v>
      </c>
      <c r="J146" s="285">
        <v>45614</v>
      </c>
      <c r="K146" s="285">
        <v>45615</v>
      </c>
      <c r="L146" s="290">
        <f t="array" ref="L146">MIN(IF(W146:CI146&gt;0,$W$16:$CI$16))</f>
        <v>45667</v>
      </c>
      <c r="M146" s="291">
        <f t="array" ref="M146">MAX(IF(W146:CI146&gt;0,$W$16:$CI$16))</f>
        <v>45667</v>
      </c>
      <c r="N146" s="291"/>
      <c r="O146" s="322">
        <f>VLOOKUP(H146,Auxiliar!$B$16:$E$24,4,0)</f>
        <v>1</v>
      </c>
      <c r="P146" s="322">
        <f t="shared" ca="1" si="43"/>
        <v>1</v>
      </c>
      <c r="Q146" s="247">
        <f t="shared" ca="1" si="44"/>
        <v>0</v>
      </c>
      <c r="R146" s="262" t="s">
        <v>38</v>
      </c>
      <c r="S146" s="280"/>
      <c r="T146" s="270">
        <v>8.1</v>
      </c>
      <c r="U146" s="270">
        <f t="shared" si="45"/>
        <v>1</v>
      </c>
      <c r="V146" s="270">
        <f t="shared" si="46"/>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outlineLevel="1">
      <c r="A147" s="274" t="str">
        <f t="shared" si="42"/>
        <v>modesg_out_empr_info_nfinorigem_flg_emprs_excl_paris</v>
      </c>
      <c r="B147" s="142" t="s">
        <v>26</v>
      </c>
      <c r="C147" s="138" t="s">
        <v>311</v>
      </c>
      <c r="D147" s="235" t="s">
        <v>40</v>
      </c>
      <c r="E147" s="236" t="s">
        <v>326</v>
      </c>
      <c r="F147" s="236"/>
      <c r="G147" s="235" t="s">
        <v>330</v>
      </c>
      <c r="H147" s="235" t="str">
        <f>VLOOKUP(A147,'2. Status Detalhe Campos FY24'!$A$7:$G$575,7,0)</f>
        <v>1. Concluído</v>
      </c>
      <c r="I147" s="276" t="s">
        <v>38</v>
      </c>
      <c r="J147" s="285">
        <v>45614</v>
      </c>
      <c r="K147" s="285">
        <v>45615</v>
      </c>
      <c r="L147" s="290">
        <f t="array" ref="L147">MIN(IF(W147:CI147&gt;0,$W$16:$CI$16))</f>
        <v>45667</v>
      </c>
      <c r="M147" s="291">
        <f t="array" ref="M147">MAX(IF(W147:CI147&gt;0,$W$16:$CI$16))</f>
        <v>45667</v>
      </c>
      <c r="N147" s="291"/>
      <c r="O147" s="322">
        <f>VLOOKUP(H147,Auxiliar!$B$16:$E$24,4,0)</f>
        <v>1</v>
      </c>
      <c r="P147" s="322">
        <f t="shared" ca="1" si="43"/>
        <v>1</v>
      </c>
      <c r="Q147" s="247">
        <f t="shared" ca="1" si="44"/>
        <v>0</v>
      </c>
      <c r="R147" s="262" t="s">
        <v>38</v>
      </c>
      <c r="S147" s="280"/>
      <c r="T147" s="270">
        <v>4.0999999999999996</v>
      </c>
      <c r="U147" s="270">
        <f t="shared" si="45"/>
        <v>0.5</v>
      </c>
      <c r="V147" s="270">
        <f t="shared" si="46"/>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3" t="s">
        <v>336</v>
      </c>
      <c r="F148" s="239" t="s">
        <v>1994</v>
      </c>
      <c r="G148" s="408">
        <f>COUNTA(G149:G151)</f>
        <v>3</v>
      </c>
      <c r="H148" s="295" t="s">
        <v>2004</v>
      </c>
      <c r="I148" s="278" t="s">
        <v>38</v>
      </c>
      <c r="J148" s="277">
        <f>MIN(J149:J151)</f>
        <v>45621</v>
      </c>
      <c r="K148" s="278">
        <f>MIN(K149:K151)</f>
        <v>45596</v>
      </c>
      <c r="L148" s="277">
        <f>MIN(L149:L151)</f>
        <v>45625</v>
      </c>
      <c r="M148" s="278">
        <f>MAX(M149:M151)</f>
        <v>45638</v>
      </c>
      <c r="N148" s="323">
        <f t="array" ref="N148">MAX(IF(W148:CI148&gt;0,$W$16:$CI$16))</f>
        <v>45674</v>
      </c>
      <c r="O148" s="322">
        <f>SUMPRODUCT(O149:O152,U149:U152)/SUM(U149:U152)</f>
        <v>1</v>
      </c>
      <c r="P148" s="322">
        <f ca="1">SUMPRODUCT(P149:P151,U149:U151)/SUM(U149:U151)</f>
        <v>1</v>
      </c>
      <c r="Q148" s="247">
        <f t="shared" ca="1" si="37"/>
        <v>0</v>
      </c>
      <c r="R148" s="372" t="s">
        <v>2061</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2049</v>
      </c>
      <c r="CH148" s="281"/>
      <c r="CI148" s="281"/>
    </row>
    <row r="149" spans="1:87" ht="16.2" outlineLevel="1">
      <c r="A149" s="274" t="str">
        <f>E149&amp;G149</f>
        <v>lt003_entitycntrprty_emssns_scp1</v>
      </c>
      <c r="B149" s="142" t="s">
        <v>26</v>
      </c>
      <c r="C149" s="138" t="s">
        <v>26</v>
      </c>
      <c r="D149" s="235" t="s">
        <v>40</v>
      </c>
      <c r="E149" s="238" t="s">
        <v>336</v>
      </c>
      <c r="F149" s="238"/>
      <c r="G149" s="238" t="s">
        <v>354</v>
      </c>
      <c r="H149" s="235" t="str">
        <f>VLOOKUP(A149,'2. Status Detalhe Campos FY24'!$A$7:$G$575,7,0)</f>
        <v>1. Concluído</v>
      </c>
      <c r="I149" s="276" t="s">
        <v>38</v>
      </c>
      <c r="J149" s="285">
        <v>45621</v>
      </c>
      <c r="K149" s="285">
        <v>45596</v>
      </c>
      <c r="L149" s="290">
        <f t="array" ref="L149">MIN(IF(W149:CI149&gt;0,$W$16:$CI$16))</f>
        <v>45625</v>
      </c>
      <c r="M149" s="291">
        <f t="array" ref="M149">MAX(IF(W149:CI149&gt;0,$W$16:$CI$16))</f>
        <v>45625</v>
      </c>
      <c r="N149" s="291"/>
      <c r="O149" s="248">
        <f>VLOOKUP(H149,Auxiliar!$B$16:$E$24,4,0)</f>
        <v>1</v>
      </c>
      <c r="P149" s="248">
        <f ca="1">IF(TODAY()&lt;=L149,0,MIN((TODAY()-L149)/(M149-L149+1),100%))</f>
        <v>1</v>
      </c>
      <c r="Q149" s="247">
        <f t="shared" ca="1" si="37"/>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outlineLevel="1">
      <c r="A150" s="274" t="str">
        <f>E150&amp;G150</f>
        <v>lt003_entitycntrprty_emssns_scp2</v>
      </c>
      <c r="B150" s="142" t="s">
        <v>26</v>
      </c>
      <c r="C150" s="138" t="s">
        <v>26</v>
      </c>
      <c r="D150" s="235" t="s">
        <v>40</v>
      </c>
      <c r="E150" s="238" t="s">
        <v>336</v>
      </c>
      <c r="F150" s="238"/>
      <c r="G150" s="238" t="s">
        <v>355</v>
      </c>
      <c r="H150" s="235" t="str">
        <f>VLOOKUP(A150,'2. Status Detalhe Campos FY24'!$A$7:$G$575,7,0)</f>
        <v>1. Concluído</v>
      </c>
      <c r="I150" s="276" t="s">
        <v>38</v>
      </c>
      <c r="J150" s="285">
        <v>45621</v>
      </c>
      <c r="K150" s="285">
        <v>45596</v>
      </c>
      <c r="L150" s="290">
        <f t="array" ref="L150">MIN(IF(W150:CI150&gt;0,$W$16:$CI$16))</f>
        <v>45625</v>
      </c>
      <c r="M150" s="291">
        <f t="array" ref="M150">MAX(IF(W150:CI150&gt;0,$W$16:$CI$16))</f>
        <v>45625</v>
      </c>
      <c r="N150" s="291"/>
      <c r="O150" s="248">
        <f>VLOOKUP(H150,Auxiliar!$B$16:$E$24,4,0)</f>
        <v>1</v>
      </c>
      <c r="P150" s="248">
        <f ca="1">IF(TODAY()&lt;=L150,0,MIN((TODAY()-L150)/(M150-L150+1),100%))</f>
        <v>1</v>
      </c>
      <c r="Q150" s="247">
        <f t="shared" ca="1" si="37"/>
        <v>0</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outlineLevel="1">
      <c r="A151" s="274" t="str">
        <f>E151&amp;G151</f>
        <v>lt003_entitycntrprty_emssns_scp3</v>
      </c>
      <c r="B151" s="142" t="s">
        <v>26</v>
      </c>
      <c r="C151" s="138" t="s">
        <v>26</v>
      </c>
      <c r="D151" s="235" t="s">
        <v>40</v>
      </c>
      <c r="E151" s="238" t="s">
        <v>336</v>
      </c>
      <c r="F151" s="238"/>
      <c r="G151" s="238" t="s">
        <v>356</v>
      </c>
      <c r="H151" s="235" t="str">
        <f>VLOOKUP(A151,'2. Status Detalhe Campos FY24'!$A$7:$G$575,7,0)</f>
        <v>1. Concluído</v>
      </c>
      <c r="I151" s="276" t="s">
        <v>38</v>
      </c>
      <c r="J151" s="285">
        <v>45621</v>
      </c>
      <c r="K151" s="285">
        <v>45596</v>
      </c>
      <c r="L151" s="290">
        <f t="array" ref="L151">MIN(IF(W151:CI151&gt;0,$W$16:$CI$16))</f>
        <v>45638</v>
      </c>
      <c r="M151" s="291">
        <f t="array" ref="M151">MAX(IF(W151:CI151&gt;0,$W$16:$CI$16))</f>
        <v>45638</v>
      </c>
      <c r="N151" s="291"/>
      <c r="O151" s="248">
        <f>VLOOKUP(H151,Auxiliar!$B$16:$E$24,4,0)</f>
        <v>1</v>
      </c>
      <c r="P151" s="248">
        <f ca="1">IF(TODAY()&lt;=L151,0,MIN((TODAY()-L151)/(M151-L151+1),100%))</f>
        <v>1</v>
      </c>
      <c r="Q151" s="247">
        <f t="shared" ca="1" si="37"/>
        <v>0</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customHeight="1" collapsed="1">
      <c r="A152" s="274"/>
      <c r="B152" s="142" t="s">
        <v>26</v>
      </c>
      <c r="C152" s="138" t="s">
        <v>311</v>
      </c>
      <c r="D152" s="134"/>
      <c r="E152" s="377" t="s">
        <v>326</v>
      </c>
      <c r="F152" s="239" t="s">
        <v>1993</v>
      </c>
      <c r="G152" s="240">
        <f>COUNTA(G153:G158)</f>
        <v>6</v>
      </c>
      <c r="H152" s="275" t="s">
        <v>2007</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7"/>
        <v>-1</v>
      </c>
      <c r="R152" s="372" t="s">
        <v>2058</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outlineLevel="1">
      <c r="A153" s="274" t="str">
        <f t="shared" ref="A153:A158" si="47">E153&amp;G153</f>
        <v>modesg_out_empr_info_nfinorigem_scp1_emss</v>
      </c>
      <c r="B153" s="142" t="s">
        <v>26</v>
      </c>
      <c r="C153" s="138" t="s">
        <v>311</v>
      </c>
      <c r="D153" s="235" t="s">
        <v>40</v>
      </c>
      <c r="E153" s="236" t="s">
        <v>326</v>
      </c>
      <c r="F153" s="236"/>
      <c r="G153" s="235" t="s">
        <v>320</v>
      </c>
      <c r="H153" s="235" t="str">
        <f>VLOOKUP(A153,'2. Status Detalhe Campos FY24'!$A$7:$G$575,7,0)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8">IF(TODAY()&lt;=L153,0,MIN((TODAY()-L153)/(M153-L153+1),100%))</f>
        <v>1</v>
      </c>
      <c r="Q153" s="247">
        <f t="shared" ca="1" si="37"/>
        <v>-1</v>
      </c>
      <c r="R153" s="262" t="s">
        <v>38</v>
      </c>
      <c r="S153" s="280"/>
      <c r="T153" s="270">
        <v>4.0999999999999996</v>
      </c>
      <c r="U153" s="270">
        <f t="shared" ref="U153:U158" si="49">ROUND(T153/8,1)</f>
        <v>0.5</v>
      </c>
      <c r="V153" s="270">
        <f t="shared" ref="V153:V158" si="50">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outlineLevel="1">
      <c r="A154" s="274" t="str">
        <f t="shared" si="47"/>
        <v>modesg_out_empr_info_nfinorigem_scp2_emss</v>
      </c>
      <c r="B154" s="142" t="s">
        <v>26</v>
      </c>
      <c r="C154" s="138" t="s">
        <v>311</v>
      </c>
      <c r="D154" s="235" t="s">
        <v>40</v>
      </c>
      <c r="E154" s="236" t="s">
        <v>326</v>
      </c>
      <c r="F154" s="236"/>
      <c r="G154" s="235" t="s">
        <v>321</v>
      </c>
      <c r="H154" s="235" t="str">
        <f>VLOOKUP(A154,'2. Status Detalhe Campos FY24'!$A$7:$G$575,7,0)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8"/>
        <v>1</v>
      </c>
      <c r="Q154" s="247">
        <f t="shared" ca="1" si="37"/>
        <v>-1</v>
      </c>
      <c r="R154" s="262" t="s">
        <v>38</v>
      </c>
      <c r="S154" s="280"/>
      <c r="T154" s="270">
        <v>4.0999999999999996</v>
      </c>
      <c r="U154" s="270">
        <f t="shared" si="49"/>
        <v>0.5</v>
      </c>
      <c r="V154" s="270">
        <f t="shared" si="50"/>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outlineLevel="1">
      <c r="A155" s="274" t="str">
        <f t="shared" si="47"/>
        <v>modesg_out_empr_info_nfinorigem_scp3_emss</v>
      </c>
      <c r="B155" s="142" t="s">
        <v>26</v>
      </c>
      <c r="C155" s="138" t="s">
        <v>311</v>
      </c>
      <c r="D155" s="235" t="s">
        <v>40</v>
      </c>
      <c r="E155" s="236" t="s">
        <v>326</v>
      </c>
      <c r="F155" s="236"/>
      <c r="G155" s="235" t="s">
        <v>322</v>
      </c>
      <c r="H155" s="235" t="str">
        <f>VLOOKUP(A155,'2. Status Detalhe Campos FY24'!$A$7:$G$575,7,0)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8"/>
        <v>1</v>
      </c>
      <c r="Q155" s="247">
        <f t="shared" ca="1" si="37"/>
        <v>-1</v>
      </c>
      <c r="R155" s="262" t="s">
        <v>38</v>
      </c>
      <c r="S155" s="280"/>
      <c r="T155" s="270">
        <v>4.0999999999999996</v>
      </c>
      <c r="U155" s="270">
        <f t="shared" si="49"/>
        <v>0.5</v>
      </c>
      <c r="V155" s="270">
        <f t="shared" si="50"/>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outlineLevel="1">
      <c r="A156" s="274" t="str">
        <f t="shared" si="47"/>
        <v>modesg_out_empr_info_nfinscp1_emss</v>
      </c>
      <c r="B156" s="142" t="s">
        <v>26</v>
      </c>
      <c r="C156" s="138" t="s">
        <v>311</v>
      </c>
      <c r="D156" s="235" t="s">
        <v>40</v>
      </c>
      <c r="E156" s="236" t="s">
        <v>326</v>
      </c>
      <c r="F156" s="236"/>
      <c r="G156" s="235" t="s">
        <v>286</v>
      </c>
      <c r="H156" s="235" t="str">
        <f>VLOOKUP(A156,'2. Status Detalhe Campos FY24'!$A$7:$G$575,7,0)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8"/>
        <v>1</v>
      </c>
      <c r="Q156" s="247">
        <f t="shared" ca="1" si="37"/>
        <v>-1</v>
      </c>
      <c r="R156" s="262" t="s">
        <v>38</v>
      </c>
      <c r="S156" s="280"/>
      <c r="T156" s="270">
        <v>8.1</v>
      </c>
      <c r="U156" s="270">
        <f t="shared" si="49"/>
        <v>1</v>
      </c>
      <c r="V156" s="270">
        <f t="shared" si="50"/>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outlineLevel="1">
      <c r="A157" s="274" t="str">
        <f t="shared" si="47"/>
        <v>modesg_out_empr_info_nfinscp2_emss</v>
      </c>
      <c r="B157" s="142" t="s">
        <v>26</v>
      </c>
      <c r="C157" s="138" t="s">
        <v>311</v>
      </c>
      <c r="D157" s="235" t="s">
        <v>40</v>
      </c>
      <c r="E157" s="236" t="s">
        <v>326</v>
      </c>
      <c r="F157" s="236"/>
      <c r="G157" s="235" t="s">
        <v>287</v>
      </c>
      <c r="H157" s="235" t="str">
        <f>VLOOKUP(A157,'2. Status Detalhe Campos FY24'!$A$7:$G$575,7,0)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8"/>
        <v>1</v>
      </c>
      <c r="Q157" s="247">
        <f t="shared" ca="1" si="37"/>
        <v>-1</v>
      </c>
      <c r="R157" s="262" t="s">
        <v>38</v>
      </c>
      <c r="S157" s="280"/>
      <c r="T157" s="270">
        <v>8.1</v>
      </c>
      <c r="U157" s="270">
        <f t="shared" si="49"/>
        <v>1</v>
      </c>
      <c r="V157" s="270">
        <f t="shared" si="50"/>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outlineLevel="1">
      <c r="A158" s="274" t="str">
        <f t="shared" si="47"/>
        <v>modesg_out_empr_info_nfinscp3_emss</v>
      </c>
      <c r="B158" s="142" t="s">
        <v>26</v>
      </c>
      <c r="C158" s="138" t="s">
        <v>311</v>
      </c>
      <c r="D158" s="235" t="s">
        <v>40</v>
      </c>
      <c r="E158" s="236" t="s">
        <v>326</v>
      </c>
      <c r="F158" s="236"/>
      <c r="G158" s="235" t="s">
        <v>288</v>
      </c>
      <c r="H158" s="235" t="str">
        <f>VLOOKUP(A158,'2. Status Detalhe Campos FY24'!$A$7:$G$575,7,0)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8"/>
        <v>1</v>
      </c>
      <c r="Q158" s="247">
        <f t="shared" ca="1" si="37"/>
        <v>-1</v>
      </c>
      <c r="R158" s="262" t="s">
        <v>38</v>
      </c>
      <c r="S158" s="280"/>
      <c r="T158" s="270">
        <v>8.1</v>
      </c>
      <c r="U158" s="270">
        <f t="shared" si="49"/>
        <v>1</v>
      </c>
      <c r="V158" s="270">
        <f t="shared" si="50"/>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 r="A159" s="274"/>
      <c r="B159" s="142" t="s">
        <v>26</v>
      </c>
      <c r="C159" s="138" t="s">
        <v>26</v>
      </c>
      <c r="D159" s="134"/>
      <c r="E159" s="241" t="s">
        <v>380</v>
      </c>
      <c r="F159" s="239" t="s">
        <v>2051</v>
      </c>
      <c r="G159" s="240">
        <f>COUNTA(G160:G160)</f>
        <v>1</v>
      </c>
      <c r="H159" s="294" t="s">
        <v>2047</v>
      </c>
      <c r="I159" s="278">
        <f>MAX(I160)</f>
        <v>45595</v>
      </c>
      <c r="J159" s="277">
        <f>MIN(J160)</f>
        <v>45624</v>
      </c>
      <c r="K159" s="329">
        <f>MIN(K160)</f>
        <v>45624</v>
      </c>
      <c r="L159" s="277">
        <f>MIN(L160:L160)</f>
        <v>45639</v>
      </c>
      <c r="M159" s="278">
        <f>MAX(M160:M160)</f>
        <v>45639</v>
      </c>
      <c r="N159" s="323" t="s">
        <v>1951</v>
      </c>
      <c r="O159" s="314">
        <f>O160</f>
        <v>0.25</v>
      </c>
      <c r="P159" s="314">
        <f ca="1">SUMPRODUCT(P160:P160,U160:U160)/SUM(U160:U160)</f>
        <v>1</v>
      </c>
      <c r="Q159" s="256">
        <f t="shared" ca="1" si="37"/>
        <v>-0.75</v>
      </c>
      <c r="R159" s="262" t="s">
        <v>2079</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outlineLevel="1">
      <c r="A160" s="274" t="str">
        <f>E160&amp;G160</f>
        <v>lt002_instrumentrsk_mtgtd_ccp</v>
      </c>
      <c r="B160" s="142" t="s">
        <v>26</v>
      </c>
      <c r="C160" s="138" t="s">
        <v>26</v>
      </c>
      <c r="D160" s="235" t="s">
        <v>40</v>
      </c>
      <c r="E160" s="238" t="s">
        <v>380</v>
      </c>
      <c r="F160" s="238"/>
      <c r="G160" s="238" t="s">
        <v>382</v>
      </c>
      <c r="H160" s="235" t="str">
        <f>VLOOKUP(A160,'2. Status Detalhe Campos FY24'!$A$7:$G$575,7,0)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7"/>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customHeight="1">
      <c r="A161" s="274"/>
      <c r="B161" s="142" t="s">
        <v>26</v>
      </c>
      <c r="C161" s="138" t="s">
        <v>26</v>
      </c>
      <c r="D161" s="134"/>
      <c r="E161" s="241" t="s">
        <v>1948</v>
      </c>
      <c r="F161" s="239" t="s">
        <v>1972</v>
      </c>
      <c r="G161" s="240">
        <f>COUNTA(G162:G164)</f>
        <v>3</v>
      </c>
      <c r="H161" s="295" t="s">
        <v>2004</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7"/>
        <v>0</v>
      </c>
      <c r="R161" s="372" t="s">
        <v>2046</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outlineLevel="1">
      <c r="A162" s="274" t="str">
        <f>E162&amp;G162</f>
        <v>lt007_instr_activityenvrnmntl_objctv</v>
      </c>
      <c r="B162" s="142" t="s">
        <v>26</v>
      </c>
      <c r="C162" s="138" t="s">
        <v>26</v>
      </c>
      <c r="D162" s="235" t="s">
        <v>40</v>
      </c>
      <c r="E162" s="238" t="s">
        <v>1948</v>
      </c>
      <c r="F162" s="238"/>
      <c r="G162" s="238" t="s">
        <v>383</v>
      </c>
      <c r="H162" s="235" t="str">
        <f>VLOOKUP(A162,'2. Status Detalhe Campos FY24'!$A$7:$G$575,7,0)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7"/>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outlineLevel="1">
      <c r="A163" s="274" t="str">
        <f>E163&amp;G163</f>
        <v>lt007_instr_activitytyp_actvty</v>
      </c>
      <c r="B163" s="142" t="s">
        <v>26</v>
      </c>
      <c r="C163" s="138" t="s">
        <v>26</v>
      </c>
      <c r="D163" s="235" t="s">
        <v>40</v>
      </c>
      <c r="E163" s="238" t="s">
        <v>1948</v>
      </c>
      <c r="F163" s="238"/>
      <c r="G163" s="238" t="s">
        <v>384</v>
      </c>
      <c r="H163" s="235" t="str">
        <f>VLOOKUP(A163,'2. Status Detalhe Campos FY24'!$A$7:$G$575,7,0)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7"/>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outlineLevel="1">
      <c r="A164" s="274" t="str">
        <f>E164&amp;G164</f>
        <v>lt007_instr_activitysstnbl_indctr</v>
      </c>
      <c r="B164" s="142" t="s">
        <v>26</v>
      </c>
      <c r="C164" s="138" t="s">
        <v>26</v>
      </c>
      <c r="D164" s="235" t="s">
        <v>40</v>
      </c>
      <c r="E164" s="238" t="s">
        <v>1948</v>
      </c>
      <c r="F164" s="238"/>
      <c r="G164" s="238" t="s">
        <v>419</v>
      </c>
      <c r="H164" s="235" t="str">
        <f>VLOOKUP(A164,'2. Status Detalhe Campos FY24'!$A$7:$G$575,7,0)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7"/>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2050</v>
      </c>
      <c r="G165" s="240">
        <f>COUNTA(G166)</f>
        <v>1</v>
      </c>
      <c r="H165" s="294" t="s">
        <v>2047</v>
      </c>
      <c r="I165" s="278">
        <f>MAX(I166:I172)</f>
        <v>45646</v>
      </c>
      <c r="J165" s="277">
        <f>MIN(J166:J172)</f>
        <v>45624</v>
      </c>
      <c r="K165" s="329">
        <f>MIN(K166:K172)</f>
        <v>45624</v>
      </c>
      <c r="L165" s="278">
        <f>MIN(L166:L172)</f>
        <v>45630</v>
      </c>
      <c r="M165" s="278">
        <f>MAX(M166:M172)</f>
        <v>45667</v>
      </c>
      <c r="N165" s="323" t="s">
        <v>1951</v>
      </c>
      <c r="O165" s="314">
        <f>O166</f>
        <v>0.25</v>
      </c>
      <c r="P165" s="314">
        <f ca="1">P166</f>
        <v>1</v>
      </c>
      <c r="Q165" s="247">
        <f ca="1">O165-P165</f>
        <v>-0.75</v>
      </c>
      <c r="R165" s="262" t="s">
        <v>2079</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2049</v>
      </c>
      <c r="CC165" s="281"/>
      <c r="CD165" s="281"/>
      <c r="CE165" s="281"/>
      <c r="CF165" s="281"/>
      <c r="CG165" s="281"/>
      <c r="CH165" s="281"/>
      <c r="CI165" s="281"/>
    </row>
    <row r="166" spans="1:87" ht="16.2" outlineLevel="1">
      <c r="A166" s="274" t="str">
        <f>E166&amp;G166</f>
        <v>lt007_instr_activitysstnbl_ctgry</v>
      </c>
      <c r="B166" s="142" t="s">
        <v>26</v>
      </c>
      <c r="C166" s="138" t="s">
        <v>26</v>
      </c>
      <c r="D166" s="235" t="s">
        <v>40</v>
      </c>
      <c r="E166" s="238" t="s">
        <v>1948</v>
      </c>
      <c r="F166" s="238"/>
      <c r="G166" s="238" t="s">
        <v>420</v>
      </c>
      <c r="H166" s="235" t="str">
        <f>VLOOKUP(A166,'2. Status Detalhe Campos FY24'!$A$7:$G$575,7,0)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7"/>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customHeight="1">
      <c r="A167" s="274"/>
      <c r="B167" s="142" t="s">
        <v>26</v>
      </c>
      <c r="C167" s="138" t="s">
        <v>26</v>
      </c>
      <c r="D167" s="134"/>
      <c r="E167" s="241" t="s">
        <v>369</v>
      </c>
      <c r="F167" s="239" t="s">
        <v>1994</v>
      </c>
      <c r="G167" s="240">
        <f>COUNTA(G168:G168)</f>
        <v>1</v>
      </c>
      <c r="H167" s="295" t="s">
        <v>2004</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SUMPRODUCT(O168:O168,U168:U168)/SUM(U168:U168)</f>
        <v>1</v>
      </c>
      <c r="P167" s="322">
        <f ca="1">SUMPRODUCT(P168:P168,U168:U168)/SUM(U168:U168)</f>
        <v>1</v>
      </c>
      <c r="Q167" s="247">
        <f t="shared" ref="Q167:Q188" ca="1" si="51">O167-P167</f>
        <v>0</v>
      </c>
      <c r="R167" s="372" t="s">
        <v>2055</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outlineLevel="1">
      <c r="A168" s="274" t="str">
        <f t="shared" ref="A168:A173" si="52">E168&amp;G168</f>
        <v>lt004_protectionprtctn_vl</v>
      </c>
      <c r="B168" s="142" t="s">
        <v>26</v>
      </c>
      <c r="C168" s="138" t="s">
        <v>26</v>
      </c>
      <c r="D168" s="235" t="s">
        <v>40</v>
      </c>
      <c r="E168" s="238" t="s">
        <v>369</v>
      </c>
      <c r="F168" s="238"/>
      <c r="G168" s="238" t="s">
        <v>439</v>
      </c>
      <c r="H168" s="235" t="str">
        <f>VLOOKUP(A168,'2. Status Detalhe Campos FY24'!$A$7:$G$575,7,0)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3">IF(TODAY()&lt;=L168,0,MIN((TODAY()-L168)/(M168-L168+1),100%))</f>
        <v>1</v>
      </c>
      <c r="Q168" s="247">
        <f t="shared" ca="1" si="51"/>
        <v>0</v>
      </c>
      <c r="R168" s="262" t="s">
        <v>38</v>
      </c>
      <c r="S168" s="280"/>
      <c r="T168" s="299">
        <v>4.0999999999999996</v>
      </c>
      <c r="U168" s="270">
        <f t="shared" ref="U168:U173" si="54">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1994</v>
      </c>
      <c r="G169" s="240">
        <f>COUNTA(G170:G173)</f>
        <v>4</v>
      </c>
      <c r="H169" s="412" t="s">
        <v>1285</v>
      </c>
      <c r="I169" s="278">
        <f>MAX(I170:M173)</f>
        <v>45646</v>
      </c>
      <c r="J169" s="277">
        <f>MIN(J170:J176)</f>
        <v>45624</v>
      </c>
      <c r="K169" s="329">
        <f>MIN(K170:K176)</f>
        <v>45624</v>
      </c>
      <c r="L169" s="277">
        <f>MIN(L170:L176)</f>
        <v>45630</v>
      </c>
      <c r="M169" s="278">
        <f>MAX(M170:M176)</f>
        <v>45667</v>
      </c>
      <c r="N169" s="323">
        <f t="array" ref="N169">MAX(IF(W169:CI169&gt;0,$W$16:$CI$16))</f>
        <v>45646</v>
      </c>
      <c r="O169" s="413"/>
      <c r="P169" s="413"/>
      <c r="Q169" s="247">
        <f>O169-P169</f>
        <v>0</v>
      </c>
      <c r="R169" s="372" t="s">
        <v>2077</v>
      </c>
      <c r="S169" s="280"/>
      <c r="T169" s="270"/>
      <c r="U169" s="270"/>
      <c r="V169" s="270"/>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326"/>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outlineLevel="1">
      <c r="A170" s="274" t="str">
        <f t="shared" si="52"/>
        <v>lt004_protectionflg_fin</v>
      </c>
      <c r="B170" s="142" t="s">
        <v>26</v>
      </c>
      <c r="C170" s="138" t="s">
        <v>26</v>
      </c>
      <c r="D170" s="235" t="s">
        <v>40</v>
      </c>
      <c r="E170" s="238" t="s">
        <v>369</v>
      </c>
      <c r="F170" s="238"/>
      <c r="G170" s="238" t="s">
        <v>481</v>
      </c>
      <c r="H170" s="235" t="str">
        <f>VLOOKUP(A170,'2. Status Detalhe Campos FY24'!$A$7:$G$575,7,0)</f>
        <v>0. Cancelado</v>
      </c>
      <c r="I170" s="276">
        <v>45593</v>
      </c>
      <c r="J170" s="324">
        <v>45624</v>
      </c>
      <c r="K170" s="330">
        <v>45624</v>
      </c>
      <c r="L170" s="290">
        <f t="array" ref="L170">MIN(IF(W170:CI170&gt;0,$W$16:$CI$16))</f>
        <v>45645</v>
      </c>
      <c r="M170" s="291">
        <f t="array" ref="M170">MAX(IF(W170:CI170&gt;0,$W$16:$CI$16))</f>
        <v>45645</v>
      </c>
      <c r="N170" s="291"/>
      <c r="O170" s="248">
        <f>VLOOKUP(H170,Auxiliar!$B$16:$E$24,4,0)</f>
        <v>0</v>
      </c>
      <c r="P170" s="248">
        <f t="shared" ca="1" si="53"/>
        <v>1</v>
      </c>
      <c r="Q170" s="247">
        <f t="shared" ca="1" si="51"/>
        <v>-1</v>
      </c>
      <c r="R170" s="262" t="s">
        <v>38</v>
      </c>
      <c r="S170" s="280"/>
      <c r="T170" s="270">
        <v>4.0999999999999996</v>
      </c>
      <c r="U170" s="270">
        <f t="shared" si="54"/>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outlineLevel="1">
      <c r="A171" s="274" t="str">
        <f>E171&amp;G171</f>
        <v>lt004_protectionflg_col</v>
      </c>
      <c r="B171" s="142" t="s">
        <v>26</v>
      </c>
      <c r="C171" s="138" t="s">
        <v>26</v>
      </c>
      <c r="D171" s="235" t="s">
        <v>40</v>
      </c>
      <c r="E171" s="238" t="s">
        <v>369</v>
      </c>
      <c r="F171" s="238"/>
      <c r="G171" s="238" t="s">
        <v>480</v>
      </c>
      <c r="H171" s="235" t="str">
        <f>VLOOKUP(A171,'2. Status Detalhe Campos FY24'!$A$7:$G$575,7,0)</f>
        <v>0. Cancelado</v>
      </c>
      <c r="I171" s="276">
        <v>45593</v>
      </c>
      <c r="J171" s="324">
        <v>45624</v>
      </c>
      <c r="K171" s="330">
        <v>45624</v>
      </c>
      <c r="L171" s="290">
        <f t="array" ref="L171">MIN(IF(W171:CI171&gt;0,$W$16:$CI$16))</f>
        <v>45646</v>
      </c>
      <c r="M171" s="291">
        <f t="array" ref="M171">MAX(IF(W171:CI171&gt;0,$W$16:$CI$16))</f>
        <v>45646</v>
      </c>
      <c r="N171" s="291"/>
      <c r="O171" s="248">
        <f>VLOOKUP(H171,Auxiliar!$B$16:$E$24,4,0)</f>
        <v>0</v>
      </c>
      <c r="P171" s="248">
        <f ca="1">IF(TODAY()&lt;=L171,0,MIN((TODAY()-L171)/(M171-L171+1),100%))</f>
        <v>1</v>
      </c>
      <c r="Q171" s="247">
        <f ca="1">O171-P171</f>
        <v>-1</v>
      </c>
      <c r="R171" s="262" t="s">
        <v>38</v>
      </c>
      <c r="S171" s="280"/>
      <c r="T171" s="270">
        <v>4.0999999999999996</v>
      </c>
      <c r="U171" s="270">
        <f>ROUND(T171/8,1)</f>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outlineLevel="1">
      <c r="A172" s="274" t="str">
        <f t="shared" si="52"/>
        <v>lt004_protectionflg_exec</v>
      </c>
      <c r="B172" s="142" t="s">
        <v>26</v>
      </c>
      <c r="C172" s="138" t="s">
        <v>26</v>
      </c>
      <c r="D172" s="235" t="s">
        <v>40</v>
      </c>
      <c r="E172" s="238" t="s">
        <v>369</v>
      </c>
      <c r="F172" s="238"/>
      <c r="G172" s="238" t="s">
        <v>1355</v>
      </c>
      <c r="H172" s="235" t="str">
        <f>VLOOKUP(A172,'2. Status Detalhe Campos FY24'!$A$7:$G$575,7,0)</f>
        <v>0. Cancelado</v>
      </c>
      <c r="I172" s="276">
        <v>45593</v>
      </c>
      <c r="J172" s="324">
        <v>45624</v>
      </c>
      <c r="K172" s="330">
        <v>45624</v>
      </c>
      <c r="L172" s="290">
        <f t="array" ref="L172">MIN(IF(W172:CI172&gt;0,$W$16:$CI$16))</f>
        <v>45645</v>
      </c>
      <c r="M172" s="291">
        <f t="array" ref="M172">MAX(IF(W172:CI172&gt;0,$W$16:$CI$16))</f>
        <v>45645</v>
      </c>
      <c r="N172" s="291"/>
      <c r="O172" s="248">
        <f>VLOOKUP(H172,Auxiliar!$B$16:$E$24,4,0)</f>
        <v>0</v>
      </c>
      <c r="P172" s="248">
        <f t="shared" ca="1" si="53"/>
        <v>1</v>
      </c>
      <c r="Q172" s="247">
        <f t="shared" ca="1" si="51"/>
        <v>-1</v>
      </c>
      <c r="R172" s="262" t="s">
        <v>38</v>
      </c>
      <c r="S172" s="280"/>
      <c r="T172" s="270">
        <v>4.0999999999999996</v>
      </c>
      <c r="U172" s="270">
        <f t="shared" si="54"/>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outlineLevel="1">
      <c r="A173" s="274" t="str">
        <f t="shared" si="52"/>
        <v>lt004_protectionflg_pro</v>
      </c>
      <c r="B173" s="142" t="s">
        <v>26</v>
      </c>
      <c r="C173" s="138" t="s">
        <v>26</v>
      </c>
      <c r="D173" s="235" t="s">
        <v>40</v>
      </c>
      <c r="E173" s="238" t="s">
        <v>369</v>
      </c>
      <c r="F173" s="238"/>
      <c r="G173" s="238" t="s">
        <v>482</v>
      </c>
      <c r="H173" s="235" t="str">
        <f>VLOOKUP(A173,'2. Status Detalhe Campos FY24'!$A$7:$G$575,7,0)</f>
        <v>0. Cancelado</v>
      </c>
      <c r="I173" s="276">
        <v>45593</v>
      </c>
      <c r="J173" s="324">
        <v>45624</v>
      </c>
      <c r="K173" s="330">
        <v>45624</v>
      </c>
      <c r="L173" s="290">
        <f t="array" ref="L173">MIN(IF(W173:CI173&gt;0,$W$16:$CI$16))</f>
        <v>45646</v>
      </c>
      <c r="M173" s="291">
        <f t="array" ref="M173">MAX(IF(W173:CI173&gt;0,$W$16:$CI$16))</f>
        <v>45646</v>
      </c>
      <c r="N173" s="291"/>
      <c r="O173" s="248">
        <f>VLOOKUP(H173,Auxiliar!$B$16:$E$24,4,0)</f>
        <v>0</v>
      </c>
      <c r="P173" s="248">
        <f t="shared" ca="1" si="53"/>
        <v>1</v>
      </c>
      <c r="Q173" s="247">
        <f t="shared" ca="1" si="51"/>
        <v>-1</v>
      </c>
      <c r="R173" s="262" t="s">
        <v>38</v>
      </c>
      <c r="S173" s="280"/>
      <c r="T173" s="270">
        <v>4.0999999999999996</v>
      </c>
      <c r="U173" s="270">
        <f t="shared" si="54"/>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26</v>
      </c>
      <c r="D174" s="134"/>
      <c r="E174" s="241" t="s">
        <v>369</v>
      </c>
      <c r="F174" s="239" t="s">
        <v>2048</v>
      </c>
      <c r="G174" s="240">
        <f>COUNTA(G175)</f>
        <v>1</v>
      </c>
      <c r="H174" s="295" t="s">
        <v>2004</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51"/>
        <v>0</v>
      </c>
      <c r="R174" s="372" t="s">
        <v>2056</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outlineLevel="1">
      <c r="A175" s="274" t="str">
        <f>E175&amp;G175</f>
        <v>lt004_protectiontyp_prtctn</v>
      </c>
      <c r="B175" s="142" t="s">
        <v>26</v>
      </c>
      <c r="C175" s="138" t="s">
        <v>26</v>
      </c>
      <c r="D175" s="235" t="s">
        <v>40</v>
      </c>
      <c r="E175" s="238" t="s">
        <v>369</v>
      </c>
      <c r="F175" s="238"/>
      <c r="G175" s="238" t="s">
        <v>437</v>
      </c>
      <c r="H175" s="235" t="str">
        <f>VLOOKUP(A175,'2. Status Detalhe Campos FY24'!$A$7:$G$575,7,0)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51"/>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customHeight="1" collapsed="1">
      <c r="A176" s="274"/>
      <c r="B176" s="142" t="s">
        <v>26</v>
      </c>
      <c r="C176" s="138" t="s">
        <v>311</v>
      </c>
      <c r="D176" s="134"/>
      <c r="E176" s="239" t="s">
        <v>334</v>
      </c>
      <c r="F176" s="239" t="s">
        <v>1972</v>
      </c>
      <c r="G176" s="408">
        <f>COUNTA(G177:G188)</f>
        <v>12</v>
      </c>
      <c r="H176" s="294" t="s">
        <v>2003</v>
      </c>
      <c r="I176" s="276" t="s">
        <v>38</v>
      </c>
      <c r="J176" s="296">
        <f>MIN(J177:J188)</f>
        <v>45628</v>
      </c>
      <c r="K176" s="329">
        <f>MIN(K177:K188)</f>
        <v>45629</v>
      </c>
      <c r="L176" s="277">
        <f>MIN(L177:L188)</f>
        <v>45630</v>
      </c>
      <c r="M176" s="278">
        <f>MAX(M177:M188)</f>
        <v>45667</v>
      </c>
      <c r="N176" s="323" t="s">
        <v>1951</v>
      </c>
      <c r="O176" s="251">
        <v>0</v>
      </c>
      <c r="P176" s="251">
        <v>0</v>
      </c>
      <c r="Q176" s="247">
        <f t="shared" si="51"/>
        <v>0</v>
      </c>
      <c r="R176" s="262" t="s">
        <v>2080</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outlineLevel="1">
      <c r="A177" s="274" t="str">
        <f t="shared" ref="A177:A188" si="55">E177&amp;G177</f>
        <v>modesg_out_sfcs_taxon_europeiacbalcao</v>
      </c>
      <c r="B177" s="142" t="s">
        <v>26</v>
      </c>
      <c r="C177" s="138" t="s">
        <v>311</v>
      </c>
      <c r="D177" s="235" t="s">
        <v>40</v>
      </c>
      <c r="E177" s="236" t="s">
        <v>334</v>
      </c>
      <c r="F177" s="236"/>
      <c r="G177" s="235" t="s">
        <v>183</v>
      </c>
      <c r="H177" s="235" t="str">
        <f>VLOOKUP(A177,'2. Status Detalhe Campos FY24'!$A$7:$G$575,7,0)</f>
        <v>4. Validação EF</v>
      </c>
      <c r="I177" s="276" t="s">
        <v>38</v>
      </c>
      <c r="J177" s="324">
        <v>45628</v>
      </c>
      <c r="K177" s="325">
        <v>45629</v>
      </c>
      <c r="L177" s="290">
        <f t="array" ref="L177">MIN(IF(W177:CI177&gt;0,$W$16:$CI$16))</f>
        <v>45630</v>
      </c>
      <c r="M177" s="291">
        <f t="array" ref="M177">MAX(IF(W177:CI177&gt;0,$W$16:$CI$16))</f>
        <v>45630</v>
      </c>
      <c r="N177" s="291"/>
      <c r="O177" s="248">
        <f>VLOOKUP(H177,Auxiliar!$B$16:$E$24,4,0)</f>
        <v>0.25</v>
      </c>
      <c r="P177" s="248">
        <f t="shared" ref="P177:P188" ca="1" si="56">IF(TODAY()&lt;=L177,0,MIN((TODAY()-L177)/(M177-L177+1),100%))</f>
        <v>1</v>
      </c>
      <c r="Q177" s="247">
        <f t="shared" ca="1" si="51"/>
        <v>-0.75</v>
      </c>
      <c r="R177" s="379"/>
      <c r="S177" s="280"/>
      <c r="T177" s="270">
        <v>4.0999999999999996</v>
      </c>
      <c r="U177" s="270">
        <f t="shared" ref="U177:U188" si="57">ROUND(T177/8,1)</f>
        <v>0.5</v>
      </c>
      <c r="V177" s="270">
        <f t="shared" ref="V177:V188" si="58">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outlineLevel="1">
      <c r="A178" s="274" t="str">
        <f t="shared" si="55"/>
        <v>modesg_out_sfcs_taxon_europeiacempresa</v>
      </c>
      <c r="B178" s="142" t="s">
        <v>26</v>
      </c>
      <c r="C178" s="138" t="s">
        <v>311</v>
      </c>
      <c r="D178" s="235" t="s">
        <v>40</v>
      </c>
      <c r="E178" s="236" t="s">
        <v>334</v>
      </c>
      <c r="F178" s="236"/>
      <c r="G178" s="235" t="s">
        <v>184</v>
      </c>
      <c r="H178" s="235" t="str">
        <f>VLOOKUP(A178,'2. Status Detalhe Campos FY24'!$A$7:$G$575,7,0)</f>
        <v>4. Validação EF</v>
      </c>
      <c r="I178" s="276" t="s">
        <v>38</v>
      </c>
      <c r="J178" s="324">
        <v>45628</v>
      </c>
      <c r="K178" s="325">
        <v>45629</v>
      </c>
      <c r="L178" s="290">
        <f t="array" ref="L178">MIN(IF(W178:CI178&gt;0,$W$16:$CI$16))</f>
        <v>45630</v>
      </c>
      <c r="M178" s="291">
        <f t="array" ref="M178">MAX(IF(W178:CI178&gt;0,$W$16:$CI$16))</f>
        <v>45630</v>
      </c>
      <c r="N178" s="291"/>
      <c r="O178" s="248">
        <f>VLOOKUP(H178,Auxiliar!$B$16:$E$24,4,0)</f>
        <v>0.25</v>
      </c>
      <c r="P178" s="248">
        <f t="shared" ca="1" si="56"/>
        <v>1</v>
      </c>
      <c r="Q178" s="247">
        <f t="shared" ca="1" si="51"/>
        <v>-0.75</v>
      </c>
      <c r="R178" s="379"/>
      <c r="S178" s="280"/>
      <c r="T178" s="270">
        <v>4.0999999999999996</v>
      </c>
      <c r="U178" s="270">
        <f t="shared" si="57"/>
        <v>0.5</v>
      </c>
      <c r="V178" s="270">
        <f t="shared" si="58"/>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outlineLevel="1">
      <c r="A179" s="274" t="str">
        <f t="shared" si="55"/>
        <v>modesg_out_sfcs_taxon_europeiacnumecta</v>
      </c>
      <c r="B179" s="142" t="s">
        <v>26</v>
      </c>
      <c r="C179" s="138" t="s">
        <v>311</v>
      </c>
      <c r="D179" s="235" t="s">
        <v>40</v>
      </c>
      <c r="E179" s="236" t="s">
        <v>334</v>
      </c>
      <c r="F179" s="236"/>
      <c r="G179" s="235" t="s">
        <v>189</v>
      </c>
      <c r="H179" s="235" t="str">
        <f>VLOOKUP(A179,'2. Status Detalhe Campos FY24'!$A$7:$G$575,7,0)</f>
        <v>4. Validação EF</v>
      </c>
      <c r="I179" s="276" t="s">
        <v>38</v>
      </c>
      <c r="J179" s="324">
        <v>45628</v>
      </c>
      <c r="K179" s="325">
        <v>45629</v>
      </c>
      <c r="L179" s="290">
        <f t="array" ref="L179">MIN(IF(W179:CI179&gt;0,$W$16:$CI$16))</f>
        <v>45631</v>
      </c>
      <c r="M179" s="291">
        <f t="array" ref="M179">MAX(IF(W179:CI179&gt;0,$W$16:$CI$16))</f>
        <v>45631</v>
      </c>
      <c r="N179" s="291"/>
      <c r="O179" s="248">
        <f>VLOOKUP(H179,Auxiliar!$B$16:$E$24,4,0)</f>
        <v>0.25</v>
      </c>
      <c r="P179" s="248">
        <f t="shared" ca="1" si="56"/>
        <v>1</v>
      </c>
      <c r="Q179" s="247">
        <f t="shared" ca="1" si="51"/>
        <v>-0.75</v>
      </c>
      <c r="R179" s="379"/>
      <c r="S179" s="280"/>
      <c r="T179" s="270">
        <v>4.0999999999999996</v>
      </c>
      <c r="U179" s="270">
        <f t="shared" si="57"/>
        <v>0.5</v>
      </c>
      <c r="V179" s="270">
        <f t="shared" si="58"/>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outlineLevel="1">
      <c r="A180" s="274" t="str">
        <f t="shared" si="55"/>
        <v>modesg_out_sfcs_taxon_europeiacod_regra</v>
      </c>
      <c r="B180" s="142" t="s">
        <v>26</v>
      </c>
      <c r="C180" s="138" t="s">
        <v>311</v>
      </c>
      <c r="D180" s="235" t="s">
        <v>40</v>
      </c>
      <c r="E180" s="236" t="s">
        <v>334</v>
      </c>
      <c r="F180" s="236"/>
      <c r="G180" s="235" t="s">
        <v>191</v>
      </c>
      <c r="H180" s="235" t="str">
        <f>VLOOKUP(A180,'2. Status Detalhe Campos FY24'!$A$7:$G$575,7,0)</f>
        <v>4. Validação EF</v>
      </c>
      <c r="I180" s="276" t="s">
        <v>38</v>
      </c>
      <c r="J180" s="324">
        <v>45628</v>
      </c>
      <c r="K180" s="325">
        <v>45629</v>
      </c>
      <c r="L180" s="290">
        <f t="array" ref="L180">MIN(IF(W180:CI180&gt;0,$W$16:$CI$16))</f>
        <v>45631</v>
      </c>
      <c r="M180" s="291">
        <f t="array" ref="M180">MAX(IF(W180:CI180&gt;0,$W$16:$CI$16))</f>
        <v>45631</v>
      </c>
      <c r="N180" s="291"/>
      <c r="O180" s="248">
        <f>VLOOKUP(H180,Auxiliar!$B$16:$E$24,4,0)</f>
        <v>0.25</v>
      </c>
      <c r="P180" s="248">
        <f t="shared" ca="1" si="56"/>
        <v>1</v>
      </c>
      <c r="Q180" s="247">
        <f t="shared" ca="1" si="51"/>
        <v>-0.75</v>
      </c>
      <c r="R180" s="379"/>
      <c r="S180" s="280"/>
      <c r="T180" s="270">
        <v>4.0999999999999996</v>
      </c>
      <c r="U180" s="270">
        <f t="shared" si="57"/>
        <v>0.5</v>
      </c>
      <c r="V180" s="270">
        <f t="shared" si="58"/>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outlineLevel="1">
      <c r="A181" s="274" t="str">
        <f t="shared" si="55"/>
        <v>modesg_out_sfcs_taxon_europeiamontante_pndrc</v>
      </c>
      <c r="B181" s="142" t="s">
        <v>26</v>
      </c>
      <c r="C181" s="138" t="s">
        <v>311</v>
      </c>
      <c r="D181" s="235" t="s">
        <v>40</v>
      </c>
      <c r="E181" s="236" t="s">
        <v>334</v>
      </c>
      <c r="F181" s="236"/>
      <c r="G181" s="235" t="s">
        <v>202</v>
      </c>
      <c r="H181" s="235" t="str">
        <f>VLOOKUP(A181,'2. Status Detalhe Campos FY24'!$A$7:$G$575,7,0)</f>
        <v>4. Validação EF</v>
      </c>
      <c r="I181" s="276" t="s">
        <v>38</v>
      </c>
      <c r="J181" s="324">
        <v>45628</v>
      </c>
      <c r="K181" s="325">
        <v>45629</v>
      </c>
      <c r="L181" s="290">
        <f t="array" ref="L181">MIN(IF(W181:CI181&gt;0,$W$16:$CI$16))</f>
        <v>45632</v>
      </c>
      <c r="M181" s="291">
        <f t="array" ref="M181">MAX(IF(W181:CI181&gt;0,$W$16:$CI$16))</f>
        <v>45635</v>
      </c>
      <c r="N181" s="291"/>
      <c r="O181" s="248">
        <f>VLOOKUP(H181,Auxiliar!$B$16:$E$24,4,0)</f>
        <v>0.25</v>
      </c>
      <c r="P181" s="248">
        <f t="shared" ca="1" si="56"/>
        <v>1</v>
      </c>
      <c r="Q181" s="247">
        <f t="shared" ca="1" si="51"/>
        <v>-0.75</v>
      </c>
      <c r="R181" s="379"/>
      <c r="S181" s="280"/>
      <c r="T181" s="270">
        <v>16.100000000000001</v>
      </c>
      <c r="U181" s="270">
        <f t="shared" si="57"/>
        <v>2</v>
      </c>
      <c r="V181" s="270">
        <f t="shared" si="58"/>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outlineLevel="1">
      <c r="A182" s="274" t="str">
        <f t="shared" si="55"/>
        <v>modesg_out_sfcs_taxon_europeianome_ctgr_sfcs</v>
      </c>
      <c r="B182" s="142" t="s">
        <v>26</v>
      </c>
      <c r="C182" s="138" t="s">
        <v>311</v>
      </c>
      <c r="D182" s="235" t="s">
        <v>40</v>
      </c>
      <c r="E182" s="236" t="s">
        <v>334</v>
      </c>
      <c r="F182" s="236"/>
      <c r="G182" s="235" t="s">
        <v>203</v>
      </c>
      <c r="H182" s="235" t="str">
        <f>VLOOKUP(A182,'2. Status Detalhe Campos FY24'!$A$7:$G$575,7,0)</f>
        <v>4. Validação EF</v>
      </c>
      <c r="I182" s="276" t="s">
        <v>38</v>
      </c>
      <c r="J182" s="324">
        <v>45628</v>
      </c>
      <c r="K182" s="325">
        <v>45629</v>
      </c>
      <c r="L182" s="290">
        <f t="array" ref="L182">MIN(IF(W182:CI182&gt;0,$W$16:$CI$16))</f>
        <v>45636</v>
      </c>
      <c r="M182" s="291">
        <f t="array" ref="M182">MAX(IF(W182:CI182&gt;0,$W$16:$CI$16))</f>
        <v>45637</v>
      </c>
      <c r="N182" s="291"/>
      <c r="O182" s="248">
        <f>VLOOKUP(H182,Auxiliar!$B$16:$E$24,4,0)</f>
        <v>0.25</v>
      </c>
      <c r="P182" s="248">
        <f t="shared" ca="1" si="56"/>
        <v>1</v>
      </c>
      <c r="Q182" s="247">
        <f t="shared" ca="1" si="51"/>
        <v>-0.75</v>
      </c>
      <c r="R182" s="379"/>
      <c r="S182" s="280"/>
      <c r="T182" s="270">
        <v>16.100000000000001</v>
      </c>
      <c r="U182" s="270">
        <f t="shared" si="57"/>
        <v>2</v>
      </c>
      <c r="V182" s="270">
        <f t="shared" si="58"/>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outlineLevel="1">
      <c r="A183" s="274" t="str">
        <f t="shared" si="55"/>
        <v>modesg_out_sfcs_taxon_europeianome_general_specific_purpose</v>
      </c>
      <c r="B183" s="142" t="s">
        <v>26</v>
      </c>
      <c r="C183" s="138" t="s">
        <v>311</v>
      </c>
      <c r="D183" s="235" t="s">
        <v>40</v>
      </c>
      <c r="E183" s="236" t="s">
        <v>334</v>
      </c>
      <c r="F183" s="236"/>
      <c r="G183" s="235" t="s">
        <v>204</v>
      </c>
      <c r="H183" s="235" t="str">
        <f>VLOOKUP(A183,'2. Status Detalhe Campos FY24'!$A$7:$G$575,7,0)</f>
        <v>4. Validação EF</v>
      </c>
      <c r="I183" s="276" t="s">
        <v>38</v>
      </c>
      <c r="J183" s="324">
        <v>45628</v>
      </c>
      <c r="K183" s="325">
        <v>45629</v>
      </c>
      <c r="L183" s="290">
        <f t="array" ref="L183">MIN(IF(W183:CI183&gt;0,$W$16:$CI$16))</f>
        <v>45638</v>
      </c>
      <c r="M183" s="291">
        <f t="array" ref="M183">MAX(IF(W183:CI183&gt;0,$W$16:$CI$16))</f>
        <v>45638</v>
      </c>
      <c r="N183" s="291"/>
      <c r="O183" s="248">
        <f>VLOOKUP(H183,Auxiliar!$B$16:$E$24,4,0)</f>
        <v>0.25</v>
      </c>
      <c r="P183" s="248">
        <f t="shared" ca="1" si="56"/>
        <v>1</v>
      </c>
      <c r="Q183" s="247">
        <f t="shared" ca="1" si="51"/>
        <v>-0.75</v>
      </c>
      <c r="R183" s="379"/>
      <c r="S183" s="280"/>
      <c r="T183" s="270">
        <v>8.1</v>
      </c>
      <c r="U183" s="270">
        <f t="shared" si="57"/>
        <v>1</v>
      </c>
      <c r="V183" s="270">
        <f t="shared" si="58"/>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outlineLevel="1">
      <c r="A184" s="274" t="str">
        <f t="shared" si="55"/>
        <v>modesg_out_sfcs_taxon_europeianome_purpose_esg</v>
      </c>
      <c r="B184" s="142" t="s">
        <v>26</v>
      </c>
      <c r="C184" s="138" t="s">
        <v>311</v>
      </c>
      <c r="D184" s="235" t="s">
        <v>40</v>
      </c>
      <c r="E184" s="236" t="s">
        <v>334</v>
      </c>
      <c r="F184" s="236"/>
      <c r="G184" s="235" t="s">
        <v>205</v>
      </c>
      <c r="H184" s="235" t="str">
        <f>VLOOKUP(A184,'2. Status Detalhe Campos FY24'!$A$7:$G$575,7,0)</f>
        <v>4. Validação EF</v>
      </c>
      <c r="I184" s="276" t="s">
        <v>38</v>
      </c>
      <c r="J184" s="324">
        <v>45628</v>
      </c>
      <c r="K184" s="325">
        <v>45629</v>
      </c>
      <c r="L184" s="290">
        <f t="array" ref="L184">MIN(IF(W184:CI184&gt;0,$W$16:$CI$16))</f>
        <v>45639</v>
      </c>
      <c r="M184" s="291">
        <f t="array" ref="M184">MAX(IF(W184:CI184&gt;0,$W$16:$CI$16))</f>
        <v>45639</v>
      </c>
      <c r="N184" s="291"/>
      <c r="O184" s="248">
        <f>VLOOKUP(H184,Auxiliar!$B$16:$E$24,4,0)</f>
        <v>0.25</v>
      </c>
      <c r="P184" s="248">
        <f t="shared" ca="1" si="56"/>
        <v>1</v>
      </c>
      <c r="Q184" s="247">
        <f t="shared" ca="1" si="51"/>
        <v>-0.75</v>
      </c>
      <c r="R184" s="379"/>
      <c r="S184" s="280"/>
      <c r="T184" s="270">
        <v>8.1</v>
      </c>
      <c r="U184" s="270">
        <f t="shared" si="57"/>
        <v>1</v>
      </c>
      <c r="V184" s="270">
        <f t="shared" si="58"/>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outlineLevel="1">
      <c r="A185" s="274" t="str">
        <f t="shared" si="55"/>
        <v>modesg_out_sfcs_taxon_europeianome_specific_eligible</v>
      </c>
      <c r="B185" s="142" t="s">
        <v>26</v>
      </c>
      <c r="C185" s="138" t="s">
        <v>311</v>
      </c>
      <c r="D185" s="235" t="s">
        <v>40</v>
      </c>
      <c r="E185" s="236" t="s">
        <v>334</v>
      </c>
      <c r="F185" s="236"/>
      <c r="G185" s="235" t="s">
        <v>206</v>
      </c>
      <c r="H185" s="235" t="str">
        <f>VLOOKUP(A185,'2. Status Detalhe Campos FY24'!$A$7:$G$575,7,0)</f>
        <v>4. Validação EF</v>
      </c>
      <c r="I185" s="276" t="s">
        <v>38</v>
      </c>
      <c r="J185" s="324">
        <v>45628</v>
      </c>
      <c r="K185" s="325">
        <v>45629</v>
      </c>
      <c r="L185" s="290">
        <f t="array" ref="L185">MIN(IF(W185:CI185&gt;0,$W$16:$CI$16))</f>
        <v>45642</v>
      </c>
      <c r="M185" s="291">
        <f t="array" ref="M185">MAX(IF(W185:CI185&gt;0,$W$16:$CI$16))</f>
        <v>45642</v>
      </c>
      <c r="N185" s="291"/>
      <c r="O185" s="248">
        <f>VLOOKUP(H185,Auxiliar!$B$16:$E$24,4,0)</f>
        <v>0.25</v>
      </c>
      <c r="P185" s="248">
        <f t="shared" ca="1" si="56"/>
        <v>1</v>
      </c>
      <c r="Q185" s="247">
        <f t="shared" ca="1" si="51"/>
        <v>-0.75</v>
      </c>
      <c r="R185" s="379"/>
      <c r="S185" s="280"/>
      <c r="T185" s="270">
        <v>8.1</v>
      </c>
      <c r="U185" s="270">
        <f t="shared" si="57"/>
        <v>1</v>
      </c>
      <c r="V185" s="270">
        <f t="shared" si="58"/>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outlineLevel="1">
      <c r="A186" s="274" t="str">
        <f t="shared" si="55"/>
        <v>modesg_out_sfcs_taxon_europeianome_specific_sustainable</v>
      </c>
      <c r="B186" s="142" t="s">
        <v>26</v>
      </c>
      <c r="C186" s="138" t="s">
        <v>311</v>
      </c>
      <c r="D186" s="235" t="s">
        <v>40</v>
      </c>
      <c r="E186" s="236" t="s">
        <v>334</v>
      </c>
      <c r="F186" s="236"/>
      <c r="G186" s="235" t="s">
        <v>207</v>
      </c>
      <c r="H186" s="235" t="str">
        <f>VLOOKUP(A186,'2. Status Detalhe Campos FY24'!$A$7:$G$575,7,0)</f>
        <v>4. Validação EF</v>
      </c>
      <c r="I186" s="276" t="s">
        <v>38</v>
      </c>
      <c r="J186" s="324">
        <v>45628</v>
      </c>
      <c r="K186" s="325">
        <v>45629</v>
      </c>
      <c r="L186" s="290">
        <f t="array" ref="L186">MIN(IF(W186:CI186&gt;0,$W$16:$CI$16))</f>
        <v>45643</v>
      </c>
      <c r="M186" s="291">
        <f t="array" ref="M186">MAX(IF(W186:CI186&gt;0,$W$16:$CI$16))</f>
        <v>45643</v>
      </c>
      <c r="N186" s="291"/>
      <c r="O186" s="248">
        <f>VLOOKUP(H186,Auxiliar!$B$16:$E$24,4,0)</f>
        <v>0.25</v>
      </c>
      <c r="P186" s="248">
        <f t="shared" ca="1" si="56"/>
        <v>1</v>
      </c>
      <c r="Q186" s="247">
        <f t="shared" ca="1" si="51"/>
        <v>-0.75</v>
      </c>
      <c r="R186" s="379"/>
      <c r="S186" s="280"/>
      <c r="T186" s="270">
        <v>8.1</v>
      </c>
      <c r="U186" s="270">
        <f t="shared" si="57"/>
        <v>1</v>
      </c>
      <c r="V186" s="270">
        <f t="shared" si="58"/>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outlineLevel="1">
      <c r="A187" s="274" t="str">
        <f t="shared" si="55"/>
        <v>modesg_out_sfcs_taxon_europeiaref_date</v>
      </c>
      <c r="B187" s="142" t="s">
        <v>26</v>
      </c>
      <c r="C187" s="138" t="s">
        <v>311</v>
      </c>
      <c r="D187" s="235" t="s">
        <v>40</v>
      </c>
      <c r="E187" s="236" t="s">
        <v>334</v>
      </c>
      <c r="F187" s="236"/>
      <c r="G187" s="235" t="s">
        <v>208</v>
      </c>
      <c r="H187" s="235" t="str">
        <f>VLOOKUP(A187,'2. Status Detalhe Campos FY24'!$A$7:$G$575,7,0)</f>
        <v>4. Validação EF</v>
      </c>
      <c r="I187" s="276" t="s">
        <v>38</v>
      </c>
      <c r="J187" s="324">
        <v>45628</v>
      </c>
      <c r="K187" s="325">
        <v>45629</v>
      </c>
      <c r="L187" s="290">
        <f t="array" ref="L187">MIN(IF(W187:CI187&gt;0,$W$16:$CI$16))</f>
        <v>45644</v>
      </c>
      <c r="M187" s="291">
        <f t="array" ref="M187">MAX(IF(W187:CI187&gt;0,$W$16:$CI$16))</f>
        <v>45644</v>
      </c>
      <c r="N187" s="291"/>
      <c r="O187" s="248">
        <f>VLOOKUP(H187,Auxiliar!$B$16:$E$24,4,0)</f>
        <v>0.25</v>
      </c>
      <c r="P187" s="248">
        <f t="shared" ca="1" si="56"/>
        <v>1</v>
      </c>
      <c r="Q187" s="247">
        <f t="shared" ca="1" si="51"/>
        <v>-0.75</v>
      </c>
      <c r="R187" s="379"/>
      <c r="S187" s="280"/>
      <c r="T187" s="270">
        <v>4.0999999999999996</v>
      </c>
      <c r="U187" s="270">
        <f t="shared" si="57"/>
        <v>0.5</v>
      </c>
      <c r="V187" s="270">
        <f t="shared" si="58"/>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outlineLevel="1">
      <c r="A188" s="274" t="str">
        <f t="shared" si="55"/>
        <v>modesg_out_sfcs_taxon_europeiazdeposit</v>
      </c>
      <c r="B188" s="142" t="s">
        <v>26</v>
      </c>
      <c r="C188" s="138" t="s">
        <v>311</v>
      </c>
      <c r="D188" s="235" t="s">
        <v>40</v>
      </c>
      <c r="E188" s="236" t="s">
        <v>334</v>
      </c>
      <c r="F188" s="236"/>
      <c r="G188" s="235" t="s">
        <v>210</v>
      </c>
      <c r="H188" s="235" t="str">
        <f>VLOOKUP(A188,'2. Status Detalhe Campos FY24'!$A$7:$G$575,7,0)</f>
        <v>4. Validação EF</v>
      </c>
      <c r="I188" s="276" t="s">
        <v>38</v>
      </c>
      <c r="J188" s="324">
        <v>45628</v>
      </c>
      <c r="K188" s="325">
        <v>45629</v>
      </c>
      <c r="L188" s="290">
        <f t="array" ref="L188">MIN(IF(W188:CI188&gt;0,$W$16:$CI$16))</f>
        <v>45644</v>
      </c>
      <c r="M188" s="291">
        <f t="array" ref="M188">MAX(IF(W188:CI188&gt;0,$W$16:$CI$16))</f>
        <v>45667</v>
      </c>
      <c r="N188" s="291"/>
      <c r="O188" s="248">
        <f>VLOOKUP(H188,Auxiliar!$B$16:$E$24,4,0)</f>
        <v>0.25</v>
      </c>
      <c r="P188" s="248">
        <f t="shared" ca="1" si="56"/>
        <v>1</v>
      </c>
      <c r="Q188" s="247">
        <f t="shared" ca="1" si="51"/>
        <v>-0.75</v>
      </c>
      <c r="R188" s="379"/>
      <c r="S188" s="280"/>
      <c r="T188" s="270">
        <v>8.1</v>
      </c>
      <c r="U188" s="270">
        <f t="shared" si="57"/>
        <v>1</v>
      </c>
      <c r="V188" s="270">
        <f t="shared" si="58"/>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2010</v>
      </c>
      <c r="G189" s="240">
        <f>COUNTA(G190:G192)</f>
        <v>3</v>
      </c>
      <c r="H189" s="275" t="s">
        <v>2007</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9">O189-P189</f>
        <v>-1</v>
      </c>
      <c r="R189" s="372" t="s">
        <v>2058</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outlineLevel="1">
      <c r="A190" s="274" t="str">
        <f>E190&amp;G190</f>
        <v>lt002_instrumentmthd_usd_instrmnt_scp_1</v>
      </c>
      <c r="B190" s="142" t="s">
        <v>26</v>
      </c>
      <c r="C190" s="138" t="s">
        <v>26</v>
      </c>
      <c r="D190" s="235" t="s">
        <v>40</v>
      </c>
      <c r="E190" s="238" t="s">
        <v>380</v>
      </c>
      <c r="F190" s="238"/>
      <c r="G190" s="238" t="s">
        <v>386</v>
      </c>
      <c r="H190" s="235" t="str">
        <f>VLOOKUP(A190,'2. Status Detalhe Campos FY24'!$A$7:$G$575,7,0)</f>
        <v>3. Pendente de outros desenvolvimentos</v>
      </c>
      <c r="I190" s="374">
        <v>45603</v>
      </c>
      <c r="J190" s="324">
        <v>45631</v>
      </c>
      <c r="K190" s="324">
        <v>45631</v>
      </c>
      <c r="L190" s="290">
        <f t="array" ref="L190">MIN(IF(W190:CI190&gt;0,$W$16:$CI$16))</f>
        <v>45642</v>
      </c>
      <c r="M190" s="291">
        <f t="array" ref="M190">MAX(IF(W190:CI190&gt;0,$W$16:$CI$16))</f>
        <v>45642</v>
      </c>
      <c r="N190" s="291"/>
      <c r="O190" s="386">
        <f>VLOOKUP(H190,Auxiliar!$B$16:$E$24,4,0)</f>
        <v>0</v>
      </c>
      <c r="P190" s="386">
        <f ca="1">IF(TODAY()&lt;=L190,0,MIN((TODAY()-L190)/(M190-L190+1),100%))</f>
        <v>1</v>
      </c>
      <c r="Q190" s="247">
        <f t="shared" ca="1" si="59"/>
        <v>-1</v>
      </c>
      <c r="R190" s="379"/>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outlineLevel="1">
      <c r="A191" s="274" t="str">
        <f>E191&amp;G191</f>
        <v>lt002_instrumentmthd_usd_instrmnt_scp_2</v>
      </c>
      <c r="B191" s="142" t="s">
        <v>26</v>
      </c>
      <c r="C191" s="138" t="s">
        <v>26</v>
      </c>
      <c r="D191" s="235" t="s">
        <v>40</v>
      </c>
      <c r="E191" s="238" t="s">
        <v>380</v>
      </c>
      <c r="F191" s="238"/>
      <c r="G191" s="238" t="s">
        <v>387</v>
      </c>
      <c r="H191" s="235" t="str">
        <f>VLOOKUP(A191,'2. Status Detalhe Campos FY24'!$A$7:$G$575,7,0)</f>
        <v>3. Pendente de outros desenvolvimentos</v>
      </c>
      <c r="I191" s="374">
        <v>45603</v>
      </c>
      <c r="J191" s="324">
        <v>45631</v>
      </c>
      <c r="K191" s="324">
        <v>45631</v>
      </c>
      <c r="L191" s="290">
        <f t="array" ref="L191">MIN(IF(W191:CI191&gt;0,$W$16:$CI$16))</f>
        <v>45643</v>
      </c>
      <c r="M191" s="291">
        <f t="array" ref="M191">MAX(IF(W191:CI191&gt;0,$W$16:$CI$16))</f>
        <v>45643</v>
      </c>
      <c r="N191" s="291"/>
      <c r="O191" s="386">
        <f>VLOOKUP(H191,Auxiliar!$B$16:$E$24,4,0)</f>
        <v>0</v>
      </c>
      <c r="P191" s="386">
        <f ca="1">IF(TODAY()&lt;=L191,0,MIN((TODAY()-L191)/(M191-L191+1),100%))</f>
        <v>1</v>
      </c>
      <c r="Q191" s="247">
        <f t="shared" ca="1" si="59"/>
        <v>-1</v>
      </c>
      <c r="R191" s="379"/>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outlineLevel="1">
      <c r="A192" s="274" t="str">
        <f>E192&amp;G192</f>
        <v>lt002_instrumentmthd_usd_instrmnt_scp_3</v>
      </c>
      <c r="B192" s="142" t="s">
        <v>26</v>
      </c>
      <c r="C192" s="138" t="s">
        <v>26</v>
      </c>
      <c r="D192" s="235" t="s">
        <v>40</v>
      </c>
      <c r="E192" s="238" t="s">
        <v>380</v>
      </c>
      <c r="F192" s="238"/>
      <c r="G192" s="238" t="s">
        <v>388</v>
      </c>
      <c r="H192" s="235" t="str">
        <f>VLOOKUP(A192,'2. Status Detalhe Campos FY24'!$A$7:$G$575,7,0)</f>
        <v>3. Pendente de outros desenvolvimentos</v>
      </c>
      <c r="I192" s="374">
        <v>45603</v>
      </c>
      <c r="J192" s="324">
        <v>45631</v>
      </c>
      <c r="K192" s="324">
        <v>45631</v>
      </c>
      <c r="L192" s="290">
        <f t="array" ref="L192">MIN(IF(W192:CI192&gt;0,$W$16:$CI$16))</f>
        <v>45643</v>
      </c>
      <c r="M192" s="291">
        <f t="array" ref="M192">MAX(IF(W192:CI192&gt;0,$W$16:$CI$16))</f>
        <v>45643</v>
      </c>
      <c r="N192" s="291"/>
      <c r="O192" s="386">
        <f>VLOOKUP(H192,Auxiliar!$B$16:$E$24,4,0)</f>
        <v>0</v>
      </c>
      <c r="P192" s="386">
        <f ca="1">IF(TODAY()&lt;=L192,0,MIN((TODAY()-L192)/(M192-L192+1),100%))</f>
        <v>1</v>
      </c>
      <c r="Q192" s="247">
        <f t="shared" ca="1" si="59"/>
        <v>-1</v>
      </c>
      <c r="R192" s="379"/>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311</v>
      </c>
      <c r="D193" s="134"/>
      <c r="E193" s="239" t="s">
        <v>326</v>
      </c>
      <c r="F193" s="239" t="s">
        <v>1994</v>
      </c>
      <c r="G193" s="240">
        <f>COUNTA(G194:G197)</f>
        <v>4</v>
      </c>
      <c r="H193" s="295" t="s">
        <v>2004</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9"/>
        <v>0</v>
      </c>
      <c r="R193" s="372" t="s">
        <v>2046</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outlineLevel="1">
      <c r="A194" s="274" t="str">
        <f>E194&amp;G194</f>
        <v>modesg_out_empr_info_nfinflg_rsc_fsc_agd</v>
      </c>
      <c r="B194" s="142" t="s">
        <v>26</v>
      </c>
      <c r="C194" s="138" t="s">
        <v>311</v>
      </c>
      <c r="D194" s="235" t="s">
        <v>40</v>
      </c>
      <c r="E194" s="236" t="s">
        <v>326</v>
      </c>
      <c r="F194" s="236"/>
      <c r="G194" s="235" t="s">
        <v>283</v>
      </c>
      <c r="H194" s="235" t="str">
        <f>VLOOKUP(A194,'2. Status Detalhe Campos FY24'!$A$7:$G$575,7,0)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9"/>
        <v>0</v>
      </c>
      <c r="R194" s="378"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outlineLevel="1">
      <c r="A195" s="274" t="str">
        <f>E195&amp;G195</f>
        <v>modesg_out_empr_info_nfinflg_rsc_fsc_crnc</v>
      </c>
      <c r="B195" s="142" t="s">
        <v>26</v>
      </c>
      <c r="C195" s="138" t="s">
        <v>311</v>
      </c>
      <c r="D195" s="235" t="s">
        <v>40</v>
      </c>
      <c r="E195" s="236" t="s">
        <v>326</v>
      </c>
      <c r="F195" s="236"/>
      <c r="G195" s="235" t="s">
        <v>284</v>
      </c>
      <c r="H195" s="235" t="str">
        <f>VLOOKUP(A195,'2. Status Detalhe Campos FY24'!$A$7:$G$575,7,0)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9"/>
        <v>0</v>
      </c>
      <c r="R195" s="378"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 FY24'!$A$7:$G$575,7,0)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9"/>
        <v>0</v>
      </c>
      <c r="R196" s="378"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 FY24'!$A$7:$G$575,7,0)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9"/>
        <v>0</v>
      </c>
      <c r="R197" s="378"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customHeight="1" collapsed="1">
      <c r="A198" s="274"/>
      <c r="B198" s="142" t="s">
        <v>26</v>
      </c>
      <c r="C198" s="138" t="s">
        <v>26</v>
      </c>
      <c r="D198" s="134"/>
      <c r="E198" s="241" t="s">
        <v>369</v>
      </c>
      <c r="F198" s="239" t="s">
        <v>2009</v>
      </c>
      <c r="G198" s="240">
        <f>COUNTA(G199:G204)</f>
        <v>6</v>
      </c>
      <c r="H198" s="295" t="s">
        <v>2004</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60">O198-P198</f>
        <v>0</v>
      </c>
      <c r="R198" s="372" t="s">
        <v>2055</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outlineLevel="1">
      <c r="A199" s="274" t="str">
        <f t="shared" ref="A199:A204" si="61">E199&amp;G199</f>
        <v>lt004_protectionemssns_scp1_prtctn</v>
      </c>
      <c r="B199" s="142" t="s">
        <v>26</v>
      </c>
      <c r="C199" s="138" t="s">
        <v>26</v>
      </c>
      <c r="D199" s="235" t="s">
        <v>40</v>
      </c>
      <c r="E199" s="238" t="s">
        <v>369</v>
      </c>
      <c r="F199" s="238"/>
      <c r="G199" s="238" t="s">
        <v>374</v>
      </c>
      <c r="H199" s="235" t="str">
        <f>VLOOKUP(A199,'2. Status Detalhe Campos FY24'!$A$7:$G$575,7,0)</f>
        <v>1. Concluído</v>
      </c>
      <c r="I199" s="375">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2">IF(TODAY()&lt;=L199,0,MIN((TODAY()-L199)/(M199-L199+1),100%))</f>
        <v>1</v>
      </c>
      <c r="Q199" s="247">
        <f t="shared" ca="1" si="60"/>
        <v>0</v>
      </c>
      <c r="R199" s="378" t="s">
        <v>38</v>
      </c>
      <c r="S199" s="280" t="s">
        <v>1947</v>
      </c>
      <c r="T199" s="270">
        <v>4.0999999999999996</v>
      </c>
      <c r="U199" s="270">
        <f t="shared" ref="U199:U204" si="63">ROUND(T199/8,1)</f>
        <v>0.5</v>
      </c>
      <c r="V199" s="270">
        <f t="shared" ref="V199:V204" si="64">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outlineLevel="1">
      <c r="A200" s="274" t="str">
        <f t="shared" si="61"/>
        <v>lt004_protectionemssns_scp2_prtctn</v>
      </c>
      <c r="B200" s="142" t="s">
        <v>26</v>
      </c>
      <c r="C200" s="138" t="s">
        <v>26</v>
      </c>
      <c r="D200" s="235" t="s">
        <v>40</v>
      </c>
      <c r="E200" s="238" t="s">
        <v>369</v>
      </c>
      <c r="F200" s="238"/>
      <c r="G200" s="238" t="s">
        <v>375</v>
      </c>
      <c r="H200" s="235" t="str">
        <f>VLOOKUP(A200,'2. Status Detalhe Campos FY24'!$A$7:$G$575,7,0)</f>
        <v>1. Concluído</v>
      </c>
      <c r="I200" s="375">
        <v>45603</v>
      </c>
      <c r="J200" s="324">
        <v>45631</v>
      </c>
      <c r="K200" s="324">
        <v>45631</v>
      </c>
      <c r="L200" s="290">
        <f t="array" ref="L200">MIN(IF(W200:CI200&gt;0,$W$16:$CI$16))</f>
        <v>45649</v>
      </c>
      <c r="M200" s="291">
        <f t="array" ref="M200">MAX(IF(W200:CI200&gt;0,$W$16:$CI$16))</f>
        <v>45649</v>
      </c>
      <c r="N200" s="291"/>
      <c r="O200" s="248">
        <f>VLOOKUP(H200,Auxiliar!$B$16:$E$24,4,0)</f>
        <v>1</v>
      </c>
      <c r="P200" s="248">
        <f t="shared" ca="1" si="62"/>
        <v>1</v>
      </c>
      <c r="Q200" s="247">
        <f t="shared" ca="1" si="60"/>
        <v>0</v>
      </c>
      <c r="R200" s="378" t="s">
        <v>38</v>
      </c>
      <c r="S200" s="280" t="s">
        <v>1947</v>
      </c>
      <c r="T200" s="270">
        <v>4.0999999999999996</v>
      </c>
      <c r="U200" s="270">
        <f t="shared" si="63"/>
        <v>0.5</v>
      </c>
      <c r="V200" s="270">
        <f t="shared" si="6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outlineLevel="1">
      <c r="A201" s="274" t="str">
        <f t="shared" si="61"/>
        <v>lt004_protectionemssns_scp3_prtctn</v>
      </c>
      <c r="B201" s="142" t="s">
        <v>26</v>
      </c>
      <c r="C201" s="138" t="s">
        <v>26</v>
      </c>
      <c r="D201" s="235" t="s">
        <v>40</v>
      </c>
      <c r="E201" s="238" t="s">
        <v>369</v>
      </c>
      <c r="F201" s="238"/>
      <c r="G201" s="238" t="s">
        <v>376</v>
      </c>
      <c r="H201" s="235" t="str">
        <f>VLOOKUP(A201,'2. Status Detalhe Campos FY24'!$A$7:$G$575,7,0)</f>
        <v>1. Concluído</v>
      </c>
      <c r="I201" s="375">
        <v>45603</v>
      </c>
      <c r="J201" s="324">
        <v>45631</v>
      </c>
      <c r="K201" s="324">
        <v>45631</v>
      </c>
      <c r="L201" s="290">
        <f t="array" ref="L201">MIN(IF(W201:CI201&gt;0,$W$16:$CI$16))</f>
        <v>45649</v>
      </c>
      <c r="M201" s="291">
        <f t="array" ref="M201">MAX(IF(W201:CI201&gt;0,$W$16:$CI$16))</f>
        <v>45649</v>
      </c>
      <c r="N201" s="291"/>
      <c r="O201" s="248">
        <f>VLOOKUP(H201,Auxiliar!$B$16:$E$24,4,0)</f>
        <v>1</v>
      </c>
      <c r="P201" s="248">
        <f t="shared" ca="1" si="62"/>
        <v>1</v>
      </c>
      <c r="Q201" s="247">
        <f t="shared" ca="1" si="60"/>
        <v>0</v>
      </c>
      <c r="R201" s="378" t="s">
        <v>38</v>
      </c>
      <c r="S201" s="280" t="s">
        <v>1947</v>
      </c>
      <c r="T201" s="270">
        <v>4.0999999999999996</v>
      </c>
      <c r="U201" s="270">
        <f t="shared" si="63"/>
        <v>0.5</v>
      </c>
      <c r="V201" s="270">
        <f t="shared" si="6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outlineLevel="1">
      <c r="A202" s="274" t="str">
        <f t="shared" si="61"/>
        <v>lt004_protectionmthd_usd_prtctn_scp_1</v>
      </c>
      <c r="B202" s="142" t="s">
        <v>26</v>
      </c>
      <c r="C202" s="138" t="s">
        <v>26</v>
      </c>
      <c r="D202" s="235" t="s">
        <v>40</v>
      </c>
      <c r="E202" s="238" t="s">
        <v>369</v>
      </c>
      <c r="F202" s="238"/>
      <c r="G202" s="238" t="s">
        <v>377</v>
      </c>
      <c r="H202" s="235" t="str">
        <f>VLOOKUP(A202,'2. Status Detalhe Campos FY24'!$A$7:$G$575,7,0)</f>
        <v>1. Concluído</v>
      </c>
      <c r="I202" s="375">
        <v>45603</v>
      </c>
      <c r="J202" s="324">
        <v>45631</v>
      </c>
      <c r="K202" s="324">
        <v>45631</v>
      </c>
      <c r="L202" s="290">
        <f t="array" ref="L202">MIN(IF(W202:CI202&gt;0,$W$16:$CI$16))</f>
        <v>45649</v>
      </c>
      <c r="M202" s="291">
        <f t="array" ref="M202">MAX(IF(W202:CI202&gt;0,$W$16:$CI$16))</f>
        <v>45649</v>
      </c>
      <c r="N202" s="291"/>
      <c r="O202" s="248">
        <f>VLOOKUP(H202,Auxiliar!$B$16:$E$24,4,0)</f>
        <v>1</v>
      </c>
      <c r="P202" s="248">
        <f t="shared" ca="1" si="62"/>
        <v>1</v>
      </c>
      <c r="Q202" s="247">
        <f t="shared" ca="1" si="60"/>
        <v>0</v>
      </c>
      <c r="R202" s="378" t="s">
        <v>38</v>
      </c>
      <c r="S202" s="280" t="s">
        <v>1947</v>
      </c>
      <c r="T202" s="270">
        <v>4.0999999999999996</v>
      </c>
      <c r="U202" s="270">
        <f t="shared" si="63"/>
        <v>0.5</v>
      </c>
      <c r="V202" s="270">
        <f t="shared" si="6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outlineLevel="1">
      <c r="A203" s="274" t="str">
        <f t="shared" si="61"/>
        <v>lt004_protectionmthd_usd_prtctn_scp_2</v>
      </c>
      <c r="B203" s="142" t="s">
        <v>26</v>
      </c>
      <c r="C203" s="138" t="s">
        <v>26</v>
      </c>
      <c r="D203" s="235" t="s">
        <v>40</v>
      </c>
      <c r="E203" s="238" t="s">
        <v>369</v>
      </c>
      <c r="F203" s="238"/>
      <c r="G203" s="238" t="s">
        <v>378</v>
      </c>
      <c r="H203" s="235" t="str">
        <f>VLOOKUP(A203,'2. Status Detalhe Campos FY24'!$A$7:$G$575,7,0)</f>
        <v>1. Concluído</v>
      </c>
      <c r="I203" s="375">
        <v>45603</v>
      </c>
      <c r="J203" s="324">
        <v>45631</v>
      </c>
      <c r="K203" s="324">
        <v>45631</v>
      </c>
      <c r="L203" s="290">
        <f t="array" ref="L203">MIN(IF(W203:CI203&gt;0,$W$16:$CI$16))</f>
        <v>45649</v>
      </c>
      <c r="M203" s="291">
        <f t="array" ref="M203">MAX(IF(W203:CI203&gt;0,$W$16:$CI$16))</f>
        <v>45649</v>
      </c>
      <c r="N203" s="291"/>
      <c r="O203" s="248">
        <f>VLOOKUP(H203,Auxiliar!$B$16:$E$24,4,0)</f>
        <v>1</v>
      </c>
      <c r="P203" s="248">
        <f t="shared" ca="1" si="62"/>
        <v>1</v>
      </c>
      <c r="Q203" s="247">
        <f t="shared" ca="1" si="60"/>
        <v>0</v>
      </c>
      <c r="R203" s="378" t="s">
        <v>38</v>
      </c>
      <c r="S203" s="280" t="s">
        <v>1947</v>
      </c>
      <c r="T203" s="270">
        <v>4.0999999999999996</v>
      </c>
      <c r="U203" s="270">
        <f t="shared" si="63"/>
        <v>0.5</v>
      </c>
      <c r="V203" s="270">
        <f t="shared" si="64"/>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outlineLevel="1">
      <c r="A204" s="274" t="str">
        <f t="shared" si="61"/>
        <v>lt004_protectionmthd_usd_prtctn_scp_3</v>
      </c>
      <c r="B204" s="142" t="s">
        <v>26</v>
      </c>
      <c r="C204" s="138" t="s">
        <v>26</v>
      </c>
      <c r="D204" s="235" t="s">
        <v>40</v>
      </c>
      <c r="E204" s="238" t="s">
        <v>369</v>
      </c>
      <c r="F204" s="238"/>
      <c r="G204" s="238" t="s">
        <v>379</v>
      </c>
      <c r="H204" s="235" t="str">
        <f>VLOOKUP(A204,'2. Status Detalhe Campos FY24'!$A$7:$G$575,7,0)</f>
        <v>1. Concluído</v>
      </c>
      <c r="I204" s="375">
        <v>45603</v>
      </c>
      <c r="J204" s="324">
        <v>45631</v>
      </c>
      <c r="K204" s="324">
        <v>45631</v>
      </c>
      <c r="L204" s="290">
        <f t="array" ref="L204">MIN(IF(W204:CI204&gt;0,$W$16:$CI$16))</f>
        <v>45649</v>
      </c>
      <c r="M204" s="291">
        <f t="array" ref="M204">MAX(IF(W204:CI204&gt;0,$W$16:$CI$16))</f>
        <v>45649</v>
      </c>
      <c r="N204" s="291"/>
      <c r="O204" s="248">
        <f>VLOOKUP(H204,Auxiliar!$B$16:$E$24,4,0)</f>
        <v>1</v>
      </c>
      <c r="P204" s="248">
        <f t="shared" ca="1" si="62"/>
        <v>1</v>
      </c>
      <c r="Q204" s="247">
        <f t="shared" ca="1" si="60"/>
        <v>0</v>
      </c>
      <c r="R204" s="378" t="s">
        <v>38</v>
      </c>
      <c r="S204" s="280" t="s">
        <v>1947</v>
      </c>
      <c r="T204" s="270">
        <v>4.0999999999999996</v>
      </c>
      <c r="U204" s="270">
        <f t="shared" si="63"/>
        <v>0.5</v>
      </c>
      <c r="V204" s="270">
        <f t="shared" si="64"/>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customHeight="1" collapsed="1">
      <c r="A205" s="274"/>
      <c r="B205" s="142" t="s">
        <v>26</v>
      </c>
      <c r="C205" s="138" t="s">
        <v>34</v>
      </c>
      <c r="D205" s="134"/>
      <c r="E205" s="239" t="s">
        <v>37</v>
      </c>
      <c r="F205" s="239" t="s">
        <v>1996</v>
      </c>
      <c r="G205" s="408">
        <f>COUNTA(G206:G217)</f>
        <v>12</v>
      </c>
      <c r="H205" s="407" t="s">
        <v>573</v>
      </c>
      <c r="I205" s="276" t="s">
        <v>38</v>
      </c>
      <c r="J205" s="277">
        <f>MIN(J206:J217)</f>
        <v>45630</v>
      </c>
      <c r="K205" s="277">
        <f>MIN(K206:K217)</f>
        <v>45631</v>
      </c>
      <c r="L205" s="279">
        <f>MIN(L206:L217)</f>
        <v>45646</v>
      </c>
      <c r="M205" s="279">
        <f>MAX(M206:M217)</f>
        <v>45659</v>
      </c>
      <c r="N205" s="323" t="s">
        <v>1951</v>
      </c>
      <c r="O205" s="251">
        <f>SUMPRODUCT(O206:O217,U206:U217)/SUM(U206:U217)</f>
        <v>0</v>
      </c>
      <c r="P205" s="251">
        <v>0</v>
      </c>
      <c r="Q205" s="247">
        <f>O205-P205</f>
        <v>0</v>
      </c>
      <c r="R205" s="378" t="s">
        <v>2081</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customHeight="1" outlineLevel="1">
      <c r="A206" s="274" t="str">
        <f t="shared" ref="A206:A247" si="65">E206&amp;G206</f>
        <v>ENERGY_CERTIFICATE_EST_INPUTPROPERTY_BANK_ID</v>
      </c>
      <c r="B206" s="142" t="s">
        <v>26</v>
      </c>
      <c r="C206" s="138" t="s">
        <v>34</v>
      </c>
      <c r="D206" s="235" t="s">
        <v>40</v>
      </c>
      <c r="E206" s="236" t="s">
        <v>37</v>
      </c>
      <c r="F206" s="236"/>
      <c r="G206" s="235" t="s">
        <v>41</v>
      </c>
      <c r="H206" s="235" t="str">
        <f>VLOOKUP(A206,'2. Status Detalhe Campos FY24'!$A$7:$G$575,7,0)</f>
        <v>2.2 Em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ca="1">IF(TODAY()&lt;=L206,0,MIN((TODAY()-L206)/(M206-L206+1),100%))</f>
        <v>1</v>
      </c>
      <c r="Q206" s="247">
        <f t="shared" ref="Q206:Q247" ca="1" si="66">O206-P206</f>
        <v>-1</v>
      </c>
      <c r="R206" s="379"/>
      <c r="S206" s="280"/>
      <c r="T206" s="270">
        <v>0.6</v>
      </c>
      <c r="U206" s="270">
        <f t="shared" ref="U206:U247" si="67">ROUND(T206/8,1)</f>
        <v>0.1</v>
      </c>
      <c r="V206" s="270">
        <f t="shared" ref="V206:V217" si="68">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customHeight="1" outlineLevel="1">
      <c r="A207" s="274" t="str">
        <f t="shared" si="65"/>
        <v>ENERGY_CERTIFICATE_EST_INPUTENCRYPTED_KEY</v>
      </c>
      <c r="B207" s="142" t="s">
        <v>26</v>
      </c>
      <c r="C207" s="138" t="s">
        <v>34</v>
      </c>
      <c r="D207" s="235" t="s">
        <v>40</v>
      </c>
      <c r="E207" s="236" t="s">
        <v>37</v>
      </c>
      <c r="F207" s="236"/>
      <c r="G207" s="235" t="s">
        <v>42</v>
      </c>
      <c r="H207" s="235" t="str">
        <f>VLOOKUP(A207,'2. Status Detalhe Campos FY24'!$A$7:$G$575,7,0)</f>
        <v>2.2 Em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ref="P207:P247" ca="1" si="69">IF(TODAY()&lt;=L207,0,MIN((TODAY()-L207)/(M207-L207+1),100%))</f>
        <v>1</v>
      </c>
      <c r="Q207" s="247">
        <f t="shared" ca="1" si="66"/>
        <v>-1</v>
      </c>
      <c r="R207" s="379"/>
      <c r="S207" s="280"/>
      <c r="T207" s="270">
        <v>0.6</v>
      </c>
      <c r="U207" s="270">
        <f t="shared" si="67"/>
        <v>0.1</v>
      </c>
      <c r="V207" s="270">
        <f t="shared" si="6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customHeight="1" outlineLevel="1">
      <c r="A208" s="274" t="str">
        <f t="shared" si="65"/>
        <v>ENERGY_CERTIFICATE_EST_INPUTPROPERTY_BRANCH_CODE</v>
      </c>
      <c r="B208" s="142" t="s">
        <v>26</v>
      </c>
      <c r="C208" s="138" t="s">
        <v>34</v>
      </c>
      <c r="D208" s="235" t="s">
        <v>40</v>
      </c>
      <c r="E208" s="236" t="s">
        <v>37</v>
      </c>
      <c r="F208" s="236"/>
      <c r="G208" s="235" t="s">
        <v>43</v>
      </c>
      <c r="H208" s="235" t="str">
        <f>VLOOKUP(A208,'2. Status Detalhe Campos FY24'!$A$7:$G$575,7,0)</f>
        <v>2.2 Em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69"/>
        <v>1</v>
      </c>
      <c r="Q208" s="247">
        <f t="shared" ca="1" si="66"/>
        <v>-1</v>
      </c>
      <c r="R208" s="379"/>
      <c r="S208" s="280"/>
      <c r="T208" s="270">
        <v>0.6</v>
      </c>
      <c r="U208" s="270">
        <f t="shared" si="67"/>
        <v>0.1</v>
      </c>
      <c r="V208" s="270">
        <f t="shared" si="6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customHeight="1" outlineLevel="1">
      <c r="A209" s="274" t="str">
        <f t="shared" si="65"/>
        <v>ENERGY_CERTIFICATE_EST_INPUTPROPERTY_CONTRACT_ID</v>
      </c>
      <c r="B209" s="142" t="s">
        <v>26</v>
      </c>
      <c r="C209" s="138" t="s">
        <v>34</v>
      </c>
      <c r="D209" s="235" t="s">
        <v>40</v>
      </c>
      <c r="E209" s="236" t="s">
        <v>37</v>
      </c>
      <c r="F209" s="236"/>
      <c r="G209" s="235" t="s">
        <v>44</v>
      </c>
      <c r="H209" s="235" t="str">
        <f>VLOOKUP(A209,'2. Status Detalhe Campos FY24'!$A$7:$G$575,7,0)</f>
        <v>2.2 Em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69"/>
        <v>1</v>
      </c>
      <c r="Q209" s="247">
        <f t="shared" ca="1" si="66"/>
        <v>-1</v>
      </c>
      <c r="R209" s="379"/>
      <c r="S209" s="280"/>
      <c r="T209" s="270">
        <v>0.6</v>
      </c>
      <c r="U209" s="270">
        <f t="shared" si="67"/>
        <v>0.1</v>
      </c>
      <c r="V209" s="270">
        <f t="shared" si="6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customHeight="1" outlineLevel="1">
      <c r="A210" s="274" t="str">
        <f t="shared" si="65"/>
        <v>ENERGY_CERTIFICATE_EST_INPUTPROPERTY_REFERENCE_CODE</v>
      </c>
      <c r="B210" s="142" t="s">
        <v>26</v>
      </c>
      <c r="C210" s="138" t="s">
        <v>34</v>
      </c>
      <c r="D210" s="235" t="s">
        <v>40</v>
      </c>
      <c r="E210" s="236" t="s">
        <v>37</v>
      </c>
      <c r="F210" s="236"/>
      <c r="G210" s="235" t="s">
        <v>45</v>
      </c>
      <c r="H210" s="235" t="str">
        <f>VLOOKUP(A210,'2. Status Detalhe Campos FY24'!$A$7:$G$575,7,0)</f>
        <v>2.2 Em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69"/>
        <v>1</v>
      </c>
      <c r="Q210" s="247">
        <f t="shared" ca="1" si="66"/>
        <v>-1</v>
      </c>
      <c r="R210" s="379"/>
      <c r="S210" s="280"/>
      <c r="T210" s="270">
        <v>0.6</v>
      </c>
      <c r="U210" s="270">
        <f t="shared" si="67"/>
        <v>0.1</v>
      </c>
      <c r="V210" s="270">
        <f t="shared" si="6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customHeight="1" outlineLevel="1">
      <c r="A211" s="274" t="str">
        <f t="shared" si="65"/>
        <v>ENERGY_CERTIFICATE_EST_INPUTDATA_EXTRACTION_DATE</v>
      </c>
      <c r="B211" s="142" t="s">
        <v>26</v>
      </c>
      <c r="C211" s="138" t="s">
        <v>34</v>
      </c>
      <c r="D211" s="235" t="s">
        <v>40</v>
      </c>
      <c r="E211" s="236" t="s">
        <v>37</v>
      </c>
      <c r="F211" s="236"/>
      <c r="G211" s="235" t="s">
        <v>46</v>
      </c>
      <c r="H211" s="235" t="str">
        <f>VLOOKUP(A211,'2. Status Detalhe Campos FY24'!$A$7:$G$575,7,0)</f>
        <v>2.2 Em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69"/>
        <v>1</v>
      </c>
      <c r="Q211" s="247">
        <f t="shared" ca="1" si="66"/>
        <v>-1</v>
      </c>
      <c r="R211" s="379"/>
      <c r="S211" s="280"/>
      <c r="T211" s="270">
        <v>0.6</v>
      </c>
      <c r="U211" s="270">
        <f t="shared" si="67"/>
        <v>0.1</v>
      </c>
      <c r="V211" s="270">
        <f t="shared" si="6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customHeight="1" outlineLevel="1">
      <c r="A212" s="274" t="str">
        <f t="shared" si="65"/>
        <v>ENERGY_CERTIFICATE_EST_INPUTEPC</v>
      </c>
      <c r="B212" s="142" t="s">
        <v>26</v>
      </c>
      <c r="C212" s="138" t="s">
        <v>34</v>
      </c>
      <c r="D212" s="235" t="s">
        <v>40</v>
      </c>
      <c r="E212" s="236" t="s">
        <v>37</v>
      </c>
      <c r="F212" s="236"/>
      <c r="G212" s="235" t="s">
        <v>47</v>
      </c>
      <c r="H212" s="235" t="str">
        <f>VLOOKUP(A212,'2. Status Detalhe Campos FY24'!$A$7:$G$575,7,0)</f>
        <v>2.2 Em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69"/>
        <v>1</v>
      </c>
      <c r="Q212" s="247">
        <f t="shared" ca="1" si="66"/>
        <v>-1</v>
      </c>
      <c r="R212" s="379"/>
      <c r="S212" s="280"/>
      <c r="T212" s="270">
        <v>0.6</v>
      </c>
      <c r="U212" s="270">
        <f t="shared" si="67"/>
        <v>0.1</v>
      </c>
      <c r="V212" s="270">
        <f t="shared" si="6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customHeight="1" outlineLevel="1">
      <c r="A213" s="274" t="str">
        <f t="shared" si="65"/>
        <v>ENERGY_CERTIFICATE_EST_INPUTDATA_PROVIDER</v>
      </c>
      <c r="B213" s="142" t="s">
        <v>26</v>
      </c>
      <c r="C213" s="138" t="s">
        <v>34</v>
      </c>
      <c r="D213" s="235" t="s">
        <v>40</v>
      </c>
      <c r="E213" s="236" t="s">
        <v>37</v>
      </c>
      <c r="F213" s="236"/>
      <c r="G213" s="235" t="s">
        <v>48</v>
      </c>
      <c r="H213" s="235" t="str">
        <f>VLOOKUP(A213,'2. Status Detalhe Campos FY24'!$A$7:$G$575,7,0)</f>
        <v>2.2 Em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69"/>
        <v>1</v>
      </c>
      <c r="Q213" s="247">
        <f t="shared" ca="1" si="66"/>
        <v>-1</v>
      </c>
      <c r="R213" s="379"/>
      <c r="S213" s="280"/>
      <c r="T213" s="270">
        <v>0.6</v>
      </c>
      <c r="U213" s="270">
        <f t="shared" si="67"/>
        <v>0.1</v>
      </c>
      <c r="V213" s="270">
        <f t="shared" si="6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customHeight="1" outlineLevel="1">
      <c r="A214" s="274" t="str">
        <f t="shared" si="65"/>
        <v>ENERGY_CERTIFICATE_EST_INPUTACTUAL_VALUE_IND</v>
      </c>
      <c r="B214" s="142" t="s">
        <v>26</v>
      </c>
      <c r="C214" s="138" t="s">
        <v>34</v>
      </c>
      <c r="D214" s="235" t="s">
        <v>40</v>
      </c>
      <c r="E214" s="236" t="s">
        <v>37</v>
      </c>
      <c r="F214" s="236"/>
      <c r="G214" s="235" t="s">
        <v>49</v>
      </c>
      <c r="H214" s="235" t="str">
        <f>VLOOKUP(A214,'2. Status Detalhe Campos FY24'!$A$7:$G$575,7,0)</f>
        <v>2.2 Em Re-especificação</v>
      </c>
      <c r="I214" s="276" t="s">
        <v>38</v>
      </c>
      <c r="J214" s="285">
        <v>45630</v>
      </c>
      <c r="K214" s="285">
        <v>45631</v>
      </c>
      <c r="L214" s="286">
        <f t="array" ref="L214">MIN(IF(W214:CI214&gt;0,$W$16:$CI$16))</f>
        <v>45646</v>
      </c>
      <c r="M214" s="287">
        <f t="array" ref="M214">MAX(IF(W214:CI214&gt;0,$W$16:$CI$16))</f>
        <v>45646</v>
      </c>
      <c r="N214" s="287"/>
      <c r="O214" s="248">
        <f>VLOOKUP(H214,Auxiliar!$B$16:$E$24,4,0)</f>
        <v>0</v>
      </c>
      <c r="P214" s="248">
        <f t="shared" ca="1" si="69"/>
        <v>1</v>
      </c>
      <c r="Q214" s="247">
        <f t="shared" ca="1" si="66"/>
        <v>-1</v>
      </c>
      <c r="R214" s="379"/>
      <c r="S214" s="280"/>
      <c r="T214" s="270">
        <v>0.6</v>
      </c>
      <c r="U214" s="270">
        <f t="shared" si="67"/>
        <v>0.1</v>
      </c>
      <c r="V214" s="270">
        <f t="shared" si="6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customHeight="1" outlineLevel="1">
      <c r="A215" s="274" t="str">
        <f t="shared" si="65"/>
        <v>ENERGY_CERTIFICATE_EST_INPUTQUALITY_SCORE</v>
      </c>
      <c r="B215" s="142" t="s">
        <v>26</v>
      </c>
      <c r="C215" s="138" t="s">
        <v>34</v>
      </c>
      <c r="D215" s="235" t="s">
        <v>40</v>
      </c>
      <c r="E215" s="236" t="s">
        <v>37</v>
      </c>
      <c r="F215" s="236"/>
      <c r="G215" s="235" t="s">
        <v>50</v>
      </c>
      <c r="H215" s="235" t="str">
        <f>VLOOKUP(A215,'2. Status Detalhe Campos FY24'!$A$7:$G$575,7,0)</f>
        <v>2.2 Em Re-especificação</v>
      </c>
      <c r="I215" s="276" t="s">
        <v>38</v>
      </c>
      <c r="J215" s="285">
        <v>45630</v>
      </c>
      <c r="K215" s="285">
        <v>45631</v>
      </c>
      <c r="L215" s="286">
        <f t="array" ref="L215">MIN(IF(W215:CI215&gt;0,$W$16:$CI$16))</f>
        <v>45646</v>
      </c>
      <c r="M215" s="287">
        <f t="array" ref="M215">MAX(IF(W215:CI215&gt;0,$W$16:$CI$16))</f>
        <v>45646</v>
      </c>
      <c r="N215" s="287"/>
      <c r="O215" s="248">
        <f>VLOOKUP(H215,Auxiliar!$B$16:$E$24,4,0)</f>
        <v>0</v>
      </c>
      <c r="P215" s="248">
        <f t="shared" ca="1" si="69"/>
        <v>1</v>
      </c>
      <c r="Q215" s="247">
        <f t="shared" ca="1" si="66"/>
        <v>-1</v>
      </c>
      <c r="R215" s="379"/>
      <c r="S215" s="280"/>
      <c r="T215" s="270">
        <v>0.6</v>
      </c>
      <c r="U215" s="270">
        <f t="shared" si="67"/>
        <v>0.1</v>
      </c>
      <c r="V215" s="270">
        <f t="shared" si="6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customHeight="1" outlineLevel="1">
      <c r="A216" s="274" t="str">
        <f t="shared" si="65"/>
        <v>ENERGY_CERTIFICATE_EST_INPUTENERGY_CONSUMPTION_VALUE_YEAR</v>
      </c>
      <c r="B216" s="142" t="s">
        <v>26</v>
      </c>
      <c r="C216" s="138" t="s">
        <v>34</v>
      </c>
      <c r="D216" s="235" t="s">
        <v>40</v>
      </c>
      <c r="E216" s="236" t="s">
        <v>37</v>
      </c>
      <c r="F216" s="236"/>
      <c r="G216" s="235" t="s">
        <v>51</v>
      </c>
      <c r="H216" s="235" t="str">
        <f>VLOOKUP(A216,'2. Status Detalhe Campos FY24'!$A$7:$G$575,7,0)</f>
        <v>2.2 Em Re-especificação</v>
      </c>
      <c r="I216" s="276" t="s">
        <v>38</v>
      </c>
      <c r="J216" s="285">
        <v>45630</v>
      </c>
      <c r="K216" s="285">
        <v>45631</v>
      </c>
      <c r="L216" s="286">
        <f t="array" ref="L216">MIN(IF(W216:CI216&gt;0,$W$16:$CI$16))</f>
        <v>45659</v>
      </c>
      <c r="M216" s="287">
        <f t="array" ref="M216">MAX(IF(W216:CI216&gt;0,$W$16:$CI$16))</f>
        <v>45659</v>
      </c>
      <c r="N216" s="287"/>
      <c r="O216" s="248">
        <f>VLOOKUP(H216,Auxiliar!$B$16:$E$24,4,0)</f>
        <v>0</v>
      </c>
      <c r="P216" s="248">
        <f t="shared" ca="1" si="69"/>
        <v>1</v>
      </c>
      <c r="Q216" s="247">
        <f t="shared" ca="1" si="66"/>
        <v>-1</v>
      </c>
      <c r="R216" s="379"/>
      <c r="S216" s="280"/>
      <c r="T216" s="270">
        <v>0.6</v>
      </c>
      <c r="U216" s="270">
        <f t="shared" si="67"/>
        <v>0.1</v>
      </c>
      <c r="V216" s="270">
        <f t="shared" si="68"/>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customHeight="1" outlineLevel="1">
      <c r="A217" s="274" t="str">
        <f t="shared" si="65"/>
        <v>ENERGY_CERTIFICATE_EST_INPUTCARBON_EMISSION_VALUE_YEAR</v>
      </c>
      <c r="B217" s="142" t="s">
        <v>26</v>
      </c>
      <c r="C217" s="138" t="s">
        <v>34</v>
      </c>
      <c r="D217" s="235" t="s">
        <v>40</v>
      </c>
      <c r="E217" s="236" t="s">
        <v>37</v>
      </c>
      <c r="F217" s="236"/>
      <c r="G217" s="235" t="s">
        <v>52</v>
      </c>
      <c r="H217" s="235" t="str">
        <f>VLOOKUP(A217,'2. Status Detalhe Campos FY24'!$A$7:$G$575,7,0)</f>
        <v>2.2 Em Re-especificação</v>
      </c>
      <c r="I217" s="276" t="s">
        <v>38</v>
      </c>
      <c r="J217" s="285">
        <v>45630</v>
      </c>
      <c r="K217" s="285">
        <v>45631</v>
      </c>
      <c r="L217" s="286">
        <f t="array" ref="L217">MIN(IF(W217:CI217&gt;0,$W$16:$CI$16))</f>
        <v>45659</v>
      </c>
      <c r="M217" s="287">
        <f t="array" ref="M217">MAX(IF(W217:CI217&gt;0,$W$16:$CI$16))</f>
        <v>45659</v>
      </c>
      <c r="N217" s="287"/>
      <c r="O217" s="248">
        <f>VLOOKUP(H217,Auxiliar!$B$16:$E$24,4,0)</f>
        <v>0</v>
      </c>
      <c r="P217" s="248">
        <f t="shared" ca="1" si="69"/>
        <v>1</v>
      </c>
      <c r="Q217" s="247">
        <f t="shared" ca="1" si="66"/>
        <v>-1</v>
      </c>
      <c r="R217" s="379"/>
      <c r="S217" s="280"/>
      <c r="T217" s="270">
        <v>0.6</v>
      </c>
      <c r="U217" s="270">
        <f t="shared" si="67"/>
        <v>0.1</v>
      </c>
      <c r="V217" s="270">
        <f t="shared" si="68"/>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customHeight="1">
      <c r="A218" s="274"/>
      <c r="B218" s="142" t="s">
        <v>26</v>
      </c>
      <c r="C218" s="138" t="s">
        <v>54</v>
      </c>
      <c r="D218" s="134"/>
      <c r="E218" s="241" t="s">
        <v>94</v>
      </c>
      <c r="F218" s="239" t="s">
        <v>1972</v>
      </c>
      <c r="G218" s="255">
        <v>1</v>
      </c>
      <c r="H218" s="295" t="s">
        <v>2004</v>
      </c>
      <c r="I218" s="278">
        <v>45604</v>
      </c>
      <c r="J218" s="278">
        <v>45645</v>
      </c>
      <c r="K218" s="278">
        <v>45645</v>
      </c>
      <c r="L218" s="279"/>
      <c r="M218" s="310"/>
      <c r="N218" s="323">
        <f t="array" ref="N218">MAX(IF(W218:CI218&gt;0,$W$16:$CI$16))</f>
        <v>45667</v>
      </c>
      <c r="O218" s="322">
        <v>1</v>
      </c>
      <c r="P218" s="322">
        <v>1</v>
      </c>
      <c r="Q218" s="247">
        <f>O218-P218</f>
        <v>0</v>
      </c>
      <c r="R218" s="372" t="s">
        <v>2056</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customHeight="1">
      <c r="A219" s="274"/>
      <c r="B219" s="142" t="s">
        <v>26</v>
      </c>
      <c r="C219" s="138" t="s">
        <v>34</v>
      </c>
      <c r="D219" s="134"/>
      <c r="E219" s="241" t="s">
        <v>2005</v>
      </c>
      <c r="F219" s="239" t="s">
        <v>2041</v>
      </c>
      <c r="G219" s="409" t="s">
        <v>1951</v>
      </c>
      <c r="H219" s="275" t="s">
        <v>2007</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8"/>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customHeight="1">
      <c r="A220" s="274"/>
      <c r="B220" s="142" t="s">
        <v>26</v>
      </c>
      <c r="C220" s="138" t="s">
        <v>311</v>
      </c>
      <c r="D220" s="134"/>
      <c r="E220" s="377" t="s">
        <v>312</v>
      </c>
      <c r="F220" s="239" t="s">
        <v>1993</v>
      </c>
      <c r="G220" s="410">
        <f>COUNTA(G221:G224)</f>
        <v>4</v>
      </c>
      <c r="H220" s="295" t="s">
        <v>2004</v>
      </c>
      <c r="I220" s="276" t="s">
        <v>38</v>
      </c>
      <c r="J220" s="277">
        <f>MIN(J221:J224)</f>
        <v>45631</v>
      </c>
      <c r="K220" s="277">
        <f>MIN(K221:K224)</f>
        <v>45631</v>
      </c>
      <c r="L220" s="277">
        <f>MIN(L221:L224)</f>
        <v>45663</v>
      </c>
      <c r="M220" s="278">
        <f>MAX(M221:M224)</f>
        <v>45664</v>
      </c>
      <c r="N220" s="323">
        <f t="array" ref="N220">MAX(IF(W220:CI220&gt;0,$W$16:$CI$16))</f>
        <v>45674</v>
      </c>
      <c r="O220" s="322">
        <f>SUMPRODUCT(O221:O224,U221:U224)/SUM(U221:U224)</f>
        <v>1</v>
      </c>
      <c r="P220" s="322">
        <f ca="1">SUMPRODUCT(P221:P224,U221:U224)/SUM(U221:U224)</f>
        <v>1</v>
      </c>
      <c r="Q220" s="247">
        <f t="shared" ref="Q220:Q225" ca="1" si="70">O220-P220</f>
        <v>0</v>
      </c>
      <c r="R220" s="372" t="s">
        <v>2078</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outlineLevel="1">
      <c r="A221" s="274" t="str">
        <f t="shared" ref="A221:A228" si="71">E221&amp;G221</f>
        <v>modesg_out_bens_imoveisflg_rsc_fsc_agd</v>
      </c>
      <c r="B221" s="142" t="s">
        <v>26</v>
      </c>
      <c r="C221" s="138" t="s">
        <v>311</v>
      </c>
      <c r="D221" s="235" t="s">
        <v>40</v>
      </c>
      <c r="E221" s="236" t="s">
        <v>312</v>
      </c>
      <c r="F221" s="236"/>
      <c r="G221" s="332" t="s">
        <v>283</v>
      </c>
      <c r="H221" s="235" t="str">
        <f>VLOOKUP(A221,'2. Status Detalhe Campos FY24'!$A$7:$G$575,7,0)</f>
        <v>1. Concluído</v>
      </c>
      <c r="I221" s="276" t="s">
        <v>38</v>
      </c>
      <c r="J221" s="285">
        <v>45631</v>
      </c>
      <c r="K221" s="285">
        <v>45631</v>
      </c>
      <c r="L221" s="290">
        <f t="array" ref="L221">MIN(IF(W221:CI221&gt;0,$W$16:$CI$16))</f>
        <v>45663</v>
      </c>
      <c r="M221" s="291">
        <f t="array" ref="M221">MAX(IF(W221:CI221&gt;0,$W$16:$CI$16))</f>
        <v>45663</v>
      </c>
      <c r="N221" s="291"/>
      <c r="O221" s="248">
        <f>VLOOKUP(H221,Auxiliar!$B$16:$E$24,4,0)</f>
        <v>1</v>
      </c>
      <c r="P221" s="248">
        <f ca="1">IF(TODAY()&lt;=L221,0,MIN((TODAY()-L221)/(M221-L221+1),100%))</f>
        <v>1</v>
      </c>
      <c r="Q221" s="247">
        <f t="shared" ca="1" si="70"/>
        <v>0</v>
      </c>
      <c r="R221" s="378"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outlineLevel="1">
      <c r="A222" s="274" t="str">
        <f t="shared" si="71"/>
        <v>modesg_out_bens_imoveisflg_rsc_fsc_crnc</v>
      </c>
      <c r="B222" s="142" t="s">
        <v>26</v>
      </c>
      <c r="C222" s="138" t="s">
        <v>311</v>
      </c>
      <c r="D222" s="235" t="s">
        <v>40</v>
      </c>
      <c r="E222" s="236" t="s">
        <v>312</v>
      </c>
      <c r="F222" s="236"/>
      <c r="G222" s="332" t="s">
        <v>284</v>
      </c>
      <c r="H222" s="235" t="str">
        <f>VLOOKUP(A222,'2. Status Detalhe Campos FY24'!$A$7:$G$575,7,0)</f>
        <v>1. Concluído</v>
      </c>
      <c r="I222" s="276" t="s">
        <v>38</v>
      </c>
      <c r="J222" s="285">
        <v>45631</v>
      </c>
      <c r="K222" s="285">
        <v>45631</v>
      </c>
      <c r="L222" s="290">
        <f t="array" ref="L222">MIN(IF(W222:CI222&gt;0,$W$16:$CI$16))</f>
        <v>45663</v>
      </c>
      <c r="M222" s="291">
        <f t="array" ref="M222">MAX(IF(W222:CI222&gt;0,$W$16:$CI$16))</f>
        <v>45664</v>
      </c>
      <c r="N222" s="291"/>
      <c r="O222" s="248">
        <f>VLOOKUP(H222,Auxiliar!$B$16:$E$24,4,0)</f>
        <v>1</v>
      </c>
      <c r="P222" s="248">
        <f ca="1">IF(TODAY()&lt;=L222,0,MIN((TODAY()-L222)/(M222-L222+1),100%))</f>
        <v>1</v>
      </c>
      <c r="Q222" s="247">
        <f t="shared" ca="1" si="70"/>
        <v>0</v>
      </c>
      <c r="R222" s="378"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outlineLevel="1">
      <c r="A223" s="274" t="str">
        <f t="shared" si="71"/>
        <v>modesg_out_bens_imoveisorigem_flg_rsc_fsc_agd</v>
      </c>
      <c r="B223" s="142" t="s">
        <v>26</v>
      </c>
      <c r="C223" s="138" t="s">
        <v>311</v>
      </c>
      <c r="D223" s="235" t="s">
        <v>40</v>
      </c>
      <c r="E223" s="236" t="s">
        <v>312</v>
      </c>
      <c r="F223" s="236"/>
      <c r="G223" s="332" t="s">
        <v>318</v>
      </c>
      <c r="H223" s="235" t="str">
        <f>VLOOKUP(A223,'2. Status Detalhe Campos FY24'!$A$7:$G$575,7,0)</f>
        <v>1. Concluído</v>
      </c>
      <c r="I223" s="276" t="s">
        <v>38</v>
      </c>
      <c r="J223" s="285">
        <v>45631</v>
      </c>
      <c r="K223" s="285">
        <v>45631</v>
      </c>
      <c r="L223" s="290">
        <f t="array" ref="L223">MIN(IF(W223:CI223&gt;0,$W$16:$CI$16))</f>
        <v>45664</v>
      </c>
      <c r="M223" s="291">
        <f t="array" ref="M223">MAX(IF(W223:CI223&gt;0,$W$16:$CI$16))</f>
        <v>45664</v>
      </c>
      <c r="N223" s="291"/>
      <c r="O223" s="248">
        <f>VLOOKUP(H223,Auxiliar!$B$16:$E$24,4,0)</f>
        <v>1</v>
      </c>
      <c r="P223" s="248">
        <f ca="1">IF(TODAY()&lt;=L223,0,MIN((TODAY()-L223)/(M223-L223+1),100%))</f>
        <v>1</v>
      </c>
      <c r="Q223" s="247">
        <f t="shared" ca="1" si="70"/>
        <v>0</v>
      </c>
      <c r="R223" s="378"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outlineLevel="1">
      <c r="A224" s="274" t="str">
        <f t="shared" si="71"/>
        <v>modesg_out_bens_imoveisorigem_flg_rsc_fsc_crnc</v>
      </c>
      <c r="B224" s="142" t="s">
        <v>26</v>
      </c>
      <c r="C224" s="138" t="s">
        <v>311</v>
      </c>
      <c r="D224" s="235" t="s">
        <v>40</v>
      </c>
      <c r="E224" s="236" t="s">
        <v>312</v>
      </c>
      <c r="F224" s="236"/>
      <c r="G224" s="332" t="s">
        <v>319</v>
      </c>
      <c r="H224" s="235" t="str">
        <f>VLOOKUP(A224,'2. Status Detalhe Campos FY24'!$A$7:$G$575,7,0)</f>
        <v>1. Concluído</v>
      </c>
      <c r="I224" s="276" t="s">
        <v>38</v>
      </c>
      <c r="J224" s="285">
        <v>45631</v>
      </c>
      <c r="K224" s="285">
        <v>45631</v>
      </c>
      <c r="L224" s="290">
        <f t="array" ref="L224">MIN(IF(W224:CI224&gt;0,$W$16:$CI$16))</f>
        <v>45664</v>
      </c>
      <c r="M224" s="291">
        <f t="array" ref="M224">MAX(IF(W224:CI224&gt;0,$W$16:$CI$16))</f>
        <v>45664</v>
      </c>
      <c r="N224" s="291"/>
      <c r="O224" s="248">
        <f>VLOOKUP(H224,Auxiliar!$B$16:$E$24,4,0)</f>
        <v>1</v>
      </c>
      <c r="P224" s="248">
        <f ca="1">IF(TODAY()&lt;=L224,0,MIN((TODAY()-L224)/(M224-L224+1),100%))</f>
        <v>1</v>
      </c>
      <c r="Q224" s="247">
        <f t="shared" ca="1" si="70"/>
        <v>0</v>
      </c>
      <c r="R224" s="378"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71"/>
        <v>lt002_instrument3</v>
      </c>
      <c r="B225" s="142" t="s">
        <v>26</v>
      </c>
      <c r="C225" s="138" t="s">
        <v>26</v>
      </c>
      <c r="D225" s="235"/>
      <c r="E225" s="373" t="s">
        <v>380</v>
      </c>
      <c r="F225" s="241" t="s">
        <v>1995</v>
      </c>
      <c r="G225" s="255">
        <v>3</v>
      </c>
      <c r="H225" s="298" t="s">
        <v>2008</v>
      </c>
      <c r="I225" s="276" t="s">
        <v>38</v>
      </c>
      <c r="J225" s="277">
        <f>MIN(J226:J228)</f>
        <v>45631</v>
      </c>
      <c r="K225" s="277">
        <f>MIN(K226:K228)</f>
        <v>45631</v>
      </c>
      <c r="L225" s="277">
        <f>MIN(L226)</f>
        <v>45664</v>
      </c>
      <c r="M225" s="278">
        <f>MAX(M226)</f>
        <v>45664</v>
      </c>
      <c r="N225" s="323">
        <f t="array" ref="N225">MAX(IF(W225:CI225&gt;0,$W$16:$CI$16))</f>
        <v>45678</v>
      </c>
      <c r="O225" s="250">
        <f>SUMPRODUCT(O226:O228,U226:U228)/SUM(U226:U228)</f>
        <v>0.25</v>
      </c>
      <c r="P225" s="250">
        <v>0.25</v>
      </c>
      <c r="Q225" s="247">
        <f t="shared" si="70"/>
        <v>0</v>
      </c>
      <c r="R225" s="378"/>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H225" s="281"/>
      <c r="CI225" s="281" t="s">
        <v>444</v>
      </c>
    </row>
    <row r="226" spans="1:87" ht="16.2" outlineLevel="1">
      <c r="A226" s="274" t="str">
        <f t="shared" si="71"/>
        <v>lt002_instrumentgrss_intrst_incm</v>
      </c>
      <c r="B226" s="142" t="s">
        <v>26</v>
      </c>
      <c r="C226" s="138" t="s">
        <v>26</v>
      </c>
      <c r="D226" s="235"/>
      <c r="E226" s="238" t="s">
        <v>380</v>
      </c>
      <c r="F226" s="238"/>
      <c r="G226" s="333" t="s">
        <v>421</v>
      </c>
      <c r="H226" s="235" t="str">
        <f>VLOOKUP(A226,'2. Status Detalhe Campos FY24'!$A$7:$G$575,7,0)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79"/>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outlineLevel="1">
      <c r="A227" s="274" t="str">
        <f t="shared" si="71"/>
        <v>lt002_instrumentgrss_cmmssn_incm</v>
      </c>
      <c r="B227" s="142" t="s">
        <v>26</v>
      </c>
      <c r="C227" s="138" t="s">
        <v>26</v>
      </c>
      <c r="D227" s="235"/>
      <c r="E227" s="238" t="s">
        <v>380</v>
      </c>
      <c r="F227" s="238"/>
      <c r="G227" s="333" t="s">
        <v>422</v>
      </c>
      <c r="H227" s="235" t="str">
        <f>VLOOKUP(A227,'2. Status Detalhe Campos FY24'!$A$7:$G$575,7,0)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79"/>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outlineLevel="1">
      <c r="A228" s="274" t="str">
        <f t="shared" si="71"/>
        <v>lt002_instrumentgrss_cmmssn_incm_off_blnc</v>
      </c>
      <c r="B228" s="142" t="s">
        <v>26</v>
      </c>
      <c r="C228" s="138" t="s">
        <v>26</v>
      </c>
      <c r="D228" s="235"/>
      <c r="E228" s="238" t="s">
        <v>380</v>
      </c>
      <c r="F228" s="238"/>
      <c r="G228" s="333" t="s">
        <v>423</v>
      </c>
      <c r="H228" s="235" t="str">
        <f>VLOOKUP(A228,'2. Status Detalhe Campos FY24'!$A$7:$G$575,7,0)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79"/>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customHeight="1" collapsed="1">
      <c r="A229" s="274"/>
      <c r="B229" s="142" t="s">
        <v>26</v>
      </c>
      <c r="C229" s="138" t="s">
        <v>54</v>
      </c>
      <c r="D229" s="134"/>
      <c r="E229" s="239" t="s">
        <v>123</v>
      </c>
      <c r="F229" s="239" t="s">
        <v>1996</v>
      </c>
      <c r="G229" s="331">
        <f>COUNTA(G230:G248)</f>
        <v>19</v>
      </c>
      <c r="H229" s="295" t="s">
        <v>2004</v>
      </c>
      <c r="I229" s="276" t="s">
        <v>38</v>
      </c>
      <c r="J229" s="277">
        <f>MIN(J230:J248)</f>
        <v>45638</v>
      </c>
      <c r="K229" s="277">
        <f>MIN(K230:K248)</f>
        <v>45639</v>
      </c>
      <c r="L229" s="279">
        <f>MIN(L230:L248)</f>
        <v>45639</v>
      </c>
      <c r="M229" s="279">
        <f>MAX(M230:M248)</f>
        <v>45639</v>
      </c>
      <c r="N229" s="323">
        <f t="array" ref="N229">MAX(IF(W229:CI229&gt;0,$W$16:$CI$16))</f>
        <v>45639</v>
      </c>
      <c r="O229" s="322">
        <f>SUMPRODUCT(O230:O248,U230:U248)/SUM(U230:U248)</f>
        <v>1</v>
      </c>
      <c r="P229" s="322">
        <f ca="1">SUMPRODUCT(P230:P248,U230:U248)/SUM(U230:U248)</f>
        <v>1</v>
      </c>
      <c r="Q229" s="247">
        <f t="shared" ca="1" si="66"/>
        <v>0</v>
      </c>
      <c r="R229" s="372" t="s">
        <v>2042</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outlineLevel="1">
      <c r="A230" s="274" t="str">
        <f t="shared" si="65"/>
        <v>PROPERTY_ENERGY_CERTIFICATELAND_REGISTRY_OFFICE_CODE</v>
      </c>
      <c r="B230" s="142" t="s">
        <v>26</v>
      </c>
      <c r="C230" s="138" t="s">
        <v>54</v>
      </c>
      <c r="D230" s="235" t="s">
        <v>40</v>
      </c>
      <c r="E230" s="236" t="s">
        <v>123</v>
      </c>
      <c r="F230" s="236"/>
      <c r="G230" s="332" t="s">
        <v>125</v>
      </c>
      <c r="H230" s="235" t="str">
        <f>VLOOKUP(A230,'2. Status Detalhe Campos FY24'!$A$7:$G$575,7,0)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9"/>
        <v>1</v>
      </c>
      <c r="Q230" s="247">
        <f t="shared" ca="1" si="66"/>
        <v>0</v>
      </c>
      <c r="R230" s="379"/>
      <c r="S230" s="292" t="s">
        <v>1944</v>
      </c>
      <c r="T230" s="270">
        <v>4.0999999999999996</v>
      </c>
      <c r="U230" s="270">
        <f t="shared" si="67"/>
        <v>0.5</v>
      </c>
      <c r="V230" s="270">
        <f t="shared" ref="V230:V247" si="72">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outlineLevel="1">
      <c r="A231" s="274" t="str">
        <f t="shared" si="65"/>
        <v>PROPERTY_ENERGY_CERTIFICATEPROPERTY_IDENTIFICATION_CODE</v>
      </c>
      <c r="B231" s="142" t="s">
        <v>26</v>
      </c>
      <c r="C231" s="138" t="s">
        <v>54</v>
      </c>
      <c r="D231" s="235" t="s">
        <v>40</v>
      </c>
      <c r="E231" s="236" t="s">
        <v>123</v>
      </c>
      <c r="F231" s="236"/>
      <c r="G231" s="332" t="s">
        <v>126</v>
      </c>
      <c r="H231" s="235" t="str">
        <f>VLOOKUP(A231,'2. Status Detalhe Campos FY24'!$A$7:$G$575,7,0)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9"/>
        <v>1</v>
      </c>
      <c r="Q231" s="247">
        <f t="shared" ca="1" si="66"/>
        <v>0</v>
      </c>
      <c r="R231" s="379"/>
      <c r="S231" s="292" t="s">
        <v>1944</v>
      </c>
      <c r="T231" s="270">
        <v>4.0999999999999996</v>
      </c>
      <c r="U231" s="270">
        <f t="shared" si="67"/>
        <v>0.5</v>
      </c>
      <c r="V231" s="270">
        <f t="shared" si="72"/>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outlineLevel="1">
      <c r="A232" s="274" t="str">
        <f t="shared" si="65"/>
        <v>PROPERTY_ENERGY_CERTIFICATEENERGY_CERTIFICATION_SYSTEM_CODE</v>
      </c>
      <c r="B232" s="142" t="s">
        <v>26</v>
      </c>
      <c r="C232" s="138" t="s">
        <v>54</v>
      </c>
      <c r="D232" s="235" t="s">
        <v>40</v>
      </c>
      <c r="E232" s="236" t="s">
        <v>123</v>
      </c>
      <c r="F232" s="236"/>
      <c r="G232" s="332" t="s">
        <v>127</v>
      </c>
      <c r="H232" s="235" t="str">
        <f>VLOOKUP(A232,'2. Status Detalhe Campos FY24'!$A$7:$G$575,7,0)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9"/>
        <v>1</v>
      </c>
      <c r="Q232" s="247">
        <f t="shared" ca="1" si="66"/>
        <v>0</v>
      </c>
      <c r="R232" s="379"/>
      <c r="S232" s="292" t="s">
        <v>1944</v>
      </c>
      <c r="T232" s="270">
        <v>4.0999999999999996</v>
      </c>
      <c r="U232" s="270">
        <f t="shared" si="67"/>
        <v>0.5</v>
      </c>
      <c r="V232" s="270">
        <f t="shared" si="72"/>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outlineLevel="1">
      <c r="A233" s="274" t="str">
        <f t="shared" si="65"/>
        <v>PROPERTY_ENERGY_CERTIFICATEEPC_ISSUING_DATE</v>
      </c>
      <c r="B233" s="142" t="s">
        <v>26</v>
      </c>
      <c r="C233" s="138" t="s">
        <v>54</v>
      </c>
      <c r="D233" s="235" t="s">
        <v>40</v>
      </c>
      <c r="E233" s="236" t="s">
        <v>123</v>
      </c>
      <c r="F233" s="236"/>
      <c r="G233" s="332" t="s">
        <v>128</v>
      </c>
      <c r="H233" s="235" t="str">
        <f>VLOOKUP(A233,'2. Status Detalhe Campos FY24'!$A$7:$G$575,7,0)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9"/>
        <v>1</v>
      </c>
      <c r="Q233" s="247">
        <f t="shared" ca="1" si="66"/>
        <v>0</v>
      </c>
      <c r="R233" s="379"/>
      <c r="S233" s="292" t="s">
        <v>1944</v>
      </c>
      <c r="T233" s="270">
        <v>4.0999999999999996</v>
      </c>
      <c r="U233" s="270">
        <f t="shared" si="67"/>
        <v>0.5</v>
      </c>
      <c r="V233" s="270">
        <f t="shared" si="72"/>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outlineLevel="1">
      <c r="A234" s="274" t="str">
        <f t="shared" si="65"/>
        <v>PROPERTY_ENERGY_CERTIFICATEEPC_EXPIRATION_DATE</v>
      </c>
      <c r="B234" s="142" t="s">
        <v>26</v>
      </c>
      <c r="C234" s="138" t="s">
        <v>54</v>
      </c>
      <c r="D234" s="235" t="s">
        <v>40</v>
      </c>
      <c r="E234" s="236" t="s">
        <v>123</v>
      </c>
      <c r="F234" s="236"/>
      <c r="G234" s="332" t="s">
        <v>129</v>
      </c>
      <c r="H234" s="235" t="str">
        <f>VLOOKUP(A234,'2. Status Detalhe Campos FY24'!$A$7:$G$575,7,0)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9"/>
        <v>1</v>
      </c>
      <c r="Q234" s="247">
        <f t="shared" ca="1" si="66"/>
        <v>0</v>
      </c>
      <c r="R234" s="379"/>
      <c r="S234" s="292" t="s">
        <v>1944</v>
      </c>
      <c r="T234" s="270">
        <v>4.0999999999999996</v>
      </c>
      <c r="U234" s="270">
        <f t="shared" si="67"/>
        <v>0.5</v>
      </c>
      <c r="V234" s="270">
        <f t="shared" si="72"/>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outlineLevel="1">
      <c r="A235" s="274" t="str">
        <f t="shared" si="65"/>
        <v>PROPERTY_ENERGY_CERTIFICATEENERGY_EFFICIENCY_IND</v>
      </c>
      <c r="B235" s="142" t="s">
        <v>26</v>
      </c>
      <c r="C235" s="138" t="s">
        <v>54</v>
      </c>
      <c r="D235" s="235" t="s">
        <v>40</v>
      </c>
      <c r="E235" s="236" t="s">
        <v>123</v>
      </c>
      <c r="F235" s="236"/>
      <c r="G235" s="332" t="s">
        <v>132</v>
      </c>
      <c r="H235" s="235" t="str">
        <f>VLOOKUP(A235,'2. Status Detalhe Campos FY24'!$A$7:$G$575,7,0)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9"/>
        <v>1</v>
      </c>
      <c r="Q235" s="247">
        <f t="shared" ca="1" si="66"/>
        <v>0</v>
      </c>
      <c r="R235" s="379"/>
      <c r="S235" s="292" t="s">
        <v>1944</v>
      </c>
      <c r="T235" s="270">
        <v>4.0999999999999996</v>
      </c>
      <c r="U235" s="270">
        <f t="shared" si="67"/>
        <v>0.5</v>
      </c>
      <c r="V235" s="270">
        <f t="shared" si="72"/>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outlineLevel="1">
      <c r="A236" s="274" t="str">
        <f t="shared" si="65"/>
        <v>PROPERTY_ENERGY_CERTIFICATENZEB_IND</v>
      </c>
      <c r="B236" s="142" t="s">
        <v>26</v>
      </c>
      <c r="C236" s="138" t="s">
        <v>54</v>
      </c>
      <c r="D236" s="235" t="s">
        <v>40</v>
      </c>
      <c r="E236" s="236" t="s">
        <v>123</v>
      </c>
      <c r="F236" s="236"/>
      <c r="G236" s="332" t="s">
        <v>134</v>
      </c>
      <c r="H236" s="235" t="str">
        <f>VLOOKUP(A236,'2. Status Detalhe Campos FY24'!$A$7:$G$575,7,0)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9"/>
        <v>1</v>
      </c>
      <c r="Q236" s="247">
        <f t="shared" ca="1" si="66"/>
        <v>0</v>
      </c>
      <c r="R236" s="379"/>
      <c r="S236" s="292" t="s">
        <v>1944</v>
      </c>
      <c r="T236" s="270">
        <v>4.0999999999999996</v>
      </c>
      <c r="U236" s="270">
        <f t="shared" si="67"/>
        <v>0.5</v>
      </c>
      <c r="V236" s="270">
        <f t="shared" si="72"/>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outlineLevel="1">
      <c r="A237" s="274" t="str">
        <f t="shared" si="65"/>
        <v>PROPERTY_ENERGY_CERTIFICATEACTUAL_VALUE_IND</v>
      </c>
      <c r="B237" s="142" t="s">
        <v>26</v>
      </c>
      <c r="C237" s="138" t="s">
        <v>54</v>
      </c>
      <c r="D237" s="235" t="s">
        <v>40</v>
      </c>
      <c r="E237" s="236" t="s">
        <v>123</v>
      </c>
      <c r="F237" s="236"/>
      <c r="G237" s="332" t="s">
        <v>49</v>
      </c>
      <c r="H237" s="235" t="str">
        <f>VLOOKUP(A237,'2. Status Detalhe Campos FY24'!$A$7:$G$575,7,0)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9"/>
        <v>1</v>
      </c>
      <c r="Q237" s="247">
        <f t="shared" ca="1" si="66"/>
        <v>0</v>
      </c>
      <c r="R237" s="379"/>
      <c r="S237" s="292" t="s">
        <v>1944</v>
      </c>
      <c r="T237" s="270">
        <v>4.0999999999999996</v>
      </c>
      <c r="U237" s="270">
        <f t="shared" si="67"/>
        <v>0.5</v>
      </c>
      <c r="V237" s="270">
        <f t="shared" si="72"/>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outlineLevel="1">
      <c r="A238" s="274" t="str">
        <f t="shared" si="65"/>
        <v>PROPERTY_ENERGY_CERTIFICATESOURCE_CODE</v>
      </c>
      <c r="B238" s="142" t="s">
        <v>26</v>
      </c>
      <c r="C238" s="138" t="s">
        <v>54</v>
      </c>
      <c r="D238" s="235" t="s">
        <v>40</v>
      </c>
      <c r="E238" s="236" t="s">
        <v>123</v>
      </c>
      <c r="F238" s="236"/>
      <c r="G238" s="332" t="s">
        <v>87</v>
      </c>
      <c r="H238" s="235" t="str">
        <f>VLOOKUP(A238,'2. Status Detalhe Campos FY24'!$A$7:$G$575,7,0)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9"/>
        <v>1</v>
      </c>
      <c r="Q238" s="247">
        <f t="shared" ca="1" si="66"/>
        <v>0</v>
      </c>
      <c r="R238" s="379"/>
      <c r="S238" s="292" t="s">
        <v>1944</v>
      </c>
      <c r="T238" s="270">
        <v>4.0999999999999996</v>
      </c>
      <c r="U238" s="270">
        <f t="shared" si="67"/>
        <v>0.5</v>
      </c>
      <c r="V238" s="270">
        <f t="shared" si="72"/>
        <v>-0.5</v>
      </c>
      <c r="W238" s="281"/>
      <c r="X238" s="281"/>
      <c r="Y238" s="281"/>
      <c r="Z238" s="288"/>
      <c r="AA238" s="281"/>
      <c r="AB238" s="281"/>
      <c r="AC238" s="281"/>
      <c r="AD238" s="282"/>
      <c r="AE238" s="288"/>
      <c r="AF238" s="293"/>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outlineLevel="1">
      <c r="A239" s="274" t="str">
        <f t="shared" si="65"/>
        <v>PROPERTY_ENERGY_CERTIFICATECERTIFICATE_TYPE</v>
      </c>
      <c r="B239" s="142" t="s">
        <v>26</v>
      </c>
      <c r="C239" s="138" t="s">
        <v>54</v>
      </c>
      <c r="D239" s="235" t="s">
        <v>40</v>
      </c>
      <c r="E239" s="236" t="s">
        <v>123</v>
      </c>
      <c r="F239" s="236"/>
      <c r="G239" s="332" t="s">
        <v>136</v>
      </c>
      <c r="H239" s="235" t="str">
        <f>VLOOKUP(A239,'2. Status Detalhe Campos FY24'!$A$7:$G$575,7,0)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9"/>
        <v>1</v>
      </c>
      <c r="Q239" s="247">
        <f t="shared" ca="1" si="66"/>
        <v>0</v>
      </c>
      <c r="R239" s="379"/>
      <c r="S239" s="292" t="s">
        <v>1944</v>
      </c>
      <c r="T239" s="270">
        <v>4.0999999999999996</v>
      </c>
      <c r="U239" s="270">
        <f t="shared" si="67"/>
        <v>0.5</v>
      </c>
      <c r="V239" s="270">
        <f t="shared" si="72"/>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outlineLevel="1">
      <c r="A240" s="274" t="str">
        <f t="shared" si="65"/>
        <v>PROPERTY_ENERGY_CERTIFICATEREN_ENERGY_PRODUCED_VALUE</v>
      </c>
      <c r="B240" s="142" t="s">
        <v>26</v>
      </c>
      <c r="C240" s="138" t="s">
        <v>54</v>
      </c>
      <c r="D240" s="235" t="s">
        <v>40</v>
      </c>
      <c r="E240" s="236" t="s">
        <v>123</v>
      </c>
      <c r="F240" s="236"/>
      <c r="G240" s="332" t="s">
        <v>160</v>
      </c>
      <c r="H240" s="235" t="str">
        <f>VLOOKUP(A240,'2. Status Detalhe Campos FY24'!$A$7:$G$575,7,0)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9"/>
        <v>1</v>
      </c>
      <c r="Q240" s="247">
        <f t="shared" ca="1" si="66"/>
        <v>0</v>
      </c>
      <c r="R240" s="379"/>
      <c r="S240" s="292" t="s">
        <v>1944</v>
      </c>
      <c r="T240" s="270">
        <v>4.0999999999999996</v>
      </c>
      <c r="U240" s="270">
        <f t="shared" si="67"/>
        <v>0.5</v>
      </c>
      <c r="V240" s="270">
        <f t="shared" si="72"/>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outlineLevel="1">
      <c r="A241" s="274" t="str">
        <f t="shared" si="65"/>
        <v>PROPERTY_ENERGY_CERTIFICATEPRIMARY_ENERGY_REQ_VALUE</v>
      </c>
      <c r="B241" s="142" t="s">
        <v>26</v>
      </c>
      <c r="C241" s="138" t="s">
        <v>54</v>
      </c>
      <c r="D241" s="235" t="s">
        <v>40</v>
      </c>
      <c r="E241" s="236" t="s">
        <v>123</v>
      </c>
      <c r="F241" s="236"/>
      <c r="G241" s="332" t="s">
        <v>164</v>
      </c>
      <c r="H241" s="235" t="str">
        <f>VLOOKUP(A241,'2. Status Detalhe Campos FY24'!$A$7:$G$575,7,0)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9"/>
        <v>1</v>
      </c>
      <c r="Q241" s="247">
        <f t="shared" ca="1" si="66"/>
        <v>0</v>
      </c>
      <c r="R241" s="379"/>
      <c r="S241" s="292" t="s">
        <v>1944</v>
      </c>
      <c r="T241" s="270">
        <v>4.0999999999999996</v>
      </c>
      <c r="U241" s="270">
        <f t="shared" si="67"/>
        <v>0.5</v>
      </c>
      <c r="V241" s="270">
        <f t="shared" si="72"/>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outlineLevel="1">
      <c r="A242" s="274" t="str">
        <f t="shared" si="65"/>
        <v>PROPERTY_ENERGY_CERTIFICATENET_FLOOR_AREA</v>
      </c>
      <c r="B242" s="142" t="s">
        <v>26</v>
      </c>
      <c r="C242" s="138" t="s">
        <v>54</v>
      </c>
      <c r="D242" s="235" t="s">
        <v>40</v>
      </c>
      <c r="E242" s="236" t="s">
        <v>123</v>
      </c>
      <c r="F242" s="236"/>
      <c r="G242" s="332" t="s">
        <v>97</v>
      </c>
      <c r="H242" s="235" t="str">
        <f>VLOOKUP(A242,'2. Status Detalhe Campos FY24'!$A$7:$G$575,7,0)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9"/>
        <v>1</v>
      </c>
      <c r="Q242" s="247">
        <f t="shared" ca="1" si="66"/>
        <v>0</v>
      </c>
      <c r="R242" s="379"/>
      <c r="S242" s="292" t="s">
        <v>1944</v>
      </c>
      <c r="T242" s="270">
        <v>4.0999999999999996</v>
      </c>
      <c r="U242" s="270">
        <f t="shared" si="67"/>
        <v>0.5</v>
      </c>
      <c r="V242" s="270">
        <f t="shared" si="72"/>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outlineLevel="1">
      <c r="A243" s="274" t="str">
        <f t="shared" si="65"/>
        <v>PROPERTY_ENERGY_CERTIFICATECADASTRAL_REGISTER_CODE</v>
      </c>
      <c r="B243" s="142" t="s">
        <v>26</v>
      </c>
      <c r="C243" s="138" t="s">
        <v>54</v>
      </c>
      <c r="D243" s="235" t="s">
        <v>40</v>
      </c>
      <c r="E243" s="236" t="s">
        <v>123</v>
      </c>
      <c r="F243" s="236"/>
      <c r="G243" s="332" t="s">
        <v>98</v>
      </c>
      <c r="H243" s="235" t="str">
        <f>VLOOKUP(A243,'2. Status Detalhe Campos FY24'!$A$7:$G$575,7,0)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9"/>
        <v>1</v>
      </c>
      <c r="Q243" s="247">
        <f t="shared" ca="1" si="66"/>
        <v>0</v>
      </c>
      <c r="R243" s="379"/>
      <c r="S243" s="292" t="s">
        <v>1944</v>
      </c>
      <c r="T243" s="270">
        <v>4.0999999999999996</v>
      </c>
      <c r="U243" s="270">
        <f t="shared" si="67"/>
        <v>0.5</v>
      </c>
      <c r="V243" s="270">
        <f t="shared" si="72"/>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outlineLevel="1">
      <c r="A244" s="274" t="str">
        <f t="shared" si="65"/>
        <v>PROPERTY_ENERGY_CERTIFICATEDISTRICT_MUNICIP_PARISH_CODE</v>
      </c>
      <c r="B244" s="142" t="s">
        <v>26</v>
      </c>
      <c r="C244" s="138" t="s">
        <v>54</v>
      </c>
      <c r="D244" s="235" t="s">
        <v>40</v>
      </c>
      <c r="E244" s="236" t="s">
        <v>123</v>
      </c>
      <c r="F244" s="236"/>
      <c r="G244" s="332" t="s">
        <v>101</v>
      </c>
      <c r="H244" s="235" t="str">
        <f>VLOOKUP(A244,'2. Status Detalhe Campos FY24'!$A$7:$G$575,7,0)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9"/>
        <v>1</v>
      </c>
      <c r="Q244" s="247">
        <f t="shared" ca="1" si="66"/>
        <v>0</v>
      </c>
      <c r="R244" s="379"/>
      <c r="S244" s="292" t="s">
        <v>1944</v>
      </c>
      <c r="T244" s="270">
        <v>4.0999999999999996</v>
      </c>
      <c r="U244" s="270">
        <f t="shared" si="67"/>
        <v>0.5</v>
      </c>
      <c r="V244" s="270">
        <f t="shared" si="72"/>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outlineLevel="1">
      <c r="A245" s="274" t="str">
        <f t="shared" si="65"/>
        <v>PROPERTY_ENERGY_CERTIFICATEPROPERTY_PURPOSE_CODE</v>
      </c>
      <c r="B245" s="142" t="s">
        <v>26</v>
      </c>
      <c r="C245" s="138" t="s">
        <v>54</v>
      </c>
      <c r="D245" s="235" t="s">
        <v>40</v>
      </c>
      <c r="E245" s="236" t="s">
        <v>123</v>
      </c>
      <c r="F245" s="236"/>
      <c r="G245" s="332" t="s">
        <v>102</v>
      </c>
      <c r="H245" s="235" t="str">
        <f>VLOOKUP(A245,'2. Status Detalhe Campos FY24'!$A$7:$G$575,7,0)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9"/>
        <v>1</v>
      </c>
      <c r="Q245" s="247">
        <f t="shared" ca="1" si="66"/>
        <v>0</v>
      </c>
      <c r="R245" s="379"/>
      <c r="S245" s="292" t="s">
        <v>1944</v>
      </c>
      <c r="T245" s="270">
        <v>4.0999999999999996</v>
      </c>
      <c r="U245" s="270">
        <f t="shared" si="67"/>
        <v>0.5</v>
      </c>
      <c r="V245" s="270">
        <f t="shared" si="72"/>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outlineLevel="1">
      <c r="A246" s="274" t="str">
        <f t="shared" si="65"/>
        <v>PROPERTY_ENERGY_CERTIFICATEADDRESS_CODE</v>
      </c>
      <c r="B246" s="142" t="s">
        <v>26</v>
      </c>
      <c r="C246" s="138" t="s">
        <v>54</v>
      </c>
      <c r="D246" s="235" t="s">
        <v>40</v>
      </c>
      <c r="E246" s="236" t="s">
        <v>123</v>
      </c>
      <c r="F246" s="236"/>
      <c r="G246" s="332" t="s">
        <v>104</v>
      </c>
      <c r="H246" s="235" t="str">
        <f>VLOOKUP(A246,'2. Status Detalhe Campos FY24'!$A$7:$G$575,7,0)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9"/>
        <v>1</v>
      </c>
      <c r="Q246" s="247">
        <f t="shared" ca="1" si="66"/>
        <v>0</v>
      </c>
      <c r="R246" s="379"/>
      <c r="S246" s="292" t="s">
        <v>1944</v>
      </c>
      <c r="T246" s="270">
        <v>4.0999999999999996</v>
      </c>
      <c r="U246" s="270">
        <f t="shared" si="67"/>
        <v>0.5</v>
      </c>
      <c r="V246" s="270">
        <f t="shared" si="72"/>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outlineLevel="1">
      <c r="A247" s="274" t="str">
        <f t="shared" si="65"/>
        <v>PROPERTY_ENERGY_CERTIFICATEFLOOR_NUMBER</v>
      </c>
      <c r="B247" s="142" t="s">
        <v>26</v>
      </c>
      <c r="C247" s="138" t="s">
        <v>54</v>
      </c>
      <c r="D247" s="235" t="s">
        <v>40</v>
      </c>
      <c r="E247" s="236" t="s">
        <v>123</v>
      </c>
      <c r="F247" s="236"/>
      <c r="G247" s="332" t="s">
        <v>111</v>
      </c>
      <c r="H247" s="235" t="str">
        <f>VLOOKUP(A247,'2. Status Detalhe Campos FY24'!$A$7:$G$575,7,0)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9"/>
        <v>1</v>
      </c>
      <c r="Q247" s="247">
        <f t="shared" ca="1" si="66"/>
        <v>0</v>
      </c>
      <c r="R247" s="379"/>
      <c r="S247" s="292" t="s">
        <v>1944</v>
      </c>
      <c r="T247" s="270">
        <v>4.0999999999999996</v>
      </c>
      <c r="U247" s="270">
        <f t="shared" si="67"/>
        <v>0.5</v>
      </c>
      <c r="V247" s="270">
        <f t="shared" si="72"/>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outlineLevel="1">
      <c r="A248" s="274" t="str">
        <f t="shared" ref="A248" si="73">E248&amp;G248</f>
        <v>PROPERTY_ENERGY_CERTIFICATELOCALITY</v>
      </c>
      <c r="B248" s="142" t="s">
        <v>26</v>
      </c>
      <c r="C248" s="138" t="s">
        <v>54</v>
      </c>
      <c r="D248" s="235" t="s">
        <v>40</v>
      </c>
      <c r="E248" s="236" t="s">
        <v>123</v>
      </c>
      <c r="F248" s="236"/>
      <c r="G248" s="332" t="s">
        <v>112</v>
      </c>
      <c r="H248" s="235" t="str">
        <f>VLOOKUP(A248,'2. Status Detalhe Campos FY24'!$A$7:$G$575,7,0)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ref="P248" ca="1" si="74">IF(TODAY()&lt;=L248,0,MIN((TODAY()-L248)/(M248-L248+1),100%))</f>
        <v>1</v>
      </c>
      <c r="Q248" s="247">
        <f t="shared" ref="Q248:Q249" ca="1" si="75">O248-P248</f>
        <v>0</v>
      </c>
      <c r="R248" s="379"/>
      <c r="S248" s="292" t="s">
        <v>1944</v>
      </c>
      <c r="T248" s="270">
        <v>4.0999999999999996</v>
      </c>
      <c r="U248" s="270">
        <f t="shared" ref="U248" si="76">ROUND(T248/8,1)</f>
        <v>0.5</v>
      </c>
      <c r="V248" s="270">
        <f t="shared" ref="V248" si="77">SUM(W248:CI248)-U248</f>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5" customHeight="1" collapsed="1">
      <c r="A249" s="274"/>
      <c r="B249" s="142" t="s">
        <v>26</v>
      </c>
      <c r="C249" s="138" t="s">
        <v>54</v>
      </c>
      <c r="D249" s="134"/>
      <c r="E249" s="239" t="s">
        <v>123</v>
      </c>
      <c r="F249" s="239" t="s">
        <v>1996</v>
      </c>
      <c r="G249" s="331">
        <f>COUNTA(G250:G254)</f>
        <v>5</v>
      </c>
      <c r="H249" s="407" t="s">
        <v>573</v>
      </c>
      <c r="I249" s="276" t="s">
        <v>38</v>
      </c>
      <c r="J249" s="277">
        <f>MIN(J250:J268)</f>
        <v>45631</v>
      </c>
      <c r="K249" s="277">
        <f>MIN(K250:K268)</f>
        <v>45639</v>
      </c>
      <c r="L249" s="279" t="e">
        <f>MIN(L250:L268)</f>
        <v>#N/A</v>
      </c>
      <c r="M249" s="279" t="e">
        <f>MAX(M250:M268)</f>
        <v>#N/A</v>
      </c>
      <c r="N249" s="323" t="s">
        <v>1951</v>
      </c>
      <c r="O249" s="314">
        <f>SUMPRODUCT(O250:O268,U250:U268)/SUM(U250:U268)</f>
        <v>0</v>
      </c>
      <c r="P249" s="314">
        <f ca="1">SUMPRODUCT(P250:P268,U250:U268)/SUM(U250:U268)</f>
        <v>0.25316455696202528</v>
      </c>
      <c r="Q249" s="247">
        <f t="shared" ca="1" si="75"/>
        <v>-0.25316455696202528</v>
      </c>
      <c r="R249" s="372" t="s">
        <v>2082</v>
      </c>
      <c r="S249" s="280"/>
      <c r="T249" s="270"/>
      <c r="U249" s="270"/>
      <c r="V249" s="270"/>
      <c r="W249" s="281"/>
      <c r="X249" s="281"/>
      <c r="Y249" s="281"/>
      <c r="Z249" s="288"/>
      <c r="AA249" s="281"/>
      <c r="AB249" s="281"/>
      <c r="AC249" s="281"/>
      <c r="AD249" s="282"/>
      <c r="AE249" s="288"/>
      <c r="AF249" s="281"/>
      <c r="AG249" s="281"/>
      <c r="AH249" s="281"/>
      <c r="AI249" s="289"/>
      <c r="AJ249" s="281"/>
      <c r="AK249" s="281"/>
      <c r="AL249" s="281"/>
      <c r="AM249" s="281"/>
      <c r="AN249" s="326"/>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outlineLevel="1">
      <c r="A250" s="274" t="str">
        <f t="shared" ref="A250:A254" si="78">E250&amp;G250</f>
        <v>PROPERTY_ENERGY_CERTIFICATEEPC</v>
      </c>
      <c r="B250" s="142" t="s">
        <v>26</v>
      </c>
      <c r="C250" s="138" t="s">
        <v>54</v>
      </c>
      <c r="D250" s="235" t="s">
        <v>40</v>
      </c>
      <c r="E250" s="236" t="s">
        <v>123</v>
      </c>
      <c r="F250" s="236"/>
      <c r="G250" s="332" t="s">
        <v>47</v>
      </c>
      <c r="H250" s="235" t="str">
        <f>VLOOKUP(A250,'2. Status Detalhe Campos FY24'!$A$7:$G$575,7,0)</f>
        <v>2.2 Em Re-especificação</v>
      </c>
      <c r="I250" s="276" t="s">
        <v>38</v>
      </c>
      <c r="J250" s="285">
        <v>45638</v>
      </c>
      <c r="K250" s="285">
        <v>45639</v>
      </c>
      <c r="L250" s="290">
        <f t="array" ref="L250">MIN(IF(W250:CI250&gt;0,$W$16:$CI$16))</f>
        <v>45639</v>
      </c>
      <c r="M250" s="291">
        <f t="array" ref="M250">MAX(IF(W250:CI250&gt;0,$W$16:$CI$16))</f>
        <v>45639</v>
      </c>
      <c r="N250" s="291"/>
      <c r="O250" s="248">
        <f>VLOOKUP(H250,Auxiliar!$B$16:$E$24,4,0)</f>
        <v>0</v>
      </c>
      <c r="P250" s="315">
        <f t="shared" ref="P250:P254" ca="1" si="79">IF(TODAY()&lt;=L250,0,MIN((TODAY()-L250)/(M250-L250+1),100%))</f>
        <v>1</v>
      </c>
      <c r="Q250" s="247">
        <f t="shared" ref="Q250:Q254" ca="1" si="80">O250-P250</f>
        <v>-1</v>
      </c>
      <c r="R250" s="379"/>
      <c r="S250" s="292" t="s">
        <v>1944</v>
      </c>
      <c r="T250" s="270">
        <v>4.0999999999999996</v>
      </c>
      <c r="U250" s="270">
        <f t="shared" ref="U250:U254" si="81">ROUND(T250/8,1)</f>
        <v>0.5</v>
      </c>
      <c r="V250" s="270">
        <f t="shared" ref="V250:V254" si="82">SUM(W250:CI250)-U250</f>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outlineLevel="1">
      <c r="A251" s="274" t="str">
        <f t="shared" si="78"/>
        <v>PROPERTY_ENERGY_CERTIFICATEEP_SCORE</v>
      </c>
      <c r="B251" s="142" t="s">
        <v>26</v>
      </c>
      <c r="C251" s="138" t="s">
        <v>54</v>
      </c>
      <c r="D251" s="235" t="s">
        <v>40</v>
      </c>
      <c r="E251" s="236" t="s">
        <v>123</v>
      </c>
      <c r="F251" s="236"/>
      <c r="G251" s="332" t="s">
        <v>135</v>
      </c>
      <c r="H251" s="235" t="str">
        <f>VLOOKUP(A251,'2. Status Detalhe Campos FY24'!$A$7:$G$575,7,0)</f>
        <v>2.2 Em Re-especificação</v>
      </c>
      <c r="I251" s="276"/>
      <c r="J251" s="285"/>
      <c r="K251" s="285"/>
      <c r="L251" s="290"/>
      <c r="M251" s="291"/>
      <c r="N251" s="291"/>
      <c r="O251" s="248">
        <f>VLOOKUP(H251,Auxiliar!$B$16:$E$24,4,0)</f>
        <v>0</v>
      </c>
      <c r="P251" s="315">
        <f t="shared" ref="P251" ca="1" si="83">IF(TODAY()&lt;=L251,0,MIN((TODAY()-L251)/(M251-L251+1),100%))</f>
        <v>1</v>
      </c>
      <c r="Q251" s="247">
        <f t="shared" ref="Q251" ca="1" si="84">O251-P251</f>
        <v>-1</v>
      </c>
      <c r="R251" s="379"/>
      <c r="S251" s="292"/>
      <c r="T251" s="270"/>
      <c r="U251" s="270"/>
      <c r="V251" s="270"/>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6.2" outlineLevel="1">
      <c r="A252" s="274" t="str">
        <f t="shared" si="78"/>
        <v>PROPERTY_ENERGY_CERTIFICATEENERGY_CONSUMPTION_VALUE_YEAR</v>
      </c>
      <c r="B252" s="142" t="s">
        <v>26</v>
      </c>
      <c r="C252" s="138" t="s">
        <v>54</v>
      </c>
      <c r="D252" s="235" t="s">
        <v>40</v>
      </c>
      <c r="E252" s="236" t="s">
        <v>123</v>
      </c>
      <c r="F252" s="236"/>
      <c r="G252" s="332" t="s">
        <v>51</v>
      </c>
      <c r="H252" s="235" t="str">
        <f>VLOOKUP(A252,'2. Status Detalhe Campos FY24'!$A$7:$G$575,7,0)</f>
        <v>2.2 Em Re-especificação</v>
      </c>
      <c r="I252" s="276" t="s">
        <v>38</v>
      </c>
      <c r="J252" s="285">
        <v>45638</v>
      </c>
      <c r="K252" s="285">
        <v>45639</v>
      </c>
      <c r="L252" s="290">
        <f t="array" ref="L252">MIN(IF(W252:CI252&gt;0,$W$16:$CI$16))</f>
        <v>45639</v>
      </c>
      <c r="M252" s="291">
        <f t="array" ref="M252">MAX(IF(W252:CI252&gt;0,$W$16:$CI$16))</f>
        <v>45639</v>
      </c>
      <c r="N252" s="291"/>
      <c r="O252" s="248">
        <f>VLOOKUP(H252,Auxiliar!$B$16:$E$24,4,0)</f>
        <v>0</v>
      </c>
      <c r="P252" s="315">
        <f t="shared" ca="1" si="79"/>
        <v>1</v>
      </c>
      <c r="Q252" s="247">
        <f t="shared" ca="1" si="80"/>
        <v>-1</v>
      </c>
      <c r="R252" s="379"/>
      <c r="S252" s="292" t="s">
        <v>1944</v>
      </c>
      <c r="T252" s="270">
        <v>4.0999999999999996</v>
      </c>
      <c r="U252" s="270">
        <f t="shared" si="81"/>
        <v>0.5</v>
      </c>
      <c r="V252" s="270">
        <f t="shared" si="82"/>
        <v>-0.5</v>
      </c>
      <c r="W252" s="281"/>
      <c r="X252" s="281"/>
      <c r="Y252" s="281"/>
      <c r="Z252" s="288"/>
      <c r="AA252" s="281"/>
      <c r="AB252" s="281"/>
      <c r="AC252" s="281"/>
      <c r="AD252" s="282"/>
      <c r="AE252" s="288"/>
      <c r="AF252" s="281"/>
      <c r="AG252" s="281"/>
      <c r="AH252" s="281"/>
      <c r="AI252" s="289"/>
      <c r="AJ252" s="281"/>
      <c r="AK252" s="281"/>
      <c r="AL252" s="281"/>
      <c r="AM252" s="281"/>
      <c r="AN252" s="281"/>
      <c r="AO252" s="281"/>
      <c r="AP252" s="281"/>
      <c r="AQ252" s="289"/>
      <c r="AR252" s="281"/>
      <c r="AS252" s="281"/>
      <c r="AT252" s="281"/>
      <c r="AU252" s="281"/>
      <c r="AV252" s="281"/>
      <c r="AW252" s="281"/>
      <c r="AX252" s="281"/>
      <c r="AY252" s="281"/>
      <c r="AZ252" s="281"/>
      <c r="BA252" s="281"/>
      <c r="BB252" s="281"/>
      <c r="BC252" s="281"/>
      <c r="BD252" s="281"/>
      <c r="BE252" s="281"/>
      <c r="BF252" s="281"/>
      <c r="BG252" s="283"/>
      <c r="BH252" s="288" t="s">
        <v>444</v>
      </c>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row r="253" spans="1:87" ht="16.2" outlineLevel="1">
      <c r="A253" s="274" t="str">
        <f t="shared" si="78"/>
        <v>PROPERTY_ENERGY_CERTIFICATECARBON_EMISSION_VALUE_YEAR</v>
      </c>
      <c r="B253" s="142" t="s">
        <v>26</v>
      </c>
      <c r="C253" s="138" t="s">
        <v>54</v>
      </c>
      <c r="D253" s="235" t="s">
        <v>40</v>
      </c>
      <c r="E253" s="236" t="s">
        <v>123</v>
      </c>
      <c r="F253" s="236"/>
      <c r="G253" s="332" t="s">
        <v>52</v>
      </c>
      <c r="H253" s="235" t="str">
        <f>VLOOKUP(A253,'2. Status Detalhe Campos FY24'!$A$7:$G$575,7,0)</f>
        <v>2.2 Em Re-especificação</v>
      </c>
      <c r="I253" s="276" t="s">
        <v>38</v>
      </c>
      <c r="J253" s="285">
        <v>45638</v>
      </c>
      <c r="K253" s="285">
        <v>45639</v>
      </c>
      <c r="L253" s="290">
        <f t="array" ref="L253">MIN(IF(W253:CI253&gt;0,$W$16:$CI$16))</f>
        <v>45639</v>
      </c>
      <c r="M253" s="291">
        <f t="array" ref="M253">MAX(IF(W253:CI253&gt;0,$W$16:$CI$16))</f>
        <v>45639</v>
      </c>
      <c r="N253" s="291"/>
      <c r="O253" s="248">
        <f>VLOOKUP(H253,Auxiliar!$B$16:$E$24,4,0)</f>
        <v>0</v>
      </c>
      <c r="P253" s="315">
        <f t="shared" ca="1" si="79"/>
        <v>1</v>
      </c>
      <c r="Q253" s="247">
        <f t="shared" ca="1" si="80"/>
        <v>-1</v>
      </c>
      <c r="R253" s="379"/>
      <c r="S253" s="292" t="s">
        <v>1944</v>
      </c>
      <c r="T253" s="270">
        <v>4.0999999999999996</v>
      </c>
      <c r="U253" s="270">
        <f t="shared" si="81"/>
        <v>0.5</v>
      </c>
      <c r="V253" s="270">
        <f t="shared" si="82"/>
        <v>-0.5</v>
      </c>
      <c r="W253" s="281"/>
      <c r="X253" s="281"/>
      <c r="Y253" s="281"/>
      <c r="Z253" s="288"/>
      <c r="AA253" s="281"/>
      <c r="AB253" s="281"/>
      <c r="AC253" s="281"/>
      <c r="AD253" s="282"/>
      <c r="AE253" s="288"/>
      <c r="AF253" s="281"/>
      <c r="AG253" s="281"/>
      <c r="AH253" s="281"/>
      <c r="AI253" s="289"/>
      <c r="AJ253" s="281"/>
      <c r="AK253" s="281"/>
      <c r="AL253" s="281"/>
      <c r="AM253" s="281"/>
      <c r="AN253" s="281"/>
      <c r="AO253" s="281"/>
      <c r="AP253" s="281"/>
      <c r="AQ253" s="289"/>
      <c r="AR253" s="281"/>
      <c r="AS253" s="281"/>
      <c r="AT253" s="281"/>
      <c r="AU253" s="281"/>
      <c r="AV253" s="281"/>
      <c r="AW253" s="281"/>
      <c r="AX253" s="281"/>
      <c r="AY253" s="281"/>
      <c r="AZ253" s="281"/>
      <c r="BA253" s="281"/>
      <c r="BB253" s="281"/>
      <c r="BC253" s="281"/>
      <c r="BD253" s="281"/>
      <c r="BE253" s="281"/>
      <c r="BF253" s="281"/>
      <c r="BG253" s="283"/>
      <c r="BH253" s="288" t="s">
        <v>444</v>
      </c>
      <c r="BI253" s="281"/>
      <c r="BJ253" s="281"/>
      <c r="BK253" s="281"/>
      <c r="BL253" s="281"/>
      <c r="BM253" s="281"/>
      <c r="BN253" s="281"/>
      <c r="BO253" s="282"/>
      <c r="BP253" s="282"/>
      <c r="BQ253" s="282"/>
      <c r="BR253" s="282"/>
      <c r="BS253" s="282"/>
      <c r="BT253" s="282"/>
      <c r="BU253" s="282"/>
      <c r="BV253" s="281"/>
      <c r="BW253" s="281"/>
      <c r="BX253" s="281"/>
      <c r="BY253" s="281"/>
      <c r="BZ253" s="281"/>
      <c r="CA253" s="281"/>
      <c r="CB253" s="281"/>
      <c r="CC253" s="281"/>
      <c r="CD253" s="281"/>
      <c r="CE253" s="281"/>
      <c r="CF253" s="281"/>
      <c r="CG253" s="281"/>
      <c r="CH253" s="281"/>
      <c r="CI253" s="281"/>
    </row>
    <row r="254" spans="1:87" ht="16.2" outlineLevel="1">
      <c r="A254" s="274" t="str">
        <f t="shared" si="78"/>
        <v>PROPERTY_ENERGY_CERTIFICATECURRENT_ENERGY_RATING_PERCENTAGE</v>
      </c>
      <c r="B254" s="142" t="s">
        <v>26</v>
      </c>
      <c r="C254" s="138" t="s">
        <v>54</v>
      </c>
      <c r="D254" s="235" t="s">
        <v>40</v>
      </c>
      <c r="E254" s="236" t="s">
        <v>123</v>
      </c>
      <c r="F254" s="236"/>
      <c r="G254" s="332" t="s">
        <v>2064</v>
      </c>
      <c r="H254" s="235" t="str">
        <f>VLOOKUP(A254,'2. Status Detalhe Campos FY24'!$A$7:$G$575,7,0)</f>
        <v>2.2 Em Re-especificação</v>
      </c>
      <c r="I254" s="276" t="s">
        <v>38</v>
      </c>
      <c r="J254" s="285">
        <v>45638</v>
      </c>
      <c r="K254" s="285">
        <v>45639</v>
      </c>
      <c r="L254" s="290">
        <f t="array" ref="L254">MIN(IF(W254:CI254&gt;0,$W$16:$CI$16))</f>
        <v>45674</v>
      </c>
      <c r="M254" s="291">
        <f t="array" ref="M254">MAX(IF(W254:CI254&gt;0,$W$16:$CI$16))</f>
        <v>45674</v>
      </c>
      <c r="N254" s="291"/>
      <c r="O254" s="248">
        <f>VLOOKUP(H254,Auxiliar!$B$16:$E$24,4,0)</f>
        <v>0</v>
      </c>
      <c r="P254" s="315">
        <f t="shared" ca="1" si="79"/>
        <v>1</v>
      </c>
      <c r="Q254" s="247">
        <f t="shared" ca="1" si="80"/>
        <v>-1</v>
      </c>
      <c r="R254" s="379"/>
      <c r="S254" s="292" t="s">
        <v>1944</v>
      </c>
      <c r="T254" s="270">
        <v>4.0999999999999996</v>
      </c>
      <c r="U254" s="270">
        <f t="shared" si="81"/>
        <v>0.5</v>
      </c>
      <c r="V254" s="270">
        <f t="shared" si="82"/>
        <v>-0.5</v>
      </c>
      <c r="W254" s="281"/>
      <c r="X254" s="281"/>
      <c r="Y254" s="281"/>
      <c r="Z254" s="326"/>
      <c r="AA254" s="326"/>
      <c r="AB254" s="326"/>
      <c r="AC254" s="326"/>
      <c r="AD254" s="326"/>
      <c r="AE254" s="326"/>
      <c r="AF254" s="326"/>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t="s">
        <v>444</v>
      </c>
      <c r="CH254" s="281"/>
      <c r="CI254" s="281"/>
    </row>
    <row r="255" spans="1:87" ht="15" customHeight="1" collapsed="1">
      <c r="A255" s="274"/>
      <c r="B255" s="142" t="s">
        <v>26</v>
      </c>
      <c r="C255" s="138" t="s">
        <v>34</v>
      </c>
      <c r="D255" s="134"/>
      <c r="E255" s="241" t="s">
        <v>2006</v>
      </c>
      <c r="F255" s="239" t="s">
        <v>1972</v>
      </c>
      <c r="G255" s="409" t="s">
        <v>1951</v>
      </c>
      <c r="H255" s="294" t="s">
        <v>2057</v>
      </c>
      <c r="I255" s="278" t="s">
        <v>38</v>
      </c>
      <c r="J255" s="278">
        <v>45645</v>
      </c>
      <c r="K255" s="276"/>
      <c r="L255" s="279">
        <f t="array" ref="L255">MIN(IF(W255:CI255&gt;0,$W$16:$CI$16))</f>
        <v>45671</v>
      </c>
      <c r="M255" s="310">
        <f t="array" ref="M255">MAX(IF(W255:CI255&gt;0,$W$16:$CI$16))</f>
        <v>45674</v>
      </c>
      <c r="N255" s="323" t="s">
        <v>1951</v>
      </c>
      <c r="O255" s="316">
        <v>0</v>
      </c>
      <c r="P255" s="316">
        <v>0</v>
      </c>
      <c r="Q255" s="247">
        <f>O255-P255</f>
        <v>0</v>
      </c>
      <c r="R255" s="378" t="s">
        <v>2062</v>
      </c>
      <c r="S255" s="280"/>
      <c r="T255" s="270"/>
      <c r="U255" s="270"/>
      <c r="V255" s="270"/>
      <c r="W255" s="281"/>
      <c r="X255" s="281"/>
      <c r="Y255" s="281"/>
      <c r="Z255" s="281"/>
      <c r="AA255" s="281"/>
      <c r="AB255" s="281"/>
      <c r="AC255" s="281"/>
      <c r="AD255" s="282"/>
      <c r="AE255" s="281"/>
      <c r="AF255" s="281"/>
      <c r="AG255" s="281"/>
      <c r="AH255" s="281"/>
      <c r="AI255" s="289"/>
      <c r="AJ255" s="281"/>
      <c r="AK255" s="281"/>
      <c r="AL255" s="281"/>
      <c r="AM255" s="281"/>
      <c r="AN255" s="281"/>
      <c r="AO255" s="281"/>
      <c r="AP255" s="281"/>
      <c r="AQ255" s="281"/>
      <c r="AR255" s="281"/>
      <c r="AS255" s="281"/>
      <c r="AT255" s="281"/>
      <c r="AU255" s="281"/>
      <c r="AV255" s="281"/>
      <c r="AW255" s="283"/>
      <c r="AX255" s="281"/>
      <c r="AY255" s="281"/>
      <c r="AZ255" s="281"/>
      <c r="BA255" s="283"/>
      <c r="BB255" s="281"/>
      <c r="BC255" s="281"/>
      <c r="BD255" s="281"/>
      <c r="BE255" s="281"/>
      <c r="BF255" s="281"/>
      <c r="BG255" s="281"/>
      <c r="BH255" s="281"/>
      <c r="BI255" s="281"/>
      <c r="BJ255" s="281"/>
      <c r="BK255" s="281"/>
      <c r="BL255" s="283"/>
      <c r="BM255" s="281"/>
      <c r="BN255" s="281"/>
      <c r="BO255" s="282"/>
      <c r="BP255" s="282"/>
      <c r="BQ255" s="282"/>
      <c r="BR255" s="282"/>
      <c r="BS255" s="282"/>
      <c r="BT255" s="282"/>
      <c r="BU255" s="282"/>
      <c r="BV255" s="281"/>
      <c r="BW255" s="281"/>
      <c r="BX255" s="281"/>
      <c r="BY255" s="281"/>
      <c r="BZ255" s="281"/>
      <c r="CA255" s="281"/>
      <c r="CB255" s="281"/>
      <c r="CC255" s="281"/>
      <c r="CD255" s="281">
        <v>1</v>
      </c>
      <c r="CE255" s="281">
        <v>1</v>
      </c>
      <c r="CF255" s="281"/>
      <c r="CG255" s="281" t="s">
        <v>444</v>
      </c>
      <c r="CH255" s="281"/>
      <c r="CI255" s="281"/>
    </row>
    <row r="256" spans="1:87" ht="15" customHeight="1">
      <c r="A256" s="274" t="str">
        <f>E256&amp;G256</f>
        <v>munichRetbd</v>
      </c>
      <c r="B256" s="142" t="s">
        <v>26</v>
      </c>
      <c r="C256" s="138" t="s">
        <v>181</v>
      </c>
      <c r="D256" s="134" t="s">
        <v>40</v>
      </c>
      <c r="E256" s="241" t="s">
        <v>1950</v>
      </c>
      <c r="F256" s="239" t="s">
        <v>1972</v>
      </c>
      <c r="G256" s="255" t="s">
        <v>1951</v>
      </c>
      <c r="H256" s="295" t="s">
        <v>2004</v>
      </c>
      <c r="I256" s="278">
        <v>45574</v>
      </c>
      <c r="J256" s="376">
        <v>45631</v>
      </c>
      <c r="K256" s="276"/>
      <c r="L256" s="279" t="e">
        <f t="array" ref="L256">MIN(IF(W256:CH256&gt;0,$W$16:$CI$16))</f>
        <v>#N/A</v>
      </c>
      <c r="M256" s="310" t="e">
        <f t="array" ref="M256">MAX(IF(W256:CH256&gt;0,$W$16:$CI$16))</f>
        <v>#N/A</v>
      </c>
      <c r="N256" s="323">
        <v>45674</v>
      </c>
      <c r="O256" s="322">
        <v>1</v>
      </c>
      <c r="P256" s="322">
        <v>1</v>
      </c>
      <c r="Q256" s="247">
        <f>O256-P256</f>
        <v>0</v>
      </c>
      <c r="R256" s="262"/>
      <c r="S256" s="280"/>
      <c r="T256" s="270"/>
      <c r="U256" s="270"/>
      <c r="V256" s="270"/>
      <c r="W256" s="281"/>
      <c r="X256" s="281"/>
      <c r="Y256" s="281"/>
      <c r="Z256" s="281"/>
      <c r="AA256" s="281"/>
      <c r="AB256" s="281"/>
      <c r="AC256" s="281"/>
      <c r="AD256" s="282"/>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c r="BA256" s="297"/>
      <c r="BB256" s="283"/>
      <c r="BC256" s="281"/>
      <c r="BD256" s="281"/>
      <c r="BE256" s="281"/>
      <c r="BF256" s="281"/>
      <c r="BG256" s="281"/>
      <c r="BH256" s="281"/>
      <c r="BI256" s="281"/>
      <c r="BJ256" s="281"/>
      <c r="BK256" s="281"/>
      <c r="BL256" s="281"/>
      <c r="BM256" s="281"/>
      <c r="BN256" s="281"/>
      <c r="BO256" s="282"/>
      <c r="BP256" s="282"/>
      <c r="BQ256" s="282"/>
      <c r="BR256" s="282"/>
      <c r="BS256" s="282"/>
      <c r="BT256" s="282"/>
      <c r="BU256" s="282"/>
      <c r="BV256" s="281"/>
      <c r="BW256" s="281"/>
      <c r="BX256" s="281"/>
      <c r="BY256" s="281"/>
      <c r="BZ256" s="281"/>
      <c r="CA256" s="281"/>
      <c r="CB256" s="281"/>
      <c r="CC256" s="281"/>
      <c r="CD256" s="281"/>
      <c r="CE256" s="281"/>
      <c r="CF256" s="281"/>
      <c r="CG256" s="281">
        <v>1</v>
      </c>
      <c r="CH256" s="281">
        <v>1</v>
      </c>
    </row>
    <row r="257" spans="1:87" ht="15" customHeight="1">
      <c r="A257" s="274"/>
      <c r="B257" s="142" t="s">
        <v>26</v>
      </c>
      <c r="C257" s="138" t="s">
        <v>1970</v>
      </c>
      <c r="D257" s="134"/>
      <c r="E257" s="241" t="s">
        <v>1952</v>
      </c>
      <c r="F257" s="137"/>
      <c r="G257" s="334"/>
      <c r="H257" s="134"/>
      <c r="I257" s="276"/>
      <c r="J257" s="285"/>
      <c r="K257" s="276"/>
      <c r="L257" s="311"/>
      <c r="M257" s="311"/>
      <c r="N257" s="311"/>
      <c r="O257" s="247"/>
      <c r="P257" s="247"/>
      <c r="Q257" s="247"/>
      <c r="R257" s="261"/>
      <c r="S257" s="280"/>
      <c r="T257" s="270">
        <f>SUM(T206:T256)*0.3</f>
        <v>47.369999999999969</v>
      </c>
      <c r="U257" s="270">
        <f>ROUND(T257/8,1)</f>
        <v>5.9</v>
      </c>
      <c r="V257" s="270"/>
      <c r="W257" s="281"/>
      <c r="X257" s="281"/>
      <c r="Y257" s="281"/>
      <c r="Z257" s="281"/>
      <c r="AA257" s="281"/>
      <c r="AB257" s="281"/>
      <c r="AC257" s="281"/>
      <c r="AD257" s="282"/>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c r="BA257" s="281"/>
      <c r="BB257" s="281"/>
      <c r="BC257" s="281"/>
      <c r="BD257" s="281"/>
      <c r="BE257" s="281"/>
      <c r="BF257" s="281"/>
      <c r="BG257" s="281"/>
      <c r="BH257" s="281"/>
      <c r="BI257" s="281"/>
      <c r="BJ257" s="281"/>
      <c r="BK257" s="281"/>
      <c r="BL257" s="281"/>
      <c r="BM257" s="281"/>
      <c r="BN257" s="281"/>
      <c r="BO257" s="282"/>
      <c r="BP257" s="282"/>
      <c r="BQ257" s="282"/>
      <c r="BR257" s="282"/>
      <c r="BS257" s="282"/>
      <c r="BT257" s="282"/>
      <c r="BU257" s="282"/>
      <c r="BV257" s="281"/>
      <c r="BW257" s="281"/>
      <c r="BX257" s="281"/>
      <c r="BY257" s="281"/>
      <c r="BZ257" s="281"/>
      <c r="CA257" s="281"/>
      <c r="CB257" s="281"/>
      <c r="CC257" s="281"/>
      <c r="CD257" s="281"/>
      <c r="CE257" s="281"/>
      <c r="CF257" s="281"/>
      <c r="CG257" s="281"/>
      <c r="CH257" s="281"/>
      <c r="CI257" s="281"/>
    </row>
  </sheetData>
  <autoFilter ref="A16:CO257"/>
  <conditionalFormatting sqref="V17:V83 V94 V88:V92 V96:V101 V139:V140 V135 V166:V168 V170 V148:V164 V142:V143 V106:V129 V172:V247 V255:V257">
    <cfRule type="cellIs" dxfId="105"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04" priority="119" operator="greaterThan">
      <formula>0</formula>
    </cfRule>
  </conditionalFormatting>
  <conditionalFormatting sqref="Y6:CI6 Y9:CI10">
    <cfRule type="cellIs" dxfId="103" priority="131" operator="notEqual">
      <formula>0</formula>
    </cfRule>
  </conditionalFormatting>
  <conditionalFormatting sqref="AO50:BT50">
    <cfRule type="cellIs" dxfId="102" priority="121" operator="greaterThan">
      <formula>0</formula>
    </cfRule>
  </conditionalFormatting>
  <conditionalFormatting sqref="AO70:BT73 BU70:CI75 AP74:AT74">
    <cfRule type="cellIs" dxfId="101" priority="76" operator="greaterThan">
      <formula>0</formula>
    </cfRule>
  </conditionalFormatting>
  <conditionalFormatting sqref="AO88:CI88">
    <cfRule type="cellIs" dxfId="100" priority="118" operator="greaterThan">
      <formula>0</formula>
    </cfRule>
  </conditionalFormatting>
  <conditionalFormatting sqref="BB218">
    <cfRule type="cellIs" dxfId="99" priority="84" operator="greaterThan">
      <formula>0</formula>
    </cfRule>
  </conditionalFormatting>
  <conditionalFormatting sqref="BU89:CI90">
    <cfRule type="cellIs" dxfId="98" priority="130" operator="greaterThan">
      <formula>0</formula>
    </cfRule>
  </conditionalFormatting>
  <conditionalFormatting sqref="V84 V86:V87">
    <cfRule type="cellIs" dxfId="97" priority="73" operator="notEqual">
      <formula>0</formula>
    </cfRule>
  </conditionalFormatting>
  <conditionalFormatting sqref="W84:BD84 BF84:CI84 W87:CI87">
    <cfRule type="cellIs" dxfId="96" priority="72" operator="greaterThan">
      <formula>0</formula>
    </cfRule>
  </conditionalFormatting>
  <conditionalFormatting sqref="V85">
    <cfRule type="cellIs" dxfId="95" priority="71" operator="notEqual">
      <formula>0</formula>
    </cfRule>
  </conditionalFormatting>
  <conditionalFormatting sqref="W85:BD85 BF85:CI85">
    <cfRule type="cellIs" dxfId="94" priority="70" operator="greaterThan">
      <formula>0</formula>
    </cfRule>
  </conditionalFormatting>
  <conditionalFormatting sqref="V93">
    <cfRule type="cellIs" dxfId="93" priority="69" operator="notEqual">
      <formula>0</formula>
    </cfRule>
  </conditionalFormatting>
  <conditionalFormatting sqref="W93:BG93 BI93:CI93">
    <cfRule type="cellIs" dxfId="92" priority="68" operator="greaterThan">
      <formula>0</formula>
    </cfRule>
  </conditionalFormatting>
  <conditionalFormatting sqref="V95">
    <cfRule type="cellIs" dxfId="91" priority="67" operator="notEqual">
      <formula>0</formula>
    </cfRule>
  </conditionalFormatting>
  <conditionalFormatting sqref="W95:BD95 BF95:BG95 BI95:CI95">
    <cfRule type="cellIs" dxfId="90" priority="66" operator="greaterThan">
      <formula>0</formula>
    </cfRule>
  </conditionalFormatting>
  <conditionalFormatting sqref="BE84">
    <cfRule type="cellIs" dxfId="89" priority="65" operator="greaterThan">
      <formula>0</formula>
    </cfRule>
  </conditionalFormatting>
  <conditionalFormatting sqref="BE85">
    <cfRule type="cellIs" dxfId="88" priority="64" operator="greaterThan">
      <formula>0</formula>
    </cfRule>
  </conditionalFormatting>
  <conditionalFormatting sqref="BE95">
    <cfRule type="cellIs" dxfId="87" priority="63" operator="greaterThan">
      <formula>0</formula>
    </cfRule>
  </conditionalFormatting>
  <conditionalFormatting sqref="BH93">
    <cfRule type="cellIs" dxfId="86" priority="62" operator="greaterThan">
      <formula>0</formula>
    </cfRule>
  </conditionalFormatting>
  <conditionalFormatting sqref="BH95">
    <cfRule type="cellIs" dxfId="85" priority="61" operator="greaterThan">
      <formula>0</formula>
    </cfRule>
  </conditionalFormatting>
  <conditionalFormatting sqref="W86:CI86">
    <cfRule type="cellIs" dxfId="84" priority="60" operator="greaterThan">
      <formula>0</formula>
    </cfRule>
  </conditionalFormatting>
  <conditionalFormatting sqref="BH83">
    <cfRule type="cellIs" dxfId="83" priority="59" operator="greaterThan">
      <formula>0</formula>
    </cfRule>
  </conditionalFormatting>
  <conditionalFormatting sqref="W103:BG103 BI103:CI103">
    <cfRule type="cellIs" dxfId="82" priority="57" operator="greaterThan">
      <formula>0</formula>
    </cfRule>
  </conditionalFormatting>
  <conditionalFormatting sqref="V103">
    <cfRule type="cellIs" dxfId="81" priority="58" operator="notEqual">
      <formula>0</formula>
    </cfRule>
  </conditionalFormatting>
  <conditionalFormatting sqref="V105">
    <cfRule type="cellIs" dxfId="80" priority="56" operator="notEqual">
      <formula>0</formula>
    </cfRule>
  </conditionalFormatting>
  <conditionalFormatting sqref="W105:CI105">
    <cfRule type="cellIs" dxfId="79" priority="55" operator="greaterThan">
      <formula>0</formula>
    </cfRule>
  </conditionalFormatting>
  <conditionalFormatting sqref="V102">
    <cfRule type="cellIs" dxfId="78" priority="54" operator="notEqual">
      <formula>0</formula>
    </cfRule>
  </conditionalFormatting>
  <conditionalFormatting sqref="W102:CI102">
    <cfRule type="cellIs" dxfId="77" priority="53" operator="greaterThan">
      <formula>0</formula>
    </cfRule>
  </conditionalFormatting>
  <conditionalFormatting sqref="V104">
    <cfRule type="cellIs" dxfId="76" priority="52" operator="notEqual">
      <formula>0</formula>
    </cfRule>
  </conditionalFormatting>
  <conditionalFormatting sqref="W104:CI104">
    <cfRule type="cellIs" dxfId="75" priority="51" operator="greaterThan">
      <formula>0</formula>
    </cfRule>
  </conditionalFormatting>
  <conditionalFormatting sqref="BH103">
    <cfRule type="cellIs" dxfId="74" priority="50" operator="greaterThan">
      <formula>0</formula>
    </cfRule>
  </conditionalFormatting>
  <conditionalFormatting sqref="V137:V138">
    <cfRule type="cellIs" dxfId="73" priority="49" operator="notEqual">
      <formula>0</formula>
    </cfRule>
  </conditionalFormatting>
  <conditionalFormatting sqref="W137:CI138">
    <cfRule type="cellIs" dxfId="72" priority="48" operator="greaterThan">
      <formula>0</formula>
    </cfRule>
  </conditionalFormatting>
  <conditionalFormatting sqref="V136">
    <cfRule type="cellIs" dxfId="71" priority="47" operator="notEqual">
      <formula>0</formula>
    </cfRule>
  </conditionalFormatting>
  <conditionalFormatting sqref="W136:CI136">
    <cfRule type="cellIs" dxfId="70" priority="46" operator="greaterThan">
      <formula>0</formula>
    </cfRule>
  </conditionalFormatting>
  <conditionalFormatting sqref="V133:V134">
    <cfRule type="cellIs" dxfId="69" priority="45" operator="notEqual">
      <formula>0</formula>
    </cfRule>
  </conditionalFormatting>
  <conditionalFormatting sqref="W133:CI134">
    <cfRule type="cellIs" dxfId="68" priority="44" operator="greaterThan">
      <formula>0</formula>
    </cfRule>
  </conditionalFormatting>
  <conditionalFormatting sqref="V132">
    <cfRule type="cellIs" dxfId="67" priority="43" operator="notEqual">
      <formula>0</formula>
    </cfRule>
  </conditionalFormatting>
  <conditionalFormatting sqref="W132:CI132">
    <cfRule type="cellIs" dxfId="66" priority="42" operator="greaterThan">
      <formula>0</formula>
    </cfRule>
  </conditionalFormatting>
  <conditionalFormatting sqref="BM83">
    <cfRule type="cellIs" dxfId="65" priority="41" operator="greaterThan">
      <formula>0</formula>
    </cfRule>
  </conditionalFormatting>
  <conditionalFormatting sqref="CB83">
    <cfRule type="cellIs" dxfId="64" priority="40" operator="greaterThan">
      <formula>0</formula>
    </cfRule>
  </conditionalFormatting>
  <conditionalFormatting sqref="V165">
    <cfRule type="cellIs" dxfId="63" priority="39" operator="notEqual">
      <formula>0</formula>
    </cfRule>
  </conditionalFormatting>
  <conditionalFormatting sqref="W165:CI165">
    <cfRule type="cellIs" dxfId="62" priority="38" operator="greaterThan">
      <formula>0</formula>
    </cfRule>
  </conditionalFormatting>
  <conditionalFormatting sqref="V141">
    <cfRule type="cellIs" dxfId="61" priority="36" operator="notEqual">
      <formula>0</formula>
    </cfRule>
  </conditionalFormatting>
  <conditionalFormatting sqref="W141:CA141">
    <cfRule type="cellIs" dxfId="60" priority="35" operator="greaterThan">
      <formula>0</formula>
    </cfRule>
  </conditionalFormatting>
  <conditionalFormatting sqref="CG148:CG159">
    <cfRule type="cellIs" dxfId="59" priority="34" operator="greaterThan">
      <formula>0</formula>
    </cfRule>
  </conditionalFormatting>
  <conditionalFormatting sqref="V169">
    <cfRule type="cellIs" dxfId="58" priority="33" operator="notEqual">
      <formula>0</formula>
    </cfRule>
  </conditionalFormatting>
  <conditionalFormatting sqref="W169:CI169">
    <cfRule type="cellIs" dxfId="57" priority="32" operator="greaterThan">
      <formula>0</formula>
    </cfRule>
  </conditionalFormatting>
  <conditionalFormatting sqref="CH144:CI144">
    <cfRule type="cellIs" dxfId="56" priority="29" operator="greaterThan">
      <formula>0</formula>
    </cfRule>
  </conditionalFormatting>
  <conditionalFormatting sqref="V144">
    <cfRule type="cellIs" dxfId="55" priority="28" operator="notEqual">
      <formula>0</formula>
    </cfRule>
  </conditionalFormatting>
  <conditionalFormatting sqref="W144:CA144">
    <cfRule type="cellIs" dxfId="54" priority="27" operator="greaterThan">
      <formula>0</formula>
    </cfRule>
  </conditionalFormatting>
  <conditionalFormatting sqref="V145:V146">
    <cfRule type="cellIs" dxfId="53" priority="25" operator="notEqual">
      <formula>0</formula>
    </cfRule>
  </conditionalFormatting>
  <conditionalFormatting sqref="W146:CF146 CH145:CI146 CC145:CF145 W145:CA145">
    <cfRule type="cellIs" dxfId="52" priority="24" operator="greaterThan">
      <formula>0</formula>
    </cfRule>
  </conditionalFormatting>
  <conditionalFormatting sqref="CG145:CG146">
    <cfRule type="cellIs" dxfId="51" priority="23" operator="greaterThan">
      <formula>0</formula>
    </cfRule>
  </conditionalFormatting>
  <conditionalFormatting sqref="V147">
    <cfRule type="cellIs" dxfId="50" priority="22" operator="notEqual">
      <formula>0</formula>
    </cfRule>
  </conditionalFormatting>
  <conditionalFormatting sqref="W147:CI147">
    <cfRule type="cellIs" dxfId="49" priority="21" operator="greaterThan">
      <formula>0</formula>
    </cfRule>
  </conditionalFormatting>
  <conditionalFormatting sqref="CB145">
    <cfRule type="cellIs" dxfId="48" priority="20" operator="greaterThan">
      <formula>0</formula>
    </cfRule>
  </conditionalFormatting>
  <conditionalFormatting sqref="V130">
    <cfRule type="cellIs" dxfId="47" priority="19" operator="notEqual">
      <formula>0</formula>
    </cfRule>
  </conditionalFormatting>
  <conditionalFormatting sqref="W130:CI130">
    <cfRule type="cellIs" dxfId="46" priority="18" operator="greaterThan">
      <formula>0</formula>
    </cfRule>
  </conditionalFormatting>
  <conditionalFormatting sqref="V131">
    <cfRule type="cellIs" dxfId="45" priority="17" operator="notEqual">
      <formula>0</formula>
    </cfRule>
  </conditionalFormatting>
  <conditionalFormatting sqref="W131:CI131">
    <cfRule type="cellIs" dxfId="44" priority="16" operator="greaterThan">
      <formula>0</formula>
    </cfRule>
  </conditionalFormatting>
  <conditionalFormatting sqref="V248">
    <cfRule type="cellIs" dxfId="43" priority="15" operator="notEqual">
      <formula>0</formula>
    </cfRule>
  </conditionalFormatting>
  <conditionalFormatting sqref="W248:CI248">
    <cfRule type="cellIs" dxfId="42" priority="14" operator="greaterThan">
      <formula>0</formula>
    </cfRule>
  </conditionalFormatting>
  <conditionalFormatting sqref="V171">
    <cfRule type="cellIs" dxfId="41" priority="11" operator="notEqual">
      <formula>0</formula>
    </cfRule>
  </conditionalFormatting>
  <conditionalFormatting sqref="W171:CI171">
    <cfRule type="cellIs" dxfId="40" priority="10" operator="greaterThan">
      <formula>0</formula>
    </cfRule>
  </conditionalFormatting>
  <conditionalFormatting sqref="V250:V251">
    <cfRule type="cellIs" dxfId="39" priority="9" operator="notEqual">
      <formula>0</formula>
    </cfRule>
  </conditionalFormatting>
  <conditionalFormatting sqref="W250:CI251">
    <cfRule type="cellIs" dxfId="38" priority="8" operator="greaterThan">
      <formula>0</formula>
    </cfRule>
  </conditionalFormatting>
  <conditionalFormatting sqref="V252:V253">
    <cfRule type="cellIs" dxfId="37" priority="7" operator="notEqual">
      <formula>0</formula>
    </cfRule>
  </conditionalFormatting>
  <conditionalFormatting sqref="W252:CI253">
    <cfRule type="cellIs" dxfId="36" priority="6" operator="greaterThan">
      <formula>0</formula>
    </cfRule>
  </conditionalFormatting>
  <conditionalFormatting sqref="V254">
    <cfRule type="cellIs" dxfId="35" priority="5" operator="notEqual">
      <formula>0</formula>
    </cfRule>
  </conditionalFormatting>
  <conditionalFormatting sqref="W254:CF254 CH254:CI254">
    <cfRule type="cellIs" dxfId="34" priority="4" operator="greaterThan">
      <formula>0</formula>
    </cfRule>
  </conditionalFormatting>
  <conditionalFormatting sqref="CG254">
    <cfRule type="cellIs" dxfId="33" priority="3" operator="greaterThan">
      <formula>0</formula>
    </cfRule>
  </conditionalFormatting>
  <conditionalFormatting sqref="V249">
    <cfRule type="cellIs" dxfId="32" priority="2" operator="notEqual">
      <formula>0</formula>
    </cfRule>
  </conditionalFormatting>
  <conditionalFormatting sqref="W249:CI249">
    <cfRule type="cellIs" dxfId="31"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7"/>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03" sqref="F20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SUBTOTAL(9,R14:R593)</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SUBTOTAL(9,AX14:AX593)</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SUBTOTAL(9,CD14:CD593)</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SUBTOTAL(9,DJ14:DJ593)</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I25+I40+I205+I372+I457</f>
        <v>2213.1150000000052</v>
      </c>
      <c r="J24" s="185">
        <f>J25+J40+J205+J372+J457</f>
        <v>279</v>
      </c>
      <c r="K24" s="185">
        <f>K25+K40+K205+K372+K457</f>
        <v>2009.4168750000035</v>
      </c>
      <c r="L24" s="185">
        <f>L25+L40+L205+L372+L457</f>
        <v>254</v>
      </c>
      <c r="M24" s="180">
        <f>((M25*J25)+(M40*J40)+(M205*J205)+(M372*J372)+(M457*J457))/J24</f>
        <v>0.57885304659498205</v>
      </c>
      <c r="N24" s="180">
        <f>((N25*L25)+(N40*L40)+(N205*L205)+(N372*L372)+(N457*L457))/L24</f>
        <v>0.8655065942844099</v>
      </c>
      <c r="O24" s="180">
        <f t="shared" ref="O24:O87" si="12">N24-M24</f>
        <v>0.28665354768942786</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9.1199999999999974</v>
      </c>
      <c r="L25" s="188">
        <f>ROUNDUP(K25/8,0)</f>
        <v>2</v>
      </c>
      <c r="M25" s="187">
        <f>SUMIFS(R25:ES25,$R$9:$ES$9,"S")/J25</f>
        <v>1</v>
      </c>
      <c r="N25" s="187">
        <f>IFERROR(L25/J25,0)</f>
        <v>0.66666666666666663</v>
      </c>
      <c r="O25" s="187">
        <f t="shared" si="12"/>
        <v>-0.33333333333333337</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2.2 Em Re-especificação</v>
      </c>
      <c r="H26" s="65">
        <f>VLOOKUP(A26,'Aux - pivots1'!$A:$B,2,0)</f>
        <v>3</v>
      </c>
      <c r="I26" s="189">
        <f>SUMIFS(Table1[Estimação (horas)],Table1[Tabela],Plano_V3!E26,Table1[Campo],Plano_V3!F26)</f>
        <v>8</v>
      </c>
      <c r="J26" s="189">
        <f t="shared" ref="J26:L38" si="14">I26/8</f>
        <v>1</v>
      </c>
      <c r="K26" s="189">
        <f>SUMIFS(Table1[Horas efetivas],Table1[Tabela],Plano_V3!E26,Table1[Campo],Plano_V3!F26)</f>
        <v>4</v>
      </c>
      <c r="L26" s="189">
        <f t="shared" si="14"/>
        <v>0.5</v>
      </c>
      <c r="M26" s="183"/>
      <c r="N26" s="183">
        <f>L26/J26</f>
        <v>0.5</v>
      </c>
      <c r="O26" s="183">
        <f t="shared" si="12"/>
        <v>0.5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2.2 Em Re-especificação</v>
      </c>
      <c r="H27" s="65">
        <f>VLOOKUP(A27,'Aux - pivots1'!$A:$B,2,0)</f>
        <v>3</v>
      </c>
      <c r="I27" s="189">
        <f>SUMIFS(Table1[Estimação (horas)],Table1[Tabela],Plano_V3!E27,Table1[Campo],Plano_V3!F27)</f>
        <v>0.6</v>
      </c>
      <c r="J27" s="189">
        <f t="shared" si="14"/>
        <v>7.4999999999999997E-2</v>
      </c>
      <c r="K27" s="189">
        <f>SUMIFS(Table1[Horas efetivas],Table1[Tabela],Plano_V3!E27,Table1[Campo],Plano_V3!F27)</f>
        <v>0.3</v>
      </c>
      <c r="L27" s="189">
        <f t="shared" si="14"/>
        <v>3.7499999999999999E-2</v>
      </c>
      <c r="M27" s="183"/>
      <c r="N27" s="183">
        <f t="shared" ref="N27:N39" si="16">L27/J27</f>
        <v>0.5</v>
      </c>
      <c r="O27" s="183">
        <f t="shared" si="12"/>
        <v>0.5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2.2 Em Re-especificação</v>
      </c>
      <c r="H28" s="65">
        <f>VLOOKUP(A28,'Aux - pivots1'!$A:$B,2,0)</f>
        <v>3</v>
      </c>
      <c r="I28" s="189">
        <f>SUMIFS(Table1[Estimação (horas)],Table1[Tabela],Plano_V3!E28,Table1[Campo],Plano_V3!F28)</f>
        <v>0.6</v>
      </c>
      <c r="J28" s="189">
        <f t="shared" si="14"/>
        <v>7.4999999999999997E-2</v>
      </c>
      <c r="K28" s="189">
        <f>SUMIFS(Table1[Horas efetivas],Table1[Tabela],Plano_V3!E28,Table1[Campo],Plano_V3!F28)</f>
        <v>0.3</v>
      </c>
      <c r="L28" s="189">
        <f t="shared" si="14"/>
        <v>3.7499999999999999E-2</v>
      </c>
      <c r="M28" s="183"/>
      <c r="N28" s="183">
        <f t="shared" si="16"/>
        <v>0.5</v>
      </c>
      <c r="O28" s="183">
        <f t="shared" si="12"/>
        <v>0.5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2.2 Em Re-especificação</v>
      </c>
      <c r="H29" s="65">
        <f>VLOOKUP(A29,'Aux - pivots1'!$A:$B,2,0)</f>
        <v>3</v>
      </c>
      <c r="I29" s="189">
        <f>SUMIFS(Table1[Estimação (horas)],Table1[Tabela],Plano_V3!E29,Table1[Campo],Plano_V3!F29)</f>
        <v>0.6</v>
      </c>
      <c r="J29" s="189">
        <f t="shared" si="14"/>
        <v>7.4999999999999997E-2</v>
      </c>
      <c r="K29" s="189">
        <f>SUMIFS(Table1[Horas efetivas],Table1[Tabela],Plano_V3!E29,Table1[Campo],Plano_V3!F29)</f>
        <v>0.3</v>
      </c>
      <c r="L29" s="189">
        <f t="shared" si="14"/>
        <v>3.7499999999999999E-2</v>
      </c>
      <c r="M29" s="183"/>
      <c r="N29" s="183">
        <f t="shared" si="16"/>
        <v>0.5</v>
      </c>
      <c r="O29" s="183">
        <f t="shared" si="12"/>
        <v>0.5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2.2 Em Re-especificação</v>
      </c>
      <c r="H30" s="65">
        <f>VLOOKUP(A30,'Aux - pivots1'!$A:$B,2,0)</f>
        <v>3</v>
      </c>
      <c r="I30" s="189">
        <f>SUMIFS(Table1[Estimação (horas)],Table1[Tabela],Plano_V3!E30,Table1[Campo],Plano_V3!F30)</f>
        <v>0.6</v>
      </c>
      <c r="J30" s="189">
        <f t="shared" si="14"/>
        <v>7.4999999999999997E-2</v>
      </c>
      <c r="K30" s="189">
        <f>SUMIFS(Table1[Horas efetivas],Table1[Tabela],Plano_V3!E30,Table1[Campo],Plano_V3!F30)</f>
        <v>0.3</v>
      </c>
      <c r="L30" s="189">
        <f t="shared" si="14"/>
        <v>3.7499999999999999E-2</v>
      </c>
      <c r="M30" s="183"/>
      <c r="N30" s="183">
        <f t="shared" si="16"/>
        <v>0.5</v>
      </c>
      <c r="O30" s="183">
        <f t="shared" si="12"/>
        <v>0.5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2.2 Em Re-especificação</v>
      </c>
      <c r="H31" s="65">
        <f>VLOOKUP(A31,'Aux - pivots1'!$A:$B,2,0)</f>
        <v>3</v>
      </c>
      <c r="I31" s="189">
        <f>SUMIFS(Table1[Estimação (horas)],Table1[Tabela],Plano_V3!E31,Table1[Campo],Plano_V3!F31)</f>
        <v>0.6</v>
      </c>
      <c r="J31" s="189">
        <f t="shared" si="14"/>
        <v>7.4999999999999997E-2</v>
      </c>
      <c r="K31" s="189">
        <f>SUMIFS(Table1[Horas efetivas],Table1[Tabela],Plano_V3!E31,Table1[Campo],Plano_V3!F31)</f>
        <v>0.3</v>
      </c>
      <c r="L31" s="189">
        <f t="shared" si="14"/>
        <v>3.7499999999999999E-2</v>
      </c>
      <c r="M31" s="183"/>
      <c r="N31" s="183">
        <f t="shared" si="16"/>
        <v>0.5</v>
      </c>
      <c r="O31" s="183">
        <f t="shared" si="12"/>
        <v>0.5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2.2 Em Re-especificação</v>
      </c>
      <c r="H32" s="65">
        <f>VLOOKUP(A32,'Aux - pivots1'!$A:$B,2,0)</f>
        <v>3</v>
      </c>
      <c r="I32" s="189">
        <f>SUMIFS(Table1[Estimação (horas)],Table1[Tabela],Plano_V3!E32,Table1[Campo],Plano_V3!F32)</f>
        <v>0.6</v>
      </c>
      <c r="J32" s="189">
        <f t="shared" si="14"/>
        <v>7.4999999999999997E-2</v>
      </c>
      <c r="K32" s="189">
        <f>SUMIFS(Table1[Horas efetivas],Table1[Tabela],Plano_V3!E32,Table1[Campo],Plano_V3!F32)</f>
        <v>0.3</v>
      </c>
      <c r="L32" s="189">
        <f t="shared" si="14"/>
        <v>3.7499999999999999E-2</v>
      </c>
      <c r="M32" s="183"/>
      <c r="N32" s="183">
        <f t="shared" si="16"/>
        <v>0.5</v>
      </c>
      <c r="O32" s="183">
        <f t="shared" si="12"/>
        <v>0.5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2.2 Em Re-especificação</v>
      </c>
      <c r="H33" s="65">
        <f>VLOOKUP(A33,'Aux - pivots1'!$A:$B,2,0)</f>
        <v>3</v>
      </c>
      <c r="I33" s="189">
        <f>SUMIFS(Table1[Estimação (horas)],Table1[Tabela],Plano_V3!E33,Table1[Campo],Plano_V3!F33)</f>
        <v>0.6</v>
      </c>
      <c r="J33" s="189">
        <f t="shared" si="14"/>
        <v>7.4999999999999997E-2</v>
      </c>
      <c r="K33" s="189">
        <f>SUMIFS(Table1[Horas efetivas],Table1[Tabela],Plano_V3!E33,Table1[Campo],Plano_V3!F33)</f>
        <v>0.3</v>
      </c>
      <c r="L33" s="189">
        <f t="shared" si="14"/>
        <v>3.7499999999999999E-2</v>
      </c>
      <c r="M33" s="183"/>
      <c r="N33" s="183">
        <f t="shared" si="16"/>
        <v>0.5</v>
      </c>
      <c r="O33" s="183">
        <f t="shared" si="12"/>
        <v>0.5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2.2 Em Re-especificação</v>
      </c>
      <c r="H34" s="65">
        <f>VLOOKUP(A34,'Aux - pivots1'!$A:$B,2,0)</f>
        <v>3</v>
      </c>
      <c r="I34" s="189">
        <f>SUMIFS(Table1[Estimação (horas)],Table1[Tabela],Plano_V3!E34,Table1[Campo],Plano_V3!F34)</f>
        <v>0.6</v>
      </c>
      <c r="J34" s="189">
        <f t="shared" si="14"/>
        <v>7.4999999999999997E-2</v>
      </c>
      <c r="K34" s="189">
        <f>SUMIFS(Table1[Horas efetivas],Table1[Tabela],Plano_V3!E34,Table1[Campo],Plano_V3!F34)</f>
        <v>0.3</v>
      </c>
      <c r="L34" s="189">
        <f t="shared" si="14"/>
        <v>3.7499999999999999E-2</v>
      </c>
      <c r="M34" s="183"/>
      <c r="N34" s="183">
        <f t="shared" si="16"/>
        <v>0.5</v>
      </c>
      <c r="O34" s="183">
        <f t="shared" si="12"/>
        <v>0.5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2.2 Em Re-especificação</v>
      </c>
      <c r="H35" s="65">
        <f>VLOOKUP(A35,'Aux - pivots1'!$A:$B,2,0)</f>
        <v>3</v>
      </c>
      <c r="I35" s="189">
        <f>SUMIFS(Table1[Estimação (horas)],Table1[Tabela],Plano_V3!E35,Table1[Campo],Plano_V3!F35)</f>
        <v>0.6</v>
      </c>
      <c r="J35" s="189">
        <f t="shared" si="14"/>
        <v>7.4999999999999997E-2</v>
      </c>
      <c r="K35" s="189">
        <f>SUMIFS(Table1[Horas efetivas],Table1[Tabela],Plano_V3!E35,Table1[Campo],Plano_V3!F35)</f>
        <v>0.3</v>
      </c>
      <c r="L35" s="189">
        <f t="shared" si="14"/>
        <v>3.7499999999999999E-2</v>
      </c>
      <c r="M35" s="183"/>
      <c r="N35" s="183">
        <f t="shared" si="16"/>
        <v>0.5</v>
      </c>
      <c r="O35" s="183">
        <f t="shared" si="12"/>
        <v>0.5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2.2 Em Re-especificação</v>
      </c>
      <c r="H36" s="65">
        <f>VLOOKUP(A36,'Aux - pivots1'!$A:$B,2,0)</f>
        <v>3</v>
      </c>
      <c r="I36" s="189">
        <f>SUMIFS(Table1[Estimação (horas)],Table1[Tabela],Plano_V3!E36,Table1[Campo],Plano_V3!F36)</f>
        <v>0.6</v>
      </c>
      <c r="J36" s="189">
        <f t="shared" si="14"/>
        <v>7.4999999999999997E-2</v>
      </c>
      <c r="K36" s="189">
        <f>SUMIFS(Table1[Horas efetivas],Table1[Tabela],Plano_V3!E36,Table1[Campo],Plano_V3!F36)</f>
        <v>0.3</v>
      </c>
      <c r="L36" s="189">
        <f t="shared" si="14"/>
        <v>3.7499999999999999E-2</v>
      </c>
      <c r="M36" s="183"/>
      <c r="N36" s="183">
        <f t="shared" si="16"/>
        <v>0.5</v>
      </c>
      <c r="O36" s="183">
        <f t="shared" si="12"/>
        <v>0.5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2.2 Em Re-especificação</v>
      </c>
      <c r="H37" s="65">
        <f>VLOOKUP(A37,'Aux - pivots1'!$A:$B,2,0)</f>
        <v>3</v>
      </c>
      <c r="I37" s="189">
        <f>SUMIFS(Table1[Estimação (horas)],Table1[Tabela],Plano_V3!E37,Table1[Campo],Plano_V3!F37)</f>
        <v>0.6</v>
      </c>
      <c r="J37" s="189">
        <f t="shared" si="14"/>
        <v>7.4999999999999997E-2</v>
      </c>
      <c r="K37" s="189">
        <f>SUMIFS(Table1[Horas efetivas],Table1[Tabela],Plano_V3!E37,Table1[Campo],Plano_V3!F37)</f>
        <v>0.3</v>
      </c>
      <c r="L37" s="189">
        <f t="shared" si="14"/>
        <v>3.7499999999999999E-2</v>
      </c>
      <c r="M37" s="183"/>
      <c r="N37" s="183">
        <f t="shared" si="16"/>
        <v>0.5</v>
      </c>
      <c r="O37" s="183">
        <f t="shared" si="12"/>
        <v>0.5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2.2 Em Re-especificação</v>
      </c>
      <c r="H38" s="65">
        <f>VLOOKUP(A38,'Aux - pivots1'!$A:$B,2,0)</f>
        <v>3</v>
      </c>
      <c r="I38" s="189">
        <f>SUMIFS(Table1[Estimação (horas)],Table1[Tabela],Plano_V3!E38,Table1[Campo],Plano_V3!F38)</f>
        <v>0.6</v>
      </c>
      <c r="J38" s="189">
        <f t="shared" si="14"/>
        <v>7.4999999999999997E-2</v>
      </c>
      <c r="K38" s="189">
        <f>SUMIFS(Table1[Horas efetivas],Table1[Tabela],Plano_V3!E38,Table1[Campo],Plano_V3!F38)</f>
        <v>0.3</v>
      </c>
      <c r="L38" s="189">
        <f t="shared" si="14"/>
        <v>3.7499999999999999E-2</v>
      </c>
      <c r="M38" s="183"/>
      <c r="N38" s="183">
        <f t="shared" si="16"/>
        <v>0.5</v>
      </c>
      <c r="O38" s="183">
        <f t="shared" si="12"/>
        <v>0.5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1.5199999999999996</v>
      </c>
      <c r="L39" s="189">
        <f>K39/8</f>
        <v>0.18999999999999995</v>
      </c>
      <c r="M39" s="183"/>
      <c r="N39" s="183">
        <f t="shared" si="16"/>
        <v>0.5</v>
      </c>
      <c r="O39" s="183">
        <f t="shared" si="12"/>
        <v>0.5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SUM(I41:I204)</f>
        <v>839.75000000000261</v>
      </c>
      <c r="J40" s="188">
        <f>ROUNDUP(I40/8,0)</f>
        <v>105</v>
      </c>
      <c r="K40" s="188">
        <f>SUM(K41:K204)</f>
        <v>823.75000000000239</v>
      </c>
      <c r="L40" s="188">
        <f>ROUNDUP(K40/8,0)</f>
        <v>103</v>
      </c>
      <c r="M40" s="187">
        <f>SUMIFS(R40:ES40,$R$9:$ES$9,"S")/J40</f>
        <v>0.95238095238095233</v>
      </c>
      <c r="N40" s="187">
        <f>IFERROR(L40/J40,0)</f>
        <v>0.98095238095238091</v>
      </c>
      <c r="O40" s="187">
        <f t="shared" si="12"/>
        <v>2.8571428571428581E-2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2.2 Em Re-especificação</v>
      </c>
      <c r="H140" s="65">
        <f>VLOOKUP(A140,'Aux - pivots1'!$A:$B,2,0)</f>
        <v>3</v>
      </c>
      <c r="I140" s="189">
        <f>SUMIFS(Table1[Estimação (horas)],Table1[Tabela],Plano_V3!E140,Table1[Campo],Plano_V3!F140)</f>
        <v>4.0999999999999996</v>
      </c>
      <c r="J140" s="189">
        <f t="shared" si="23"/>
        <v>0.51249999999999996</v>
      </c>
      <c r="K140" s="189">
        <f>SUMIFS(Table1[Horas efetivas],Table1[Tabela],Plano_V3!E140,Table1[Campo],Plano_V3!F140)</f>
        <v>2.0499999999999998</v>
      </c>
      <c r="L140" s="189">
        <f t="shared" si="24"/>
        <v>0.25624999999999998</v>
      </c>
      <c r="M140" s="183"/>
      <c r="N140" s="183">
        <f t="shared" si="25"/>
        <v>0.5</v>
      </c>
      <c r="O140" s="183">
        <f t="shared" si="20"/>
        <v>0.5</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2.2 Em Re-especificação</v>
      </c>
      <c r="H147" s="65">
        <f>VLOOKUP(A147,'Aux - pivots1'!$A:$B,2,0)</f>
        <v>3</v>
      </c>
      <c r="I147" s="189">
        <f>SUMIFS(Table1[Estimação (horas)],Table1[Tabela],Plano_V3!E147,Table1[Campo],Plano_V3!F147)</f>
        <v>4.0999999999999996</v>
      </c>
      <c r="J147" s="189">
        <f t="shared" si="23"/>
        <v>0.51249999999999996</v>
      </c>
      <c r="K147" s="189">
        <f>SUMIFS(Table1[Horas efetivas],Table1[Tabela],Plano_V3!E147,Table1[Campo],Plano_V3!F147)</f>
        <v>2.0499999999999998</v>
      </c>
      <c r="L147" s="189">
        <f t="shared" si="24"/>
        <v>0.25624999999999998</v>
      </c>
      <c r="M147" s="183"/>
      <c r="N147" s="183">
        <f t="shared" si="25"/>
        <v>0.5</v>
      </c>
      <c r="O147" s="183">
        <f t="shared" si="20"/>
        <v>0.5</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7"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5"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7"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2.2 Em Re-especificação</v>
      </c>
      <c r="H162" s="65">
        <f>VLOOKUP(A162,'Aux - pivots1'!$A:$B,2,0)</f>
        <v>3</v>
      </c>
      <c r="I162" s="189">
        <f>SUMIFS(Table1[Estimação (horas)],Table1[Tabela],Plano_V3!E162,Table1[Campo],Plano_V3!F162)</f>
        <v>4.0999999999999996</v>
      </c>
      <c r="J162" s="189">
        <f t="shared" si="23"/>
        <v>0.51249999999999996</v>
      </c>
      <c r="K162" s="189">
        <f>SUMIFS(Table1[Horas efetivas],Table1[Tabela],Plano_V3!E162,Table1[Campo],Plano_V3!F162)</f>
        <v>2.0499999999999998</v>
      </c>
      <c r="L162" s="189">
        <f t="shared" si="24"/>
        <v>0.25624999999999998</v>
      </c>
      <c r="M162" s="183"/>
      <c r="N162" s="183">
        <f t="shared" si="25"/>
        <v>0.5</v>
      </c>
      <c r="O162" s="183">
        <f t="shared" si="26"/>
        <v>0.5</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4"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2.2 Em Re-especificação</v>
      </c>
      <c r="H171" s="65">
        <f>VLOOKUP(A171,'Aux - pivots1'!$A:$B,2,0)</f>
        <v>3</v>
      </c>
      <c r="I171" s="189">
        <f>SUMIFS(Table1[Estimação (horas)],Table1[Tabela],Plano_V3!E171,Table1[Campo],Plano_V3!F171)</f>
        <v>4.0999999999999996</v>
      </c>
      <c r="J171" s="189">
        <f t="shared" si="29"/>
        <v>0.51249999999999996</v>
      </c>
      <c r="K171" s="189">
        <f>SUMIFS(Table1[Horas efetivas],Table1[Tabela],Plano_V3!E171,Table1[Campo],Plano_V3!F171)</f>
        <v>2.0499999999999998</v>
      </c>
      <c r="L171" s="189">
        <f t="shared" si="30"/>
        <v>0.25624999999999998</v>
      </c>
      <c r="M171" s="183"/>
      <c r="N171" s="183">
        <f t="shared" si="31"/>
        <v>0.5</v>
      </c>
      <c r="O171" s="183">
        <f t="shared" si="26"/>
        <v>0.5</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PROPERTY_ENERGY_CERTIFICATECURRENT_ENERGY_RATING_PERCENTAGE</v>
      </c>
      <c r="B203" s="68"/>
      <c r="C203" s="69"/>
      <c r="D203" s="65" t="s">
        <v>40</v>
      </c>
      <c r="E203" s="67" t="s">
        <v>123</v>
      </c>
      <c r="F203" s="67" t="s">
        <v>2064</v>
      </c>
      <c r="G203" s="65" t="str">
        <f>INDEX(Auxiliar!$B$16:$B$24,MATCH(Plano_V3!H203,Auxiliar!$C$16:$C$24,0),1)</f>
        <v>2.2 Em Re-especificação</v>
      </c>
      <c r="H203" s="65">
        <f>VLOOKUP(A203,'Aux - pivots1'!$A:$B,2,0)</f>
        <v>3</v>
      </c>
      <c r="I203" s="189">
        <f>SUMIFS(Table1[Estimação (horas)],Table1[Tabela],Plano_V3!E203,Table1[Campo],Plano_V3!F203)</f>
        <v>4.0999999999999996</v>
      </c>
      <c r="J203" s="189">
        <f t="shared" ref="J203" si="37">I203/8</f>
        <v>0.51249999999999996</v>
      </c>
      <c r="K203" s="189">
        <f>SUMIFS(Table1[Horas efetivas],Table1[Tabela],Plano_V3!E203,Table1[Campo],Plano_V3!F203)</f>
        <v>2.0499999999999998</v>
      </c>
      <c r="L203" s="189">
        <f t="shared" ref="L203" si="38">K203/8</f>
        <v>0.25624999999999998</v>
      </c>
      <c r="M203" s="183"/>
      <c r="N203" s="183">
        <f t="shared" ref="N203" si="39">L203/J203</f>
        <v>0.5</v>
      </c>
      <c r="O203" s="183">
        <f t="shared" ref="O203" si="40">N203-M203</f>
        <v>0.5</v>
      </c>
      <c r="P203" s="88" t="s">
        <v>124</v>
      </c>
      <c r="Q203" s="91"/>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28"/>
        <v>Re-testesn.a.</v>
      </c>
      <c r="B204" s="68" t="s">
        <v>26</v>
      </c>
      <c r="C204" s="69" t="s">
        <v>54</v>
      </c>
      <c r="D204" s="65" t="s">
        <v>40</v>
      </c>
      <c r="E204" s="67" t="s">
        <v>53</v>
      </c>
      <c r="F204" s="65" t="s">
        <v>38</v>
      </c>
      <c r="G204" s="65" t="s">
        <v>180</v>
      </c>
      <c r="H204" s="65"/>
      <c r="I204" s="189">
        <f>SUM(I41:I202)*$D$7</f>
        <v>92.850000000000293</v>
      </c>
      <c r="J204" s="189">
        <f>I204/8</f>
        <v>11.606250000000037</v>
      </c>
      <c r="K204" s="189">
        <f>SUM(K41:K202)*$D$7</f>
        <v>91.300000000000267</v>
      </c>
      <c r="L204" s="189">
        <f>K204/8</f>
        <v>11.412500000000033</v>
      </c>
      <c r="M204" s="183"/>
      <c r="N204" s="183">
        <f t="shared" si="31"/>
        <v>0.98330640818524484</v>
      </c>
      <c r="O204" s="183">
        <f t="shared" si="26"/>
        <v>0.98330640818524484</v>
      </c>
      <c r="P204" s="88"/>
      <c r="Q204" s="91">
        <f t="shared" si="27"/>
        <v>11.606250000000037</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t="64.8">
      <c r="A205" s="30" t="str">
        <f t="shared" si="28"/>
        <v/>
      </c>
      <c r="B205" s="64" t="s">
        <v>26</v>
      </c>
      <c r="C205" s="97" t="s">
        <v>181</v>
      </c>
      <c r="D205" s="97"/>
      <c r="E205" s="104"/>
      <c r="F205" s="97"/>
      <c r="G205" s="97"/>
      <c r="H205" s="97"/>
      <c r="I205" s="188">
        <f>SUM(I206:I371)</f>
        <v>181.0999999999996</v>
      </c>
      <c r="J205" s="188">
        <f>ROUNDUP(I205/8,0)</f>
        <v>23</v>
      </c>
      <c r="K205" s="188">
        <f>SUM(K206:K371)</f>
        <v>162.94999999999959</v>
      </c>
      <c r="L205" s="188">
        <f>ROUNDUP(K205/8,0)</f>
        <v>21</v>
      </c>
      <c r="M205" s="187">
        <f>SUMIFS(R205:ES205,$R$9:$ES$9,"S")/J205</f>
        <v>1</v>
      </c>
      <c r="N205" s="187">
        <f>IFERROR(L205/J205,0)</f>
        <v>0.91304347826086951</v>
      </c>
      <c r="O205" s="187">
        <f t="shared" si="26"/>
        <v>-8.6956521739130488E-2</v>
      </c>
      <c r="P205" s="194" t="s">
        <v>1929</v>
      </c>
      <c r="Q205" s="91">
        <f t="shared" si="27"/>
        <v>0</v>
      </c>
      <c r="R205" s="79"/>
      <c r="S205" s="79"/>
      <c r="T205" s="79"/>
      <c r="U205" s="79"/>
      <c r="V205" s="79"/>
      <c r="W205" s="79"/>
      <c r="X205" s="79"/>
      <c r="Y205" s="79"/>
      <c r="Z205" s="79"/>
      <c r="AA205" s="79"/>
      <c r="AB205" s="79"/>
      <c r="AC205" s="79">
        <v>0.5</v>
      </c>
      <c r="AD205" s="79">
        <v>0.5</v>
      </c>
      <c r="AE205" s="79">
        <v>1</v>
      </c>
      <c r="AF205" s="79">
        <v>1</v>
      </c>
      <c r="AG205" s="198"/>
      <c r="AH205" s="79">
        <v>0.5</v>
      </c>
      <c r="AI205" s="198"/>
      <c r="AJ205" s="198"/>
      <c r="AK205" s="79">
        <v>0.5</v>
      </c>
      <c r="AL205" s="79">
        <v>0.5</v>
      </c>
      <c r="AM205" s="79">
        <v>2</v>
      </c>
      <c r="AN205" s="79">
        <v>2</v>
      </c>
      <c r="AO205" s="79">
        <v>1.5</v>
      </c>
      <c r="AP205" s="79">
        <v>1.5</v>
      </c>
      <c r="AQ205" s="79">
        <v>1.5</v>
      </c>
      <c r="AR205" s="79">
        <v>2</v>
      </c>
      <c r="AS205" s="79">
        <v>2</v>
      </c>
      <c r="AT205" s="79">
        <v>2</v>
      </c>
      <c r="AU205" s="79">
        <v>2</v>
      </c>
      <c r="AV205" s="79">
        <v>1</v>
      </c>
      <c r="AW205" s="79">
        <v>1</v>
      </c>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modesg_param_sfcs_taxon_europeian.a.</v>
      </c>
      <c r="B206" s="68" t="s">
        <v>26</v>
      </c>
      <c r="C206" s="69" t="s">
        <v>181</v>
      </c>
      <c r="D206" s="65" t="s">
        <v>36</v>
      </c>
      <c r="E206" s="67" t="s">
        <v>182</v>
      </c>
      <c r="F206" s="65" t="s">
        <v>38</v>
      </c>
      <c r="G206" s="65" t="str">
        <f>INDEX(Auxiliar!$B$16:$B$24,MATCH(Plano_V3!H206,Auxiliar!$C$16:$C$24,0),1)</f>
        <v>1. Concluído</v>
      </c>
      <c r="H206" s="65">
        <f>VLOOKUP(A206,'Aux - pivots1'!$A:$B,2,0)</f>
        <v>1</v>
      </c>
      <c r="I206" s="189">
        <f>SUMIFS(Table1[Estimação (horas)],Table1[Tabela],Plano_V3!E206,Table1[Campo],Plano_V3!F206)</f>
        <v>8.5</v>
      </c>
      <c r="J206" s="189">
        <f t="shared" ref="J206:J271" si="41">I206/8</f>
        <v>1.0625</v>
      </c>
      <c r="K206" s="189">
        <f>SUMIFS(Table1[Horas efetivas],Table1[Tabela],Plano_V3!E206,Table1[Campo],Plano_V3!F206)</f>
        <v>8.5</v>
      </c>
      <c r="L206" s="189">
        <f>K206/8</f>
        <v>1.0625</v>
      </c>
      <c r="M206" s="183"/>
      <c r="N206" s="183">
        <f>L206/J206</f>
        <v>1</v>
      </c>
      <c r="O206" s="183">
        <f t="shared" si="26"/>
        <v>1</v>
      </c>
      <c r="P206" s="90" t="s">
        <v>39</v>
      </c>
      <c r="Q206" s="91">
        <f t="shared" si="27"/>
        <v>1.0625</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modesg_param_sfcs_taxon_europeiacbalcao</v>
      </c>
      <c r="B207" s="68" t="s">
        <v>26</v>
      </c>
      <c r="C207" s="69" t="s">
        <v>181</v>
      </c>
      <c r="D207" s="65" t="s">
        <v>40</v>
      </c>
      <c r="E207" s="67" t="s">
        <v>182</v>
      </c>
      <c r="F207" s="65" t="s">
        <v>183</v>
      </c>
      <c r="G207" s="65" t="str">
        <f>INDEX(Auxiliar!$B$16:$B$24,MATCH(Plano_V3!H207,Auxiliar!$C$16:$C$24,0),1)</f>
        <v>1. Concluído</v>
      </c>
      <c r="H207" s="65">
        <f>VLOOKUP(A207,'Aux - pivots1'!$A:$B,2,0)</f>
        <v>1</v>
      </c>
      <c r="I207" s="189">
        <f>SUMIFS(Table1[Estimação (horas)],Table1[Tabela],Plano_V3!E207,Table1[Campo],Plano_V3!F207)</f>
        <v>0.6</v>
      </c>
      <c r="J207" s="189">
        <f t="shared" si="41"/>
        <v>7.4999999999999997E-2</v>
      </c>
      <c r="K207" s="189">
        <f>SUMIFS(Table1[Horas efetivas],Table1[Tabela],Plano_V3!E207,Table1[Campo],Plano_V3!F207)</f>
        <v>0.6</v>
      </c>
      <c r="L207" s="189">
        <f t="shared" ref="L207:L272" si="42">K207/8</f>
        <v>7.4999999999999997E-2</v>
      </c>
      <c r="M207" s="183"/>
      <c r="N207" s="183">
        <f t="shared" ref="N207:N272" si="43">L207/J207</f>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modesg_param_sfcs_taxon_europeiacempresa</v>
      </c>
      <c r="B208" s="68" t="s">
        <v>26</v>
      </c>
      <c r="C208" s="69" t="s">
        <v>181</v>
      </c>
      <c r="D208" s="65" t="s">
        <v>40</v>
      </c>
      <c r="E208" s="67" t="s">
        <v>182</v>
      </c>
      <c r="F208" s="65" t="s">
        <v>184</v>
      </c>
      <c r="G208" s="65" t="str">
        <f>INDEX(Auxiliar!$B$16:$B$24,MATCH(Plano_V3!H208,Auxiliar!$C$16:$C$24,0),1)</f>
        <v>1. Concluído</v>
      </c>
      <c r="H208" s="65">
        <f>VLOOKUP(A208,'Aux - pivots1'!$A:$B,2,0)</f>
        <v>1</v>
      </c>
      <c r="I208" s="189">
        <f>SUMIFS(Table1[Estimação (horas)],Table1[Tabela],Plano_V3!E208,Table1[Campo],Plano_V3!F208)</f>
        <v>0.6</v>
      </c>
      <c r="J208" s="189">
        <f t="shared" si="41"/>
        <v>7.4999999999999997E-2</v>
      </c>
      <c r="K208" s="189">
        <f>SUMIFS(Table1[Horas efetivas],Table1[Tabela],Plano_V3!E208,Table1[Campo],Plano_V3!F208)</f>
        <v>0.6</v>
      </c>
      <c r="L208" s="189">
        <f t="shared" si="42"/>
        <v>7.4999999999999997E-2</v>
      </c>
      <c r="M208" s="183"/>
      <c r="N208" s="183">
        <f t="shared" si="43"/>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modesg_param_sfcs_taxon_europeiackmetamis</v>
      </c>
      <c r="B209" s="68" t="s">
        <v>26</v>
      </c>
      <c r="C209" s="69" t="s">
        <v>181</v>
      </c>
      <c r="D209" s="65" t="s">
        <v>40</v>
      </c>
      <c r="E209" s="67" t="s">
        <v>182</v>
      </c>
      <c r="F209" s="65" t="s">
        <v>185</v>
      </c>
      <c r="G209" s="65" t="str">
        <f>INDEX(Auxiliar!$B$16:$B$24,MATCH(Plano_V3!H209,Auxiliar!$C$16:$C$24,0),1)</f>
        <v>1. Concluído</v>
      </c>
      <c r="H209" s="65">
        <f>VLOOKUP(A209,'Aux - pivots1'!$A:$B,2,0)</f>
        <v>1</v>
      </c>
      <c r="I209" s="189">
        <f>SUMIFS(Table1[Estimação (horas)],Table1[Tabela],Plano_V3!E209,Table1[Campo],Plano_V3!F209)</f>
        <v>0.6</v>
      </c>
      <c r="J209" s="189">
        <f t="shared" si="41"/>
        <v>7.4999999999999997E-2</v>
      </c>
      <c r="K209" s="189">
        <f>SUMIFS(Table1[Horas efetivas],Table1[Tabela],Plano_V3!E209,Table1[Campo],Plano_V3!F209)</f>
        <v>0.6</v>
      </c>
      <c r="L209" s="189">
        <f t="shared" si="42"/>
        <v>7.4999999999999997E-2</v>
      </c>
      <c r="M209" s="183"/>
      <c r="N209" s="183">
        <f t="shared" si="43"/>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modesg_param_sfcs_taxon_europeiackprodmi</v>
      </c>
      <c r="B210" s="68" t="s">
        <v>26</v>
      </c>
      <c r="C210" s="69" t="s">
        <v>181</v>
      </c>
      <c r="D210" s="65" t="s">
        <v>40</v>
      </c>
      <c r="E210" s="67" t="s">
        <v>182</v>
      </c>
      <c r="F210" s="65" t="s">
        <v>186</v>
      </c>
      <c r="G210" s="65" t="str">
        <f>INDEX(Auxiliar!$B$16:$B$24,MATCH(Plano_V3!H210,Auxiliar!$C$16:$C$24,0),1)</f>
        <v>1. Concluído</v>
      </c>
      <c r="H210" s="65">
        <f>VLOOKUP(A210,'Aux - pivots1'!$A:$B,2,0)</f>
        <v>1</v>
      </c>
      <c r="I210" s="189">
        <f>SUMIFS(Table1[Estimação (horas)],Table1[Tabela],Plano_V3!E210,Table1[Campo],Plano_V3!F210)</f>
        <v>0.6</v>
      </c>
      <c r="J210" s="189">
        <f t="shared" si="41"/>
        <v>7.4999999999999997E-2</v>
      </c>
      <c r="K210" s="189">
        <f>SUMIFS(Table1[Horas efetivas],Table1[Tabela],Plano_V3!E210,Table1[Campo],Plano_V3!F210)</f>
        <v>0.6</v>
      </c>
      <c r="L210" s="189">
        <f t="shared" si="42"/>
        <v>7.4999999999999997E-2</v>
      </c>
      <c r="M210" s="183"/>
      <c r="N210" s="183">
        <f t="shared" si="43"/>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modesg_param_sfcs_taxon_europeiacmetanseg</v>
      </c>
      <c r="B211" s="68" t="s">
        <v>26</v>
      </c>
      <c r="C211" s="69" t="s">
        <v>181</v>
      </c>
      <c r="D211" s="65" t="s">
        <v>40</v>
      </c>
      <c r="E211" s="67" t="s">
        <v>182</v>
      </c>
      <c r="F211" s="65" t="s">
        <v>187</v>
      </c>
      <c r="G211" s="65" t="str">
        <f>INDEX(Auxiliar!$B$16:$B$24,MATCH(Plano_V3!H211,Auxiliar!$C$16:$C$24,0),1)</f>
        <v>1. Concluído</v>
      </c>
      <c r="H211" s="65">
        <f>VLOOKUP(A211,'Aux - pivots1'!$A:$B,2,0)</f>
        <v>1</v>
      </c>
      <c r="I211" s="189">
        <f>SUMIFS(Table1[Estimação (horas)],Table1[Tabela],Plano_V3!E211,Table1[Campo],Plano_V3!F211)</f>
        <v>0.6</v>
      </c>
      <c r="J211" s="189">
        <f t="shared" si="41"/>
        <v>7.4999999999999997E-2</v>
      </c>
      <c r="K211" s="189">
        <f>SUMIFS(Table1[Horas efetivas],Table1[Tabela],Plano_V3!E211,Table1[Campo],Plano_V3!F211)</f>
        <v>0.6</v>
      </c>
      <c r="L211" s="189">
        <f t="shared" si="42"/>
        <v>7.4999999999999997E-2</v>
      </c>
      <c r="M211" s="183"/>
      <c r="N211" s="183">
        <f t="shared" si="43"/>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modesg_param_sfcs_taxon_europeiacnsm_co2</v>
      </c>
      <c r="B212" s="68" t="s">
        <v>26</v>
      </c>
      <c r="C212" s="69" t="s">
        <v>181</v>
      </c>
      <c r="D212" s="65" t="s">
        <v>40</v>
      </c>
      <c r="E212" s="67" t="s">
        <v>182</v>
      </c>
      <c r="F212" s="65" t="s">
        <v>188</v>
      </c>
      <c r="G212" s="65" t="str">
        <f>INDEX(Auxiliar!$B$16:$B$24,MATCH(Plano_V3!H212,Auxiliar!$C$16:$C$24,0),1)</f>
        <v>1. Concluído</v>
      </c>
      <c r="H212" s="65">
        <f>VLOOKUP(A212,'Aux - pivots1'!$A:$B,2,0)</f>
        <v>1</v>
      </c>
      <c r="I212" s="189">
        <f>SUMIFS(Table1[Estimação (horas)],Table1[Tabela],Plano_V3!E212,Table1[Campo],Plano_V3!F212)</f>
        <v>0.6</v>
      </c>
      <c r="J212" s="189">
        <f t="shared" si="41"/>
        <v>7.4999999999999997E-2</v>
      </c>
      <c r="K212" s="189">
        <f>SUMIFS(Table1[Horas efetivas],Table1[Tabela],Plano_V3!E212,Table1[Campo],Plano_V3!F212)</f>
        <v>0.6</v>
      </c>
      <c r="L212" s="189">
        <f t="shared" si="42"/>
        <v>7.4999999999999997E-2</v>
      </c>
      <c r="M212" s="183"/>
      <c r="N212" s="183">
        <f t="shared" si="43"/>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modesg_param_sfcs_taxon_europeiacnumecta</v>
      </c>
      <c r="B213" s="68" t="s">
        <v>26</v>
      </c>
      <c r="C213" s="69" t="s">
        <v>181</v>
      </c>
      <c r="D213" s="65" t="s">
        <v>40</v>
      </c>
      <c r="E213" s="67" t="s">
        <v>182</v>
      </c>
      <c r="F213" s="65" t="s">
        <v>189</v>
      </c>
      <c r="G213" s="65" t="str">
        <f>INDEX(Auxiliar!$B$16:$B$24,MATCH(Plano_V3!H213,Auxiliar!$C$16:$C$24,0),1)</f>
        <v>1. Concluído</v>
      </c>
      <c r="H213" s="65">
        <f>VLOOKUP(A213,'Aux - pivots1'!$A:$B,2,0)</f>
        <v>1</v>
      </c>
      <c r="I213" s="189">
        <f>SUMIFS(Table1[Estimação (horas)],Table1[Tabela],Plano_V3!E213,Table1[Campo],Plano_V3!F213)</f>
        <v>0.6</v>
      </c>
      <c r="J213" s="189">
        <f t="shared" si="41"/>
        <v>7.4999999999999997E-2</v>
      </c>
      <c r="K213" s="189">
        <f>SUMIFS(Table1[Horas efetivas],Table1[Tabela],Plano_V3!E213,Table1[Campo],Plano_V3!F213)</f>
        <v>0.6</v>
      </c>
      <c r="L213" s="189">
        <f t="shared" si="42"/>
        <v>7.4999999999999997E-2</v>
      </c>
      <c r="M213" s="183"/>
      <c r="N213" s="183">
        <f t="shared" si="43"/>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modesg_param_sfcs_taxon_europeiacod_lease</v>
      </c>
      <c r="B214" s="68" t="s">
        <v>26</v>
      </c>
      <c r="C214" s="69" t="s">
        <v>181</v>
      </c>
      <c r="D214" s="65" t="s">
        <v>40</v>
      </c>
      <c r="E214" s="67" t="s">
        <v>182</v>
      </c>
      <c r="F214" s="65" t="s">
        <v>190</v>
      </c>
      <c r="G214" s="65" t="str">
        <f>INDEX(Auxiliar!$B$16:$B$24,MATCH(Plano_V3!H214,Auxiliar!$C$16:$C$24,0),1)</f>
        <v>1. Concluído</v>
      </c>
      <c r="H214" s="65">
        <f>VLOOKUP(A214,'Aux - pivots1'!$A:$B,2,0)</f>
        <v>1</v>
      </c>
      <c r="I214" s="189">
        <f>SUMIFS(Table1[Estimação (horas)],Table1[Tabela],Plano_V3!E214,Table1[Campo],Plano_V3!F214)</f>
        <v>0.6</v>
      </c>
      <c r="J214" s="189">
        <f t="shared" si="41"/>
        <v>7.4999999999999997E-2</v>
      </c>
      <c r="K214" s="189">
        <f>SUMIFS(Table1[Horas efetivas],Table1[Tabela],Plano_V3!E214,Table1[Campo],Plano_V3!F214)</f>
        <v>0.6</v>
      </c>
      <c r="L214" s="189">
        <f t="shared" si="42"/>
        <v>7.4999999999999997E-2</v>
      </c>
      <c r="M214" s="183"/>
      <c r="N214" s="183">
        <f t="shared" si="43"/>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modesg_param_sfcs_taxon_europeiacod_regra</v>
      </c>
      <c r="B215" s="68" t="s">
        <v>26</v>
      </c>
      <c r="C215" s="69" t="s">
        <v>181</v>
      </c>
      <c r="D215" s="65" t="s">
        <v>40</v>
      </c>
      <c r="E215" s="67" t="s">
        <v>182</v>
      </c>
      <c r="F215" s="65" t="s">
        <v>191</v>
      </c>
      <c r="G215" s="65" t="str">
        <f>INDEX(Auxiliar!$B$16:$B$24,MATCH(Plano_V3!H215,Auxiliar!$C$16:$C$24,0),1)</f>
        <v>1. Concluído</v>
      </c>
      <c r="H215" s="65">
        <f>VLOOKUP(A215,'Aux - pivots1'!$A:$B,2,0)</f>
        <v>1</v>
      </c>
      <c r="I215" s="189">
        <f>SUMIFS(Table1[Estimação (horas)],Table1[Tabela],Plano_V3!E215,Table1[Campo],Plano_V3!F215)</f>
        <v>0.6</v>
      </c>
      <c r="J215" s="189">
        <f t="shared" si="41"/>
        <v>7.4999999999999997E-2</v>
      </c>
      <c r="K215" s="189">
        <f>SUMIFS(Table1[Horas efetivas],Table1[Tabela],Plano_V3!E215,Table1[Campo],Plano_V3!F215)</f>
        <v>0.6</v>
      </c>
      <c r="L215" s="189">
        <f t="shared" si="42"/>
        <v>7.4999999999999997E-2</v>
      </c>
      <c r="M215" s="183"/>
      <c r="N215" s="183">
        <f t="shared" si="43"/>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modesg_param_sfcs_taxon_europeiacomite</v>
      </c>
      <c r="B216" s="68" t="s">
        <v>26</v>
      </c>
      <c r="C216" s="69" t="s">
        <v>181</v>
      </c>
      <c r="D216" s="65" t="s">
        <v>40</v>
      </c>
      <c r="E216" s="67" t="s">
        <v>182</v>
      </c>
      <c r="F216" s="65" t="s">
        <v>192</v>
      </c>
      <c r="G216" s="65" t="str">
        <f>INDEX(Auxiliar!$B$16:$B$24,MATCH(Plano_V3!H216,Auxiliar!$C$16:$C$24,0),1)</f>
        <v>1. Concluído</v>
      </c>
      <c r="H216" s="65">
        <f>VLOOKUP(A216,'Aux - pivots1'!$A:$B,2,0)</f>
        <v>1</v>
      </c>
      <c r="I216" s="189">
        <f>SUMIFS(Table1[Estimação (horas)],Table1[Tabela],Plano_V3!E216,Table1[Campo],Plano_V3!F216)</f>
        <v>0.6</v>
      </c>
      <c r="J216" s="189">
        <f t="shared" si="41"/>
        <v>7.4999999999999997E-2</v>
      </c>
      <c r="K216" s="189">
        <f>SUMIFS(Table1[Horas efetivas],Table1[Tabela],Plano_V3!E216,Table1[Campo],Plano_V3!F216)</f>
        <v>0.6</v>
      </c>
      <c r="L216" s="189">
        <f t="shared" si="42"/>
        <v>7.4999999999999997E-2</v>
      </c>
      <c r="M216" s="183"/>
      <c r="N216" s="183">
        <f t="shared" si="43"/>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modesg_param_sfcs_taxon_europeiadata_aprvc</v>
      </c>
      <c r="B217" s="68" t="s">
        <v>26</v>
      </c>
      <c r="C217" s="69" t="s">
        <v>181</v>
      </c>
      <c r="D217" s="65" t="s">
        <v>40</v>
      </c>
      <c r="E217" s="67" t="s">
        <v>182</v>
      </c>
      <c r="F217" s="65" t="s">
        <v>193</v>
      </c>
      <c r="G217" s="65" t="str">
        <f>INDEX(Auxiliar!$B$16:$B$24,MATCH(Plano_V3!H217,Auxiliar!$C$16:$C$24,0),1)</f>
        <v>1. Concluído</v>
      </c>
      <c r="H217" s="65">
        <f>VLOOKUP(A217,'Aux - pivots1'!$A:$B,2,0)</f>
        <v>1</v>
      </c>
      <c r="I217" s="189">
        <f>SUMIFS(Table1[Estimação (horas)],Table1[Tabela],Plano_V3!E217,Table1[Campo],Plano_V3!F217)</f>
        <v>0.6</v>
      </c>
      <c r="J217" s="189">
        <f t="shared" si="41"/>
        <v>7.4999999999999997E-2</v>
      </c>
      <c r="K217" s="189">
        <f>SUMIFS(Table1[Horas efetivas],Table1[Tabela],Plano_V3!E217,Table1[Campo],Plano_V3!F217)</f>
        <v>0.6</v>
      </c>
      <c r="L217" s="189">
        <f t="shared" si="42"/>
        <v>7.4999999999999997E-2</v>
      </c>
      <c r="M217" s="183"/>
      <c r="N217" s="183">
        <f t="shared" si="43"/>
        <v>1</v>
      </c>
      <c r="O217" s="183">
        <f t="shared" si="26"/>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modesg_param_sfcs_taxon_europeiadata_final</v>
      </c>
      <c r="B218" s="68" t="s">
        <v>26</v>
      </c>
      <c r="C218" s="69" t="s">
        <v>181</v>
      </c>
      <c r="D218" s="65" t="s">
        <v>40</v>
      </c>
      <c r="E218" s="67" t="s">
        <v>182</v>
      </c>
      <c r="F218" s="65" t="s">
        <v>194</v>
      </c>
      <c r="G218" s="65" t="str">
        <f>INDEX(Auxiliar!$B$16:$B$24,MATCH(Plano_V3!H218,Auxiliar!$C$16:$C$24,0),1)</f>
        <v>1. Concluído</v>
      </c>
      <c r="H218" s="65">
        <f>VLOOKUP(A218,'Aux - pivots1'!$A:$B,2,0)</f>
        <v>1</v>
      </c>
      <c r="I218" s="189">
        <f>SUMIFS(Table1[Estimação (horas)],Table1[Tabela],Plano_V3!E218,Table1[Campo],Plano_V3!F218)</f>
        <v>0.6</v>
      </c>
      <c r="J218" s="189">
        <f t="shared" si="41"/>
        <v>7.4999999999999997E-2</v>
      </c>
      <c r="K218" s="189">
        <f>SUMIFS(Table1[Horas efetivas],Table1[Tabela],Plano_V3!E218,Table1[Campo],Plano_V3!F218)</f>
        <v>0.6</v>
      </c>
      <c r="L218" s="189">
        <f t="shared" si="42"/>
        <v>7.4999999999999997E-2</v>
      </c>
      <c r="M218" s="183"/>
      <c r="N218" s="183">
        <f t="shared" si="43"/>
        <v>1</v>
      </c>
      <c r="O218" s="183">
        <f t="shared" ref="O218:O281" si="44">N218-M218</f>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modesg_param_sfcs_taxon_europeiadata_inicial</v>
      </c>
      <c r="B219" s="68" t="s">
        <v>26</v>
      </c>
      <c r="C219" s="69" t="s">
        <v>181</v>
      </c>
      <c r="D219" s="65" t="s">
        <v>40</v>
      </c>
      <c r="E219" s="67" t="s">
        <v>182</v>
      </c>
      <c r="F219" s="65" t="s">
        <v>195</v>
      </c>
      <c r="G219" s="65" t="str">
        <f>INDEX(Auxiliar!$B$16:$B$24,MATCH(Plano_V3!H219,Auxiliar!$C$16:$C$24,0),1)</f>
        <v>1. Concluído</v>
      </c>
      <c r="H219" s="65">
        <f>VLOOKUP(A219,'Aux - pivots1'!$A:$B,2,0)</f>
        <v>1</v>
      </c>
      <c r="I219" s="189">
        <f>SUMIFS(Table1[Estimação (horas)],Table1[Tabela],Plano_V3!E219,Table1[Campo],Plano_V3!F219)</f>
        <v>0.6</v>
      </c>
      <c r="J219" s="189">
        <f t="shared" si="41"/>
        <v>7.4999999999999997E-2</v>
      </c>
      <c r="K219" s="189">
        <f>SUMIFS(Table1[Horas efetivas],Table1[Tabela],Plano_V3!E219,Table1[Campo],Plano_V3!F219)</f>
        <v>0.6</v>
      </c>
      <c r="L219" s="189">
        <f t="shared" si="42"/>
        <v>7.4999999999999997E-2</v>
      </c>
      <c r="M219" s="183"/>
      <c r="N219" s="183">
        <f t="shared" si="43"/>
        <v>1</v>
      </c>
      <c r="O219" s="183">
        <f t="shared" si="44"/>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modesg_param_sfcs_taxon_europeiadominio</v>
      </c>
      <c r="B220" s="68" t="s">
        <v>26</v>
      </c>
      <c r="C220" s="69" t="s">
        <v>181</v>
      </c>
      <c r="D220" s="65" t="s">
        <v>40</v>
      </c>
      <c r="E220" s="67" t="s">
        <v>182</v>
      </c>
      <c r="F220" s="65" t="s">
        <v>196</v>
      </c>
      <c r="G220" s="65" t="str">
        <f>INDEX(Auxiliar!$B$16:$B$24,MATCH(Plano_V3!H220,Auxiliar!$C$16:$C$24,0),1)</f>
        <v>1. Concluído</v>
      </c>
      <c r="H220" s="65">
        <f>VLOOKUP(A220,'Aux - pivots1'!$A:$B,2,0)</f>
        <v>1</v>
      </c>
      <c r="I220" s="189">
        <f>SUMIFS(Table1[Estimação (horas)],Table1[Tabela],Plano_V3!E220,Table1[Campo],Plano_V3!F220)</f>
        <v>0.6</v>
      </c>
      <c r="J220" s="189">
        <f t="shared" si="41"/>
        <v>7.4999999999999997E-2</v>
      </c>
      <c r="K220" s="189">
        <f>SUMIFS(Table1[Horas efetivas],Table1[Tabela],Plano_V3!E220,Table1[Campo],Plano_V3!F220)</f>
        <v>0.6</v>
      </c>
      <c r="L220" s="189">
        <f t="shared" si="42"/>
        <v>7.4999999999999997E-2</v>
      </c>
      <c r="M220" s="183"/>
      <c r="N220" s="183">
        <f t="shared" si="43"/>
        <v>1</v>
      </c>
      <c r="O220" s="183">
        <f t="shared" si="44"/>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modesg_param_sfcs_taxon_europeiadscrc</v>
      </c>
      <c r="B221" s="68" t="s">
        <v>26</v>
      </c>
      <c r="C221" s="69" t="s">
        <v>181</v>
      </c>
      <c r="D221" s="65" t="s">
        <v>40</v>
      </c>
      <c r="E221" s="67" t="s">
        <v>182</v>
      </c>
      <c r="F221" s="65" t="s">
        <v>197</v>
      </c>
      <c r="G221" s="65" t="str">
        <f>INDEX(Auxiliar!$B$16:$B$24,MATCH(Plano_V3!H221,Auxiliar!$C$16:$C$24,0),1)</f>
        <v>1. Concluído</v>
      </c>
      <c r="H221" s="65">
        <f>VLOOKUP(A221,'Aux - pivots1'!$A:$B,2,0)</f>
        <v>1</v>
      </c>
      <c r="I221" s="189">
        <f>SUMIFS(Table1[Estimação (horas)],Table1[Tabela],Plano_V3!E221,Table1[Campo],Plano_V3!F221)</f>
        <v>0.6</v>
      </c>
      <c r="J221" s="189">
        <f t="shared" si="41"/>
        <v>7.4999999999999997E-2</v>
      </c>
      <c r="K221" s="189">
        <f>SUMIFS(Table1[Horas efetivas],Table1[Tabela],Plano_V3!E221,Table1[Campo],Plano_V3!F221)</f>
        <v>0.6</v>
      </c>
      <c r="L221" s="189">
        <f t="shared" si="42"/>
        <v>7.4999999999999997E-2</v>
      </c>
      <c r="M221" s="183"/>
      <c r="N221" s="183">
        <f t="shared" si="43"/>
        <v>1</v>
      </c>
      <c r="O221" s="183">
        <f t="shared" si="44"/>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modesg_param_sfcs_taxon_europeiaepc</v>
      </c>
      <c r="B222" s="68" t="s">
        <v>26</v>
      </c>
      <c r="C222" s="69" t="s">
        <v>181</v>
      </c>
      <c r="D222" s="65" t="s">
        <v>40</v>
      </c>
      <c r="E222" s="67" t="s">
        <v>182</v>
      </c>
      <c r="F222" s="65" t="s">
        <v>198</v>
      </c>
      <c r="G222" s="65" t="str">
        <f>INDEX(Auxiliar!$B$16:$B$24,MATCH(Plano_V3!H222,Auxiliar!$C$16:$C$24,0),1)</f>
        <v>1. Concluído</v>
      </c>
      <c r="H222" s="65">
        <f>VLOOKUP(A222,'Aux - pivots1'!$A:$B,2,0)</f>
        <v>1</v>
      </c>
      <c r="I222" s="189">
        <f>SUMIFS(Table1[Estimação (horas)],Table1[Tabela],Plano_V3!E222,Table1[Campo],Plano_V3!F222)</f>
        <v>0.6</v>
      </c>
      <c r="J222" s="189">
        <f t="shared" si="41"/>
        <v>7.4999999999999997E-2</v>
      </c>
      <c r="K222" s="189">
        <f>SUMIFS(Table1[Horas efetivas],Table1[Tabela],Plano_V3!E222,Table1[Campo],Plano_V3!F222)</f>
        <v>0.6</v>
      </c>
      <c r="L222" s="189">
        <f t="shared" si="42"/>
        <v>7.4999999999999997E-2</v>
      </c>
      <c r="M222" s="183"/>
      <c r="N222" s="183">
        <f t="shared" si="43"/>
        <v>1</v>
      </c>
      <c r="O222" s="183">
        <f t="shared" si="44"/>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modesg_param_sfcs_taxon_europeiaflag_project_finance</v>
      </c>
      <c r="B223" s="68" t="s">
        <v>26</v>
      </c>
      <c r="C223" s="69" t="s">
        <v>181</v>
      </c>
      <c r="D223" s="65" t="s">
        <v>40</v>
      </c>
      <c r="E223" s="67" t="s">
        <v>182</v>
      </c>
      <c r="F223" s="65" t="s">
        <v>199</v>
      </c>
      <c r="G223" s="65" t="str">
        <f>INDEX(Auxiliar!$B$16:$B$24,MATCH(Plano_V3!H223,Auxiliar!$C$16:$C$24,0),1)</f>
        <v>1. Concluído</v>
      </c>
      <c r="H223" s="65">
        <f>VLOOKUP(A223,'Aux - pivots1'!$A:$B,2,0)</f>
        <v>1</v>
      </c>
      <c r="I223" s="189">
        <f>SUMIFS(Table1[Estimação (horas)],Table1[Tabela],Plano_V3!E223,Table1[Campo],Plano_V3!F223)</f>
        <v>0.6</v>
      </c>
      <c r="J223" s="189">
        <f t="shared" si="41"/>
        <v>7.4999999999999997E-2</v>
      </c>
      <c r="K223" s="189">
        <f>SUMIFS(Table1[Horas efetivas],Table1[Tabela],Plano_V3!E223,Table1[Campo],Plano_V3!F223)</f>
        <v>0.6</v>
      </c>
      <c r="L223" s="189">
        <f t="shared" si="42"/>
        <v>7.4999999999999997E-2</v>
      </c>
      <c r="M223" s="183"/>
      <c r="N223" s="183">
        <f t="shared" si="43"/>
        <v>1</v>
      </c>
      <c r="O223" s="183">
        <f t="shared" si="44"/>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modesg_param_sfcs_taxon_europeiacfinalidad</v>
      </c>
      <c r="B224" s="68" t="s">
        <v>26</v>
      </c>
      <c r="C224" s="69" t="s">
        <v>181</v>
      </c>
      <c r="D224" s="65" t="s">
        <v>40</v>
      </c>
      <c r="E224" s="67" t="s">
        <v>182</v>
      </c>
      <c r="F224" s="65" t="s">
        <v>200</v>
      </c>
      <c r="G224" s="65" t="str">
        <f>INDEX(Auxiliar!$B$16:$B$24,MATCH(Plano_V3!H224,Auxiliar!$C$16:$C$24,0),1)</f>
        <v>1. Concluído</v>
      </c>
      <c r="H224" s="65">
        <f>VLOOKUP(A224,'Aux - pivots1'!$A:$B,2,0)</f>
        <v>1</v>
      </c>
      <c r="I224" s="189">
        <f>SUMIFS(Table1[Estimação (horas)],Table1[Tabela],Plano_V3!E224,Table1[Campo],Plano_V3!F224)</f>
        <v>0.6</v>
      </c>
      <c r="J224" s="189">
        <f t="shared" si="41"/>
        <v>7.4999999999999997E-2</v>
      </c>
      <c r="K224" s="189">
        <f>SUMIFS(Table1[Horas efetivas],Table1[Tabela],Plano_V3!E224,Table1[Campo],Plano_V3!F224)</f>
        <v>0.6</v>
      </c>
      <c r="L224" s="189">
        <f t="shared" si="42"/>
        <v>7.4999999999999997E-2</v>
      </c>
      <c r="M224" s="183"/>
      <c r="N224" s="183">
        <f t="shared" si="43"/>
        <v>1</v>
      </c>
      <c r="O224" s="183">
        <f t="shared" si="44"/>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modesg_param_sfcs_taxon_europeiatipo_combust</v>
      </c>
      <c r="B225" s="68" t="s">
        <v>26</v>
      </c>
      <c r="C225" s="69" t="s">
        <v>181</v>
      </c>
      <c r="D225" s="65" t="s">
        <v>40</v>
      </c>
      <c r="E225" s="67" t="s">
        <v>182</v>
      </c>
      <c r="F225" s="65" t="s">
        <v>201</v>
      </c>
      <c r="G225" s="65" t="str">
        <f>INDEX(Auxiliar!$B$16:$B$24,MATCH(Plano_V3!H225,Auxiliar!$C$16:$C$24,0),1)</f>
        <v>1. Concluído</v>
      </c>
      <c r="H225" s="65">
        <f>VLOOKUP(A225,'Aux - pivots1'!$A:$B,2,0)</f>
        <v>1</v>
      </c>
      <c r="I225" s="189">
        <f>SUMIFS(Table1[Estimação (horas)],Table1[Tabela],Plano_V3!E225,Table1[Campo],Plano_V3!F225)</f>
        <v>0.6</v>
      </c>
      <c r="J225" s="189">
        <f t="shared" si="41"/>
        <v>7.4999999999999997E-2</v>
      </c>
      <c r="K225" s="189">
        <f>SUMIFS(Table1[Horas efetivas],Table1[Tabela],Plano_V3!E225,Table1[Campo],Plano_V3!F225)</f>
        <v>0.6</v>
      </c>
      <c r="L225" s="189">
        <f t="shared" si="42"/>
        <v>7.4999999999999997E-2</v>
      </c>
      <c r="M225" s="183"/>
      <c r="N225" s="183">
        <f t="shared" si="43"/>
        <v>1</v>
      </c>
      <c r="O225" s="183">
        <f t="shared" si="44"/>
        <v>1</v>
      </c>
      <c r="P225" s="90" t="s">
        <v>39</v>
      </c>
      <c r="Q225" s="91">
        <f t="shared" si="27"/>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modesg_param_sfcs_taxon_europeiamontante_pndrc</v>
      </c>
      <c r="B226" s="68" t="s">
        <v>26</v>
      </c>
      <c r="C226" s="69" t="s">
        <v>181</v>
      </c>
      <c r="D226" s="65" t="s">
        <v>40</v>
      </c>
      <c r="E226" s="67" t="s">
        <v>182</v>
      </c>
      <c r="F226" s="65" t="s">
        <v>202</v>
      </c>
      <c r="G226" s="65" t="str">
        <f>INDEX(Auxiliar!$B$16:$B$24,MATCH(Plano_V3!H226,Auxiliar!$C$16:$C$24,0),1)</f>
        <v>1. Concluído</v>
      </c>
      <c r="H226" s="65">
        <f>VLOOKUP(A226,'Aux - pivots1'!$A:$B,2,0)</f>
        <v>1</v>
      </c>
      <c r="I226" s="189">
        <f>SUMIFS(Table1[Estimação (horas)],Table1[Tabela],Plano_V3!E226,Table1[Campo],Plano_V3!F226)</f>
        <v>0.6</v>
      </c>
      <c r="J226" s="189">
        <f t="shared" si="41"/>
        <v>7.4999999999999997E-2</v>
      </c>
      <c r="K226" s="189">
        <f>SUMIFS(Table1[Horas efetivas],Table1[Tabela],Plano_V3!E226,Table1[Campo],Plano_V3!F226)</f>
        <v>0.6</v>
      </c>
      <c r="L226" s="189">
        <f t="shared" si="42"/>
        <v>7.4999999999999997E-2</v>
      </c>
      <c r="M226" s="183"/>
      <c r="N226" s="183">
        <f t="shared" si="43"/>
        <v>1</v>
      </c>
      <c r="O226" s="183">
        <f t="shared" si="44"/>
        <v>1</v>
      </c>
      <c r="P226" s="90" t="s">
        <v>39</v>
      </c>
      <c r="Q226" s="91">
        <f t="shared" ref="Q226:Q292" si="45">J226-SUM(R226:ES226)</f>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28"/>
        <v>modesg_param_sfcs_taxon_europeianome_ctgr_sfcs</v>
      </c>
      <c r="B227" s="68" t="s">
        <v>26</v>
      </c>
      <c r="C227" s="69" t="s">
        <v>181</v>
      </c>
      <c r="D227" s="65" t="s">
        <v>40</v>
      </c>
      <c r="E227" s="67" t="s">
        <v>182</v>
      </c>
      <c r="F227" s="65" t="s">
        <v>203</v>
      </c>
      <c r="G227" s="65" t="str">
        <f>INDEX(Auxiliar!$B$16:$B$24,MATCH(Plano_V3!H227,Auxiliar!$C$16:$C$24,0),1)</f>
        <v>4. Validação EF</v>
      </c>
      <c r="H227" s="65">
        <f>VLOOKUP(A227,'Aux - pivots1'!$A:$B,2,0)</f>
        <v>5</v>
      </c>
      <c r="I227" s="189">
        <f>SUMIFS(Table1[Estimação (horas)],Table1[Tabela],Plano_V3!E227,Table1[Campo],Plano_V3!F227)</f>
        <v>0.6</v>
      </c>
      <c r="J227" s="189">
        <f t="shared" si="41"/>
        <v>7.4999999999999997E-2</v>
      </c>
      <c r="K227" s="189">
        <f>SUMIFS(Table1[Horas efetivas],Table1[Tabela],Plano_V3!E227,Table1[Campo],Plano_V3!F227)</f>
        <v>0.15</v>
      </c>
      <c r="L227" s="189">
        <f t="shared" si="42"/>
        <v>1.8749999999999999E-2</v>
      </c>
      <c r="M227" s="183"/>
      <c r="N227" s="183">
        <f t="shared" si="43"/>
        <v>0.25</v>
      </c>
      <c r="O227" s="183">
        <f t="shared" si="44"/>
        <v>0.25</v>
      </c>
      <c r="P227" s="90" t="s">
        <v>39</v>
      </c>
      <c r="Q227" s="91">
        <f t="shared" si="45"/>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ref="A228:A294" si="46">E228&amp;F228</f>
        <v>modesg_param_sfcs_taxon_europeianome_general_specific_purpose</v>
      </c>
      <c r="B228" s="68" t="s">
        <v>26</v>
      </c>
      <c r="C228" s="69" t="s">
        <v>181</v>
      </c>
      <c r="D228" s="65" t="s">
        <v>40</v>
      </c>
      <c r="E228" s="67" t="s">
        <v>182</v>
      </c>
      <c r="F228" s="65" t="s">
        <v>204</v>
      </c>
      <c r="G228" s="65" t="str">
        <f>INDEX(Auxiliar!$B$16:$B$24,MATCH(Plano_V3!H228,Auxiliar!$C$16:$C$24,0),1)</f>
        <v>1. Concluído</v>
      </c>
      <c r="H228" s="65">
        <f>VLOOKUP(A228,'Aux - pivots1'!$A:$B,2,0)</f>
        <v>1</v>
      </c>
      <c r="I228" s="189">
        <f>SUMIFS(Table1[Estimação (horas)],Table1[Tabela],Plano_V3!E228,Table1[Campo],Plano_V3!F228)</f>
        <v>0.6</v>
      </c>
      <c r="J228" s="189">
        <f t="shared" si="41"/>
        <v>7.4999999999999997E-2</v>
      </c>
      <c r="K228" s="189">
        <f>SUMIFS(Table1[Horas efetivas],Table1[Tabela],Plano_V3!E228,Table1[Campo],Plano_V3!F228)</f>
        <v>0.6</v>
      </c>
      <c r="L228" s="189">
        <f t="shared" si="42"/>
        <v>7.4999999999999997E-2</v>
      </c>
      <c r="M228" s="183"/>
      <c r="N228" s="183">
        <f t="shared" si="43"/>
        <v>1</v>
      </c>
      <c r="O228" s="183">
        <f t="shared" si="44"/>
        <v>1</v>
      </c>
      <c r="P228" s="90" t="s">
        <v>39</v>
      </c>
      <c r="Q228" s="91">
        <f t="shared" si="45"/>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6"/>
        <v>modesg_param_sfcs_taxon_europeianome_purpose_esg</v>
      </c>
      <c r="B229" s="68" t="s">
        <v>26</v>
      </c>
      <c r="C229" s="69" t="s">
        <v>181</v>
      </c>
      <c r="D229" s="65" t="s">
        <v>40</v>
      </c>
      <c r="E229" s="67" t="s">
        <v>182</v>
      </c>
      <c r="F229" s="65" t="s">
        <v>205</v>
      </c>
      <c r="G229" s="65" t="str">
        <f>INDEX(Auxiliar!$B$16:$B$24,MATCH(Plano_V3!H229,Auxiliar!$C$16:$C$24,0),1)</f>
        <v>1. Concluído</v>
      </c>
      <c r="H229" s="65">
        <f>VLOOKUP(A229,'Aux - pivots1'!$A:$B,2,0)</f>
        <v>1</v>
      </c>
      <c r="I229" s="189">
        <f>SUMIFS(Table1[Estimação (horas)],Table1[Tabela],Plano_V3!E229,Table1[Campo],Plano_V3!F229)</f>
        <v>0.6</v>
      </c>
      <c r="J229" s="189">
        <f t="shared" si="41"/>
        <v>7.4999999999999997E-2</v>
      </c>
      <c r="K229" s="189">
        <f>SUMIFS(Table1[Horas efetivas],Table1[Tabela],Plano_V3!E229,Table1[Campo],Plano_V3!F229)</f>
        <v>0.6</v>
      </c>
      <c r="L229" s="189">
        <f t="shared" si="42"/>
        <v>7.4999999999999997E-2</v>
      </c>
      <c r="M229" s="183"/>
      <c r="N229" s="183">
        <f t="shared" si="43"/>
        <v>1</v>
      </c>
      <c r="O229" s="183">
        <f t="shared" si="44"/>
        <v>1</v>
      </c>
      <c r="P229" s="90" t="s">
        <v>39</v>
      </c>
      <c r="Q229" s="91">
        <f t="shared" si="45"/>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6"/>
        <v>modesg_param_sfcs_taxon_europeianome_specific_eligible</v>
      </c>
      <c r="B230" s="68" t="s">
        <v>26</v>
      </c>
      <c r="C230" s="69" t="s">
        <v>181</v>
      </c>
      <c r="D230" s="65" t="s">
        <v>40</v>
      </c>
      <c r="E230" s="67" t="s">
        <v>182</v>
      </c>
      <c r="F230" s="65" t="s">
        <v>206</v>
      </c>
      <c r="G230" s="65" t="str">
        <f>INDEX(Auxiliar!$B$16:$B$24,MATCH(Plano_V3!H230,Auxiliar!$C$16:$C$24,0),1)</f>
        <v>1. Concluído</v>
      </c>
      <c r="H230" s="65">
        <f>VLOOKUP(A230,'Aux - pivots1'!$A:$B,2,0)</f>
        <v>1</v>
      </c>
      <c r="I230" s="189">
        <f>SUMIFS(Table1[Estimação (horas)],Table1[Tabela],Plano_V3!E230,Table1[Campo],Plano_V3!F230)</f>
        <v>0.6</v>
      </c>
      <c r="J230" s="189">
        <f t="shared" si="41"/>
        <v>7.4999999999999997E-2</v>
      </c>
      <c r="K230" s="189">
        <f>SUMIFS(Table1[Horas efetivas],Table1[Tabela],Plano_V3!E230,Table1[Campo],Plano_V3!F230)</f>
        <v>0.6</v>
      </c>
      <c r="L230" s="189">
        <f t="shared" si="42"/>
        <v>7.4999999999999997E-2</v>
      </c>
      <c r="M230" s="183"/>
      <c r="N230" s="183">
        <f t="shared" si="43"/>
        <v>1</v>
      </c>
      <c r="O230" s="183">
        <f t="shared" si="44"/>
        <v>1</v>
      </c>
      <c r="P230" s="90" t="s">
        <v>39</v>
      </c>
      <c r="Q230" s="91">
        <f t="shared" si="45"/>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6"/>
        <v>modesg_param_sfcs_taxon_europeianome_specific_sustainable</v>
      </c>
      <c r="B231" s="68" t="s">
        <v>26</v>
      </c>
      <c r="C231" s="69" t="s">
        <v>181</v>
      </c>
      <c r="D231" s="65" t="s">
        <v>40</v>
      </c>
      <c r="E231" s="67" t="s">
        <v>182</v>
      </c>
      <c r="F231" s="65" t="s">
        <v>207</v>
      </c>
      <c r="G231" s="65" t="str">
        <f>INDEX(Auxiliar!$B$16:$B$24,MATCH(Plano_V3!H231,Auxiliar!$C$16:$C$24,0),1)</f>
        <v>1. Concluído</v>
      </c>
      <c r="H231" s="65">
        <f>VLOOKUP(A231,'Aux - pivots1'!$A:$B,2,0)</f>
        <v>1</v>
      </c>
      <c r="I231" s="189">
        <f>SUMIFS(Table1[Estimação (horas)],Table1[Tabela],Plano_V3!E231,Table1[Campo],Plano_V3!F231)</f>
        <v>0.6</v>
      </c>
      <c r="J231" s="189">
        <f t="shared" si="41"/>
        <v>7.4999999999999997E-2</v>
      </c>
      <c r="K231" s="189">
        <f>SUMIFS(Table1[Horas efetivas],Table1[Tabela],Plano_V3!E231,Table1[Campo],Plano_V3!F231)</f>
        <v>0.6</v>
      </c>
      <c r="L231" s="189">
        <f t="shared" si="42"/>
        <v>7.4999999999999997E-2</v>
      </c>
      <c r="M231" s="183"/>
      <c r="N231" s="183">
        <f t="shared" si="43"/>
        <v>1</v>
      </c>
      <c r="O231" s="183">
        <f t="shared" si="44"/>
        <v>1</v>
      </c>
      <c r="P231" s="90" t="s">
        <v>39</v>
      </c>
      <c r="Q231" s="91">
        <f t="shared" si="45"/>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6"/>
        <v>modesg_param_sfcs_taxon_europeiaref_date</v>
      </c>
      <c r="B232" s="68" t="s">
        <v>26</v>
      </c>
      <c r="C232" s="69" t="s">
        <v>181</v>
      </c>
      <c r="D232" s="65" t="s">
        <v>40</v>
      </c>
      <c r="E232" s="67" t="s">
        <v>182</v>
      </c>
      <c r="F232" s="65" t="s">
        <v>208</v>
      </c>
      <c r="G232" s="65" t="str">
        <f>INDEX(Auxiliar!$B$16:$B$24,MATCH(Plano_V3!H232,Auxiliar!$C$16:$C$24,0),1)</f>
        <v>1. Concluído</v>
      </c>
      <c r="H232" s="65">
        <f>VLOOKUP(A232,'Aux - pivots1'!$A:$B,2,0)</f>
        <v>1</v>
      </c>
      <c r="I232" s="189">
        <f>SUMIFS(Table1[Estimação (horas)],Table1[Tabela],Plano_V3!E232,Table1[Campo],Plano_V3!F232)</f>
        <v>0.6</v>
      </c>
      <c r="J232" s="189">
        <f t="shared" si="41"/>
        <v>7.4999999999999997E-2</v>
      </c>
      <c r="K232" s="189">
        <f>SUMIFS(Table1[Horas efetivas],Table1[Tabela],Plano_V3!E232,Table1[Campo],Plano_V3!F232)</f>
        <v>0.6</v>
      </c>
      <c r="L232" s="189">
        <f t="shared" si="42"/>
        <v>7.4999999999999997E-2</v>
      </c>
      <c r="M232" s="183"/>
      <c r="N232" s="183">
        <f t="shared" si="43"/>
        <v>1</v>
      </c>
      <c r="O232" s="183">
        <f t="shared" si="44"/>
        <v>1</v>
      </c>
      <c r="P232" s="90" t="s">
        <v>39</v>
      </c>
      <c r="Q232" s="91">
        <f t="shared" si="45"/>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6"/>
        <v>modesg_param_sfcs_taxon_europeiazcliente</v>
      </c>
      <c r="B233" s="68" t="s">
        <v>26</v>
      </c>
      <c r="C233" s="69" t="s">
        <v>181</v>
      </c>
      <c r="D233" s="65" t="s">
        <v>40</v>
      </c>
      <c r="E233" s="67" t="s">
        <v>182</v>
      </c>
      <c r="F233" s="65" t="s">
        <v>209</v>
      </c>
      <c r="G233" s="65" t="str">
        <f>INDEX(Auxiliar!$B$16:$B$24,MATCH(Plano_V3!H233,Auxiliar!$C$16:$C$24,0),1)</f>
        <v>1. Concluído</v>
      </c>
      <c r="H233" s="65">
        <f>VLOOKUP(A233,'Aux - pivots1'!$A:$B,2,0)</f>
        <v>1</v>
      </c>
      <c r="I233" s="189">
        <f>SUMIFS(Table1[Estimação (horas)],Table1[Tabela],Plano_V3!E233,Table1[Campo],Plano_V3!F233)</f>
        <v>0.6</v>
      </c>
      <c r="J233" s="189">
        <f t="shared" si="41"/>
        <v>7.4999999999999997E-2</v>
      </c>
      <c r="K233" s="189">
        <f>SUMIFS(Table1[Horas efetivas],Table1[Tabela],Plano_V3!E233,Table1[Campo],Plano_V3!F233)</f>
        <v>0.6</v>
      </c>
      <c r="L233" s="189">
        <f t="shared" si="42"/>
        <v>7.4999999999999997E-2</v>
      </c>
      <c r="M233" s="183"/>
      <c r="N233" s="183">
        <f t="shared" si="43"/>
        <v>1</v>
      </c>
      <c r="O233" s="183">
        <f t="shared" si="44"/>
        <v>1</v>
      </c>
      <c r="P233" s="90" t="s">
        <v>39</v>
      </c>
      <c r="Q233" s="91">
        <f t="shared" si="45"/>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modesg_param_sfcs_taxon_europeiazdeposit</v>
      </c>
      <c r="B234" s="68" t="s">
        <v>26</v>
      </c>
      <c r="C234" s="69" t="s">
        <v>181</v>
      </c>
      <c r="D234" s="65" t="s">
        <v>40</v>
      </c>
      <c r="E234" s="67" t="s">
        <v>182</v>
      </c>
      <c r="F234" s="65" t="s">
        <v>210</v>
      </c>
      <c r="G234" s="65" t="str">
        <f>INDEX(Auxiliar!$B$16:$B$24,MATCH(Plano_V3!H234,Auxiliar!$C$16:$C$24,0),1)</f>
        <v>1. Concluído</v>
      </c>
      <c r="H234" s="65">
        <f>VLOOKUP(A234,'Aux - pivots1'!$A:$B,2,0)</f>
        <v>1</v>
      </c>
      <c r="I234" s="189">
        <f>SUMIFS(Table1[Estimação (horas)],Table1[Tabela],Plano_V3!E234,Table1[Campo],Plano_V3!F234)</f>
        <v>0.6</v>
      </c>
      <c r="J234" s="189">
        <f t="shared" si="41"/>
        <v>7.4999999999999997E-2</v>
      </c>
      <c r="K234" s="189">
        <f>SUMIFS(Table1[Horas efetivas],Table1[Tabela],Plano_V3!E234,Table1[Campo],Plano_V3!F234)</f>
        <v>0.6</v>
      </c>
      <c r="L234" s="189">
        <f t="shared" si="42"/>
        <v>7.4999999999999997E-2</v>
      </c>
      <c r="M234" s="183"/>
      <c r="N234" s="183">
        <f t="shared" si="43"/>
        <v>1</v>
      </c>
      <c r="O234" s="183">
        <f t="shared" si="44"/>
        <v>1</v>
      </c>
      <c r="P234" s="90" t="s">
        <v>39</v>
      </c>
      <c r="Q234" s="91">
        <f t="shared" si="45"/>
        <v>7.4999999999999997E-2</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modesg_param_sfcs_taxon_europeiaordem</v>
      </c>
      <c r="B235" s="68" t="s">
        <v>26</v>
      </c>
      <c r="C235" s="69" t="s">
        <v>181</v>
      </c>
      <c r="D235" s="65" t="s">
        <v>40</v>
      </c>
      <c r="E235" s="67" t="s">
        <v>182</v>
      </c>
      <c r="F235" s="65" t="s">
        <v>211</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4"/>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E236&amp;F236</f>
        <v>modesg_param_sfcs_taxon_europeianivel_mrc</v>
      </c>
      <c r="B236" s="68" t="s">
        <v>26</v>
      </c>
      <c r="C236" s="69" t="s">
        <v>181</v>
      </c>
      <c r="D236" s="65" t="s">
        <v>40</v>
      </c>
      <c r="E236" s="67" t="s">
        <v>182</v>
      </c>
      <c r="F236" s="65" t="s">
        <v>212</v>
      </c>
      <c r="G236" s="65" t="str">
        <f>INDEX(Auxiliar!$B$16:$B$24,MATCH(Plano_V3!H236,Auxiliar!$C$16:$C$24,0),1)</f>
        <v>0. Cancelado</v>
      </c>
      <c r="H236" s="65">
        <f>VLOOKUP(A236,'Aux - pivots1'!$A:$B,2,0)</f>
        <v>0</v>
      </c>
      <c r="I236" s="189">
        <f>SUMIFS(Table1[Estimação (horas)],Table1[Tabela],Plano_V3!E236,Table1[Campo],Plano_V3!F236)</f>
        <v>0.6</v>
      </c>
      <c r="J236" s="189">
        <f>I236/8</f>
        <v>7.4999999999999997E-2</v>
      </c>
      <c r="K236" s="189">
        <f>SUMIFS(Table1[Horas efetivas],Table1[Tabela],Plano_V3!E236,Table1[Campo],Plano_V3!F236)</f>
        <v>0</v>
      </c>
      <c r="L236" s="189">
        <f>K236/8</f>
        <v>0</v>
      </c>
      <c r="M236" s="183"/>
      <c r="N236" s="183">
        <f>L236/J236</f>
        <v>0</v>
      </c>
      <c r="O236" s="183">
        <f t="shared" si="44"/>
        <v>0</v>
      </c>
      <c r="P236" s="90" t="s">
        <v>39</v>
      </c>
      <c r="Q236" s="91"/>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6"/>
        <v>modesg_inp_emss_vclsn.a.</v>
      </c>
      <c r="B237" s="68" t="s">
        <v>26</v>
      </c>
      <c r="C237" s="69" t="s">
        <v>181</v>
      </c>
      <c r="D237" s="65" t="s">
        <v>36</v>
      </c>
      <c r="E237" s="67" t="s">
        <v>213</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1"/>
        <v>1.0625</v>
      </c>
      <c r="K237" s="189">
        <f>SUMIFS(Table1[Horas efetivas],Table1[Tabela],Plano_V3!E237,Table1[Campo],Plano_V3!F237)</f>
        <v>8.5</v>
      </c>
      <c r="L237" s="189">
        <f t="shared" si="42"/>
        <v>1.0625</v>
      </c>
      <c r="M237" s="183"/>
      <c r="N237" s="183">
        <f t="shared" si="43"/>
        <v>1</v>
      </c>
      <c r="O237" s="183">
        <f t="shared" si="44"/>
        <v>1</v>
      </c>
      <c r="P237" s="90" t="s">
        <v>39</v>
      </c>
      <c r="Q237" s="91">
        <f t="shared" si="45"/>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6"/>
        <v>modesg_inp_km_medios_emss_vclsn.a.</v>
      </c>
      <c r="B238" s="68" t="s">
        <v>26</v>
      </c>
      <c r="C238" s="69" t="s">
        <v>181</v>
      </c>
      <c r="D238" s="65" t="s">
        <v>36</v>
      </c>
      <c r="E238" s="67" t="s">
        <v>214</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1"/>
        <v>1.0625</v>
      </c>
      <c r="K238" s="189">
        <f>SUMIFS(Table1[Horas efetivas],Table1[Tabela],Plano_V3!E238,Table1[Campo],Plano_V3!F238)</f>
        <v>8.5</v>
      </c>
      <c r="L238" s="189">
        <f t="shared" si="42"/>
        <v>1.0625</v>
      </c>
      <c r="M238" s="183"/>
      <c r="N238" s="183">
        <f t="shared" si="43"/>
        <v>1</v>
      </c>
      <c r="O238" s="183">
        <f t="shared" si="44"/>
        <v>1</v>
      </c>
      <c r="P238" s="90" t="s">
        <v>39</v>
      </c>
      <c r="Q238" s="91">
        <f t="shared" si="45"/>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6"/>
        <v>modesg_inp_empr_excl_parisn.a.</v>
      </c>
      <c r="B239" s="68" t="s">
        <v>26</v>
      </c>
      <c r="C239" s="69" t="s">
        <v>181</v>
      </c>
      <c r="D239" s="65" t="s">
        <v>36</v>
      </c>
      <c r="E239" s="67" t="s">
        <v>215</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1"/>
        <v>1.0625</v>
      </c>
      <c r="K239" s="189">
        <f>SUMIFS(Table1[Horas efetivas],Table1[Tabela],Plano_V3!E239,Table1[Campo],Plano_V3!F239)</f>
        <v>8.5</v>
      </c>
      <c r="L239" s="189">
        <f t="shared" si="42"/>
        <v>1.0625</v>
      </c>
      <c r="M239" s="183"/>
      <c r="N239" s="183">
        <f t="shared" si="43"/>
        <v>1</v>
      </c>
      <c r="O239" s="183">
        <f t="shared" si="44"/>
        <v>1</v>
      </c>
      <c r="P239" s="90" t="s">
        <v>39</v>
      </c>
      <c r="Q239" s="91">
        <f t="shared" si="45"/>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6"/>
        <v>modesg_inp_nfrd_alinhamento_taxn.a.</v>
      </c>
      <c r="B240" s="68" t="s">
        <v>26</v>
      </c>
      <c r="C240" s="69" t="s">
        <v>181</v>
      </c>
      <c r="D240" s="65" t="s">
        <v>36</v>
      </c>
      <c r="E240" s="67" t="s">
        <v>216</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1"/>
        <v>1.0625</v>
      </c>
      <c r="K240" s="189">
        <f>SUMIFS(Table1[Horas efetivas],Table1[Tabela],Plano_V3!E240,Table1[Campo],Plano_V3!F240)</f>
        <v>8.5</v>
      </c>
      <c r="L240" s="189">
        <f t="shared" si="42"/>
        <v>1.0625</v>
      </c>
      <c r="M240" s="183"/>
      <c r="N240" s="183">
        <f t="shared" si="43"/>
        <v>1</v>
      </c>
      <c r="O240" s="183">
        <f t="shared" si="44"/>
        <v>1</v>
      </c>
      <c r="P240" s="90" t="s">
        <v>39</v>
      </c>
      <c r="Q240" s="91">
        <f t="shared" si="45"/>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6"/>
        <v>modesg_inp_risco_fisicon.a.</v>
      </c>
      <c r="B241" s="68" t="s">
        <v>26</v>
      </c>
      <c r="C241" s="69" t="s">
        <v>181</v>
      </c>
      <c r="D241" s="65" t="s">
        <v>36</v>
      </c>
      <c r="E241" s="67" t="s">
        <v>217</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1"/>
        <v>1.0625</v>
      </c>
      <c r="K241" s="189">
        <f>SUMIFS(Table1[Horas efetivas],Table1[Tabela],Plano_V3!E241,Table1[Campo],Plano_V3!F241)</f>
        <v>8.5</v>
      </c>
      <c r="L241" s="189">
        <f t="shared" si="42"/>
        <v>1.0625</v>
      </c>
      <c r="M241" s="183"/>
      <c r="N241" s="183">
        <f t="shared" si="43"/>
        <v>1</v>
      </c>
      <c r="O241" s="183">
        <f t="shared" si="44"/>
        <v>1</v>
      </c>
      <c r="P241" s="90" t="s">
        <v>39</v>
      </c>
      <c r="Q241" s="91">
        <f t="shared" si="45"/>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6"/>
        <v>modesg_inp_emss_scibn.a.</v>
      </c>
      <c r="B242" s="68" t="s">
        <v>26</v>
      </c>
      <c r="C242" s="69" t="s">
        <v>181</v>
      </c>
      <c r="D242" s="65" t="s">
        <v>36</v>
      </c>
      <c r="E242" s="67" t="s">
        <v>218</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1"/>
        <v>1.0625</v>
      </c>
      <c r="K242" s="189">
        <f>SUMIFS(Table1[Horas efetivas],Table1[Tabela],Plano_V3!E242,Table1[Campo],Plano_V3!F242)</f>
        <v>8.5</v>
      </c>
      <c r="L242" s="189">
        <f t="shared" si="42"/>
        <v>1.0625</v>
      </c>
      <c r="M242" s="183"/>
      <c r="N242" s="183">
        <f t="shared" si="43"/>
        <v>1</v>
      </c>
      <c r="O242" s="183">
        <f t="shared" si="44"/>
        <v>1</v>
      </c>
      <c r="P242" s="90" t="s">
        <v>39</v>
      </c>
      <c r="Q242" s="91">
        <f t="shared" si="45"/>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6"/>
        <v>modesg_inp_emss_nacen.a.</v>
      </c>
      <c r="B243" s="68" t="s">
        <v>26</v>
      </c>
      <c r="C243" s="69" t="s">
        <v>181</v>
      </c>
      <c r="D243" s="65" t="s">
        <v>36</v>
      </c>
      <c r="E243" s="67" t="s">
        <v>219</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1"/>
        <v>1.0625</v>
      </c>
      <c r="K243" s="189">
        <f>SUMIFS(Table1[Horas efetivas],Table1[Tabela],Plano_V3!E243,Table1[Campo],Plano_V3!F243)</f>
        <v>8.5</v>
      </c>
      <c r="L243" s="189">
        <f t="shared" si="42"/>
        <v>1.0625</v>
      </c>
      <c r="M243" s="183"/>
      <c r="N243" s="183">
        <f t="shared" si="43"/>
        <v>1</v>
      </c>
      <c r="O243" s="183">
        <f t="shared" si="44"/>
        <v>1</v>
      </c>
      <c r="P243" s="90" t="s">
        <v>39</v>
      </c>
      <c r="Q243" s="91">
        <f t="shared" si="45"/>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6"/>
        <v>modesg_inp_emss_bens_imoveisn.a.</v>
      </c>
      <c r="B244" s="68" t="s">
        <v>26</v>
      </c>
      <c r="C244" s="69" t="s">
        <v>181</v>
      </c>
      <c r="D244" s="65" t="s">
        <v>36</v>
      </c>
      <c r="E244" s="67" t="s">
        <v>220</v>
      </c>
      <c r="F244" s="65" t="s">
        <v>38</v>
      </c>
      <c r="G244" s="65" t="str">
        <f>INDEX(Auxiliar!$B$16:$B$24,MATCH(Plano_V3!H244,Auxiliar!$C$16:$C$24,0),1)</f>
        <v>1. Concluído</v>
      </c>
      <c r="H244" s="65">
        <f>VLOOKUP(A244,'Aux - pivots1'!$A:$B,2,0)</f>
        <v>1</v>
      </c>
      <c r="I244" s="189">
        <f>SUMIFS(Table1[Estimação (horas)],Table1[Tabela],Plano_V3!E244,Table1[Campo],Plano_V3!F244)</f>
        <v>8.5</v>
      </c>
      <c r="J244" s="189">
        <f t="shared" si="41"/>
        <v>1.0625</v>
      </c>
      <c r="K244" s="189">
        <f>SUMIFS(Table1[Horas efetivas],Table1[Tabela],Plano_V3!E244,Table1[Campo],Plano_V3!F244)</f>
        <v>8.5</v>
      </c>
      <c r="L244" s="189">
        <f t="shared" si="42"/>
        <v>1.0625</v>
      </c>
      <c r="M244" s="183"/>
      <c r="N244" s="183">
        <f t="shared" si="43"/>
        <v>1</v>
      </c>
      <c r="O244" s="183">
        <f t="shared" si="44"/>
        <v>1</v>
      </c>
      <c r="P244" s="90" t="s">
        <v>39</v>
      </c>
      <c r="Q244" s="91">
        <f t="shared" si="45"/>
        <v>1.0625</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6"/>
        <v>modesg_inp_emss_vclsref_date</v>
      </c>
      <c r="B245" s="68" t="s">
        <v>26</v>
      </c>
      <c r="C245" s="69" t="s">
        <v>181</v>
      </c>
      <c r="D245" s="65" t="s">
        <v>40</v>
      </c>
      <c r="E245" s="67" t="s">
        <v>213</v>
      </c>
      <c r="F245" s="65" t="s">
        <v>208</v>
      </c>
      <c r="G245" s="65" t="str">
        <f>INDEX(Auxiliar!$B$16:$B$24,MATCH(Plano_V3!H245,Auxiliar!$C$16:$C$24,0),1)</f>
        <v>1. Concluído</v>
      </c>
      <c r="H245" s="65">
        <f>VLOOKUP(A245,'Aux - pivots1'!$A:$B,2,0)</f>
        <v>1</v>
      </c>
      <c r="I245" s="189">
        <f>SUMIFS(Table1[Estimação (horas)],Table1[Tabela],Plano_V3!E245,Table1[Campo],Plano_V3!F245)</f>
        <v>0.5</v>
      </c>
      <c r="J245" s="189">
        <f t="shared" si="41"/>
        <v>6.25E-2</v>
      </c>
      <c r="K245" s="189">
        <f>SUMIFS(Table1[Horas efetivas],Table1[Tabela],Plano_V3!E245,Table1[Campo],Plano_V3!F245)</f>
        <v>0.5</v>
      </c>
      <c r="L245" s="189">
        <f t="shared" si="42"/>
        <v>6.25E-2</v>
      </c>
      <c r="M245" s="183"/>
      <c r="N245" s="183">
        <f t="shared" si="43"/>
        <v>1</v>
      </c>
      <c r="O245" s="183">
        <f t="shared" si="44"/>
        <v>1</v>
      </c>
      <c r="P245" s="90" t="s">
        <v>39</v>
      </c>
      <c r="Q245" s="91">
        <f t="shared" si="45"/>
        <v>6.25E-2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6"/>
        <v>modesg_inp_emss_vclsnome_regiao</v>
      </c>
      <c r="B246" s="68" t="s">
        <v>26</v>
      </c>
      <c r="C246" s="69" t="s">
        <v>181</v>
      </c>
      <c r="D246" s="65" t="s">
        <v>40</v>
      </c>
      <c r="E246" s="67" t="s">
        <v>213</v>
      </c>
      <c r="F246" s="65" t="s">
        <v>221</v>
      </c>
      <c r="G246" s="65" t="str">
        <f>INDEX(Auxiliar!$B$16:$B$24,MATCH(Plano_V3!H246,Auxiliar!$C$16:$C$24,0),1)</f>
        <v>1. Concluído</v>
      </c>
      <c r="H246" s="65">
        <f>VLOOKUP(A246,'Aux - pivots1'!$A:$B,2,0)</f>
        <v>1</v>
      </c>
      <c r="I246" s="189">
        <f>SUMIFS(Table1[Estimação (horas)],Table1[Tabela],Plano_V3!E246,Table1[Campo],Plano_V3!F246)</f>
        <v>0.6</v>
      </c>
      <c r="J246" s="189">
        <f t="shared" si="41"/>
        <v>7.4999999999999997E-2</v>
      </c>
      <c r="K246" s="189">
        <f>SUMIFS(Table1[Horas efetivas],Table1[Tabela],Plano_V3!E246,Table1[Campo],Plano_V3!F246)</f>
        <v>0.6</v>
      </c>
      <c r="L246" s="189">
        <f t="shared" si="42"/>
        <v>7.4999999999999997E-2</v>
      </c>
      <c r="M246" s="183"/>
      <c r="N246" s="183">
        <f t="shared" si="43"/>
        <v>1</v>
      </c>
      <c r="O246" s="183">
        <f t="shared" si="44"/>
        <v>1</v>
      </c>
      <c r="P246" s="90" t="s">
        <v>39</v>
      </c>
      <c r="Q246" s="91">
        <f t="shared" si="45"/>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6"/>
        <v>modesg_inp_emss_vclsnome_pais</v>
      </c>
      <c r="B247" s="68" t="s">
        <v>26</v>
      </c>
      <c r="C247" s="69" t="s">
        <v>181</v>
      </c>
      <c r="D247" s="65" t="s">
        <v>40</v>
      </c>
      <c r="E247" s="67" t="s">
        <v>213</v>
      </c>
      <c r="F247" s="65" t="s">
        <v>222</v>
      </c>
      <c r="G247" s="65" t="str">
        <f>INDEX(Auxiliar!$B$16:$B$24,MATCH(Plano_V3!H247,Auxiliar!$C$16:$C$24,0),1)</f>
        <v>1. Concluído</v>
      </c>
      <c r="H247" s="65">
        <f>VLOOKUP(A247,'Aux - pivots1'!$A:$B,2,0)</f>
        <v>1</v>
      </c>
      <c r="I247" s="189">
        <f>SUMIFS(Table1[Estimação (horas)],Table1[Tabela],Plano_V3!E247,Table1[Campo],Plano_V3!F247)</f>
        <v>0.6</v>
      </c>
      <c r="J247" s="189">
        <f t="shared" si="41"/>
        <v>7.4999999999999997E-2</v>
      </c>
      <c r="K247" s="189">
        <f>SUMIFS(Table1[Horas efetivas],Table1[Tabela],Plano_V3!E247,Table1[Campo],Plano_V3!F247)</f>
        <v>0.6</v>
      </c>
      <c r="L247" s="189">
        <f t="shared" si="42"/>
        <v>7.4999999999999997E-2</v>
      </c>
      <c r="M247" s="183"/>
      <c r="N247" s="183">
        <f t="shared" si="43"/>
        <v>1</v>
      </c>
      <c r="O247" s="183">
        <f t="shared" si="44"/>
        <v>1</v>
      </c>
      <c r="P247" s="90" t="s">
        <v>39</v>
      </c>
      <c r="Q247" s="91">
        <f t="shared" si="45"/>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6"/>
        <v>modesg_inp_emss_vclsnome_estado</v>
      </c>
      <c r="B248" s="68" t="s">
        <v>26</v>
      </c>
      <c r="C248" s="69" t="s">
        <v>181</v>
      </c>
      <c r="D248" s="65" t="s">
        <v>40</v>
      </c>
      <c r="E248" s="67" t="s">
        <v>213</v>
      </c>
      <c r="F248" s="65" t="s">
        <v>223</v>
      </c>
      <c r="G248" s="65" t="str">
        <f>INDEX(Auxiliar!$B$16:$B$24,MATCH(Plano_V3!H248,Auxiliar!$C$16:$C$24,0),1)</f>
        <v>1. Concluído</v>
      </c>
      <c r="H248" s="65">
        <f>VLOOKUP(A248,'Aux - pivots1'!$A:$B,2,0)</f>
        <v>1</v>
      </c>
      <c r="I248" s="189">
        <f>SUMIFS(Table1[Estimação (horas)],Table1[Tabela],Plano_V3!E248,Table1[Campo],Plano_V3!F248)</f>
        <v>0.5</v>
      </c>
      <c r="J248" s="189">
        <f t="shared" si="41"/>
        <v>6.25E-2</v>
      </c>
      <c r="K248" s="189">
        <f>SUMIFS(Table1[Horas efetivas],Table1[Tabela],Plano_V3!E248,Table1[Campo],Plano_V3!F248)</f>
        <v>0.5</v>
      </c>
      <c r="L248" s="189">
        <f t="shared" si="42"/>
        <v>6.25E-2</v>
      </c>
      <c r="M248" s="183"/>
      <c r="N248" s="183">
        <f t="shared" si="43"/>
        <v>1</v>
      </c>
      <c r="O248" s="183">
        <f t="shared" si="44"/>
        <v>1</v>
      </c>
      <c r="P248" s="90" t="s">
        <v>39</v>
      </c>
      <c r="Q248" s="91">
        <f t="shared" si="45"/>
        <v>6.25E-2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6"/>
        <v>modesg_inp_emss_vclstipo_veiculo</v>
      </c>
      <c r="B249" s="68" t="s">
        <v>26</v>
      </c>
      <c r="C249" s="69" t="s">
        <v>181</v>
      </c>
      <c r="D249" s="65" t="s">
        <v>40</v>
      </c>
      <c r="E249" s="67" t="s">
        <v>213</v>
      </c>
      <c r="F249" s="65" t="s">
        <v>224</v>
      </c>
      <c r="G249" s="65" t="str">
        <f>INDEX(Auxiliar!$B$16:$B$24,MATCH(Plano_V3!H249,Auxiliar!$C$16:$C$24,0),1)</f>
        <v>1. Concluído</v>
      </c>
      <c r="H249" s="65">
        <f>VLOOKUP(A249,'Aux - pivots1'!$A:$B,2,0)</f>
        <v>1</v>
      </c>
      <c r="I249" s="189">
        <f>SUMIFS(Table1[Estimação (horas)],Table1[Tabela],Plano_V3!E249,Table1[Campo],Plano_V3!F249)</f>
        <v>0.6</v>
      </c>
      <c r="J249" s="189">
        <f t="shared" si="41"/>
        <v>7.4999999999999997E-2</v>
      </c>
      <c r="K249" s="189">
        <f>SUMIFS(Table1[Horas efetivas],Table1[Tabela],Plano_V3!E249,Table1[Campo],Plano_V3!F249)</f>
        <v>0.6</v>
      </c>
      <c r="L249" s="189">
        <f t="shared" si="42"/>
        <v>7.4999999999999997E-2</v>
      </c>
      <c r="M249" s="183"/>
      <c r="N249" s="183">
        <f t="shared" si="43"/>
        <v>1</v>
      </c>
      <c r="O249" s="183">
        <f t="shared" si="44"/>
        <v>1</v>
      </c>
      <c r="P249" s="90" t="s">
        <v>39</v>
      </c>
      <c r="Q249" s="91">
        <f t="shared" si="45"/>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6"/>
        <v>modesg_inp_emss_vclstipo_motor</v>
      </c>
      <c r="B250" s="68" t="s">
        <v>26</v>
      </c>
      <c r="C250" s="69" t="s">
        <v>181</v>
      </c>
      <c r="D250" s="65" t="s">
        <v>40</v>
      </c>
      <c r="E250" s="67" t="s">
        <v>213</v>
      </c>
      <c r="F250" s="65" t="s">
        <v>225</v>
      </c>
      <c r="G250" s="65" t="str">
        <f>INDEX(Auxiliar!$B$16:$B$24,MATCH(Plano_V3!H250,Auxiliar!$C$16:$C$24,0),1)</f>
        <v>1. Concluído</v>
      </c>
      <c r="H250" s="65">
        <f>VLOOKUP(A250,'Aux - pivots1'!$A:$B,2,0)</f>
        <v>1</v>
      </c>
      <c r="I250" s="189">
        <f>SUMIFS(Table1[Estimação (horas)],Table1[Tabela],Plano_V3!E250,Table1[Campo],Plano_V3!F250)</f>
        <v>0.6</v>
      </c>
      <c r="J250" s="189">
        <f t="shared" si="41"/>
        <v>7.4999999999999997E-2</v>
      </c>
      <c r="K250" s="189">
        <f>SUMIFS(Table1[Horas efetivas],Table1[Tabela],Plano_V3!E250,Table1[Campo],Plano_V3!F250)</f>
        <v>0.6</v>
      </c>
      <c r="L250" s="189">
        <f t="shared" si="42"/>
        <v>7.4999999999999997E-2</v>
      </c>
      <c r="M250" s="183"/>
      <c r="N250" s="183">
        <f t="shared" si="43"/>
        <v>1</v>
      </c>
      <c r="O250" s="183">
        <f t="shared" si="44"/>
        <v>1</v>
      </c>
      <c r="P250" s="90" t="s">
        <v>39</v>
      </c>
      <c r="Q250" s="91">
        <f t="shared" si="45"/>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6"/>
        <v>modesg_inp_emss_vclsmarca</v>
      </c>
      <c r="B251" s="68" t="s">
        <v>26</v>
      </c>
      <c r="C251" s="69" t="s">
        <v>181</v>
      </c>
      <c r="D251" s="65" t="s">
        <v>40</v>
      </c>
      <c r="E251" s="67" t="s">
        <v>213</v>
      </c>
      <c r="F251" s="65" t="s">
        <v>226</v>
      </c>
      <c r="G251" s="65" t="str">
        <f>INDEX(Auxiliar!$B$16:$B$24,MATCH(Plano_V3!H251,Auxiliar!$C$16:$C$24,0),1)</f>
        <v>1. Concluído</v>
      </c>
      <c r="H251" s="65">
        <f>VLOOKUP(A251,'Aux - pivots1'!$A:$B,2,0)</f>
        <v>1</v>
      </c>
      <c r="I251" s="189">
        <f>SUMIFS(Table1[Estimação (horas)],Table1[Tabela],Plano_V3!E251,Table1[Campo],Plano_V3!F251)</f>
        <v>0.6</v>
      </c>
      <c r="J251" s="189">
        <f t="shared" si="41"/>
        <v>7.4999999999999997E-2</v>
      </c>
      <c r="K251" s="189">
        <f>SUMIFS(Table1[Horas efetivas],Table1[Tabela],Plano_V3!E251,Table1[Campo],Plano_V3!F251)</f>
        <v>0.6</v>
      </c>
      <c r="L251" s="189">
        <f t="shared" si="42"/>
        <v>7.4999999999999997E-2</v>
      </c>
      <c r="M251" s="183"/>
      <c r="N251" s="183">
        <f t="shared" si="43"/>
        <v>1</v>
      </c>
      <c r="O251" s="183">
        <f t="shared" si="44"/>
        <v>1</v>
      </c>
      <c r="P251" s="90" t="s">
        <v>39</v>
      </c>
      <c r="Q251" s="91">
        <f t="shared" si="45"/>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6"/>
        <v>modesg_inp_emss_vclsmodelo</v>
      </c>
      <c r="B252" s="68" t="s">
        <v>26</v>
      </c>
      <c r="C252" s="69" t="s">
        <v>181</v>
      </c>
      <c r="D252" s="65" t="s">
        <v>40</v>
      </c>
      <c r="E252" s="67" t="s">
        <v>213</v>
      </c>
      <c r="F252" s="65" t="s">
        <v>227</v>
      </c>
      <c r="G252" s="65" t="str">
        <f>INDEX(Auxiliar!$B$16:$B$24,MATCH(Plano_V3!H252,Auxiliar!$C$16:$C$24,0),1)</f>
        <v>1. Concluído</v>
      </c>
      <c r="H252" s="65">
        <f>VLOOKUP(A252,'Aux - pivots1'!$A:$B,2,0)</f>
        <v>1</v>
      </c>
      <c r="I252" s="189">
        <f>SUMIFS(Table1[Estimação (horas)],Table1[Tabela],Plano_V3!E252,Table1[Campo],Plano_V3!F252)</f>
        <v>0.6</v>
      </c>
      <c r="J252" s="189">
        <f t="shared" si="41"/>
        <v>7.4999999999999997E-2</v>
      </c>
      <c r="K252" s="189">
        <f>SUMIFS(Table1[Horas efetivas],Table1[Tabela],Plano_V3!E252,Table1[Campo],Plano_V3!F252)</f>
        <v>0.6</v>
      </c>
      <c r="L252" s="189">
        <f t="shared" si="42"/>
        <v>7.4999999999999997E-2</v>
      </c>
      <c r="M252" s="183"/>
      <c r="N252" s="183">
        <f t="shared" si="43"/>
        <v>1</v>
      </c>
      <c r="O252" s="183">
        <f t="shared" si="44"/>
        <v>1</v>
      </c>
      <c r="P252" s="90" t="s">
        <v>39</v>
      </c>
      <c r="Q252" s="91">
        <f t="shared" si="45"/>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6"/>
        <v>modesg_inp_emss_vclssubgrupo</v>
      </c>
      <c r="B253" s="68" t="s">
        <v>26</v>
      </c>
      <c r="C253" s="69" t="s">
        <v>181</v>
      </c>
      <c r="D253" s="65" t="s">
        <v>40</v>
      </c>
      <c r="E253" s="67" t="s">
        <v>213</v>
      </c>
      <c r="F253" s="65" t="s">
        <v>228</v>
      </c>
      <c r="G253" s="65" t="str">
        <f>INDEX(Auxiliar!$B$16:$B$24,MATCH(Plano_V3!H253,Auxiliar!$C$16:$C$24,0),1)</f>
        <v>1. Concluído</v>
      </c>
      <c r="H253" s="65">
        <f>VLOOKUP(A253,'Aux - pivots1'!$A:$B,2,0)</f>
        <v>1</v>
      </c>
      <c r="I253" s="189">
        <f>SUMIFS(Table1[Estimação (horas)],Table1[Tabela],Plano_V3!E253,Table1[Campo],Plano_V3!F253)</f>
        <v>0.6</v>
      </c>
      <c r="J253" s="189">
        <f t="shared" si="41"/>
        <v>7.4999999999999997E-2</v>
      </c>
      <c r="K253" s="189">
        <f>SUMIFS(Table1[Horas efetivas],Table1[Tabela],Plano_V3!E253,Table1[Campo],Plano_V3!F253)</f>
        <v>0.6</v>
      </c>
      <c r="L253" s="189">
        <f t="shared" si="42"/>
        <v>7.4999999999999997E-2</v>
      </c>
      <c r="M253" s="183"/>
      <c r="N253" s="183">
        <f t="shared" si="43"/>
        <v>1</v>
      </c>
      <c r="O253" s="183">
        <f t="shared" si="44"/>
        <v>1</v>
      </c>
      <c r="P253" s="90" t="s">
        <v>39</v>
      </c>
      <c r="Q253" s="91">
        <f t="shared" si="45"/>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6"/>
        <v>modesg_inp_emss_vclsnome_unidade_funcional</v>
      </c>
      <c r="B254" s="68" t="s">
        <v>26</v>
      </c>
      <c r="C254" s="69" t="s">
        <v>181</v>
      </c>
      <c r="D254" s="65" t="s">
        <v>40</v>
      </c>
      <c r="E254" s="67" t="s">
        <v>213</v>
      </c>
      <c r="F254" s="65" t="s">
        <v>229</v>
      </c>
      <c r="G254" s="65" t="str">
        <f>INDEX(Auxiliar!$B$16:$B$24,MATCH(Plano_V3!H254,Auxiliar!$C$16:$C$24,0),1)</f>
        <v>1. Concluído</v>
      </c>
      <c r="H254" s="65">
        <f>VLOOKUP(A254,'Aux - pivots1'!$A:$B,2,0)</f>
        <v>1</v>
      </c>
      <c r="I254" s="189">
        <f>SUMIFS(Table1[Estimação (horas)],Table1[Tabela],Plano_V3!E254,Table1[Campo],Plano_V3!F254)</f>
        <v>0.6</v>
      </c>
      <c r="J254" s="189">
        <f t="shared" si="41"/>
        <v>7.4999999999999997E-2</v>
      </c>
      <c r="K254" s="189">
        <f>SUMIFS(Table1[Horas efetivas],Table1[Tabela],Plano_V3!E254,Table1[Campo],Plano_V3!F254)</f>
        <v>0.6</v>
      </c>
      <c r="L254" s="189">
        <f t="shared" si="42"/>
        <v>7.4999999999999997E-2</v>
      </c>
      <c r="M254" s="183"/>
      <c r="N254" s="183">
        <f t="shared" si="43"/>
        <v>1</v>
      </c>
      <c r="O254" s="183">
        <f t="shared" si="44"/>
        <v>1</v>
      </c>
      <c r="P254" s="90" t="s">
        <v>39</v>
      </c>
      <c r="Q254" s="91">
        <f t="shared" si="45"/>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6"/>
        <v>modesg_inp_emss_vclsunidade_funcional</v>
      </c>
      <c r="B255" s="68" t="s">
        <v>26</v>
      </c>
      <c r="C255" s="69" t="s">
        <v>181</v>
      </c>
      <c r="D255" s="65" t="s">
        <v>40</v>
      </c>
      <c r="E255" s="67" t="s">
        <v>213</v>
      </c>
      <c r="F255" s="65" t="s">
        <v>230</v>
      </c>
      <c r="G255" s="65" t="str">
        <f>INDEX(Auxiliar!$B$16:$B$24,MATCH(Plano_V3!H255,Auxiliar!$C$16:$C$24,0),1)</f>
        <v>1. Concluído</v>
      </c>
      <c r="H255" s="65">
        <f>VLOOKUP(A255,'Aux - pivots1'!$A:$B,2,0)</f>
        <v>1</v>
      </c>
      <c r="I255" s="189">
        <f>SUMIFS(Table1[Estimação (horas)],Table1[Tabela],Plano_V3!E255,Table1[Campo],Plano_V3!F255)</f>
        <v>0.6</v>
      </c>
      <c r="J255" s="189">
        <f t="shared" si="41"/>
        <v>7.4999999999999997E-2</v>
      </c>
      <c r="K255" s="189">
        <f>SUMIFS(Table1[Horas efetivas],Table1[Tabela],Plano_V3!E255,Table1[Campo],Plano_V3!F255)</f>
        <v>0.6</v>
      </c>
      <c r="L255" s="189">
        <f t="shared" si="42"/>
        <v>7.4999999999999997E-2</v>
      </c>
      <c r="M255" s="183"/>
      <c r="N255" s="183">
        <f t="shared" si="43"/>
        <v>1</v>
      </c>
      <c r="O255" s="183">
        <f t="shared" si="44"/>
        <v>1</v>
      </c>
      <c r="P255" s="90" t="s">
        <v>39</v>
      </c>
      <c r="Q255" s="91">
        <f t="shared" si="45"/>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6"/>
        <v>modesg_inp_emss_vclsnome_fator_emissao</v>
      </c>
      <c r="B256" s="68" t="s">
        <v>26</v>
      </c>
      <c r="C256" s="69" t="s">
        <v>181</v>
      </c>
      <c r="D256" s="65" t="s">
        <v>40</v>
      </c>
      <c r="E256" s="67" t="s">
        <v>213</v>
      </c>
      <c r="F256" s="65" t="s">
        <v>231</v>
      </c>
      <c r="G256" s="65" t="str">
        <f>INDEX(Auxiliar!$B$16:$B$24,MATCH(Plano_V3!H256,Auxiliar!$C$16:$C$24,0),1)</f>
        <v>1. Concluído</v>
      </c>
      <c r="H256" s="65">
        <f>VLOOKUP(A256,'Aux - pivots1'!$A:$B,2,0)</f>
        <v>1</v>
      </c>
      <c r="I256" s="189">
        <f>SUMIFS(Table1[Estimação (horas)],Table1[Tabela],Plano_V3!E256,Table1[Campo],Plano_V3!F256)</f>
        <v>0.6</v>
      </c>
      <c r="J256" s="189">
        <f t="shared" si="41"/>
        <v>7.4999999999999997E-2</v>
      </c>
      <c r="K256" s="189">
        <f>SUMIFS(Table1[Horas efetivas],Table1[Tabela],Plano_V3!E256,Table1[Campo],Plano_V3!F256)</f>
        <v>0.6</v>
      </c>
      <c r="L256" s="189">
        <f t="shared" si="42"/>
        <v>7.4999999999999997E-2</v>
      </c>
      <c r="M256" s="183"/>
      <c r="N256" s="183">
        <f t="shared" si="43"/>
        <v>1</v>
      </c>
      <c r="O256" s="183">
        <f t="shared" si="44"/>
        <v>1</v>
      </c>
      <c r="P256" s="90" t="s">
        <v>39</v>
      </c>
      <c r="Q256" s="91">
        <f t="shared" si="45"/>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6"/>
        <v>modesg_inp_emss_vclsunidade_fator_de_emissao</v>
      </c>
      <c r="B257" s="68" t="s">
        <v>26</v>
      </c>
      <c r="C257" s="69" t="s">
        <v>181</v>
      </c>
      <c r="D257" s="65" t="s">
        <v>40</v>
      </c>
      <c r="E257" s="67" t="s">
        <v>213</v>
      </c>
      <c r="F257" s="65" t="s">
        <v>232</v>
      </c>
      <c r="G257" s="65" t="str">
        <f>INDEX(Auxiliar!$B$16:$B$24,MATCH(Plano_V3!H257,Auxiliar!$C$16:$C$24,0),1)</f>
        <v>1. Concluído</v>
      </c>
      <c r="H257" s="65">
        <f>VLOOKUP(A257,'Aux - pivots1'!$A:$B,2,0)</f>
        <v>1</v>
      </c>
      <c r="I257" s="189">
        <f>SUMIFS(Table1[Estimação (horas)],Table1[Tabela],Plano_V3!E257,Table1[Campo],Plano_V3!F257)</f>
        <v>0.6</v>
      </c>
      <c r="J257" s="189">
        <f t="shared" si="41"/>
        <v>7.4999999999999997E-2</v>
      </c>
      <c r="K257" s="189">
        <f>SUMIFS(Table1[Horas efetivas],Table1[Tabela],Plano_V3!E257,Table1[Campo],Plano_V3!F257)</f>
        <v>0.6</v>
      </c>
      <c r="L257" s="189">
        <f t="shared" si="42"/>
        <v>7.4999999999999997E-2</v>
      </c>
      <c r="M257" s="183"/>
      <c r="N257" s="183">
        <f t="shared" si="43"/>
        <v>1</v>
      </c>
      <c r="O257" s="183">
        <f t="shared" si="44"/>
        <v>1</v>
      </c>
      <c r="P257" s="90" t="s">
        <v>39</v>
      </c>
      <c r="Q257" s="91">
        <f t="shared" si="45"/>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6"/>
        <v>modesg_inp_emss_vclsscore_qualidade</v>
      </c>
      <c r="B258" s="68" t="s">
        <v>26</v>
      </c>
      <c r="C258" s="69" t="s">
        <v>181</v>
      </c>
      <c r="D258" s="65" t="s">
        <v>40</v>
      </c>
      <c r="E258" s="67" t="s">
        <v>213</v>
      </c>
      <c r="F258" s="65" t="s">
        <v>233</v>
      </c>
      <c r="G258" s="65" t="str">
        <f>INDEX(Auxiliar!$B$16:$B$24,MATCH(Plano_V3!H258,Auxiliar!$C$16:$C$24,0),1)</f>
        <v>1. Concluído</v>
      </c>
      <c r="H258" s="65">
        <f>VLOOKUP(A258,'Aux - pivots1'!$A:$B,2,0)</f>
        <v>1</v>
      </c>
      <c r="I258" s="189">
        <f>SUMIFS(Table1[Estimação (horas)],Table1[Tabela],Plano_V3!E258,Table1[Campo],Plano_V3!F258)</f>
        <v>0.6</v>
      </c>
      <c r="J258" s="189">
        <f t="shared" si="41"/>
        <v>7.4999999999999997E-2</v>
      </c>
      <c r="K258" s="189">
        <f>SUMIFS(Table1[Horas efetivas],Table1[Tabela],Plano_V3!E258,Table1[Campo],Plano_V3!F258)</f>
        <v>0.6</v>
      </c>
      <c r="L258" s="189">
        <f t="shared" si="42"/>
        <v>7.4999999999999997E-2</v>
      </c>
      <c r="M258" s="183"/>
      <c r="N258" s="183">
        <f t="shared" si="43"/>
        <v>1</v>
      </c>
      <c r="O258" s="183">
        <f t="shared" si="44"/>
        <v>1</v>
      </c>
      <c r="P258" s="90" t="s">
        <v>39</v>
      </c>
      <c r="Q258" s="91">
        <f t="shared" si="45"/>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6"/>
        <v>modesg_inp_emss_vclsscp1_ftr_emss</v>
      </c>
      <c r="B259" s="68" t="s">
        <v>26</v>
      </c>
      <c r="C259" s="69" t="s">
        <v>181</v>
      </c>
      <c r="D259" s="65" t="s">
        <v>40</v>
      </c>
      <c r="E259" s="67" t="s">
        <v>213</v>
      </c>
      <c r="F259" s="65" t="s">
        <v>234</v>
      </c>
      <c r="G259" s="65" t="str">
        <f>INDEX(Auxiliar!$B$16:$B$24,MATCH(Plano_V3!H259,Auxiliar!$C$16:$C$24,0),1)</f>
        <v>1. Concluído</v>
      </c>
      <c r="H259" s="65">
        <f>VLOOKUP(A259,'Aux - pivots1'!$A:$B,2,0)</f>
        <v>1</v>
      </c>
      <c r="I259" s="189">
        <f>SUMIFS(Table1[Estimação (horas)],Table1[Tabela],Plano_V3!E259,Table1[Campo],Plano_V3!F259)</f>
        <v>0.6</v>
      </c>
      <c r="J259" s="189">
        <f t="shared" si="41"/>
        <v>7.4999999999999997E-2</v>
      </c>
      <c r="K259" s="189">
        <f>SUMIFS(Table1[Horas efetivas],Table1[Tabela],Plano_V3!E259,Table1[Campo],Plano_V3!F259)</f>
        <v>0.6</v>
      </c>
      <c r="L259" s="189">
        <f t="shared" si="42"/>
        <v>7.4999999999999997E-2</v>
      </c>
      <c r="M259" s="183"/>
      <c r="N259" s="183">
        <f t="shared" si="43"/>
        <v>1</v>
      </c>
      <c r="O259" s="183">
        <f t="shared" si="44"/>
        <v>1</v>
      </c>
      <c r="P259" s="90" t="s">
        <v>39</v>
      </c>
      <c r="Q259" s="91">
        <f t="shared" si="45"/>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6"/>
        <v>modesg_inp_emss_vclsscp2_ftr_emss</v>
      </c>
      <c r="B260" s="68" t="s">
        <v>26</v>
      </c>
      <c r="C260" s="69" t="s">
        <v>181</v>
      </c>
      <c r="D260" s="65" t="s">
        <v>40</v>
      </c>
      <c r="E260" s="67" t="s">
        <v>213</v>
      </c>
      <c r="F260" s="65" t="s">
        <v>235</v>
      </c>
      <c r="G260" s="65" t="str">
        <f>INDEX(Auxiliar!$B$16:$B$24,MATCH(Plano_V3!H260,Auxiliar!$C$16:$C$24,0),1)</f>
        <v>1. Concluído</v>
      </c>
      <c r="H260" s="65">
        <f>VLOOKUP(A260,'Aux - pivots1'!$A:$B,2,0)</f>
        <v>1</v>
      </c>
      <c r="I260" s="189">
        <f>SUMIFS(Table1[Estimação (horas)],Table1[Tabela],Plano_V3!E260,Table1[Campo],Plano_V3!F260)</f>
        <v>0.6</v>
      </c>
      <c r="J260" s="189">
        <f t="shared" si="41"/>
        <v>7.4999999999999997E-2</v>
      </c>
      <c r="K260" s="189">
        <f>SUMIFS(Table1[Horas efetivas],Table1[Tabela],Plano_V3!E260,Table1[Campo],Plano_V3!F260)</f>
        <v>0.6</v>
      </c>
      <c r="L260" s="189">
        <f t="shared" si="42"/>
        <v>7.4999999999999997E-2</v>
      </c>
      <c r="M260" s="183"/>
      <c r="N260" s="183">
        <f t="shared" si="43"/>
        <v>1</v>
      </c>
      <c r="O260" s="183">
        <f t="shared" si="44"/>
        <v>1</v>
      </c>
      <c r="P260" s="90" t="s">
        <v>39</v>
      </c>
      <c r="Q260" s="91">
        <f t="shared" si="45"/>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6"/>
        <v>modesg_inp_emss_vclsscp3_ftr_emss</v>
      </c>
      <c r="B261" s="68" t="s">
        <v>26</v>
      </c>
      <c r="C261" s="69" t="s">
        <v>181</v>
      </c>
      <c r="D261" s="65" t="s">
        <v>40</v>
      </c>
      <c r="E261" s="67" t="s">
        <v>213</v>
      </c>
      <c r="F261" s="65" t="s">
        <v>236</v>
      </c>
      <c r="G261" s="65" t="str">
        <f>INDEX(Auxiliar!$B$16:$B$24,MATCH(Plano_V3!H261,Auxiliar!$C$16:$C$24,0),1)</f>
        <v>1. Concluído</v>
      </c>
      <c r="H261" s="65">
        <f>VLOOKUP(A261,'Aux - pivots1'!$A:$B,2,0)</f>
        <v>1</v>
      </c>
      <c r="I261" s="189">
        <f>SUMIFS(Table1[Estimação (horas)],Table1[Tabela],Plano_V3!E261,Table1[Campo],Plano_V3!F261)</f>
        <v>0.6</v>
      </c>
      <c r="J261" s="189">
        <f t="shared" si="41"/>
        <v>7.4999999999999997E-2</v>
      </c>
      <c r="K261" s="189">
        <f>SUMIFS(Table1[Horas efetivas],Table1[Tabela],Plano_V3!E261,Table1[Campo],Plano_V3!F261)</f>
        <v>0.6</v>
      </c>
      <c r="L261" s="189">
        <f t="shared" si="42"/>
        <v>7.4999999999999997E-2</v>
      </c>
      <c r="M261" s="183"/>
      <c r="N261" s="183">
        <f t="shared" si="43"/>
        <v>1</v>
      </c>
      <c r="O261" s="183">
        <f t="shared" si="44"/>
        <v>1</v>
      </c>
      <c r="P261" s="90" t="s">
        <v>39</v>
      </c>
      <c r="Q261" s="91">
        <f t="shared" si="45"/>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6"/>
        <v>modesg_inp_km_medios_emss_vclsref_date</v>
      </c>
      <c r="B262" s="68" t="s">
        <v>26</v>
      </c>
      <c r="C262" s="69" t="s">
        <v>181</v>
      </c>
      <c r="D262" s="65" t="s">
        <v>40</v>
      </c>
      <c r="E262" s="67" t="s">
        <v>214</v>
      </c>
      <c r="F262" s="65" t="s">
        <v>208</v>
      </c>
      <c r="G262" s="65" t="str">
        <f>INDEX(Auxiliar!$B$16:$B$24,MATCH(Plano_V3!H262,Auxiliar!$C$16:$C$24,0),1)</f>
        <v>1. Concluído</v>
      </c>
      <c r="H262" s="65">
        <f>VLOOKUP(A262,'Aux - pivots1'!$A:$B,2,0)</f>
        <v>1</v>
      </c>
      <c r="I262" s="189">
        <f>SUMIFS(Table1[Estimação (horas)],Table1[Tabela],Plano_V3!E262,Table1[Campo],Plano_V3!F262)</f>
        <v>0.5</v>
      </c>
      <c r="J262" s="189">
        <f t="shared" si="41"/>
        <v>6.25E-2</v>
      </c>
      <c r="K262" s="189">
        <f>SUMIFS(Table1[Horas efetivas],Table1[Tabela],Plano_V3!E262,Table1[Campo],Plano_V3!F262)</f>
        <v>0.5</v>
      </c>
      <c r="L262" s="189">
        <f t="shared" si="42"/>
        <v>6.25E-2</v>
      </c>
      <c r="M262" s="183"/>
      <c r="N262" s="183">
        <f t="shared" si="43"/>
        <v>1</v>
      </c>
      <c r="O262" s="183">
        <f t="shared" si="44"/>
        <v>1</v>
      </c>
      <c r="P262" s="90" t="s">
        <v>39</v>
      </c>
      <c r="Q262" s="91">
        <f t="shared" si="45"/>
        <v>6.25E-2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6"/>
        <v>modesg_inp_km_medios_emss_vclsnome_pais</v>
      </c>
      <c r="B263" s="68" t="s">
        <v>26</v>
      </c>
      <c r="C263" s="69" t="s">
        <v>181</v>
      </c>
      <c r="D263" s="65" t="s">
        <v>40</v>
      </c>
      <c r="E263" s="67" t="s">
        <v>214</v>
      </c>
      <c r="F263" s="65" t="s">
        <v>222</v>
      </c>
      <c r="G263" s="65" t="str">
        <f>INDEX(Auxiliar!$B$16:$B$24,MATCH(Plano_V3!H263,Auxiliar!$C$16:$C$24,0),1)</f>
        <v>1. Concluído</v>
      </c>
      <c r="H263" s="65">
        <f>VLOOKUP(A263,'Aux - pivots1'!$A:$B,2,0)</f>
        <v>1</v>
      </c>
      <c r="I263" s="189">
        <f>SUMIFS(Table1[Estimação (horas)],Table1[Tabela],Plano_V3!E263,Table1[Campo],Plano_V3!F263)</f>
        <v>0.6</v>
      </c>
      <c r="J263" s="189">
        <f t="shared" si="41"/>
        <v>7.4999999999999997E-2</v>
      </c>
      <c r="K263" s="189">
        <f>SUMIFS(Table1[Horas efetivas],Table1[Tabela],Plano_V3!E263,Table1[Campo],Plano_V3!F263)</f>
        <v>0.6</v>
      </c>
      <c r="L263" s="189">
        <f t="shared" si="42"/>
        <v>7.4999999999999997E-2</v>
      </c>
      <c r="M263" s="183"/>
      <c r="N263" s="183">
        <f t="shared" si="43"/>
        <v>1</v>
      </c>
      <c r="O263" s="183">
        <f t="shared" si="44"/>
        <v>1</v>
      </c>
      <c r="P263" s="90" t="s">
        <v>39</v>
      </c>
      <c r="Q263" s="91">
        <f t="shared" si="45"/>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6"/>
        <v>modesg_inp_km_medios_emss_vclstipo_vcl</v>
      </c>
      <c r="B264" s="68" t="s">
        <v>26</v>
      </c>
      <c r="C264" s="69" t="s">
        <v>181</v>
      </c>
      <c r="D264" s="65" t="s">
        <v>40</v>
      </c>
      <c r="E264" s="67" t="s">
        <v>214</v>
      </c>
      <c r="F264" s="65" t="s">
        <v>237</v>
      </c>
      <c r="G264" s="65" t="str">
        <f>INDEX(Auxiliar!$B$16:$B$24,MATCH(Plano_V3!H264,Auxiliar!$C$16:$C$24,0),1)</f>
        <v>1. Concluído</v>
      </c>
      <c r="H264" s="65">
        <f>VLOOKUP(A264,'Aux - pivots1'!$A:$B,2,0)</f>
        <v>1</v>
      </c>
      <c r="I264" s="189">
        <f>SUMIFS(Table1[Estimação (horas)],Table1[Tabela],Plano_V3!E264,Table1[Campo],Plano_V3!F264)</f>
        <v>0.6</v>
      </c>
      <c r="J264" s="189">
        <f t="shared" si="41"/>
        <v>7.4999999999999997E-2</v>
      </c>
      <c r="K264" s="189">
        <f>SUMIFS(Table1[Horas efetivas],Table1[Tabela],Plano_V3!E264,Table1[Campo],Plano_V3!F264)</f>
        <v>0.6</v>
      </c>
      <c r="L264" s="189">
        <f t="shared" si="42"/>
        <v>7.4999999999999997E-2</v>
      </c>
      <c r="M264" s="183"/>
      <c r="N264" s="183">
        <f t="shared" si="43"/>
        <v>1</v>
      </c>
      <c r="O264" s="183">
        <f t="shared" si="44"/>
        <v>1</v>
      </c>
      <c r="P264" s="90" t="s">
        <v>39</v>
      </c>
      <c r="Q264" s="91">
        <f t="shared" si="45"/>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6"/>
        <v>modesg_inp_km_medios_emss_vclstipo_motor</v>
      </c>
      <c r="B265" s="68" t="s">
        <v>26</v>
      </c>
      <c r="C265" s="69" t="s">
        <v>181</v>
      </c>
      <c r="D265" s="65" t="s">
        <v>40</v>
      </c>
      <c r="E265" s="67" t="s">
        <v>214</v>
      </c>
      <c r="F265" s="65" t="s">
        <v>225</v>
      </c>
      <c r="G265" s="65" t="str">
        <f>INDEX(Auxiliar!$B$16:$B$24,MATCH(Plano_V3!H265,Auxiliar!$C$16:$C$24,0),1)</f>
        <v>1. Concluído</v>
      </c>
      <c r="H265" s="65">
        <f>VLOOKUP(A265,'Aux - pivots1'!$A:$B,2,0)</f>
        <v>1</v>
      </c>
      <c r="I265" s="189">
        <f>SUMIFS(Table1[Estimação (horas)],Table1[Tabela],Plano_V3!E265,Table1[Campo],Plano_V3!F265)</f>
        <v>0.6</v>
      </c>
      <c r="J265" s="189">
        <f t="shared" si="41"/>
        <v>7.4999999999999997E-2</v>
      </c>
      <c r="K265" s="189">
        <f>SUMIFS(Table1[Horas efetivas],Table1[Tabela],Plano_V3!E265,Table1[Campo],Plano_V3!F265)</f>
        <v>0.6</v>
      </c>
      <c r="L265" s="189">
        <f t="shared" si="42"/>
        <v>7.4999999999999997E-2</v>
      </c>
      <c r="M265" s="183"/>
      <c r="N265" s="183">
        <f t="shared" si="43"/>
        <v>1</v>
      </c>
      <c r="O265" s="183">
        <f t="shared" si="44"/>
        <v>1</v>
      </c>
      <c r="P265" s="90" t="s">
        <v>39</v>
      </c>
      <c r="Q265" s="91">
        <f t="shared" si="45"/>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6"/>
        <v>modesg_inp_km_medios_emss_vclssubgrupo</v>
      </c>
      <c r="B266" s="68" t="s">
        <v>26</v>
      </c>
      <c r="C266" s="69" t="s">
        <v>181</v>
      </c>
      <c r="D266" s="65" t="s">
        <v>40</v>
      </c>
      <c r="E266" s="67" t="s">
        <v>214</v>
      </c>
      <c r="F266" s="65" t="s">
        <v>228</v>
      </c>
      <c r="G266" s="65" t="str">
        <f>INDEX(Auxiliar!$B$16:$B$24,MATCH(Plano_V3!H266,Auxiliar!$C$16:$C$24,0),1)</f>
        <v>1. Concluído</v>
      </c>
      <c r="H266" s="65">
        <f>VLOOKUP(A266,'Aux - pivots1'!$A:$B,2,0)</f>
        <v>1</v>
      </c>
      <c r="I266" s="189">
        <f>SUMIFS(Table1[Estimação (horas)],Table1[Tabela],Plano_V3!E266,Table1[Campo],Plano_V3!F266)</f>
        <v>0.6</v>
      </c>
      <c r="J266" s="189">
        <f t="shared" si="41"/>
        <v>7.4999999999999997E-2</v>
      </c>
      <c r="K266" s="189">
        <f>SUMIFS(Table1[Horas efetivas],Table1[Tabela],Plano_V3!E266,Table1[Campo],Plano_V3!F266)</f>
        <v>0.6</v>
      </c>
      <c r="L266" s="189">
        <f t="shared" si="42"/>
        <v>7.4999999999999997E-2</v>
      </c>
      <c r="M266" s="183"/>
      <c r="N266" s="183">
        <f t="shared" si="43"/>
        <v>1</v>
      </c>
      <c r="O266" s="183">
        <f t="shared" si="44"/>
        <v>1</v>
      </c>
      <c r="P266" s="90" t="s">
        <v>39</v>
      </c>
      <c r="Q266" s="91">
        <f t="shared" si="45"/>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6"/>
        <v>modesg_inp_km_medios_emss_vclsmedia_km</v>
      </c>
      <c r="B267" s="68" t="s">
        <v>26</v>
      </c>
      <c r="C267" s="69" t="s">
        <v>181</v>
      </c>
      <c r="D267" s="65" t="s">
        <v>40</v>
      </c>
      <c r="E267" s="67" t="s">
        <v>214</v>
      </c>
      <c r="F267" s="65" t="s">
        <v>238</v>
      </c>
      <c r="G267" s="65" t="str">
        <f>INDEX(Auxiliar!$B$16:$B$24,MATCH(Plano_V3!H267,Auxiliar!$C$16:$C$24,0),1)</f>
        <v>1. Concluído</v>
      </c>
      <c r="H267" s="65">
        <f>VLOOKUP(A267,'Aux - pivots1'!$A:$B,2,0)</f>
        <v>1</v>
      </c>
      <c r="I267" s="189">
        <f>SUMIFS(Table1[Estimação (horas)],Table1[Tabela],Plano_V3!E267,Table1[Campo],Plano_V3!F267)</f>
        <v>0.6</v>
      </c>
      <c r="J267" s="189">
        <f t="shared" si="41"/>
        <v>7.4999999999999997E-2</v>
      </c>
      <c r="K267" s="189">
        <f>SUMIFS(Table1[Horas efetivas],Table1[Tabela],Plano_V3!E267,Table1[Campo],Plano_V3!F267)</f>
        <v>0.6</v>
      </c>
      <c r="L267" s="189">
        <f t="shared" si="42"/>
        <v>7.4999999999999997E-2</v>
      </c>
      <c r="M267" s="183"/>
      <c r="N267" s="183">
        <f t="shared" si="43"/>
        <v>1</v>
      </c>
      <c r="O267" s="183">
        <f t="shared" si="44"/>
        <v>1</v>
      </c>
      <c r="P267" s="90" t="s">
        <v>39</v>
      </c>
      <c r="Q267" s="91">
        <f t="shared" si="45"/>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6"/>
        <v>modesg_inp_empr_excl_parisref_date</v>
      </c>
      <c r="B268" s="68" t="s">
        <v>26</v>
      </c>
      <c r="C268" s="69" t="s">
        <v>181</v>
      </c>
      <c r="D268" s="65" t="s">
        <v>40</v>
      </c>
      <c r="E268" s="67" t="s">
        <v>215</v>
      </c>
      <c r="F268" s="65" t="s">
        <v>208</v>
      </c>
      <c r="G268" s="65" t="str">
        <f>INDEX(Auxiliar!$B$16:$B$24,MATCH(Plano_V3!H268,Auxiliar!$C$16:$C$24,0),1)</f>
        <v>1. Concluído</v>
      </c>
      <c r="H268" s="65">
        <f>VLOOKUP(A268,'Aux - pivots1'!$A:$B,2,0)</f>
        <v>1</v>
      </c>
      <c r="I268" s="189">
        <f>SUMIFS(Table1[Estimação (horas)],Table1[Tabela],Plano_V3!E268,Table1[Campo],Plano_V3!F268)</f>
        <v>0.5</v>
      </c>
      <c r="J268" s="189">
        <f t="shared" si="41"/>
        <v>6.25E-2</v>
      </c>
      <c r="K268" s="189">
        <f>SUMIFS(Table1[Horas efetivas],Table1[Tabela],Plano_V3!E268,Table1[Campo],Plano_V3!F268)</f>
        <v>0.5</v>
      </c>
      <c r="L268" s="189">
        <f t="shared" si="42"/>
        <v>6.25E-2</v>
      </c>
      <c r="M268" s="183"/>
      <c r="N268" s="183">
        <f t="shared" si="43"/>
        <v>1</v>
      </c>
      <c r="O268" s="183">
        <f t="shared" si="44"/>
        <v>1</v>
      </c>
      <c r="P268" s="90" t="s">
        <v>39</v>
      </c>
      <c r="Q268" s="91">
        <f t="shared" si="45"/>
        <v>6.25E-2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6"/>
        <v>modesg_inp_empr_excl_parisisin</v>
      </c>
      <c r="B269" s="68" t="s">
        <v>26</v>
      </c>
      <c r="C269" s="69" t="s">
        <v>181</v>
      </c>
      <c r="D269" s="65" t="s">
        <v>40</v>
      </c>
      <c r="E269" s="67" t="s">
        <v>215</v>
      </c>
      <c r="F269" s="65" t="s">
        <v>239</v>
      </c>
      <c r="G269" s="65" t="str">
        <f>INDEX(Auxiliar!$B$16:$B$24,MATCH(Plano_V3!H269,Auxiliar!$C$16:$C$24,0),1)</f>
        <v>1. Concluído</v>
      </c>
      <c r="H269" s="65">
        <f>VLOOKUP(A269,'Aux - pivots1'!$A:$B,2,0)</f>
        <v>1</v>
      </c>
      <c r="I269" s="189">
        <f>SUMIFS(Table1[Estimação (horas)],Table1[Tabela],Plano_V3!E269,Table1[Campo],Plano_V3!F269)</f>
        <v>0.6</v>
      </c>
      <c r="J269" s="189">
        <f t="shared" si="41"/>
        <v>7.4999999999999997E-2</v>
      </c>
      <c r="K269" s="189">
        <f>SUMIFS(Table1[Horas efetivas],Table1[Tabela],Plano_V3!E269,Table1[Campo],Plano_V3!F269)</f>
        <v>0.6</v>
      </c>
      <c r="L269" s="189">
        <f t="shared" si="42"/>
        <v>7.4999999999999997E-2</v>
      </c>
      <c r="M269" s="183"/>
      <c r="N269" s="183">
        <f t="shared" si="43"/>
        <v>1</v>
      </c>
      <c r="O269" s="183">
        <f t="shared" si="44"/>
        <v>1</v>
      </c>
      <c r="P269" s="90" t="s">
        <v>39</v>
      </c>
      <c r="Q269" s="91">
        <f t="shared" si="45"/>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6"/>
        <v>modesg_inp_empr_excl_parisclei</v>
      </c>
      <c r="B270" s="68" t="s">
        <v>26</v>
      </c>
      <c r="C270" s="69" t="s">
        <v>181</v>
      </c>
      <c r="D270" s="65" t="s">
        <v>40</v>
      </c>
      <c r="E270" s="67" t="s">
        <v>215</v>
      </c>
      <c r="F270" s="65" t="s">
        <v>240</v>
      </c>
      <c r="G270" s="65" t="str">
        <f>INDEX(Auxiliar!$B$16:$B$24,MATCH(Plano_V3!H270,Auxiliar!$C$16:$C$24,0),1)</f>
        <v>1. Concluído</v>
      </c>
      <c r="H270" s="65">
        <f>VLOOKUP(A270,'Aux - pivots1'!$A:$B,2,0)</f>
        <v>1</v>
      </c>
      <c r="I270" s="189">
        <f>SUMIFS(Table1[Estimação (horas)],Table1[Tabela],Plano_V3!E270,Table1[Campo],Plano_V3!F270)</f>
        <v>0.6</v>
      </c>
      <c r="J270" s="189">
        <f t="shared" si="41"/>
        <v>7.4999999999999997E-2</v>
      </c>
      <c r="K270" s="189">
        <f>SUMIFS(Table1[Horas efetivas],Table1[Tabela],Plano_V3!E270,Table1[Campo],Plano_V3!F270)</f>
        <v>0.6</v>
      </c>
      <c r="L270" s="189">
        <f t="shared" si="42"/>
        <v>7.4999999999999997E-2</v>
      </c>
      <c r="M270" s="183"/>
      <c r="N270" s="183">
        <f t="shared" si="43"/>
        <v>1</v>
      </c>
      <c r="O270" s="183">
        <f t="shared" si="44"/>
        <v>1</v>
      </c>
      <c r="P270" s="90" t="s">
        <v>39</v>
      </c>
      <c r="Q270" s="91">
        <f t="shared" si="45"/>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6"/>
        <v>modesg_inp_empr_excl_parisccli_kgl</v>
      </c>
      <c r="B271" s="68" t="s">
        <v>26</v>
      </c>
      <c r="C271" s="69" t="s">
        <v>181</v>
      </c>
      <c r="D271" s="65" t="s">
        <v>40</v>
      </c>
      <c r="E271" s="67" t="s">
        <v>215</v>
      </c>
      <c r="F271" s="65" t="s">
        <v>241</v>
      </c>
      <c r="G271" s="65" t="str">
        <f>INDEX(Auxiliar!$B$16:$B$24,MATCH(Plano_V3!H271,Auxiliar!$C$16:$C$24,0),1)</f>
        <v>1. Concluído</v>
      </c>
      <c r="H271" s="65">
        <f>VLOOKUP(A271,'Aux - pivots1'!$A:$B,2,0)</f>
        <v>1</v>
      </c>
      <c r="I271" s="189">
        <f>SUMIFS(Table1[Estimação (horas)],Table1[Tabela],Plano_V3!E271,Table1[Campo],Plano_V3!F271)</f>
        <v>0.6</v>
      </c>
      <c r="J271" s="189">
        <f t="shared" si="41"/>
        <v>7.4999999999999997E-2</v>
      </c>
      <c r="K271" s="189">
        <f>SUMIFS(Table1[Horas efetivas],Table1[Tabela],Plano_V3!E271,Table1[Campo],Plano_V3!F271)</f>
        <v>0.6</v>
      </c>
      <c r="L271" s="189">
        <f t="shared" si="42"/>
        <v>7.4999999999999997E-2</v>
      </c>
      <c r="M271" s="183"/>
      <c r="N271" s="183">
        <f t="shared" si="43"/>
        <v>1</v>
      </c>
      <c r="O271" s="183">
        <f t="shared" si="44"/>
        <v>1</v>
      </c>
      <c r="P271" s="90" t="s">
        <v>39</v>
      </c>
      <c r="Q271" s="91">
        <f t="shared" si="45"/>
        <v>7.4999999999999997E-2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6"/>
        <v>modesg_inp_empr_excl_parisnome_entidade</v>
      </c>
      <c r="B272" s="68" t="s">
        <v>26</v>
      </c>
      <c r="C272" s="69" t="s">
        <v>181</v>
      </c>
      <c r="D272" s="65" t="s">
        <v>40</v>
      </c>
      <c r="E272" s="67" t="s">
        <v>215</v>
      </c>
      <c r="F272" s="65" t="s">
        <v>242</v>
      </c>
      <c r="G272" s="65" t="str">
        <f>INDEX(Auxiliar!$B$16:$B$24,MATCH(Plano_V3!H272,Auxiliar!$C$16:$C$24,0),1)</f>
        <v>1. Concluído</v>
      </c>
      <c r="H272" s="65">
        <f>VLOOKUP(A272,'Aux - pivots1'!$A:$B,2,0)</f>
        <v>1</v>
      </c>
      <c r="I272" s="189">
        <f>SUMIFS(Table1[Estimação (horas)],Table1[Tabela],Plano_V3!E272,Table1[Campo],Plano_V3!F272)</f>
        <v>0.5</v>
      </c>
      <c r="J272" s="189">
        <f t="shared" ref="J272:J336" si="47">I272/8</f>
        <v>6.25E-2</v>
      </c>
      <c r="K272" s="189">
        <f>SUMIFS(Table1[Horas efetivas],Table1[Tabela],Plano_V3!E272,Table1[Campo],Plano_V3!F272)</f>
        <v>0.5</v>
      </c>
      <c r="L272" s="189">
        <f t="shared" si="42"/>
        <v>6.25E-2</v>
      </c>
      <c r="M272" s="183"/>
      <c r="N272" s="183">
        <f t="shared" si="43"/>
        <v>1</v>
      </c>
      <c r="O272" s="183">
        <f t="shared" si="44"/>
        <v>1</v>
      </c>
      <c r="P272" s="90" t="s">
        <v>39</v>
      </c>
      <c r="Q272" s="91">
        <f t="shared" si="45"/>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6"/>
        <v>modesg_inp_empr_excl_parisflg_scib</v>
      </c>
      <c r="B273" s="68" t="s">
        <v>26</v>
      </c>
      <c r="C273" s="69" t="s">
        <v>181</v>
      </c>
      <c r="D273" s="65" t="s">
        <v>40</v>
      </c>
      <c r="E273" s="67" t="s">
        <v>215</v>
      </c>
      <c r="F273" s="65" t="s">
        <v>243</v>
      </c>
      <c r="G273" s="65" t="str">
        <f>INDEX(Auxiliar!$B$16:$B$24,MATCH(Plano_V3!H273,Auxiliar!$C$16:$C$24,0),1)</f>
        <v>1. Concluído</v>
      </c>
      <c r="H273" s="65">
        <f>VLOOKUP(A273,'Aux - pivots1'!$A:$B,2,0)</f>
        <v>1</v>
      </c>
      <c r="I273" s="189">
        <f>SUMIFS(Table1[Estimação (horas)],Table1[Tabela],Plano_V3!E273,Table1[Campo],Plano_V3!F273)</f>
        <v>0.5</v>
      </c>
      <c r="J273" s="189">
        <f t="shared" si="47"/>
        <v>6.25E-2</v>
      </c>
      <c r="K273" s="189">
        <f>SUMIFS(Table1[Horas efetivas],Table1[Tabela],Plano_V3!E273,Table1[Campo],Plano_V3!F273)</f>
        <v>0.5</v>
      </c>
      <c r="L273" s="189">
        <f t="shared" ref="L273:L337" si="48">K273/8</f>
        <v>6.25E-2</v>
      </c>
      <c r="M273" s="183"/>
      <c r="N273" s="183">
        <f t="shared" ref="N273:N337" si="49">L273/J273</f>
        <v>1</v>
      </c>
      <c r="O273" s="183">
        <f t="shared" si="44"/>
        <v>1</v>
      </c>
      <c r="P273" s="90" t="s">
        <v>39</v>
      </c>
      <c r="Q273" s="91">
        <f t="shared" si="45"/>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6"/>
        <v>modesg_inp_empr_excl_parisnome_pais</v>
      </c>
      <c r="B274" s="68" t="s">
        <v>26</v>
      </c>
      <c r="C274" s="69" t="s">
        <v>181</v>
      </c>
      <c r="D274" s="65" t="s">
        <v>40</v>
      </c>
      <c r="E274" s="67" t="s">
        <v>215</v>
      </c>
      <c r="F274" s="65" t="s">
        <v>222</v>
      </c>
      <c r="G274" s="65" t="str">
        <f>INDEX(Auxiliar!$B$16:$B$24,MATCH(Plano_V3!H274,Auxiliar!$C$16:$C$24,0),1)</f>
        <v>1. Concluído</v>
      </c>
      <c r="H274" s="65">
        <f>VLOOKUP(A274,'Aux - pivots1'!$A:$B,2,0)</f>
        <v>1</v>
      </c>
      <c r="I274" s="189">
        <f>SUMIFS(Table1[Estimação (horas)],Table1[Tabela],Plano_V3!E274,Table1[Campo],Plano_V3!F274)</f>
        <v>0.5</v>
      </c>
      <c r="J274" s="189">
        <f t="shared" si="47"/>
        <v>6.25E-2</v>
      </c>
      <c r="K274" s="189">
        <f>SUMIFS(Table1[Horas efetivas],Table1[Tabela],Plano_V3!E274,Table1[Campo],Plano_V3!F274)</f>
        <v>0.5</v>
      </c>
      <c r="L274" s="189">
        <f t="shared" si="48"/>
        <v>6.25E-2</v>
      </c>
      <c r="M274" s="183"/>
      <c r="N274" s="183">
        <f t="shared" si="49"/>
        <v>1</v>
      </c>
      <c r="O274" s="183">
        <f t="shared" si="44"/>
        <v>1</v>
      </c>
      <c r="P274" s="90" t="s">
        <v>39</v>
      </c>
      <c r="Q274" s="91">
        <f t="shared" si="45"/>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6"/>
        <v>modesg_inp_nfrd_alinhamento_taxref_date</v>
      </c>
      <c r="B275" s="68" t="s">
        <v>26</v>
      </c>
      <c r="C275" s="69" t="s">
        <v>181</v>
      </c>
      <c r="D275" s="65" t="s">
        <v>40</v>
      </c>
      <c r="E275" s="67" t="s">
        <v>216</v>
      </c>
      <c r="F275" s="65" t="s">
        <v>208</v>
      </c>
      <c r="G275" s="65" t="str">
        <f>INDEX(Auxiliar!$B$16:$B$24,MATCH(Plano_V3!H275,Auxiliar!$C$16:$C$24,0),1)</f>
        <v>1. Concluído</v>
      </c>
      <c r="H275" s="65">
        <f>VLOOKUP(A275,'Aux - pivots1'!$A:$B,2,0)</f>
        <v>1</v>
      </c>
      <c r="I275" s="189">
        <f>SUMIFS(Table1[Estimação (horas)],Table1[Tabela],Plano_V3!E275,Table1[Campo],Plano_V3!F275)</f>
        <v>0.5</v>
      </c>
      <c r="J275" s="189">
        <f t="shared" si="47"/>
        <v>6.25E-2</v>
      </c>
      <c r="K275" s="189">
        <f>SUMIFS(Table1[Horas efetivas],Table1[Tabela],Plano_V3!E275,Table1[Campo],Plano_V3!F275)</f>
        <v>0.5</v>
      </c>
      <c r="L275" s="189">
        <f t="shared" si="48"/>
        <v>6.25E-2</v>
      </c>
      <c r="M275" s="183"/>
      <c r="N275" s="183">
        <f t="shared" si="49"/>
        <v>1</v>
      </c>
      <c r="O275" s="183">
        <f t="shared" si="44"/>
        <v>1</v>
      </c>
      <c r="P275" s="90" t="s">
        <v>39</v>
      </c>
      <c r="Q275" s="91">
        <f t="shared" si="45"/>
        <v>6.25E-2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6"/>
        <v>modesg_inp_nfrd_alinhamento_taxccli_kgl</v>
      </c>
      <c r="B276" s="68" t="s">
        <v>26</v>
      </c>
      <c r="C276" s="69" t="s">
        <v>181</v>
      </c>
      <c r="D276" s="65" t="s">
        <v>40</v>
      </c>
      <c r="E276" s="67" t="s">
        <v>216</v>
      </c>
      <c r="F276" s="65" t="s">
        <v>241</v>
      </c>
      <c r="G276" s="65" t="str">
        <f>INDEX(Auxiliar!$B$16:$B$24,MATCH(Plano_V3!H276,Auxiliar!$C$16:$C$24,0),1)</f>
        <v>1. Concluído</v>
      </c>
      <c r="H276" s="65">
        <f>VLOOKUP(A276,'Aux - pivots1'!$A:$B,2,0)</f>
        <v>1</v>
      </c>
      <c r="I276" s="189">
        <f>SUMIFS(Table1[Estimação (horas)],Table1[Tabela],Plano_V3!E276,Table1[Campo],Plano_V3!F276)</f>
        <v>0.6</v>
      </c>
      <c r="J276" s="189">
        <f t="shared" si="47"/>
        <v>7.4999999999999997E-2</v>
      </c>
      <c r="K276" s="189">
        <f>SUMIFS(Table1[Horas efetivas],Table1[Tabela],Plano_V3!E276,Table1[Campo],Plano_V3!F276)</f>
        <v>0.6</v>
      </c>
      <c r="L276" s="189">
        <f t="shared" si="48"/>
        <v>7.4999999999999997E-2</v>
      </c>
      <c r="M276" s="183"/>
      <c r="N276" s="183">
        <f t="shared" si="49"/>
        <v>1</v>
      </c>
      <c r="O276" s="183">
        <f t="shared" si="44"/>
        <v>1</v>
      </c>
      <c r="P276" s="90" t="s">
        <v>39</v>
      </c>
      <c r="Q276" s="91">
        <f t="shared" si="45"/>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6"/>
        <v>modesg_inp_nfrd_alinhamento_taxclei</v>
      </c>
      <c r="B277" s="68" t="s">
        <v>26</v>
      </c>
      <c r="C277" s="69" t="s">
        <v>181</v>
      </c>
      <c r="D277" s="65" t="s">
        <v>40</v>
      </c>
      <c r="E277" s="67" t="s">
        <v>216</v>
      </c>
      <c r="F277" s="65" t="s">
        <v>240</v>
      </c>
      <c r="G277" s="65" t="str">
        <f>INDEX(Auxiliar!$B$16:$B$24,MATCH(Plano_V3!H277,Auxiliar!$C$16:$C$24,0),1)</f>
        <v>1. Concluído</v>
      </c>
      <c r="H277" s="65">
        <f>VLOOKUP(A277,'Aux - pivots1'!$A:$B,2,0)</f>
        <v>1</v>
      </c>
      <c r="I277" s="189">
        <f>SUMIFS(Table1[Estimação (horas)],Table1[Tabela],Plano_V3!E277,Table1[Campo],Plano_V3!F277)</f>
        <v>0.6</v>
      </c>
      <c r="J277" s="189">
        <f t="shared" si="47"/>
        <v>7.4999999999999997E-2</v>
      </c>
      <c r="K277" s="189">
        <f>SUMIFS(Table1[Horas efetivas],Table1[Tabela],Plano_V3!E277,Table1[Campo],Plano_V3!F277)</f>
        <v>0.6</v>
      </c>
      <c r="L277" s="189">
        <f t="shared" si="48"/>
        <v>7.4999999999999997E-2</v>
      </c>
      <c r="M277" s="183"/>
      <c r="N277" s="183">
        <f t="shared" si="49"/>
        <v>1</v>
      </c>
      <c r="O277" s="183">
        <f t="shared" si="44"/>
        <v>1</v>
      </c>
      <c r="P277" s="90" t="s">
        <v>39</v>
      </c>
      <c r="Q277" s="91">
        <f t="shared" si="45"/>
        <v>7.4999999999999997E-2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6"/>
        <v>modesg_inp_nfrd_alinhamento_taxperm_id</v>
      </c>
      <c r="B278" s="68" t="s">
        <v>26</v>
      </c>
      <c r="C278" s="69" t="s">
        <v>181</v>
      </c>
      <c r="D278" s="65" t="s">
        <v>40</v>
      </c>
      <c r="E278" s="67" t="s">
        <v>216</v>
      </c>
      <c r="F278" s="65" t="s">
        <v>244</v>
      </c>
      <c r="G278" s="65" t="str">
        <f>INDEX(Auxiliar!$B$16:$B$24,MATCH(Plano_V3!H278,Auxiliar!$C$16:$C$24,0),1)</f>
        <v>1. Concluído</v>
      </c>
      <c r="H278" s="65">
        <f>VLOOKUP(A278,'Aux - pivots1'!$A:$B,2,0)</f>
        <v>1</v>
      </c>
      <c r="I278" s="189">
        <f>SUMIFS(Table1[Estimação (horas)],Table1[Tabela],Plano_V3!E278,Table1[Campo],Plano_V3!F278)</f>
        <v>0.5</v>
      </c>
      <c r="J278" s="189">
        <f t="shared" si="47"/>
        <v>6.25E-2</v>
      </c>
      <c r="K278" s="189">
        <f>SUMIFS(Table1[Horas efetivas],Table1[Tabela],Plano_V3!E278,Table1[Campo],Plano_V3!F278)</f>
        <v>0.5</v>
      </c>
      <c r="L278" s="189">
        <f t="shared" si="48"/>
        <v>6.25E-2</v>
      </c>
      <c r="M278" s="183"/>
      <c r="N278" s="183">
        <f t="shared" si="49"/>
        <v>1</v>
      </c>
      <c r="O278" s="183">
        <f t="shared" si="44"/>
        <v>1</v>
      </c>
      <c r="P278" s="90" t="s">
        <v>39</v>
      </c>
      <c r="Q278" s="91">
        <f t="shared" si="45"/>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6"/>
        <v>modesg_inp_nfrd_alinhamento_taxnome_entidade</v>
      </c>
      <c r="B279" s="68" t="s">
        <v>26</v>
      </c>
      <c r="C279" s="69" t="s">
        <v>181</v>
      </c>
      <c r="D279" s="65" t="s">
        <v>40</v>
      </c>
      <c r="E279" s="67" t="s">
        <v>216</v>
      </c>
      <c r="F279" s="65" t="s">
        <v>242</v>
      </c>
      <c r="G279" s="65" t="str">
        <f>INDEX(Auxiliar!$B$16:$B$24,MATCH(Plano_V3!H279,Auxiliar!$C$16:$C$24,0),1)</f>
        <v>1. Concluído</v>
      </c>
      <c r="H279" s="65">
        <f>VLOOKUP(A279,'Aux - pivots1'!$A:$B,2,0)</f>
        <v>1</v>
      </c>
      <c r="I279" s="189">
        <f>SUMIFS(Table1[Estimação (horas)],Table1[Tabela],Plano_V3!E279,Table1[Campo],Plano_V3!F279)</f>
        <v>0.5</v>
      </c>
      <c r="J279" s="189">
        <f t="shared" si="47"/>
        <v>6.25E-2</v>
      </c>
      <c r="K279" s="189">
        <f>SUMIFS(Table1[Horas efetivas],Table1[Tabela],Plano_V3!E279,Table1[Campo],Plano_V3!F279)</f>
        <v>0.5</v>
      </c>
      <c r="L279" s="189">
        <f t="shared" si="48"/>
        <v>6.25E-2</v>
      </c>
      <c r="M279" s="183"/>
      <c r="N279" s="183">
        <f t="shared" si="49"/>
        <v>1</v>
      </c>
      <c r="O279" s="183">
        <f t="shared" si="44"/>
        <v>1</v>
      </c>
      <c r="P279" s="90" t="s">
        <v>39</v>
      </c>
      <c r="Q279" s="91">
        <f t="shared" si="45"/>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E280&amp;F280</f>
        <v>modesg_inp_nfrd_alinhamento_taxnome_pais</v>
      </c>
      <c r="B280" s="68" t="s">
        <v>26</v>
      </c>
      <c r="C280" s="69" t="s">
        <v>181</v>
      </c>
      <c r="D280" s="65" t="s">
        <v>40</v>
      </c>
      <c r="E280" s="67" t="s">
        <v>216</v>
      </c>
      <c r="F280" s="65" t="s">
        <v>222</v>
      </c>
      <c r="G280" s="65" t="str">
        <f>INDEX(Auxiliar!$B$16:$B$24,MATCH(Plano_V3!H280,Auxiliar!$C$16:$C$24,0),1)</f>
        <v>1. Concluído</v>
      </c>
      <c r="H280" s="65">
        <f>VLOOKUP(A280,'Aux - pivots1'!$A:$B,2,0)</f>
        <v>1</v>
      </c>
      <c r="I280" s="189"/>
      <c r="J280" s="189"/>
      <c r="K280" s="189"/>
      <c r="L280" s="189"/>
      <c r="M280" s="183"/>
      <c r="N280" s="183"/>
      <c r="O280" s="183">
        <f t="shared" si="44"/>
        <v>0</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6"/>
        <v>modesg_inp_nfrd_alinhamento_taxflg_nfrd</v>
      </c>
      <c r="B281" s="68" t="s">
        <v>26</v>
      </c>
      <c r="C281" s="69" t="s">
        <v>181</v>
      </c>
      <c r="D281" s="65" t="s">
        <v>40</v>
      </c>
      <c r="E281" s="67" t="s">
        <v>216</v>
      </c>
      <c r="F281" s="65" t="s">
        <v>245</v>
      </c>
      <c r="G281" s="65" t="str">
        <f>INDEX(Auxiliar!$B$16:$B$24,MATCH(Plano_V3!H281,Auxiliar!$C$16:$C$24,0),1)</f>
        <v>1. Concluído</v>
      </c>
      <c r="H281" s="65">
        <f>VLOOKUP(A281,'Aux - pivots1'!$A:$B,2,0)</f>
        <v>1</v>
      </c>
      <c r="I281" s="189">
        <f>SUMIFS(Table1[Estimação (horas)],Table1[Tabela],Plano_V3!E281,Table1[Campo],Plano_V3!F281)</f>
        <v>0.5</v>
      </c>
      <c r="J281" s="189">
        <f t="shared" si="47"/>
        <v>6.25E-2</v>
      </c>
      <c r="K281" s="189">
        <f>SUMIFS(Table1[Horas efetivas],Table1[Tabela],Plano_V3!E281,Table1[Campo],Plano_V3!F281)</f>
        <v>0.5</v>
      </c>
      <c r="L281" s="189">
        <f t="shared" si="48"/>
        <v>6.25E-2</v>
      </c>
      <c r="M281" s="183"/>
      <c r="N281" s="183">
        <f t="shared" si="49"/>
        <v>1</v>
      </c>
      <c r="O281" s="183">
        <f t="shared" si="44"/>
        <v>1</v>
      </c>
      <c r="P281" s="90" t="s">
        <v>39</v>
      </c>
      <c r="Q281" s="91">
        <f t="shared" si="45"/>
        <v>6.25E-2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6"/>
        <v>modesg_inp_nfrd_alinhamento_taxcca_trnvr_ttl_elgbl</v>
      </c>
      <c r="B282" s="68" t="s">
        <v>26</v>
      </c>
      <c r="C282" s="69" t="s">
        <v>181</v>
      </c>
      <c r="D282" s="65" t="s">
        <v>40</v>
      </c>
      <c r="E282" s="67" t="s">
        <v>216</v>
      </c>
      <c r="F282" s="65" t="s">
        <v>246</v>
      </c>
      <c r="G282" s="65" t="str">
        <f>INDEX(Auxiliar!$B$16:$B$24,MATCH(Plano_V3!H282,Auxiliar!$C$16:$C$24,0),1)</f>
        <v>1. Concluído</v>
      </c>
      <c r="H282" s="65">
        <f>VLOOKUP(A282,'Aux - pivots1'!$A:$B,2,0)</f>
        <v>1</v>
      </c>
      <c r="I282" s="189">
        <f>SUMIFS(Table1[Estimação (horas)],Table1[Tabela],Plano_V3!E282,Table1[Campo],Plano_V3!F282)</f>
        <v>0.6</v>
      </c>
      <c r="J282" s="189">
        <f t="shared" si="47"/>
        <v>7.4999999999999997E-2</v>
      </c>
      <c r="K282" s="189">
        <f>SUMIFS(Table1[Horas efetivas],Table1[Tabela],Plano_V3!E282,Table1[Campo],Plano_V3!F282)</f>
        <v>0.6</v>
      </c>
      <c r="L282" s="189">
        <f t="shared" si="48"/>
        <v>7.4999999999999997E-2</v>
      </c>
      <c r="M282" s="183"/>
      <c r="N282" s="183">
        <f t="shared" si="49"/>
        <v>1</v>
      </c>
      <c r="O282" s="183">
        <f t="shared" ref="O282:O345" si="50">N282-M282</f>
        <v>1</v>
      </c>
      <c r="P282" s="90" t="s">
        <v>39</v>
      </c>
      <c r="Q282" s="91">
        <f t="shared" si="45"/>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6"/>
        <v>modesg_inp_nfrd_alinhamento_taxcca_trnvr_enblng_alignd</v>
      </c>
      <c r="B283" s="68" t="s">
        <v>26</v>
      </c>
      <c r="C283" s="69" t="s">
        <v>181</v>
      </c>
      <c r="D283" s="65" t="s">
        <v>40</v>
      </c>
      <c r="E283" s="67" t="s">
        <v>216</v>
      </c>
      <c r="F283" s="65" t="s">
        <v>247</v>
      </c>
      <c r="G283" s="65" t="str">
        <f>INDEX(Auxiliar!$B$16:$B$24,MATCH(Plano_V3!H283,Auxiliar!$C$16:$C$24,0),1)</f>
        <v>1. Concluído</v>
      </c>
      <c r="H283" s="65">
        <f>VLOOKUP(A283,'Aux - pivots1'!$A:$B,2,0)</f>
        <v>1</v>
      </c>
      <c r="I283" s="189">
        <f>SUMIFS(Table1[Estimação (horas)],Table1[Tabela],Plano_V3!E283,Table1[Campo],Plano_V3!F283)</f>
        <v>0.6</v>
      </c>
      <c r="J283" s="189">
        <f t="shared" si="47"/>
        <v>7.4999999999999997E-2</v>
      </c>
      <c r="K283" s="189">
        <f>SUMIFS(Table1[Horas efetivas],Table1[Tabela],Plano_V3!E283,Table1[Campo],Plano_V3!F283)</f>
        <v>0.6</v>
      </c>
      <c r="L283" s="189">
        <f t="shared" si="48"/>
        <v>7.4999999999999997E-2</v>
      </c>
      <c r="M283" s="183"/>
      <c r="N283" s="183">
        <f t="shared" si="49"/>
        <v>1</v>
      </c>
      <c r="O283" s="183">
        <f t="shared" si="50"/>
        <v>1</v>
      </c>
      <c r="P283" s="90" t="s">
        <v>39</v>
      </c>
      <c r="Q283" s="91">
        <f t="shared" si="45"/>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6"/>
        <v>modesg_inp_nfrd_alinhamento_taxcca_turnover_own_prfrmnce_algnd</v>
      </c>
      <c r="B284" s="68" t="s">
        <v>26</v>
      </c>
      <c r="C284" s="69" t="s">
        <v>181</v>
      </c>
      <c r="D284" s="65" t="s">
        <v>40</v>
      </c>
      <c r="E284" s="67" t="s">
        <v>216</v>
      </c>
      <c r="F284" s="65" t="s">
        <v>248</v>
      </c>
      <c r="G284" s="65" t="str">
        <f>INDEX(Auxiliar!$B$16:$B$24,MATCH(Plano_V3!H284,Auxiliar!$C$16:$C$24,0),1)</f>
        <v>1. Concluído</v>
      </c>
      <c r="H284" s="65">
        <f>VLOOKUP(A284,'Aux - pivots1'!$A:$B,2,0)</f>
        <v>1</v>
      </c>
      <c r="I284" s="189">
        <f>SUMIFS(Table1[Estimação (horas)],Table1[Tabela],Plano_V3!E284,Table1[Campo],Plano_V3!F284)</f>
        <v>0.6</v>
      </c>
      <c r="J284" s="189">
        <f t="shared" si="47"/>
        <v>7.4999999999999997E-2</v>
      </c>
      <c r="K284" s="189">
        <f>SUMIFS(Table1[Horas efetivas],Table1[Tabela],Plano_V3!E284,Table1[Campo],Plano_V3!F284)</f>
        <v>0.6</v>
      </c>
      <c r="L284" s="189">
        <f t="shared" si="48"/>
        <v>7.4999999999999997E-2</v>
      </c>
      <c r="M284" s="183"/>
      <c r="N284" s="183">
        <f t="shared" si="49"/>
        <v>1</v>
      </c>
      <c r="O284" s="183">
        <f t="shared" si="50"/>
        <v>1</v>
      </c>
      <c r="P284" s="90" t="s">
        <v>39</v>
      </c>
      <c r="Q284" s="91">
        <f t="shared" si="45"/>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6"/>
        <v>modesg_inp_nfrd_alinhamento_taxcca_capex_ttl_elgbl</v>
      </c>
      <c r="B285" s="68" t="s">
        <v>26</v>
      </c>
      <c r="C285" s="69" t="s">
        <v>181</v>
      </c>
      <c r="D285" s="65" t="s">
        <v>40</v>
      </c>
      <c r="E285" s="67" t="s">
        <v>216</v>
      </c>
      <c r="F285" s="65" t="s">
        <v>249</v>
      </c>
      <c r="G285" s="65" t="str">
        <f>INDEX(Auxiliar!$B$16:$B$24,MATCH(Plano_V3!H285,Auxiliar!$C$16:$C$24,0),1)</f>
        <v>1. Concluído</v>
      </c>
      <c r="H285" s="65">
        <f>VLOOKUP(A285,'Aux - pivots1'!$A:$B,2,0)</f>
        <v>1</v>
      </c>
      <c r="I285" s="189">
        <f>SUMIFS(Table1[Estimação (horas)],Table1[Tabela],Plano_V3!E285,Table1[Campo],Plano_V3!F285)</f>
        <v>0.6</v>
      </c>
      <c r="J285" s="189">
        <f t="shared" si="47"/>
        <v>7.4999999999999997E-2</v>
      </c>
      <c r="K285" s="189">
        <f>SUMIFS(Table1[Horas efetivas],Table1[Tabela],Plano_V3!E285,Table1[Campo],Plano_V3!F285)</f>
        <v>0.6</v>
      </c>
      <c r="L285" s="189">
        <f t="shared" si="48"/>
        <v>7.4999999999999997E-2</v>
      </c>
      <c r="M285" s="183"/>
      <c r="N285" s="183">
        <f t="shared" si="49"/>
        <v>1</v>
      </c>
      <c r="O285" s="183">
        <f t="shared" si="50"/>
        <v>1</v>
      </c>
      <c r="P285" s="90" t="s">
        <v>39</v>
      </c>
      <c r="Q285" s="91">
        <f t="shared" si="45"/>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6"/>
        <v>modesg_inp_nfrd_alinhamento_taxcca_capex_enblng_algnd</v>
      </c>
      <c r="B286" s="68" t="s">
        <v>26</v>
      </c>
      <c r="C286" s="69" t="s">
        <v>181</v>
      </c>
      <c r="D286" s="65" t="s">
        <v>40</v>
      </c>
      <c r="E286" s="67" t="s">
        <v>216</v>
      </c>
      <c r="F286" s="65" t="s">
        <v>250</v>
      </c>
      <c r="G286" s="65" t="str">
        <f>INDEX(Auxiliar!$B$16:$B$24,MATCH(Plano_V3!H286,Auxiliar!$C$16:$C$24,0),1)</f>
        <v>1. Concluído</v>
      </c>
      <c r="H286" s="65">
        <f>VLOOKUP(A286,'Aux - pivots1'!$A:$B,2,0)</f>
        <v>1</v>
      </c>
      <c r="I286" s="189">
        <f>SUMIFS(Table1[Estimação (horas)],Table1[Tabela],Plano_V3!E286,Table1[Campo],Plano_V3!F286)</f>
        <v>0.6</v>
      </c>
      <c r="J286" s="189">
        <f t="shared" si="47"/>
        <v>7.4999999999999997E-2</v>
      </c>
      <c r="K286" s="189">
        <f>SUMIFS(Table1[Horas efetivas],Table1[Tabela],Plano_V3!E286,Table1[Campo],Plano_V3!F286)</f>
        <v>0.6</v>
      </c>
      <c r="L286" s="189">
        <f t="shared" si="48"/>
        <v>7.4999999999999997E-2</v>
      </c>
      <c r="M286" s="183"/>
      <c r="N286" s="183">
        <f t="shared" si="49"/>
        <v>1</v>
      </c>
      <c r="O286" s="183">
        <f t="shared" si="50"/>
        <v>1</v>
      </c>
      <c r="P286" s="90" t="s">
        <v>39</v>
      </c>
      <c r="Q286" s="91">
        <f t="shared" si="45"/>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6"/>
        <v>modesg_inp_nfrd_alinhamento_taxcca_capex_own_prfrmnce_algnd</v>
      </c>
      <c r="B287" s="68" t="s">
        <v>26</v>
      </c>
      <c r="C287" s="69" t="s">
        <v>181</v>
      </c>
      <c r="D287" s="65" t="s">
        <v>40</v>
      </c>
      <c r="E287" s="67" t="s">
        <v>216</v>
      </c>
      <c r="F287" s="65" t="s">
        <v>251</v>
      </c>
      <c r="G287" s="65" t="str">
        <f>INDEX(Auxiliar!$B$16:$B$24,MATCH(Plano_V3!H287,Auxiliar!$C$16:$C$24,0),1)</f>
        <v>1. Concluído</v>
      </c>
      <c r="H287" s="65">
        <f>VLOOKUP(A287,'Aux - pivots1'!$A:$B,2,0)</f>
        <v>1</v>
      </c>
      <c r="I287" s="189">
        <f>SUMIFS(Table1[Estimação (horas)],Table1[Tabela],Plano_V3!E287,Table1[Campo],Plano_V3!F287)</f>
        <v>0.6</v>
      </c>
      <c r="J287" s="189">
        <f t="shared" si="47"/>
        <v>7.4999999999999997E-2</v>
      </c>
      <c r="K287" s="189">
        <f>SUMIFS(Table1[Horas efetivas],Table1[Tabela],Plano_V3!E287,Table1[Campo],Plano_V3!F287)</f>
        <v>0.6</v>
      </c>
      <c r="L287" s="189">
        <f t="shared" si="48"/>
        <v>7.4999999999999997E-2</v>
      </c>
      <c r="M287" s="183"/>
      <c r="N287" s="183">
        <f t="shared" si="49"/>
        <v>1</v>
      </c>
      <c r="O287" s="183">
        <f t="shared" si="50"/>
        <v>1</v>
      </c>
      <c r="P287" s="90" t="s">
        <v>39</v>
      </c>
      <c r="Q287" s="91">
        <f t="shared" si="45"/>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6"/>
        <v>modesg_inp_nfrd_alinhamento_taxccm_trnvr_ttl_elgbl</v>
      </c>
      <c r="B288" s="68" t="s">
        <v>26</v>
      </c>
      <c r="C288" s="69" t="s">
        <v>181</v>
      </c>
      <c r="D288" s="65" t="s">
        <v>40</v>
      </c>
      <c r="E288" s="67" t="s">
        <v>216</v>
      </c>
      <c r="F288" s="65" t="s">
        <v>252</v>
      </c>
      <c r="G288" s="65" t="str">
        <f>INDEX(Auxiliar!$B$16:$B$24,MATCH(Plano_V3!H288,Auxiliar!$C$16:$C$24,0),1)</f>
        <v>1. Concluído</v>
      </c>
      <c r="H288" s="65">
        <f>VLOOKUP(A288,'Aux - pivots1'!$A:$B,2,0)</f>
        <v>1</v>
      </c>
      <c r="I288" s="189">
        <f>SUMIFS(Table1[Estimação (horas)],Table1[Tabela],Plano_V3!E288,Table1[Campo],Plano_V3!F288)</f>
        <v>0.6</v>
      </c>
      <c r="J288" s="189">
        <f t="shared" si="47"/>
        <v>7.4999999999999997E-2</v>
      </c>
      <c r="K288" s="189">
        <f>SUMIFS(Table1[Horas efetivas],Table1[Tabela],Plano_V3!E288,Table1[Campo],Plano_V3!F288)</f>
        <v>0.6</v>
      </c>
      <c r="L288" s="189">
        <f t="shared" si="48"/>
        <v>7.4999999999999997E-2</v>
      </c>
      <c r="M288" s="183"/>
      <c r="N288" s="183">
        <f t="shared" si="49"/>
        <v>1</v>
      </c>
      <c r="O288" s="183">
        <f t="shared" si="50"/>
        <v>1</v>
      </c>
      <c r="P288" s="90" t="s">
        <v>39</v>
      </c>
      <c r="Q288" s="91">
        <f t="shared" si="45"/>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6"/>
        <v>modesg_inp_nfrd_alinhamento_taxccm_trnvr_enblng_algnd</v>
      </c>
      <c r="B289" s="68" t="s">
        <v>26</v>
      </c>
      <c r="C289" s="69" t="s">
        <v>181</v>
      </c>
      <c r="D289" s="65" t="s">
        <v>40</v>
      </c>
      <c r="E289" s="67" t="s">
        <v>216</v>
      </c>
      <c r="F289" s="65" t="s">
        <v>253</v>
      </c>
      <c r="G289" s="65" t="str">
        <f>INDEX(Auxiliar!$B$16:$B$24,MATCH(Plano_V3!H289,Auxiliar!$C$16:$C$24,0),1)</f>
        <v>1. Concluído</v>
      </c>
      <c r="H289" s="65">
        <f>VLOOKUP(A289,'Aux - pivots1'!$A:$B,2,0)</f>
        <v>1</v>
      </c>
      <c r="I289" s="189">
        <f>SUMIFS(Table1[Estimação (horas)],Table1[Tabela],Plano_V3!E289,Table1[Campo],Plano_V3!F289)</f>
        <v>0.6</v>
      </c>
      <c r="J289" s="189">
        <f t="shared" si="47"/>
        <v>7.4999999999999997E-2</v>
      </c>
      <c r="K289" s="189">
        <f>SUMIFS(Table1[Horas efetivas],Table1[Tabela],Plano_V3!E289,Table1[Campo],Plano_V3!F289)</f>
        <v>0.6</v>
      </c>
      <c r="L289" s="189">
        <f t="shared" si="48"/>
        <v>7.4999999999999997E-2</v>
      </c>
      <c r="M289" s="183"/>
      <c r="N289" s="183">
        <f t="shared" si="49"/>
        <v>1</v>
      </c>
      <c r="O289" s="183">
        <f t="shared" si="50"/>
        <v>1</v>
      </c>
      <c r="P289" s="90" t="s">
        <v>39</v>
      </c>
      <c r="Q289" s="91">
        <f t="shared" si="45"/>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6"/>
        <v>modesg_inp_nfrd_alinhamento_taxccm_trnvr_trnstn_alignd</v>
      </c>
      <c r="B290" s="68" t="s">
        <v>26</v>
      </c>
      <c r="C290" s="69" t="s">
        <v>181</v>
      </c>
      <c r="D290" s="65" t="s">
        <v>40</v>
      </c>
      <c r="E290" s="67" t="s">
        <v>216</v>
      </c>
      <c r="F290" s="65" t="s">
        <v>254</v>
      </c>
      <c r="G290" s="65" t="str">
        <f>INDEX(Auxiliar!$B$16:$B$24,MATCH(Plano_V3!H290,Auxiliar!$C$16:$C$24,0),1)</f>
        <v>1. Concluído</v>
      </c>
      <c r="H290" s="65">
        <f>VLOOKUP(A290,'Aux - pivots1'!$A:$B,2,0)</f>
        <v>1</v>
      </c>
      <c r="I290" s="189">
        <f>SUMIFS(Table1[Estimação (horas)],Table1[Tabela],Plano_V3!E290,Table1[Campo],Plano_V3!F290)</f>
        <v>0.6</v>
      </c>
      <c r="J290" s="189">
        <f t="shared" si="47"/>
        <v>7.4999999999999997E-2</v>
      </c>
      <c r="K290" s="189">
        <f>SUMIFS(Table1[Horas efetivas],Table1[Tabela],Plano_V3!E290,Table1[Campo],Plano_V3!F290)</f>
        <v>0.6</v>
      </c>
      <c r="L290" s="189">
        <f t="shared" si="48"/>
        <v>7.4999999999999997E-2</v>
      </c>
      <c r="M290" s="183"/>
      <c r="N290" s="183">
        <f t="shared" si="49"/>
        <v>1</v>
      </c>
      <c r="O290" s="183">
        <f t="shared" si="50"/>
        <v>1</v>
      </c>
      <c r="P290" s="90" t="s">
        <v>39</v>
      </c>
      <c r="Q290" s="91">
        <f t="shared" si="45"/>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6"/>
        <v>modesg_inp_nfrd_alinhamento_taxccm_trnvr_own_prfrmnce_algnd</v>
      </c>
      <c r="B291" s="68" t="s">
        <v>26</v>
      </c>
      <c r="C291" s="69" t="s">
        <v>181</v>
      </c>
      <c r="D291" s="65" t="s">
        <v>40</v>
      </c>
      <c r="E291" s="67" t="s">
        <v>216</v>
      </c>
      <c r="F291" s="65" t="s">
        <v>255</v>
      </c>
      <c r="G291" s="65" t="str">
        <f>INDEX(Auxiliar!$B$16:$B$24,MATCH(Plano_V3!H291,Auxiliar!$C$16:$C$24,0),1)</f>
        <v>1. Concluído</v>
      </c>
      <c r="H291" s="65">
        <f>VLOOKUP(A291,'Aux - pivots1'!$A:$B,2,0)</f>
        <v>1</v>
      </c>
      <c r="I291" s="189">
        <f>SUMIFS(Table1[Estimação (horas)],Table1[Tabela],Plano_V3!E291,Table1[Campo],Plano_V3!F291)</f>
        <v>0.6</v>
      </c>
      <c r="J291" s="189">
        <f t="shared" si="47"/>
        <v>7.4999999999999997E-2</v>
      </c>
      <c r="K291" s="189">
        <f>SUMIFS(Table1[Horas efetivas],Table1[Tabela],Plano_V3!E291,Table1[Campo],Plano_V3!F291)</f>
        <v>0.6</v>
      </c>
      <c r="L291" s="189">
        <f t="shared" si="48"/>
        <v>7.4999999999999997E-2</v>
      </c>
      <c r="M291" s="183"/>
      <c r="N291" s="183">
        <f t="shared" si="49"/>
        <v>1</v>
      </c>
      <c r="O291" s="183">
        <f t="shared" si="50"/>
        <v>1</v>
      </c>
      <c r="P291" s="90" t="s">
        <v>39</v>
      </c>
      <c r="Q291" s="91">
        <f t="shared" si="45"/>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6"/>
        <v>modesg_inp_nfrd_alinhamento_taxccm_capex_ttl_elgbl</v>
      </c>
      <c r="B292" s="68" t="s">
        <v>26</v>
      </c>
      <c r="C292" s="69" t="s">
        <v>181</v>
      </c>
      <c r="D292" s="65" t="s">
        <v>40</v>
      </c>
      <c r="E292" s="67" t="s">
        <v>216</v>
      </c>
      <c r="F292" s="65" t="s">
        <v>256</v>
      </c>
      <c r="G292" s="65" t="str">
        <f>INDEX(Auxiliar!$B$16:$B$24,MATCH(Plano_V3!H292,Auxiliar!$C$16:$C$24,0),1)</f>
        <v>1. Concluído</v>
      </c>
      <c r="H292" s="65">
        <f>VLOOKUP(A292,'Aux - pivots1'!$A:$B,2,0)</f>
        <v>1</v>
      </c>
      <c r="I292" s="189">
        <f>SUMIFS(Table1[Estimação (horas)],Table1[Tabela],Plano_V3!E292,Table1[Campo],Plano_V3!F292)</f>
        <v>0.6</v>
      </c>
      <c r="J292" s="189">
        <f t="shared" si="47"/>
        <v>7.4999999999999997E-2</v>
      </c>
      <c r="K292" s="189">
        <f>SUMIFS(Table1[Horas efetivas],Table1[Tabela],Plano_V3!E292,Table1[Campo],Plano_V3!F292)</f>
        <v>0.6</v>
      </c>
      <c r="L292" s="189">
        <f t="shared" si="48"/>
        <v>7.4999999999999997E-2</v>
      </c>
      <c r="M292" s="183"/>
      <c r="N292" s="183">
        <f t="shared" si="49"/>
        <v>1</v>
      </c>
      <c r="O292" s="183">
        <f t="shared" si="50"/>
        <v>1</v>
      </c>
      <c r="P292" s="90" t="s">
        <v>39</v>
      </c>
      <c r="Q292" s="91">
        <f t="shared" si="45"/>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6"/>
        <v>modesg_inp_nfrd_alinhamento_taxccm_capex_enblng_algnd</v>
      </c>
      <c r="B293" s="68" t="s">
        <v>26</v>
      </c>
      <c r="C293" s="69" t="s">
        <v>181</v>
      </c>
      <c r="D293" s="65" t="s">
        <v>40</v>
      </c>
      <c r="E293" s="67" t="s">
        <v>216</v>
      </c>
      <c r="F293" s="65" t="s">
        <v>257</v>
      </c>
      <c r="G293" s="65" t="str">
        <f>INDEX(Auxiliar!$B$16:$B$24,MATCH(Plano_V3!H293,Auxiliar!$C$16:$C$24,0),1)</f>
        <v>1. Concluído</v>
      </c>
      <c r="H293" s="65">
        <f>VLOOKUP(A293,'Aux - pivots1'!$A:$B,2,0)</f>
        <v>1</v>
      </c>
      <c r="I293" s="189">
        <f>SUMIFS(Table1[Estimação (horas)],Table1[Tabela],Plano_V3!E293,Table1[Campo],Plano_V3!F293)</f>
        <v>0.6</v>
      </c>
      <c r="J293" s="189">
        <f t="shared" si="47"/>
        <v>7.4999999999999997E-2</v>
      </c>
      <c r="K293" s="189">
        <f>SUMIFS(Table1[Horas efetivas],Table1[Tabela],Plano_V3!E293,Table1[Campo],Plano_V3!F293)</f>
        <v>0.6</v>
      </c>
      <c r="L293" s="189">
        <f t="shared" si="48"/>
        <v>7.4999999999999997E-2</v>
      </c>
      <c r="M293" s="183"/>
      <c r="N293" s="183">
        <f t="shared" si="49"/>
        <v>1</v>
      </c>
      <c r="O293" s="183">
        <f t="shared" si="50"/>
        <v>1</v>
      </c>
      <c r="P293" s="90" t="s">
        <v>39</v>
      </c>
      <c r="Q293" s="91">
        <f t="shared" ref="Q293:Q356" si="51">J293-SUM(R293:ES293)</f>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46"/>
        <v>modesg_inp_nfrd_alinhamento_taxccm_capex_trnstn_algnd</v>
      </c>
      <c r="B294" s="68" t="s">
        <v>26</v>
      </c>
      <c r="C294" s="69" t="s">
        <v>181</v>
      </c>
      <c r="D294" s="65" t="s">
        <v>40</v>
      </c>
      <c r="E294" s="67" t="s">
        <v>216</v>
      </c>
      <c r="F294" s="65" t="s">
        <v>258</v>
      </c>
      <c r="G294" s="65" t="str">
        <f>INDEX(Auxiliar!$B$16:$B$24,MATCH(Plano_V3!H294,Auxiliar!$C$16:$C$24,0),1)</f>
        <v>1. Concluído</v>
      </c>
      <c r="H294" s="65">
        <f>VLOOKUP(A294,'Aux - pivots1'!$A:$B,2,0)</f>
        <v>1</v>
      </c>
      <c r="I294" s="189">
        <f>SUMIFS(Table1[Estimação (horas)],Table1[Tabela],Plano_V3!E294,Table1[Campo],Plano_V3!F294)</f>
        <v>0.6</v>
      </c>
      <c r="J294" s="189">
        <f t="shared" si="47"/>
        <v>7.4999999999999997E-2</v>
      </c>
      <c r="K294" s="189">
        <f>SUMIFS(Table1[Horas efetivas],Table1[Tabela],Plano_V3!E294,Table1[Campo],Plano_V3!F294)</f>
        <v>0.6</v>
      </c>
      <c r="L294" s="189">
        <f t="shared" si="48"/>
        <v>7.4999999999999997E-2</v>
      </c>
      <c r="M294" s="183"/>
      <c r="N294" s="183">
        <f t="shared" si="49"/>
        <v>1</v>
      </c>
      <c r="O294" s="183">
        <f t="shared" si="50"/>
        <v>1</v>
      </c>
      <c r="P294" s="90" t="s">
        <v>39</v>
      </c>
      <c r="Q294" s="91">
        <f t="shared" si="51"/>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ref="A295:A358" si="52">E295&amp;F295</f>
        <v>modesg_inp_nfrd_alinhamento_taxccm_capex_own_prfrmnce_algnd</v>
      </c>
      <c r="B295" s="68" t="s">
        <v>26</v>
      </c>
      <c r="C295" s="69" t="s">
        <v>181</v>
      </c>
      <c r="D295" s="65" t="s">
        <v>40</v>
      </c>
      <c r="E295" s="67" t="s">
        <v>216</v>
      </c>
      <c r="F295" s="65" t="s">
        <v>259</v>
      </c>
      <c r="G295" s="65" t="str">
        <f>INDEX(Auxiliar!$B$16:$B$24,MATCH(Plano_V3!H295,Auxiliar!$C$16:$C$24,0),1)</f>
        <v>1. Concluído</v>
      </c>
      <c r="H295" s="65">
        <f>VLOOKUP(A295,'Aux - pivots1'!$A:$B,2,0)</f>
        <v>1</v>
      </c>
      <c r="I295" s="189">
        <f>SUMIFS(Table1[Estimação (horas)],Table1[Tabela],Plano_V3!E295,Table1[Campo],Plano_V3!F295)</f>
        <v>0.6</v>
      </c>
      <c r="J295" s="189">
        <f t="shared" si="47"/>
        <v>7.4999999999999997E-2</v>
      </c>
      <c r="K295" s="189">
        <f>SUMIFS(Table1[Horas efetivas],Table1[Tabela],Plano_V3!E295,Table1[Campo],Plano_V3!F295)</f>
        <v>0.6</v>
      </c>
      <c r="L295" s="189">
        <f t="shared" si="48"/>
        <v>7.4999999999999997E-2</v>
      </c>
      <c r="M295" s="183"/>
      <c r="N295" s="183">
        <f t="shared" si="49"/>
        <v>1</v>
      </c>
      <c r="O295" s="183">
        <f t="shared" si="50"/>
        <v>1</v>
      </c>
      <c r="P295" s="90" t="s">
        <v>39</v>
      </c>
      <c r="Q295" s="91">
        <f t="shared" si="51"/>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2"/>
        <v>modesg_inp_nfrd_alinhamento_taxppc_trnvr_ttl_elgbl</v>
      </c>
      <c r="B296" s="68" t="s">
        <v>26</v>
      </c>
      <c r="C296" s="69" t="s">
        <v>181</v>
      </c>
      <c r="D296" s="65" t="s">
        <v>40</v>
      </c>
      <c r="E296" s="67" t="s">
        <v>216</v>
      </c>
      <c r="F296" s="65" t="s">
        <v>260</v>
      </c>
      <c r="G296" s="65" t="str">
        <f>INDEX(Auxiliar!$B$16:$B$24,MATCH(Plano_V3!H296,Auxiliar!$C$16:$C$24,0),1)</f>
        <v>1. Concluído</v>
      </c>
      <c r="H296" s="65">
        <f>VLOOKUP(A296,'Aux - pivots1'!$A:$B,2,0)</f>
        <v>1</v>
      </c>
      <c r="I296" s="189">
        <f>SUMIFS(Table1[Estimação (horas)],Table1[Tabela],Plano_V3!E296,Table1[Campo],Plano_V3!F296)</f>
        <v>0.6</v>
      </c>
      <c r="J296" s="189">
        <f t="shared" si="47"/>
        <v>7.4999999999999997E-2</v>
      </c>
      <c r="K296" s="189">
        <f>SUMIFS(Table1[Horas efetivas],Table1[Tabela],Plano_V3!E296,Table1[Campo],Plano_V3!F296)</f>
        <v>0.6</v>
      </c>
      <c r="L296" s="189">
        <f t="shared" si="48"/>
        <v>7.4999999999999997E-2</v>
      </c>
      <c r="M296" s="183"/>
      <c r="N296" s="183">
        <f t="shared" si="49"/>
        <v>1</v>
      </c>
      <c r="O296" s="183">
        <f t="shared" si="50"/>
        <v>1</v>
      </c>
      <c r="P296" s="90" t="s">
        <v>39</v>
      </c>
      <c r="Q296" s="91">
        <f t="shared" si="51"/>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2"/>
        <v>modesg_inp_nfrd_alinhamento_taxppc_turnover_own_prfrmnce_algnd</v>
      </c>
      <c r="B297" s="68" t="s">
        <v>26</v>
      </c>
      <c r="C297" s="69" t="s">
        <v>181</v>
      </c>
      <c r="D297" s="65" t="s">
        <v>40</v>
      </c>
      <c r="E297" s="67" t="s">
        <v>216</v>
      </c>
      <c r="F297" s="65" t="s">
        <v>261</v>
      </c>
      <c r="G297" s="65" t="str">
        <f>INDEX(Auxiliar!$B$16:$B$24,MATCH(Plano_V3!H297,Auxiliar!$C$16:$C$24,0),1)</f>
        <v>1. Concluído</v>
      </c>
      <c r="H297" s="65">
        <f>VLOOKUP(A297,'Aux - pivots1'!$A:$B,2,0)</f>
        <v>1</v>
      </c>
      <c r="I297" s="189">
        <f>SUMIFS(Table1[Estimação (horas)],Table1[Tabela],Plano_V3!E297,Table1[Campo],Plano_V3!F297)</f>
        <v>0.6</v>
      </c>
      <c r="J297" s="189">
        <f t="shared" si="47"/>
        <v>7.4999999999999997E-2</v>
      </c>
      <c r="K297" s="189">
        <f>SUMIFS(Table1[Horas efetivas],Table1[Tabela],Plano_V3!E297,Table1[Campo],Plano_V3!F297)</f>
        <v>0.6</v>
      </c>
      <c r="L297" s="189">
        <f t="shared" si="48"/>
        <v>7.4999999999999997E-2</v>
      </c>
      <c r="M297" s="183"/>
      <c r="N297" s="183">
        <f t="shared" si="49"/>
        <v>1</v>
      </c>
      <c r="O297" s="183">
        <f t="shared" si="50"/>
        <v>1</v>
      </c>
      <c r="P297" s="90" t="s">
        <v>39</v>
      </c>
      <c r="Q297" s="91">
        <f t="shared" si="51"/>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2"/>
        <v>modesg_inp_nfrd_alinhamento_taxppc_capex_ttl_elgbl</v>
      </c>
      <c r="B298" s="68" t="s">
        <v>26</v>
      </c>
      <c r="C298" s="69" t="s">
        <v>181</v>
      </c>
      <c r="D298" s="65" t="s">
        <v>40</v>
      </c>
      <c r="E298" s="67" t="s">
        <v>216</v>
      </c>
      <c r="F298" s="65" t="s">
        <v>262</v>
      </c>
      <c r="G298" s="65" t="str">
        <f>INDEX(Auxiliar!$B$16:$B$24,MATCH(Plano_V3!H298,Auxiliar!$C$16:$C$24,0),1)</f>
        <v>1. Concluído</v>
      </c>
      <c r="H298" s="65">
        <f>VLOOKUP(A298,'Aux - pivots1'!$A:$B,2,0)</f>
        <v>1</v>
      </c>
      <c r="I298" s="189">
        <f>SUMIFS(Table1[Estimação (horas)],Table1[Tabela],Plano_V3!E298,Table1[Campo],Plano_V3!F298)</f>
        <v>0.6</v>
      </c>
      <c r="J298" s="189">
        <f t="shared" si="47"/>
        <v>7.4999999999999997E-2</v>
      </c>
      <c r="K298" s="189">
        <f>SUMIFS(Table1[Horas efetivas],Table1[Tabela],Plano_V3!E298,Table1[Campo],Plano_V3!F298)</f>
        <v>0.6</v>
      </c>
      <c r="L298" s="189">
        <f t="shared" si="48"/>
        <v>7.4999999999999997E-2</v>
      </c>
      <c r="M298" s="183"/>
      <c r="N298" s="183">
        <f t="shared" si="49"/>
        <v>1</v>
      </c>
      <c r="O298" s="183">
        <f t="shared" si="50"/>
        <v>1</v>
      </c>
      <c r="P298" s="90" t="s">
        <v>39</v>
      </c>
      <c r="Q298" s="91">
        <f t="shared" si="51"/>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2"/>
        <v>modesg_inp_nfrd_alinhamento_taxppc_capex_own_prfrmnce_algnd</v>
      </c>
      <c r="B299" s="68" t="s">
        <v>26</v>
      </c>
      <c r="C299" s="69" t="s">
        <v>181</v>
      </c>
      <c r="D299" s="65" t="s">
        <v>40</v>
      </c>
      <c r="E299" s="67" t="s">
        <v>216</v>
      </c>
      <c r="F299" s="65" t="s">
        <v>263</v>
      </c>
      <c r="G299" s="65" t="str">
        <f>INDEX(Auxiliar!$B$16:$B$24,MATCH(Plano_V3!H299,Auxiliar!$C$16:$C$24,0),1)</f>
        <v>1. Concluído</v>
      </c>
      <c r="H299" s="65">
        <f>VLOOKUP(A299,'Aux - pivots1'!$A:$B,2,0)</f>
        <v>1</v>
      </c>
      <c r="I299" s="189">
        <f>SUMIFS(Table1[Estimação (horas)],Table1[Tabela],Plano_V3!E299,Table1[Campo],Plano_V3!F299)</f>
        <v>0.6</v>
      </c>
      <c r="J299" s="189">
        <f t="shared" si="47"/>
        <v>7.4999999999999997E-2</v>
      </c>
      <c r="K299" s="189">
        <f>SUMIFS(Table1[Horas efetivas],Table1[Tabela],Plano_V3!E299,Table1[Campo],Plano_V3!F299)</f>
        <v>0.6</v>
      </c>
      <c r="L299" s="189">
        <f t="shared" si="48"/>
        <v>7.4999999999999997E-2</v>
      </c>
      <c r="M299" s="183"/>
      <c r="N299" s="183">
        <f t="shared" si="49"/>
        <v>1</v>
      </c>
      <c r="O299" s="183">
        <f t="shared" si="50"/>
        <v>1</v>
      </c>
      <c r="P299" s="90" t="s">
        <v>39</v>
      </c>
      <c r="Q299" s="91">
        <f t="shared" si="51"/>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2"/>
        <v>modesg_inp_nfrd_alinhamento_taxbio_trnvr_ttl_elgbl</v>
      </c>
      <c r="B300" s="68" t="s">
        <v>26</v>
      </c>
      <c r="C300" s="69" t="s">
        <v>181</v>
      </c>
      <c r="D300" s="65" t="s">
        <v>40</v>
      </c>
      <c r="E300" s="67" t="s">
        <v>216</v>
      </c>
      <c r="F300" s="65" t="s">
        <v>264</v>
      </c>
      <c r="G300" s="65" t="str">
        <f>INDEX(Auxiliar!$B$16:$B$24,MATCH(Plano_V3!H300,Auxiliar!$C$16:$C$24,0),1)</f>
        <v>1. Concluído</v>
      </c>
      <c r="H300" s="65">
        <f>VLOOKUP(A300,'Aux - pivots1'!$A:$B,2,0)</f>
        <v>1</v>
      </c>
      <c r="I300" s="189">
        <f>SUMIFS(Table1[Estimação (horas)],Table1[Tabela],Plano_V3!E300,Table1[Campo],Plano_V3!F300)</f>
        <v>0.6</v>
      </c>
      <c r="J300" s="189">
        <f t="shared" si="47"/>
        <v>7.4999999999999997E-2</v>
      </c>
      <c r="K300" s="189">
        <f>SUMIFS(Table1[Horas efetivas],Table1[Tabela],Plano_V3!E300,Table1[Campo],Plano_V3!F300)</f>
        <v>0.6</v>
      </c>
      <c r="L300" s="189">
        <f t="shared" si="48"/>
        <v>7.4999999999999997E-2</v>
      </c>
      <c r="M300" s="183"/>
      <c r="N300" s="183">
        <f t="shared" si="49"/>
        <v>1</v>
      </c>
      <c r="O300" s="183">
        <f t="shared" si="50"/>
        <v>1</v>
      </c>
      <c r="P300" s="90" t="s">
        <v>39</v>
      </c>
      <c r="Q300" s="91">
        <f t="shared" si="51"/>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2"/>
        <v>modesg_inp_nfrd_alinhamento_taxbio_turnover_own_prfrmnce_algnd</v>
      </c>
      <c r="B301" s="68" t="s">
        <v>26</v>
      </c>
      <c r="C301" s="69" t="s">
        <v>181</v>
      </c>
      <c r="D301" s="65" t="s">
        <v>40</v>
      </c>
      <c r="E301" s="67" t="s">
        <v>216</v>
      </c>
      <c r="F301" s="65" t="s">
        <v>265</v>
      </c>
      <c r="G301" s="65" t="str">
        <f>INDEX(Auxiliar!$B$16:$B$24,MATCH(Plano_V3!H301,Auxiliar!$C$16:$C$24,0),1)</f>
        <v>1. Concluído</v>
      </c>
      <c r="H301" s="65">
        <f>VLOOKUP(A301,'Aux - pivots1'!$A:$B,2,0)</f>
        <v>1</v>
      </c>
      <c r="I301" s="189">
        <f>SUMIFS(Table1[Estimação (horas)],Table1[Tabela],Plano_V3!E301,Table1[Campo],Plano_V3!F301)</f>
        <v>0.6</v>
      </c>
      <c r="J301" s="189">
        <f t="shared" si="47"/>
        <v>7.4999999999999997E-2</v>
      </c>
      <c r="K301" s="189">
        <f>SUMIFS(Table1[Horas efetivas],Table1[Tabela],Plano_V3!E301,Table1[Campo],Plano_V3!F301)</f>
        <v>0.6</v>
      </c>
      <c r="L301" s="189">
        <f t="shared" si="48"/>
        <v>7.4999999999999997E-2</v>
      </c>
      <c r="M301" s="183"/>
      <c r="N301" s="183">
        <f t="shared" si="49"/>
        <v>1</v>
      </c>
      <c r="O301" s="183">
        <f t="shared" si="50"/>
        <v>1</v>
      </c>
      <c r="P301" s="90" t="s">
        <v>39</v>
      </c>
      <c r="Q301" s="91">
        <f t="shared" si="51"/>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2"/>
        <v>modesg_inp_nfrd_alinhamento_taxbio_capex_ttl_elgbl</v>
      </c>
      <c r="B302" s="68" t="s">
        <v>26</v>
      </c>
      <c r="C302" s="69" t="s">
        <v>181</v>
      </c>
      <c r="D302" s="65" t="s">
        <v>40</v>
      </c>
      <c r="E302" s="67" t="s">
        <v>216</v>
      </c>
      <c r="F302" s="65" t="s">
        <v>266</v>
      </c>
      <c r="G302" s="65" t="str">
        <f>INDEX(Auxiliar!$B$16:$B$24,MATCH(Plano_V3!H302,Auxiliar!$C$16:$C$24,0),1)</f>
        <v>1. Concluído</v>
      </c>
      <c r="H302" s="65">
        <f>VLOOKUP(A302,'Aux - pivots1'!$A:$B,2,0)</f>
        <v>1</v>
      </c>
      <c r="I302" s="189">
        <f>SUMIFS(Table1[Estimação (horas)],Table1[Tabela],Plano_V3!E302,Table1[Campo],Plano_V3!F302)</f>
        <v>0.6</v>
      </c>
      <c r="J302" s="189">
        <f t="shared" si="47"/>
        <v>7.4999999999999997E-2</v>
      </c>
      <c r="K302" s="189">
        <f>SUMIFS(Table1[Horas efetivas],Table1[Tabela],Plano_V3!E302,Table1[Campo],Plano_V3!F302)</f>
        <v>0.6</v>
      </c>
      <c r="L302" s="189">
        <f t="shared" si="48"/>
        <v>7.4999999999999997E-2</v>
      </c>
      <c r="M302" s="183"/>
      <c r="N302" s="183">
        <f t="shared" si="49"/>
        <v>1</v>
      </c>
      <c r="O302" s="183">
        <f t="shared" si="50"/>
        <v>1</v>
      </c>
      <c r="P302" s="90" t="s">
        <v>39</v>
      </c>
      <c r="Q302" s="91">
        <f t="shared" si="51"/>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2"/>
        <v>modesg_inp_nfrd_alinhamento_taxbio_capex_own_prfrmnce_algnd</v>
      </c>
      <c r="B303" s="68" t="s">
        <v>26</v>
      </c>
      <c r="C303" s="69" t="s">
        <v>181</v>
      </c>
      <c r="D303" s="65" t="s">
        <v>40</v>
      </c>
      <c r="E303" s="67" t="s">
        <v>216</v>
      </c>
      <c r="F303" s="65" t="s">
        <v>267</v>
      </c>
      <c r="G303" s="65" t="str">
        <f>INDEX(Auxiliar!$B$16:$B$24,MATCH(Plano_V3!H303,Auxiliar!$C$16:$C$24,0),1)</f>
        <v>1. Concluído</v>
      </c>
      <c r="H303" s="65">
        <f>VLOOKUP(A303,'Aux - pivots1'!$A:$B,2,0)</f>
        <v>1</v>
      </c>
      <c r="I303" s="189">
        <f>SUMIFS(Table1[Estimação (horas)],Table1[Tabela],Plano_V3!E303,Table1[Campo],Plano_V3!F303)</f>
        <v>0.6</v>
      </c>
      <c r="J303" s="189">
        <f t="shared" si="47"/>
        <v>7.4999999999999997E-2</v>
      </c>
      <c r="K303" s="189">
        <f>SUMIFS(Table1[Horas efetivas],Table1[Tabela],Plano_V3!E303,Table1[Campo],Plano_V3!F303)</f>
        <v>0.6</v>
      </c>
      <c r="L303" s="189">
        <f t="shared" si="48"/>
        <v>7.4999999999999997E-2</v>
      </c>
      <c r="M303" s="183"/>
      <c r="N303" s="183">
        <f t="shared" si="49"/>
        <v>1</v>
      </c>
      <c r="O303" s="183">
        <f t="shared" si="50"/>
        <v>1</v>
      </c>
      <c r="P303" s="90" t="s">
        <v>39</v>
      </c>
      <c r="Q303" s="91">
        <f t="shared" si="51"/>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2"/>
        <v>modesg_inp_nfrd_alinhamento_taxwtr_trnvr_ttl_elgbl</v>
      </c>
      <c r="B304" s="68" t="s">
        <v>26</v>
      </c>
      <c r="C304" s="69" t="s">
        <v>181</v>
      </c>
      <c r="D304" s="65" t="s">
        <v>40</v>
      </c>
      <c r="E304" s="67" t="s">
        <v>216</v>
      </c>
      <c r="F304" s="65" t="s">
        <v>268</v>
      </c>
      <c r="G304" s="65" t="str">
        <f>INDEX(Auxiliar!$B$16:$B$24,MATCH(Plano_V3!H304,Auxiliar!$C$16:$C$24,0),1)</f>
        <v>1. Concluído</v>
      </c>
      <c r="H304" s="65">
        <f>VLOOKUP(A304,'Aux - pivots1'!$A:$B,2,0)</f>
        <v>1</v>
      </c>
      <c r="I304" s="189">
        <f>SUMIFS(Table1[Estimação (horas)],Table1[Tabela],Plano_V3!E304,Table1[Campo],Plano_V3!F304)</f>
        <v>0.6</v>
      </c>
      <c r="J304" s="189">
        <f t="shared" si="47"/>
        <v>7.4999999999999997E-2</v>
      </c>
      <c r="K304" s="189">
        <f>SUMIFS(Table1[Horas efetivas],Table1[Tabela],Plano_V3!E304,Table1[Campo],Plano_V3!F304)</f>
        <v>0.6</v>
      </c>
      <c r="L304" s="189">
        <f t="shared" si="48"/>
        <v>7.4999999999999997E-2</v>
      </c>
      <c r="M304" s="183"/>
      <c r="N304" s="183">
        <f t="shared" si="49"/>
        <v>1</v>
      </c>
      <c r="O304" s="183">
        <f t="shared" si="50"/>
        <v>1</v>
      </c>
      <c r="P304" s="90" t="s">
        <v>39</v>
      </c>
      <c r="Q304" s="91">
        <f t="shared" si="51"/>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2"/>
        <v>modesg_inp_nfrd_alinhamento_taxwtr_trnvr_enblng_alignd</v>
      </c>
      <c r="B305" s="68" t="s">
        <v>26</v>
      </c>
      <c r="C305" s="69" t="s">
        <v>181</v>
      </c>
      <c r="D305" s="65" t="s">
        <v>40</v>
      </c>
      <c r="E305" s="67" t="s">
        <v>216</v>
      </c>
      <c r="F305" s="65" t="s">
        <v>269</v>
      </c>
      <c r="G305" s="65" t="str">
        <f>INDEX(Auxiliar!$B$16:$B$24,MATCH(Plano_V3!H305,Auxiliar!$C$16:$C$24,0),1)</f>
        <v>1. Concluído</v>
      </c>
      <c r="H305" s="65">
        <f>VLOOKUP(A305,'Aux - pivots1'!$A:$B,2,0)</f>
        <v>1</v>
      </c>
      <c r="I305" s="189">
        <f>SUMIFS(Table1[Estimação (horas)],Table1[Tabela],Plano_V3!E305,Table1[Campo],Plano_V3!F305)</f>
        <v>0.6</v>
      </c>
      <c r="J305" s="189">
        <f t="shared" si="47"/>
        <v>7.4999999999999997E-2</v>
      </c>
      <c r="K305" s="189">
        <f>SUMIFS(Table1[Horas efetivas],Table1[Tabela],Plano_V3!E305,Table1[Campo],Plano_V3!F305)</f>
        <v>0.6</v>
      </c>
      <c r="L305" s="189">
        <f t="shared" si="48"/>
        <v>7.4999999999999997E-2</v>
      </c>
      <c r="M305" s="183"/>
      <c r="N305" s="183">
        <f t="shared" si="49"/>
        <v>1</v>
      </c>
      <c r="O305" s="183">
        <f t="shared" si="50"/>
        <v>1</v>
      </c>
      <c r="P305" s="90" t="s">
        <v>39</v>
      </c>
      <c r="Q305" s="91">
        <f t="shared" si="51"/>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2"/>
        <v>modesg_inp_nfrd_alinhamento_taxwtr_turnover_own_prfrmnce_algnd</v>
      </c>
      <c r="B306" s="68" t="s">
        <v>26</v>
      </c>
      <c r="C306" s="69" t="s">
        <v>181</v>
      </c>
      <c r="D306" s="65" t="s">
        <v>40</v>
      </c>
      <c r="E306" s="67" t="s">
        <v>216</v>
      </c>
      <c r="F306" s="65" t="s">
        <v>270</v>
      </c>
      <c r="G306" s="65" t="str">
        <f>INDEX(Auxiliar!$B$16:$B$24,MATCH(Plano_V3!H306,Auxiliar!$C$16:$C$24,0),1)</f>
        <v>1. Concluído</v>
      </c>
      <c r="H306" s="65">
        <f>VLOOKUP(A306,'Aux - pivots1'!$A:$B,2,0)</f>
        <v>1</v>
      </c>
      <c r="I306" s="189">
        <f>SUMIFS(Table1[Estimação (horas)],Table1[Tabela],Plano_V3!E306,Table1[Campo],Plano_V3!F306)</f>
        <v>0.6</v>
      </c>
      <c r="J306" s="189">
        <f t="shared" si="47"/>
        <v>7.4999999999999997E-2</v>
      </c>
      <c r="K306" s="189">
        <f>SUMIFS(Table1[Horas efetivas],Table1[Tabela],Plano_V3!E306,Table1[Campo],Plano_V3!F306)</f>
        <v>0.6</v>
      </c>
      <c r="L306" s="189">
        <f t="shared" si="48"/>
        <v>7.4999999999999997E-2</v>
      </c>
      <c r="M306" s="183"/>
      <c r="N306" s="183">
        <f t="shared" si="49"/>
        <v>1</v>
      </c>
      <c r="O306" s="183">
        <f t="shared" si="50"/>
        <v>1</v>
      </c>
      <c r="P306" s="90" t="s">
        <v>39</v>
      </c>
      <c r="Q306" s="91">
        <f t="shared" si="51"/>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2"/>
        <v>modesg_inp_nfrd_alinhamento_taxwtr_capex_ttl_elgbl</v>
      </c>
      <c r="B307" s="68" t="s">
        <v>26</v>
      </c>
      <c r="C307" s="69" t="s">
        <v>181</v>
      </c>
      <c r="D307" s="65" t="s">
        <v>40</v>
      </c>
      <c r="E307" s="67" t="s">
        <v>216</v>
      </c>
      <c r="F307" s="65" t="s">
        <v>271</v>
      </c>
      <c r="G307" s="65" t="str">
        <f>INDEX(Auxiliar!$B$16:$B$24,MATCH(Plano_V3!H307,Auxiliar!$C$16:$C$24,0),1)</f>
        <v>1. Concluído</v>
      </c>
      <c r="H307" s="65">
        <f>VLOOKUP(A307,'Aux - pivots1'!$A:$B,2,0)</f>
        <v>1</v>
      </c>
      <c r="I307" s="189">
        <f>SUMIFS(Table1[Estimação (horas)],Table1[Tabela],Plano_V3!E307,Table1[Campo],Plano_V3!F307)</f>
        <v>0.6</v>
      </c>
      <c r="J307" s="189">
        <f t="shared" si="47"/>
        <v>7.4999999999999997E-2</v>
      </c>
      <c r="K307" s="189">
        <f>SUMIFS(Table1[Horas efetivas],Table1[Tabela],Plano_V3!E307,Table1[Campo],Plano_V3!F307)</f>
        <v>0.6</v>
      </c>
      <c r="L307" s="189">
        <f t="shared" si="48"/>
        <v>7.4999999999999997E-2</v>
      </c>
      <c r="M307" s="183"/>
      <c r="N307" s="183">
        <f t="shared" si="49"/>
        <v>1</v>
      </c>
      <c r="O307" s="183">
        <f t="shared" si="50"/>
        <v>1</v>
      </c>
      <c r="P307" s="90" t="s">
        <v>39</v>
      </c>
      <c r="Q307" s="91">
        <f t="shared" si="51"/>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2"/>
        <v>modesg_inp_nfrd_alinhamento_taxwtr_capex_enblng_algnd</v>
      </c>
      <c r="B308" s="68" t="s">
        <v>26</v>
      </c>
      <c r="C308" s="69" t="s">
        <v>181</v>
      </c>
      <c r="D308" s="65" t="s">
        <v>40</v>
      </c>
      <c r="E308" s="67" t="s">
        <v>216</v>
      </c>
      <c r="F308" s="65" t="s">
        <v>272</v>
      </c>
      <c r="G308" s="65" t="str">
        <f>INDEX(Auxiliar!$B$16:$B$24,MATCH(Plano_V3!H308,Auxiliar!$C$16:$C$24,0),1)</f>
        <v>1. Concluído</v>
      </c>
      <c r="H308" s="65">
        <f>VLOOKUP(A308,'Aux - pivots1'!$A:$B,2,0)</f>
        <v>1</v>
      </c>
      <c r="I308" s="189">
        <f>SUMIFS(Table1[Estimação (horas)],Table1[Tabela],Plano_V3!E308,Table1[Campo],Plano_V3!F308)</f>
        <v>0.6</v>
      </c>
      <c r="J308" s="189">
        <f t="shared" si="47"/>
        <v>7.4999999999999997E-2</v>
      </c>
      <c r="K308" s="189">
        <f>SUMIFS(Table1[Horas efetivas],Table1[Tabela],Plano_V3!E308,Table1[Campo],Plano_V3!F308)</f>
        <v>0.6</v>
      </c>
      <c r="L308" s="189">
        <f t="shared" si="48"/>
        <v>7.4999999999999997E-2</v>
      </c>
      <c r="M308" s="183"/>
      <c r="N308" s="183">
        <f t="shared" si="49"/>
        <v>1</v>
      </c>
      <c r="O308" s="183">
        <f t="shared" si="50"/>
        <v>1</v>
      </c>
      <c r="P308" s="90" t="s">
        <v>39</v>
      </c>
      <c r="Q308" s="91">
        <f t="shared" si="51"/>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2"/>
        <v>modesg_inp_nfrd_alinhamento_taxwtr_capex_own_prfrmnce_algnd</v>
      </c>
      <c r="B309" s="68" t="s">
        <v>26</v>
      </c>
      <c r="C309" s="69" t="s">
        <v>181</v>
      </c>
      <c r="D309" s="65" t="s">
        <v>40</v>
      </c>
      <c r="E309" s="67" t="s">
        <v>216</v>
      </c>
      <c r="F309" s="65" t="s">
        <v>273</v>
      </c>
      <c r="G309" s="65" t="str">
        <f>INDEX(Auxiliar!$B$16:$B$24,MATCH(Plano_V3!H309,Auxiliar!$C$16:$C$24,0),1)</f>
        <v>1. Concluído</v>
      </c>
      <c r="H309" s="65">
        <f>VLOOKUP(A309,'Aux - pivots1'!$A:$B,2,0)</f>
        <v>1</v>
      </c>
      <c r="I309" s="189">
        <f>SUMIFS(Table1[Estimação (horas)],Table1[Tabela],Plano_V3!E309,Table1[Campo],Plano_V3!F309)</f>
        <v>0.6</v>
      </c>
      <c r="J309" s="189">
        <f t="shared" si="47"/>
        <v>7.4999999999999997E-2</v>
      </c>
      <c r="K309" s="189">
        <f>SUMIFS(Table1[Horas efetivas],Table1[Tabela],Plano_V3!E309,Table1[Campo],Plano_V3!F309)</f>
        <v>0.6</v>
      </c>
      <c r="L309" s="189">
        <f t="shared" si="48"/>
        <v>7.4999999999999997E-2</v>
      </c>
      <c r="M309" s="183"/>
      <c r="N309" s="183">
        <f t="shared" si="49"/>
        <v>1</v>
      </c>
      <c r="O309" s="183">
        <f t="shared" si="50"/>
        <v>1</v>
      </c>
      <c r="P309" s="90" t="s">
        <v>39</v>
      </c>
      <c r="Q309" s="91">
        <f t="shared" si="51"/>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2"/>
        <v>modesg_inp_nfrd_alinhamento_taxce_trnvr_ttl_elgbl</v>
      </c>
      <c r="B310" s="68" t="s">
        <v>26</v>
      </c>
      <c r="C310" s="69" t="s">
        <v>181</v>
      </c>
      <c r="D310" s="65" t="s">
        <v>40</v>
      </c>
      <c r="E310" s="67" t="s">
        <v>216</v>
      </c>
      <c r="F310" s="65" t="s">
        <v>274</v>
      </c>
      <c r="G310" s="65" t="str">
        <f>INDEX(Auxiliar!$B$16:$B$24,MATCH(Plano_V3!H310,Auxiliar!$C$16:$C$24,0),1)</f>
        <v>1. Concluído</v>
      </c>
      <c r="H310" s="65">
        <f>VLOOKUP(A310,'Aux - pivots1'!$A:$B,2,0)</f>
        <v>1</v>
      </c>
      <c r="I310" s="189">
        <f>SUMIFS(Table1[Estimação (horas)],Table1[Tabela],Plano_V3!E310,Table1[Campo],Plano_V3!F310)</f>
        <v>0.6</v>
      </c>
      <c r="J310" s="189">
        <f t="shared" si="47"/>
        <v>7.4999999999999997E-2</v>
      </c>
      <c r="K310" s="189">
        <f>SUMIFS(Table1[Horas efetivas],Table1[Tabela],Plano_V3!E310,Table1[Campo],Plano_V3!F310)</f>
        <v>0.6</v>
      </c>
      <c r="L310" s="189">
        <f t="shared" si="48"/>
        <v>7.4999999999999997E-2</v>
      </c>
      <c r="M310" s="183"/>
      <c r="N310" s="183">
        <f t="shared" si="49"/>
        <v>1</v>
      </c>
      <c r="O310" s="183">
        <f t="shared" si="50"/>
        <v>1</v>
      </c>
      <c r="P310" s="90" t="s">
        <v>39</v>
      </c>
      <c r="Q310" s="91">
        <f t="shared" si="51"/>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2"/>
        <v>modesg_inp_nfrd_alinhamento_taxce_trnvr_enblng_alignd</v>
      </c>
      <c r="B311" s="68" t="s">
        <v>26</v>
      </c>
      <c r="C311" s="69" t="s">
        <v>181</v>
      </c>
      <c r="D311" s="65" t="s">
        <v>40</v>
      </c>
      <c r="E311" s="67" t="s">
        <v>216</v>
      </c>
      <c r="F311" s="65" t="s">
        <v>275</v>
      </c>
      <c r="G311" s="65" t="str">
        <f>INDEX(Auxiliar!$B$16:$B$24,MATCH(Plano_V3!H311,Auxiliar!$C$16:$C$24,0),1)</f>
        <v>1. Concluído</v>
      </c>
      <c r="H311" s="65">
        <f>VLOOKUP(A311,'Aux - pivots1'!$A:$B,2,0)</f>
        <v>1</v>
      </c>
      <c r="I311" s="189">
        <f>SUMIFS(Table1[Estimação (horas)],Table1[Tabela],Plano_V3!E311,Table1[Campo],Plano_V3!F311)</f>
        <v>0.6</v>
      </c>
      <c r="J311" s="189">
        <f t="shared" si="47"/>
        <v>7.4999999999999997E-2</v>
      </c>
      <c r="K311" s="189">
        <f>SUMIFS(Table1[Horas efetivas],Table1[Tabela],Plano_V3!E311,Table1[Campo],Plano_V3!F311)</f>
        <v>0.6</v>
      </c>
      <c r="L311" s="189">
        <f t="shared" si="48"/>
        <v>7.4999999999999997E-2</v>
      </c>
      <c r="M311" s="183"/>
      <c r="N311" s="183">
        <f t="shared" si="49"/>
        <v>1</v>
      </c>
      <c r="O311" s="183">
        <f t="shared" si="50"/>
        <v>1</v>
      </c>
      <c r="P311" s="90" t="s">
        <v>39</v>
      </c>
      <c r="Q311" s="91">
        <f t="shared" si="51"/>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2"/>
        <v>modesg_inp_nfrd_alinhamento_taxce_turnover_own_prfrmnce_algnd</v>
      </c>
      <c r="B312" s="68" t="s">
        <v>26</v>
      </c>
      <c r="C312" s="69" t="s">
        <v>181</v>
      </c>
      <c r="D312" s="65" t="s">
        <v>40</v>
      </c>
      <c r="E312" s="67" t="s">
        <v>216</v>
      </c>
      <c r="F312" s="65" t="s">
        <v>276</v>
      </c>
      <c r="G312" s="65" t="str">
        <f>INDEX(Auxiliar!$B$16:$B$24,MATCH(Plano_V3!H312,Auxiliar!$C$16:$C$24,0),1)</f>
        <v>1. Concluído</v>
      </c>
      <c r="H312" s="65">
        <f>VLOOKUP(A312,'Aux - pivots1'!$A:$B,2,0)</f>
        <v>1</v>
      </c>
      <c r="I312" s="189">
        <f>SUMIFS(Table1[Estimação (horas)],Table1[Tabela],Plano_V3!E312,Table1[Campo],Plano_V3!F312)</f>
        <v>0.6</v>
      </c>
      <c r="J312" s="189">
        <f t="shared" si="47"/>
        <v>7.4999999999999997E-2</v>
      </c>
      <c r="K312" s="189">
        <f>SUMIFS(Table1[Horas efetivas],Table1[Tabela],Plano_V3!E312,Table1[Campo],Plano_V3!F312)</f>
        <v>0.6</v>
      </c>
      <c r="L312" s="189">
        <f t="shared" si="48"/>
        <v>7.4999999999999997E-2</v>
      </c>
      <c r="M312" s="183"/>
      <c r="N312" s="183">
        <f t="shared" si="49"/>
        <v>1</v>
      </c>
      <c r="O312" s="183">
        <f t="shared" si="50"/>
        <v>1</v>
      </c>
      <c r="P312" s="90" t="s">
        <v>39</v>
      </c>
      <c r="Q312" s="91">
        <f t="shared" si="51"/>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2"/>
        <v>modesg_inp_nfrd_alinhamento_taxce_capex_ttl_elgbl</v>
      </c>
      <c r="B313" s="68" t="s">
        <v>26</v>
      </c>
      <c r="C313" s="69" t="s">
        <v>181</v>
      </c>
      <c r="D313" s="65" t="s">
        <v>40</v>
      </c>
      <c r="E313" s="67" t="s">
        <v>216</v>
      </c>
      <c r="F313" s="65" t="s">
        <v>277</v>
      </c>
      <c r="G313" s="65" t="str">
        <f>INDEX(Auxiliar!$B$16:$B$24,MATCH(Plano_V3!H313,Auxiliar!$C$16:$C$24,0),1)</f>
        <v>1. Concluído</v>
      </c>
      <c r="H313" s="65">
        <f>VLOOKUP(A313,'Aux - pivots1'!$A:$B,2,0)</f>
        <v>1</v>
      </c>
      <c r="I313" s="189">
        <f>SUMIFS(Table1[Estimação (horas)],Table1[Tabela],Plano_V3!E313,Table1[Campo],Plano_V3!F313)</f>
        <v>0.6</v>
      </c>
      <c r="J313" s="189">
        <f t="shared" si="47"/>
        <v>7.4999999999999997E-2</v>
      </c>
      <c r="K313" s="189">
        <f>SUMIFS(Table1[Horas efetivas],Table1[Tabela],Plano_V3!E313,Table1[Campo],Plano_V3!F313)</f>
        <v>0.6</v>
      </c>
      <c r="L313" s="189">
        <f t="shared" si="48"/>
        <v>7.4999999999999997E-2</v>
      </c>
      <c r="M313" s="183"/>
      <c r="N313" s="183">
        <f t="shared" si="49"/>
        <v>1</v>
      </c>
      <c r="O313" s="183">
        <f t="shared" si="50"/>
        <v>1</v>
      </c>
      <c r="P313" s="90" t="s">
        <v>39</v>
      </c>
      <c r="Q313" s="91">
        <f t="shared" si="51"/>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2"/>
        <v>modesg_inp_nfrd_alinhamento_taxce_capex_enblng_algnd</v>
      </c>
      <c r="B314" s="68" t="s">
        <v>26</v>
      </c>
      <c r="C314" s="69" t="s">
        <v>181</v>
      </c>
      <c r="D314" s="65" t="s">
        <v>40</v>
      </c>
      <c r="E314" s="67" t="s">
        <v>216</v>
      </c>
      <c r="F314" s="65" t="s">
        <v>278</v>
      </c>
      <c r="G314" s="65" t="str">
        <f>INDEX(Auxiliar!$B$16:$B$24,MATCH(Plano_V3!H314,Auxiliar!$C$16:$C$24,0),1)</f>
        <v>1. Concluído</v>
      </c>
      <c r="H314" s="65">
        <f>VLOOKUP(A314,'Aux - pivots1'!$A:$B,2,0)</f>
        <v>1</v>
      </c>
      <c r="I314" s="189">
        <f>SUMIFS(Table1[Estimação (horas)],Table1[Tabela],Plano_V3!E314,Table1[Campo],Plano_V3!F314)</f>
        <v>0.6</v>
      </c>
      <c r="J314" s="189">
        <f t="shared" si="47"/>
        <v>7.4999999999999997E-2</v>
      </c>
      <c r="K314" s="189">
        <f>SUMIFS(Table1[Horas efetivas],Table1[Tabela],Plano_V3!E314,Table1[Campo],Plano_V3!F314)</f>
        <v>0.6</v>
      </c>
      <c r="L314" s="189">
        <f t="shared" si="48"/>
        <v>7.4999999999999997E-2</v>
      </c>
      <c r="M314" s="183"/>
      <c r="N314" s="183">
        <f t="shared" si="49"/>
        <v>1</v>
      </c>
      <c r="O314" s="183">
        <f t="shared" si="50"/>
        <v>1</v>
      </c>
      <c r="P314" s="90" t="s">
        <v>39</v>
      </c>
      <c r="Q314" s="91">
        <f t="shared" si="51"/>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2"/>
        <v>modesg_inp_nfrd_alinhamento_taxce_capex_own_prfrmnce_algnd</v>
      </c>
      <c r="B315" s="68" t="s">
        <v>26</v>
      </c>
      <c r="C315" s="69" t="s">
        <v>181</v>
      </c>
      <c r="D315" s="65" t="s">
        <v>40</v>
      </c>
      <c r="E315" s="67" t="s">
        <v>216</v>
      </c>
      <c r="F315" s="65" t="s">
        <v>279</v>
      </c>
      <c r="G315" s="65" t="str">
        <f>INDEX(Auxiliar!$B$16:$B$24,MATCH(Plano_V3!H315,Auxiliar!$C$16:$C$24,0),1)</f>
        <v>1. Concluído</v>
      </c>
      <c r="H315" s="65">
        <f>VLOOKUP(A315,'Aux - pivots1'!$A:$B,2,0)</f>
        <v>1</v>
      </c>
      <c r="I315" s="189">
        <f>SUMIFS(Table1[Estimação (horas)],Table1[Tabela],Plano_V3!E315,Table1[Campo],Plano_V3!F315)</f>
        <v>0.6</v>
      </c>
      <c r="J315" s="189">
        <f t="shared" si="47"/>
        <v>7.4999999999999997E-2</v>
      </c>
      <c r="K315" s="189">
        <f>SUMIFS(Table1[Horas efetivas],Table1[Tabela],Plano_V3!E315,Table1[Campo],Plano_V3!F315)</f>
        <v>0.6</v>
      </c>
      <c r="L315" s="189">
        <f t="shared" si="48"/>
        <v>7.4999999999999997E-2</v>
      </c>
      <c r="M315" s="183"/>
      <c r="N315" s="183">
        <f t="shared" si="49"/>
        <v>1</v>
      </c>
      <c r="O315" s="183">
        <f t="shared" si="50"/>
        <v>1</v>
      </c>
      <c r="P315" s="90" t="s">
        <v>39</v>
      </c>
      <c r="Q315" s="91">
        <f t="shared" si="51"/>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2"/>
        <v>modesg_inp_risco_fisicoref_date</v>
      </c>
      <c r="B316" s="68" t="s">
        <v>26</v>
      </c>
      <c r="C316" s="69" t="s">
        <v>181</v>
      </c>
      <c r="D316" s="65" t="s">
        <v>40</v>
      </c>
      <c r="E316" s="67" t="s">
        <v>217</v>
      </c>
      <c r="F316" s="65" t="s">
        <v>208</v>
      </c>
      <c r="G316" s="65" t="str">
        <f>INDEX(Auxiliar!$B$16:$B$24,MATCH(Plano_V3!H316,Auxiliar!$C$16:$C$24,0),1)</f>
        <v>1. Concluído</v>
      </c>
      <c r="H316" s="65">
        <f>VLOOKUP(A316,'Aux - pivots1'!$A:$B,2,0)</f>
        <v>1</v>
      </c>
      <c r="I316" s="189">
        <f>SUMIFS(Table1[Estimação (horas)],Table1[Tabela],Plano_V3!E316,Table1[Campo],Plano_V3!F316)</f>
        <v>0.5</v>
      </c>
      <c r="J316" s="189">
        <f t="shared" si="47"/>
        <v>6.25E-2</v>
      </c>
      <c r="K316" s="189">
        <f>SUMIFS(Table1[Horas efetivas],Table1[Tabela],Plano_V3!E316,Table1[Campo],Plano_V3!F316)</f>
        <v>0.5</v>
      </c>
      <c r="L316" s="189">
        <f t="shared" si="48"/>
        <v>6.25E-2</v>
      </c>
      <c r="M316" s="183"/>
      <c r="N316" s="183">
        <f t="shared" si="49"/>
        <v>1</v>
      </c>
      <c r="O316" s="183">
        <f t="shared" si="50"/>
        <v>1</v>
      </c>
      <c r="P316" s="90" t="s">
        <v>39</v>
      </c>
      <c r="Q316" s="91">
        <f t="shared" si="51"/>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2"/>
        <v>modesg_inp_risco_fisicocod_pais</v>
      </c>
      <c r="B317" s="68" t="s">
        <v>26</v>
      </c>
      <c r="C317" s="69" t="s">
        <v>181</v>
      </c>
      <c r="D317" s="65" t="s">
        <v>40</v>
      </c>
      <c r="E317" s="67" t="s">
        <v>217</v>
      </c>
      <c r="F317" s="65" t="s">
        <v>280</v>
      </c>
      <c r="G317" s="65" t="str">
        <f>INDEX(Auxiliar!$B$16:$B$24,MATCH(Plano_V3!H317,Auxiliar!$C$16:$C$24,0),1)</f>
        <v>1. Concluído</v>
      </c>
      <c r="H317" s="65">
        <f>VLOOKUP(A317,'Aux - pivots1'!$A:$B,2,0)</f>
        <v>1</v>
      </c>
      <c r="I317" s="189">
        <f>SUMIFS(Table1[Estimação (horas)],Table1[Tabela],Plano_V3!E317,Table1[Campo],Plano_V3!F317)</f>
        <v>0.6</v>
      </c>
      <c r="J317" s="189">
        <f t="shared" si="47"/>
        <v>7.4999999999999997E-2</v>
      </c>
      <c r="K317" s="189">
        <f>SUMIFS(Table1[Horas efetivas],Table1[Tabela],Plano_V3!E317,Table1[Campo],Plano_V3!F317)</f>
        <v>0.6</v>
      </c>
      <c r="L317" s="189">
        <f t="shared" si="48"/>
        <v>7.4999999999999997E-2</v>
      </c>
      <c r="M317" s="183"/>
      <c r="N317" s="183">
        <f t="shared" si="49"/>
        <v>1</v>
      </c>
      <c r="O317" s="183">
        <f t="shared" si="50"/>
        <v>1</v>
      </c>
      <c r="P317" s="90" t="s">
        <v>39</v>
      </c>
      <c r="Q317" s="91">
        <f t="shared" si="51"/>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2"/>
        <v>modesg_inp_risco_fisicocod_nutiii</v>
      </c>
      <c r="B318" s="68" t="s">
        <v>26</v>
      </c>
      <c r="C318" s="69" t="s">
        <v>181</v>
      </c>
      <c r="D318" s="65" t="s">
        <v>40</v>
      </c>
      <c r="E318" s="67" t="s">
        <v>217</v>
      </c>
      <c r="F318" s="65" t="s">
        <v>281</v>
      </c>
      <c r="G318" s="65" t="str">
        <f>INDEX(Auxiliar!$B$16:$B$24,MATCH(Plano_V3!H318,Auxiliar!$C$16:$C$24,0),1)</f>
        <v>1. Concluído</v>
      </c>
      <c r="H318" s="65">
        <f>VLOOKUP(A318,'Aux - pivots1'!$A:$B,2,0)</f>
        <v>1</v>
      </c>
      <c r="I318" s="189">
        <f>SUMIFS(Table1[Estimação (horas)],Table1[Tabela],Plano_V3!E318,Table1[Campo],Plano_V3!F318)</f>
        <v>0.5</v>
      </c>
      <c r="J318" s="189">
        <f t="shared" si="47"/>
        <v>6.25E-2</v>
      </c>
      <c r="K318" s="189">
        <f>SUMIFS(Table1[Horas efetivas],Table1[Tabela],Plano_V3!E318,Table1[Campo],Plano_V3!F318)</f>
        <v>0.5</v>
      </c>
      <c r="L318" s="189">
        <f t="shared" si="48"/>
        <v>6.25E-2</v>
      </c>
      <c r="M318" s="183"/>
      <c r="N318" s="183">
        <f t="shared" si="49"/>
        <v>1</v>
      </c>
      <c r="O318" s="183">
        <f t="shared" si="50"/>
        <v>1</v>
      </c>
      <c r="P318" s="90" t="s">
        <v>39</v>
      </c>
      <c r="Q318" s="91">
        <f t="shared" si="51"/>
        <v>6.25E-2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2"/>
        <v>modesg_inp_risco_fisicocod_nace_esg</v>
      </c>
      <c r="B319" s="68" t="s">
        <v>26</v>
      </c>
      <c r="C319" s="69" t="s">
        <v>181</v>
      </c>
      <c r="D319" s="65" t="s">
        <v>40</v>
      </c>
      <c r="E319" s="67" t="s">
        <v>217</v>
      </c>
      <c r="F319" s="65" t="s">
        <v>282</v>
      </c>
      <c r="G319" s="65" t="str">
        <f>INDEX(Auxiliar!$B$16:$B$24,MATCH(Plano_V3!H319,Auxiliar!$C$16:$C$24,0),1)</f>
        <v>1. Concluído</v>
      </c>
      <c r="H319" s="65">
        <f>VLOOKUP(A319,'Aux - pivots1'!$A:$B,2,0)</f>
        <v>1</v>
      </c>
      <c r="I319" s="189">
        <f>SUMIFS(Table1[Estimação (horas)],Table1[Tabela],Plano_V3!E319,Table1[Campo],Plano_V3!F319)</f>
        <v>0.6</v>
      </c>
      <c r="J319" s="189">
        <f t="shared" si="47"/>
        <v>7.4999999999999997E-2</v>
      </c>
      <c r="K319" s="189">
        <f>SUMIFS(Table1[Horas efetivas],Table1[Tabela],Plano_V3!E319,Table1[Campo],Plano_V3!F319)</f>
        <v>0.6</v>
      </c>
      <c r="L319" s="189">
        <f t="shared" si="48"/>
        <v>7.4999999999999997E-2</v>
      </c>
      <c r="M319" s="183"/>
      <c r="N319" s="183">
        <f t="shared" si="49"/>
        <v>1</v>
      </c>
      <c r="O319" s="183">
        <f t="shared" si="50"/>
        <v>1</v>
      </c>
      <c r="P319" s="90" t="s">
        <v>39</v>
      </c>
      <c r="Q319" s="91">
        <f t="shared" si="51"/>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2"/>
        <v>modesg_inp_risco_fisicoflg_rsc_fsc_agd</v>
      </c>
      <c r="B320" s="68" t="s">
        <v>26</v>
      </c>
      <c r="C320" s="69" t="s">
        <v>181</v>
      </c>
      <c r="D320" s="65" t="s">
        <v>40</v>
      </c>
      <c r="E320" s="67" t="s">
        <v>217</v>
      </c>
      <c r="F320" s="65" t="s">
        <v>283</v>
      </c>
      <c r="G320" s="65" t="str">
        <f>INDEX(Auxiliar!$B$16:$B$24,MATCH(Plano_V3!H320,Auxiliar!$C$16:$C$24,0),1)</f>
        <v>1. Concluído</v>
      </c>
      <c r="H320" s="65">
        <f>VLOOKUP(A320,'Aux - pivots1'!$A:$B,2,0)</f>
        <v>1</v>
      </c>
      <c r="I320" s="189">
        <f>SUMIFS(Table1[Estimação (horas)],Table1[Tabela],Plano_V3!E320,Table1[Campo],Plano_V3!F320)</f>
        <v>0.6</v>
      </c>
      <c r="J320" s="189">
        <f t="shared" si="47"/>
        <v>7.4999999999999997E-2</v>
      </c>
      <c r="K320" s="189">
        <f>SUMIFS(Table1[Horas efetivas],Table1[Tabela],Plano_V3!E320,Table1[Campo],Plano_V3!F320)</f>
        <v>0.6</v>
      </c>
      <c r="L320" s="189">
        <f t="shared" si="48"/>
        <v>7.4999999999999997E-2</v>
      </c>
      <c r="M320" s="183"/>
      <c r="N320" s="183">
        <f t="shared" si="49"/>
        <v>1</v>
      </c>
      <c r="O320" s="183">
        <f t="shared" si="50"/>
        <v>1</v>
      </c>
      <c r="P320" s="90" t="s">
        <v>39</v>
      </c>
      <c r="Q320" s="91">
        <f t="shared" si="51"/>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2"/>
        <v>modesg_inp_risco_fisicoflg_rsc_fsc_crnc</v>
      </c>
      <c r="B321" s="68" t="s">
        <v>26</v>
      </c>
      <c r="C321" s="69" t="s">
        <v>181</v>
      </c>
      <c r="D321" s="65" t="s">
        <v>40</v>
      </c>
      <c r="E321" s="67" t="s">
        <v>217</v>
      </c>
      <c r="F321" s="65" t="s">
        <v>284</v>
      </c>
      <c r="G321" s="65" t="str">
        <f>INDEX(Auxiliar!$B$16:$B$24,MATCH(Plano_V3!H321,Auxiliar!$C$16:$C$24,0),1)</f>
        <v>1. Concluído</v>
      </c>
      <c r="H321" s="65">
        <f>VLOOKUP(A321,'Aux - pivots1'!$A:$B,2,0)</f>
        <v>1</v>
      </c>
      <c r="I321" s="189">
        <f>SUMIFS(Table1[Estimação (horas)],Table1[Tabela],Plano_V3!E321,Table1[Campo],Plano_V3!F321)</f>
        <v>0.6</v>
      </c>
      <c r="J321" s="189">
        <f t="shared" si="47"/>
        <v>7.4999999999999997E-2</v>
      </c>
      <c r="K321" s="189">
        <f>SUMIFS(Table1[Horas efetivas],Table1[Tabela],Plano_V3!E321,Table1[Campo],Plano_V3!F321)</f>
        <v>0.6</v>
      </c>
      <c r="L321" s="189">
        <f t="shared" si="48"/>
        <v>7.4999999999999997E-2</v>
      </c>
      <c r="M321" s="183"/>
      <c r="N321" s="183">
        <f t="shared" si="49"/>
        <v>1</v>
      </c>
      <c r="O321" s="183">
        <f t="shared" si="50"/>
        <v>1</v>
      </c>
      <c r="P321" s="90" t="s">
        <v>39</v>
      </c>
      <c r="Q321" s="91">
        <f t="shared" si="51"/>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2"/>
        <v>modesg_inp_emss_scibref_date</v>
      </c>
      <c r="B322" s="68" t="s">
        <v>26</v>
      </c>
      <c r="C322" s="69" t="s">
        <v>181</v>
      </c>
      <c r="D322" s="65" t="s">
        <v>40</v>
      </c>
      <c r="E322" s="67" t="s">
        <v>218</v>
      </c>
      <c r="F322" s="65" t="s">
        <v>208</v>
      </c>
      <c r="G322" s="65" t="str">
        <f>INDEX(Auxiliar!$B$16:$B$24,MATCH(Plano_V3!H322,Auxiliar!$C$16:$C$24,0),1)</f>
        <v>1. Concluído</v>
      </c>
      <c r="H322" s="65">
        <f>VLOOKUP(A322,'Aux - pivots1'!$A:$B,2,0)</f>
        <v>1</v>
      </c>
      <c r="I322" s="189">
        <f>SUMIFS(Table1[Estimação (horas)],Table1[Tabela],Plano_V3!E322,Table1[Campo],Plano_V3!F322)</f>
        <v>0.5</v>
      </c>
      <c r="J322" s="189">
        <f t="shared" si="47"/>
        <v>6.25E-2</v>
      </c>
      <c r="K322" s="189">
        <f>SUMIFS(Table1[Horas efetivas],Table1[Tabela],Plano_V3!E322,Table1[Campo],Plano_V3!F322)</f>
        <v>0.5</v>
      </c>
      <c r="L322" s="189">
        <f t="shared" si="48"/>
        <v>6.25E-2</v>
      </c>
      <c r="M322" s="183"/>
      <c r="N322" s="183">
        <f t="shared" si="49"/>
        <v>1</v>
      </c>
      <c r="O322" s="183">
        <f t="shared" si="50"/>
        <v>1</v>
      </c>
      <c r="P322" s="90" t="s">
        <v>39</v>
      </c>
      <c r="Q322" s="91">
        <f t="shared" si="51"/>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2"/>
        <v>modesg_inp_emss_scibccli_kgl</v>
      </c>
      <c r="B323" s="68" t="s">
        <v>26</v>
      </c>
      <c r="C323" s="69" t="s">
        <v>181</v>
      </c>
      <c r="D323" s="65" t="s">
        <v>40</v>
      </c>
      <c r="E323" s="67" t="s">
        <v>218</v>
      </c>
      <c r="F323" s="65" t="s">
        <v>241</v>
      </c>
      <c r="G323" s="65" t="str">
        <f>INDEX(Auxiliar!$B$16:$B$24,MATCH(Plano_V3!H323,Auxiliar!$C$16:$C$24,0),1)</f>
        <v>1. Concluído</v>
      </c>
      <c r="H323" s="65">
        <f>VLOOKUP(A323,'Aux - pivots1'!$A:$B,2,0)</f>
        <v>1</v>
      </c>
      <c r="I323" s="189">
        <f>SUMIFS(Table1[Estimação (horas)],Table1[Tabela],Plano_V3!E323,Table1[Campo],Plano_V3!F323)</f>
        <v>0.6</v>
      </c>
      <c r="J323" s="189">
        <f t="shared" si="47"/>
        <v>7.4999999999999997E-2</v>
      </c>
      <c r="K323" s="189">
        <f>SUMIFS(Table1[Horas efetivas],Table1[Tabela],Plano_V3!E323,Table1[Campo],Plano_V3!F323)</f>
        <v>0.6</v>
      </c>
      <c r="L323" s="189">
        <f t="shared" si="48"/>
        <v>7.4999999999999997E-2</v>
      </c>
      <c r="M323" s="183"/>
      <c r="N323" s="183">
        <f t="shared" si="49"/>
        <v>1</v>
      </c>
      <c r="O323" s="183">
        <f t="shared" si="50"/>
        <v>1</v>
      </c>
      <c r="P323" s="90" t="s">
        <v>39</v>
      </c>
      <c r="Q323" s="91">
        <f t="shared" si="51"/>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2"/>
        <v>modesg_inp_emss_scibnome_grupo</v>
      </c>
      <c r="B324" s="68" t="s">
        <v>26</v>
      </c>
      <c r="C324" s="69" t="s">
        <v>181</v>
      </c>
      <c r="D324" s="65" t="s">
        <v>40</v>
      </c>
      <c r="E324" s="67" t="s">
        <v>218</v>
      </c>
      <c r="F324" s="65" t="s">
        <v>285</v>
      </c>
      <c r="G324" s="65" t="str">
        <f>INDEX(Auxiliar!$B$16:$B$24,MATCH(Plano_V3!H324,Auxiliar!$C$16:$C$24,0),1)</f>
        <v>1. Concluído</v>
      </c>
      <c r="H324" s="65">
        <f>VLOOKUP(A324,'Aux - pivots1'!$A:$B,2,0)</f>
        <v>1</v>
      </c>
      <c r="I324" s="189">
        <f>SUMIFS(Table1[Estimação (horas)],Table1[Tabela],Plano_V3!E324,Table1[Campo],Plano_V3!F324)</f>
        <v>0.5</v>
      </c>
      <c r="J324" s="189">
        <f t="shared" si="47"/>
        <v>6.25E-2</v>
      </c>
      <c r="K324" s="189">
        <f>SUMIFS(Table1[Horas efetivas],Table1[Tabela],Plano_V3!E324,Table1[Campo],Plano_V3!F324)</f>
        <v>0.5</v>
      </c>
      <c r="L324" s="189">
        <f t="shared" si="48"/>
        <v>6.25E-2</v>
      </c>
      <c r="M324" s="183"/>
      <c r="N324" s="183">
        <f t="shared" si="49"/>
        <v>1</v>
      </c>
      <c r="O324" s="183">
        <f t="shared" si="50"/>
        <v>1</v>
      </c>
      <c r="P324" s="90" t="s">
        <v>39</v>
      </c>
      <c r="Q324" s="91">
        <f t="shared" si="51"/>
        <v>6.25E-2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2"/>
        <v>modesg_inp_emss_scibisin</v>
      </c>
      <c r="B325" s="68" t="s">
        <v>26</v>
      </c>
      <c r="C325" s="69" t="s">
        <v>181</v>
      </c>
      <c r="D325" s="65" t="s">
        <v>40</v>
      </c>
      <c r="E325" s="67" t="s">
        <v>218</v>
      </c>
      <c r="F325" s="65" t="s">
        <v>239</v>
      </c>
      <c r="G325" s="65" t="str">
        <f>INDEX(Auxiliar!$B$16:$B$24,MATCH(Plano_V3!H325,Auxiliar!$C$16:$C$24,0),1)</f>
        <v>1. Concluído</v>
      </c>
      <c r="H325" s="65">
        <f>VLOOKUP(A325,'Aux - pivots1'!$A:$B,2,0)</f>
        <v>1</v>
      </c>
      <c r="I325" s="189">
        <f>SUMIFS(Table1[Estimação (horas)],Table1[Tabela],Plano_V3!E325,Table1[Campo],Plano_V3!F325)</f>
        <v>0.6</v>
      </c>
      <c r="J325" s="189">
        <f t="shared" si="47"/>
        <v>7.4999999999999997E-2</v>
      </c>
      <c r="K325" s="189">
        <f>SUMIFS(Table1[Horas efetivas],Table1[Tabela],Plano_V3!E325,Table1[Campo],Plano_V3!F325)</f>
        <v>0.6</v>
      </c>
      <c r="L325" s="189">
        <f t="shared" si="48"/>
        <v>7.4999999999999997E-2</v>
      </c>
      <c r="M325" s="183"/>
      <c r="N325" s="183">
        <f t="shared" si="49"/>
        <v>1</v>
      </c>
      <c r="O325" s="183">
        <f t="shared" si="50"/>
        <v>1</v>
      </c>
      <c r="P325" s="90" t="s">
        <v>39</v>
      </c>
      <c r="Q325" s="91">
        <f t="shared" si="51"/>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2"/>
        <v>modesg_inp_emss_scibclei</v>
      </c>
      <c r="B326" s="68" t="s">
        <v>26</v>
      </c>
      <c r="C326" s="69" t="s">
        <v>181</v>
      </c>
      <c r="D326" s="65" t="s">
        <v>40</v>
      </c>
      <c r="E326" s="67" t="s">
        <v>218</v>
      </c>
      <c r="F326" s="65" t="s">
        <v>240</v>
      </c>
      <c r="G326" s="65" t="str">
        <f>INDEX(Auxiliar!$B$16:$B$24,MATCH(Plano_V3!H326,Auxiliar!$C$16:$C$24,0),1)</f>
        <v>1. Concluído</v>
      </c>
      <c r="H326" s="65">
        <f>VLOOKUP(A326,'Aux - pivots1'!$A:$B,2,0)</f>
        <v>1</v>
      </c>
      <c r="I326" s="189">
        <f>SUMIFS(Table1[Estimação (horas)],Table1[Tabela],Plano_V3!E326,Table1[Campo],Plano_V3!F326)</f>
        <v>0.6</v>
      </c>
      <c r="J326" s="189">
        <f t="shared" si="47"/>
        <v>7.4999999999999997E-2</v>
      </c>
      <c r="K326" s="189">
        <f>SUMIFS(Table1[Horas efetivas],Table1[Tabela],Plano_V3!E326,Table1[Campo],Plano_V3!F326)</f>
        <v>0.6</v>
      </c>
      <c r="L326" s="189">
        <f t="shared" si="48"/>
        <v>7.4999999999999997E-2</v>
      </c>
      <c r="M326" s="183"/>
      <c r="N326" s="183">
        <f t="shared" si="49"/>
        <v>1</v>
      </c>
      <c r="O326" s="183">
        <f t="shared" si="50"/>
        <v>1</v>
      </c>
      <c r="P326" s="90" t="s">
        <v>39</v>
      </c>
      <c r="Q326" s="91">
        <f t="shared" si="51"/>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2"/>
        <v>modesg_inp_emss_scibscp1_emss</v>
      </c>
      <c r="B327" s="68" t="s">
        <v>26</v>
      </c>
      <c r="C327" s="69" t="s">
        <v>181</v>
      </c>
      <c r="D327" s="65" t="s">
        <v>40</v>
      </c>
      <c r="E327" s="67" t="s">
        <v>218</v>
      </c>
      <c r="F327" s="65" t="s">
        <v>286</v>
      </c>
      <c r="G327" s="65" t="str">
        <f>INDEX(Auxiliar!$B$16:$B$24,MATCH(Plano_V3!H327,Auxiliar!$C$16:$C$24,0),1)</f>
        <v>1. Concluído</v>
      </c>
      <c r="H327" s="65">
        <f>VLOOKUP(A327,'Aux - pivots1'!$A:$B,2,0)</f>
        <v>1</v>
      </c>
      <c r="I327" s="189">
        <f>SUMIFS(Table1[Estimação (horas)],Table1[Tabela],Plano_V3!E327,Table1[Campo],Plano_V3!F327)</f>
        <v>0.6</v>
      </c>
      <c r="J327" s="189">
        <f t="shared" si="47"/>
        <v>7.4999999999999997E-2</v>
      </c>
      <c r="K327" s="189">
        <f>SUMIFS(Table1[Horas efetivas],Table1[Tabela],Plano_V3!E327,Table1[Campo],Plano_V3!F327)</f>
        <v>0.6</v>
      </c>
      <c r="L327" s="189">
        <f t="shared" si="48"/>
        <v>7.4999999999999997E-2</v>
      </c>
      <c r="M327" s="183"/>
      <c r="N327" s="183">
        <f t="shared" si="49"/>
        <v>1</v>
      </c>
      <c r="O327" s="183">
        <f t="shared" si="50"/>
        <v>1</v>
      </c>
      <c r="P327" s="90" t="s">
        <v>39</v>
      </c>
      <c r="Q327" s="91">
        <f t="shared" si="51"/>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2"/>
        <v>modesg_inp_emss_scibscp2_emss</v>
      </c>
      <c r="B328" s="68" t="s">
        <v>26</v>
      </c>
      <c r="C328" s="69" t="s">
        <v>181</v>
      </c>
      <c r="D328" s="65" t="s">
        <v>40</v>
      </c>
      <c r="E328" s="67" t="s">
        <v>218</v>
      </c>
      <c r="F328" s="65" t="s">
        <v>287</v>
      </c>
      <c r="G328" s="65" t="str">
        <f>INDEX(Auxiliar!$B$16:$B$24,MATCH(Plano_V3!H328,Auxiliar!$C$16:$C$24,0),1)</f>
        <v>1. Concluído</v>
      </c>
      <c r="H328" s="65">
        <f>VLOOKUP(A328,'Aux - pivots1'!$A:$B,2,0)</f>
        <v>1</v>
      </c>
      <c r="I328" s="189">
        <f>SUMIFS(Table1[Estimação (horas)],Table1[Tabela],Plano_V3!E328,Table1[Campo],Plano_V3!F328)</f>
        <v>0.6</v>
      </c>
      <c r="J328" s="189">
        <f t="shared" si="47"/>
        <v>7.4999999999999997E-2</v>
      </c>
      <c r="K328" s="189">
        <f>SUMIFS(Table1[Horas efetivas],Table1[Tabela],Plano_V3!E328,Table1[Campo],Plano_V3!F328)</f>
        <v>0.6</v>
      </c>
      <c r="L328" s="189">
        <f t="shared" si="48"/>
        <v>7.4999999999999997E-2</v>
      </c>
      <c r="M328" s="183"/>
      <c r="N328" s="183">
        <f t="shared" si="49"/>
        <v>1</v>
      </c>
      <c r="O328" s="183">
        <f t="shared" si="50"/>
        <v>1</v>
      </c>
      <c r="P328" s="90" t="s">
        <v>39</v>
      </c>
      <c r="Q328" s="91">
        <f t="shared" si="51"/>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2"/>
        <v>modesg_inp_emss_scibscp3_emss</v>
      </c>
      <c r="B329" s="68" t="s">
        <v>26</v>
      </c>
      <c r="C329" s="69" t="s">
        <v>181</v>
      </c>
      <c r="D329" s="65" t="s">
        <v>40</v>
      </c>
      <c r="E329" s="67" t="s">
        <v>218</v>
      </c>
      <c r="F329" s="65" t="s">
        <v>288</v>
      </c>
      <c r="G329" s="65" t="str">
        <f>INDEX(Auxiliar!$B$16:$B$24,MATCH(Plano_V3!H329,Auxiliar!$C$16:$C$24,0),1)</f>
        <v>1. Concluído</v>
      </c>
      <c r="H329" s="65">
        <f>VLOOKUP(A329,'Aux - pivots1'!$A:$B,2,0)</f>
        <v>1</v>
      </c>
      <c r="I329" s="189">
        <f>SUMIFS(Table1[Estimação (horas)],Table1[Tabela],Plano_V3!E329,Table1[Campo],Plano_V3!F329)</f>
        <v>0.6</v>
      </c>
      <c r="J329" s="189">
        <f t="shared" si="47"/>
        <v>7.4999999999999997E-2</v>
      </c>
      <c r="K329" s="189">
        <f>SUMIFS(Table1[Horas efetivas],Table1[Tabela],Plano_V3!E329,Table1[Campo],Plano_V3!F329)</f>
        <v>0.6</v>
      </c>
      <c r="L329" s="189">
        <f t="shared" si="48"/>
        <v>7.4999999999999997E-2</v>
      </c>
      <c r="M329" s="183"/>
      <c r="N329" s="183">
        <f t="shared" si="49"/>
        <v>1</v>
      </c>
      <c r="O329" s="183">
        <f t="shared" si="50"/>
        <v>1</v>
      </c>
      <c r="P329" s="90" t="s">
        <v>39</v>
      </c>
      <c r="Q329" s="91">
        <f t="shared" si="51"/>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2"/>
        <v>modesg_inp_emss_scibscore_scp1</v>
      </c>
      <c r="B330" s="68" t="s">
        <v>26</v>
      </c>
      <c r="C330" s="69" t="s">
        <v>181</v>
      </c>
      <c r="D330" s="65" t="s">
        <v>40</v>
      </c>
      <c r="E330" s="67" t="s">
        <v>218</v>
      </c>
      <c r="F330" s="65" t="s">
        <v>289</v>
      </c>
      <c r="G330" s="65" t="str">
        <f>INDEX(Auxiliar!$B$16:$B$24,MATCH(Plano_V3!H330,Auxiliar!$C$16:$C$24,0),1)</f>
        <v>1. Concluído</v>
      </c>
      <c r="H330" s="65">
        <f>VLOOKUP(A330,'Aux - pivots1'!$A:$B,2,0)</f>
        <v>1</v>
      </c>
      <c r="I330" s="189">
        <f>SUMIFS(Table1[Estimação (horas)],Table1[Tabela],Plano_V3!E330,Table1[Campo],Plano_V3!F330)</f>
        <v>0.5</v>
      </c>
      <c r="J330" s="189">
        <f t="shared" si="47"/>
        <v>6.25E-2</v>
      </c>
      <c r="K330" s="189">
        <f>SUMIFS(Table1[Horas efetivas],Table1[Tabela],Plano_V3!E330,Table1[Campo],Plano_V3!F330)</f>
        <v>0.5</v>
      </c>
      <c r="L330" s="189">
        <f t="shared" si="48"/>
        <v>6.25E-2</v>
      </c>
      <c r="M330" s="183"/>
      <c r="N330" s="183">
        <f t="shared" si="49"/>
        <v>1</v>
      </c>
      <c r="O330" s="183">
        <f t="shared" si="50"/>
        <v>1</v>
      </c>
      <c r="P330" s="90" t="s">
        <v>39</v>
      </c>
      <c r="Q330" s="91">
        <f t="shared" si="51"/>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2"/>
        <v>modesg_inp_emss_scibscore_scp2</v>
      </c>
      <c r="B331" s="68" t="s">
        <v>26</v>
      </c>
      <c r="C331" s="69" t="s">
        <v>181</v>
      </c>
      <c r="D331" s="65" t="s">
        <v>40</v>
      </c>
      <c r="E331" s="67" t="s">
        <v>218</v>
      </c>
      <c r="F331" s="65" t="s">
        <v>290</v>
      </c>
      <c r="G331" s="65" t="str">
        <f>INDEX(Auxiliar!$B$16:$B$24,MATCH(Plano_V3!H331,Auxiliar!$C$16:$C$24,0),1)</f>
        <v>1. Concluído</v>
      </c>
      <c r="H331" s="65">
        <f>VLOOKUP(A331,'Aux - pivots1'!$A:$B,2,0)</f>
        <v>1</v>
      </c>
      <c r="I331" s="189">
        <f>SUMIFS(Table1[Estimação (horas)],Table1[Tabela],Plano_V3!E331,Table1[Campo],Plano_V3!F331)</f>
        <v>0.5</v>
      </c>
      <c r="J331" s="189">
        <f t="shared" si="47"/>
        <v>6.25E-2</v>
      </c>
      <c r="K331" s="189">
        <f>SUMIFS(Table1[Horas efetivas],Table1[Tabela],Plano_V3!E331,Table1[Campo],Plano_V3!F331)</f>
        <v>0.5</v>
      </c>
      <c r="L331" s="189">
        <f t="shared" si="48"/>
        <v>6.25E-2</v>
      </c>
      <c r="M331" s="183"/>
      <c r="N331" s="183">
        <f t="shared" si="49"/>
        <v>1</v>
      </c>
      <c r="O331" s="183">
        <f t="shared" si="50"/>
        <v>1</v>
      </c>
      <c r="P331" s="90" t="s">
        <v>39</v>
      </c>
      <c r="Q331" s="91">
        <f t="shared" si="51"/>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2"/>
        <v>modesg_inp_emss_scibscore_scp3</v>
      </c>
      <c r="B332" s="68" t="s">
        <v>26</v>
      </c>
      <c r="C332" s="69" t="s">
        <v>181</v>
      </c>
      <c r="D332" s="65" t="s">
        <v>40</v>
      </c>
      <c r="E332" s="67" t="s">
        <v>218</v>
      </c>
      <c r="F332" s="65" t="s">
        <v>291</v>
      </c>
      <c r="G332" s="65" t="str">
        <f>INDEX(Auxiliar!$B$16:$B$24,MATCH(Plano_V3!H332,Auxiliar!$C$16:$C$24,0),1)</f>
        <v>1. Concluído</v>
      </c>
      <c r="H332" s="65">
        <f>VLOOKUP(A332,'Aux - pivots1'!$A:$B,2,0)</f>
        <v>1</v>
      </c>
      <c r="I332" s="189">
        <f>SUMIFS(Table1[Estimação (horas)],Table1[Tabela],Plano_V3!E332,Table1[Campo],Plano_V3!F332)</f>
        <v>0.5</v>
      </c>
      <c r="J332" s="189">
        <f t="shared" si="47"/>
        <v>6.25E-2</v>
      </c>
      <c r="K332" s="189">
        <f>SUMIFS(Table1[Horas efetivas],Table1[Tabela],Plano_V3!E332,Table1[Campo],Plano_V3!F332)</f>
        <v>0.5</v>
      </c>
      <c r="L332" s="189">
        <f t="shared" si="48"/>
        <v>6.25E-2</v>
      </c>
      <c r="M332" s="183"/>
      <c r="N332" s="183">
        <f t="shared" si="49"/>
        <v>1</v>
      </c>
      <c r="O332" s="183">
        <f t="shared" si="50"/>
        <v>1</v>
      </c>
      <c r="P332" s="90" t="s">
        <v>39</v>
      </c>
      <c r="Q332" s="91">
        <f t="shared" si="51"/>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2"/>
        <v>modesg_inp_emss_sciborigem_scp1</v>
      </c>
      <c r="B333" s="68" t="s">
        <v>26</v>
      </c>
      <c r="C333" s="69" t="s">
        <v>181</v>
      </c>
      <c r="D333" s="65" t="s">
        <v>40</v>
      </c>
      <c r="E333" s="67" t="s">
        <v>218</v>
      </c>
      <c r="F333" s="65" t="s">
        <v>292</v>
      </c>
      <c r="G333" s="65" t="str">
        <f>INDEX(Auxiliar!$B$16:$B$24,MATCH(Plano_V3!H333,Auxiliar!$C$16:$C$24,0),1)</f>
        <v>1. Concluído</v>
      </c>
      <c r="H333" s="65">
        <f>VLOOKUP(A333,'Aux - pivots1'!$A:$B,2,0)</f>
        <v>1</v>
      </c>
      <c r="I333" s="189">
        <f>SUMIFS(Table1[Estimação (horas)],Table1[Tabela],Plano_V3!E333,Table1[Campo],Plano_V3!F333)</f>
        <v>0.5</v>
      </c>
      <c r="J333" s="189">
        <f t="shared" si="47"/>
        <v>6.25E-2</v>
      </c>
      <c r="K333" s="189">
        <f>SUMIFS(Table1[Horas efetivas],Table1[Tabela],Plano_V3!E333,Table1[Campo],Plano_V3!F333)</f>
        <v>0.5</v>
      </c>
      <c r="L333" s="189">
        <f t="shared" si="48"/>
        <v>6.25E-2</v>
      </c>
      <c r="M333" s="183"/>
      <c r="N333" s="183">
        <f t="shared" si="49"/>
        <v>1</v>
      </c>
      <c r="O333" s="183">
        <f t="shared" si="50"/>
        <v>1</v>
      </c>
      <c r="P333" s="90" t="s">
        <v>39</v>
      </c>
      <c r="Q333" s="91">
        <f t="shared" si="51"/>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2"/>
        <v>modesg_inp_emss_sciborigem_scp2</v>
      </c>
      <c r="B334" s="68" t="s">
        <v>26</v>
      </c>
      <c r="C334" s="69" t="s">
        <v>181</v>
      </c>
      <c r="D334" s="65" t="s">
        <v>40</v>
      </c>
      <c r="E334" s="67" t="s">
        <v>218</v>
      </c>
      <c r="F334" s="65" t="s">
        <v>293</v>
      </c>
      <c r="G334" s="65" t="str">
        <f>INDEX(Auxiliar!$B$16:$B$24,MATCH(Plano_V3!H334,Auxiliar!$C$16:$C$24,0),1)</f>
        <v>1. Concluído</v>
      </c>
      <c r="H334" s="65">
        <f>VLOOKUP(A334,'Aux - pivots1'!$A:$B,2,0)</f>
        <v>1</v>
      </c>
      <c r="I334" s="189">
        <f>SUMIFS(Table1[Estimação (horas)],Table1[Tabela],Plano_V3!E334,Table1[Campo],Plano_V3!F334)</f>
        <v>0.5</v>
      </c>
      <c r="J334" s="189">
        <f t="shared" si="47"/>
        <v>6.25E-2</v>
      </c>
      <c r="K334" s="189">
        <f>SUMIFS(Table1[Horas efetivas],Table1[Tabela],Plano_V3!E334,Table1[Campo],Plano_V3!F334)</f>
        <v>0.5</v>
      </c>
      <c r="L334" s="189">
        <f t="shared" si="48"/>
        <v>6.25E-2</v>
      </c>
      <c r="M334" s="183"/>
      <c r="N334" s="183">
        <f t="shared" si="49"/>
        <v>1</v>
      </c>
      <c r="O334" s="183">
        <f t="shared" si="50"/>
        <v>1</v>
      </c>
      <c r="P334" s="90" t="s">
        <v>39</v>
      </c>
      <c r="Q334" s="91">
        <f t="shared" si="51"/>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2"/>
        <v>modesg_inp_emss_sciborigem_scp3</v>
      </c>
      <c r="B335" s="68" t="s">
        <v>26</v>
      </c>
      <c r="C335" s="69" t="s">
        <v>181</v>
      </c>
      <c r="D335" s="65" t="s">
        <v>40</v>
      </c>
      <c r="E335" s="67" t="s">
        <v>218</v>
      </c>
      <c r="F335" s="65" t="s">
        <v>294</v>
      </c>
      <c r="G335" s="65" t="str">
        <f>INDEX(Auxiliar!$B$16:$B$24,MATCH(Plano_V3!H335,Auxiliar!$C$16:$C$24,0),1)</f>
        <v>1. Concluído</v>
      </c>
      <c r="H335" s="65">
        <f>VLOOKUP(A335,'Aux - pivots1'!$A:$B,2,0)</f>
        <v>1</v>
      </c>
      <c r="I335" s="189">
        <f>SUMIFS(Table1[Estimação (horas)],Table1[Tabela],Plano_V3!E335,Table1[Campo],Plano_V3!F335)</f>
        <v>0.5</v>
      </c>
      <c r="J335" s="189">
        <f t="shared" si="47"/>
        <v>6.25E-2</v>
      </c>
      <c r="K335" s="189">
        <f>SUMIFS(Table1[Horas efetivas],Table1[Tabela],Plano_V3!E335,Table1[Campo],Plano_V3!F335)</f>
        <v>0.5</v>
      </c>
      <c r="L335" s="189">
        <f t="shared" si="48"/>
        <v>6.25E-2</v>
      </c>
      <c r="M335" s="183"/>
      <c r="N335" s="183">
        <f t="shared" si="49"/>
        <v>1</v>
      </c>
      <c r="O335" s="183">
        <f t="shared" si="50"/>
        <v>1</v>
      </c>
      <c r="P335" s="90" t="s">
        <v>39</v>
      </c>
      <c r="Q335" s="91">
        <f t="shared" si="51"/>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2"/>
        <v>modesg_inp_emss_scibano_info</v>
      </c>
      <c r="B336" s="68" t="s">
        <v>26</v>
      </c>
      <c r="C336" s="69" t="s">
        <v>181</v>
      </c>
      <c r="D336" s="65" t="s">
        <v>40</v>
      </c>
      <c r="E336" s="67" t="s">
        <v>218</v>
      </c>
      <c r="F336" s="65" t="s">
        <v>295</v>
      </c>
      <c r="G336" s="65" t="str">
        <f>INDEX(Auxiliar!$B$16:$B$24,MATCH(Plano_V3!H336,Auxiliar!$C$16:$C$24,0),1)</f>
        <v>1. Concluído</v>
      </c>
      <c r="H336" s="65">
        <f>VLOOKUP(A336,'Aux - pivots1'!$A:$B,2,0)</f>
        <v>1</v>
      </c>
      <c r="I336" s="189">
        <f>SUMIFS(Table1[Estimação (horas)],Table1[Tabela],Plano_V3!E336,Table1[Campo],Plano_V3!F336)</f>
        <v>0.5</v>
      </c>
      <c r="J336" s="189">
        <f t="shared" si="47"/>
        <v>6.25E-2</v>
      </c>
      <c r="K336" s="189">
        <f>SUMIFS(Table1[Horas efetivas],Table1[Tabela],Plano_V3!E336,Table1[Campo],Plano_V3!F336)</f>
        <v>0.5</v>
      </c>
      <c r="L336" s="189">
        <f t="shared" si="48"/>
        <v>6.25E-2</v>
      </c>
      <c r="M336" s="183"/>
      <c r="N336" s="183">
        <f t="shared" si="49"/>
        <v>1</v>
      </c>
      <c r="O336" s="183">
        <f t="shared" si="50"/>
        <v>1</v>
      </c>
      <c r="P336" s="90" t="s">
        <v>39</v>
      </c>
      <c r="Q336" s="91">
        <f t="shared" si="51"/>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2"/>
        <v>modesg_inp_emss_scibdivida_total</v>
      </c>
      <c r="B337" s="68" t="s">
        <v>26</v>
      </c>
      <c r="C337" s="69" t="s">
        <v>181</v>
      </c>
      <c r="D337" s="65" t="s">
        <v>40</v>
      </c>
      <c r="E337" s="67" t="s">
        <v>218</v>
      </c>
      <c r="F337" s="65" t="s">
        <v>296</v>
      </c>
      <c r="G337" s="65" t="str">
        <f>INDEX(Auxiliar!$B$16:$B$24,MATCH(Plano_V3!H337,Auxiliar!$C$16:$C$24,0),1)</f>
        <v>1. Concluído</v>
      </c>
      <c r="H337" s="65">
        <f>VLOOKUP(A337,'Aux - pivots1'!$A:$B,2,0)</f>
        <v>1</v>
      </c>
      <c r="I337" s="189">
        <f>SUMIFS(Table1[Estimação (horas)],Table1[Tabela],Plano_V3!E337,Table1[Campo],Plano_V3!F337)</f>
        <v>0.5</v>
      </c>
      <c r="J337" s="189">
        <f t="shared" ref="J337:J370" si="53">I337/8</f>
        <v>6.25E-2</v>
      </c>
      <c r="K337" s="189">
        <f>SUMIFS(Table1[Horas efetivas],Table1[Tabela],Plano_V3!E337,Table1[Campo],Plano_V3!F337)</f>
        <v>0.5</v>
      </c>
      <c r="L337" s="189">
        <f t="shared" si="48"/>
        <v>6.25E-2</v>
      </c>
      <c r="M337" s="183"/>
      <c r="N337" s="183">
        <f t="shared" si="49"/>
        <v>1</v>
      </c>
      <c r="O337" s="183">
        <f t="shared" si="50"/>
        <v>1</v>
      </c>
      <c r="P337" s="90" t="s">
        <v>39</v>
      </c>
      <c r="Q337" s="91">
        <f t="shared" si="51"/>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2"/>
        <v>modesg_inp_emss_scibcapital_proprio</v>
      </c>
      <c r="B338" s="68" t="s">
        <v>26</v>
      </c>
      <c r="C338" s="69" t="s">
        <v>181</v>
      </c>
      <c r="D338" s="65" t="s">
        <v>40</v>
      </c>
      <c r="E338" s="67" t="s">
        <v>218</v>
      </c>
      <c r="F338" s="65" t="s">
        <v>297</v>
      </c>
      <c r="G338" s="65" t="str">
        <f>INDEX(Auxiliar!$B$16:$B$24,MATCH(Plano_V3!H338,Auxiliar!$C$16:$C$24,0),1)</f>
        <v>1. Concluído</v>
      </c>
      <c r="H338" s="65">
        <f>VLOOKUP(A338,'Aux - pivots1'!$A:$B,2,0)</f>
        <v>1</v>
      </c>
      <c r="I338" s="189">
        <f>SUMIFS(Table1[Estimação (horas)],Table1[Tabela],Plano_V3!E338,Table1[Campo],Plano_V3!F338)</f>
        <v>0.5</v>
      </c>
      <c r="J338" s="189">
        <f t="shared" si="53"/>
        <v>6.25E-2</v>
      </c>
      <c r="K338" s="189">
        <f>SUMIFS(Table1[Horas efetivas],Table1[Tabela],Plano_V3!E338,Table1[Campo],Plano_V3!F338)</f>
        <v>0.5</v>
      </c>
      <c r="L338" s="189">
        <f t="shared" ref="L338:L370" si="54">K338/8</f>
        <v>6.25E-2</v>
      </c>
      <c r="M338" s="183"/>
      <c r="N338" s="183">
        <f t="shared" ref="N338:N370" si="55">L338/J338</f>
        <v>1</v>
      </c>
      <c r="O338" s="183">
        <f t="shared" si="50"/>
        <v>1</v>
      </c>
      <c r="P338" s="90" t="s">
        <v>39</v>
      </c>
      <c r="Q338" s="91">
        <f t="shared" si="51"/>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2"/>
        <v>modesg_inp_emss_naceref_date</v>
      </c>
      <c r="B339" s="68" t="s">
        <v>26</v>
      </c>
      <c r="C339" s="69" t="s">
        <v>181</v>
      </c>
      <c r="D339" s="65" t="s">
        <v>40</v>
      </c>
      <c r="E339" s="67" t="s">
        <v>219</v>
      </c>
      <c r="F339" s="65" t="s">
        <v>208</v>
      </c>
      <c r="G339" s="65" t="str">
        <f>INDEX(Auxiliar!$B$16:$B$24,MATCH(Plano_V3!H339,Auxiliar!$C$16:$C$24,0),1)</f>
        <v>1. Concluído</v>
      </c>
      <c r="H339" s="65">
        <f>VLOOKUP(A339,'Aux - pivots1'!$A:$B,2,0)</f>
        <v>1</v>
      </c>
      <c r="I339" s="189">
        <f>SUMIFS(Table1[Estimação (horas)],Table1[Tabela],Plano_V3!E339,Table1[Campo],Plano_V3!F339)</f>
        <v>0.5</v>
      </c>
      <c r="J339" s="189">
        <f t="shared" si="53"/>
        <v>6.25E-2</v>
      </c>
      <c r="K339" s="189">
        <f>SUMIFS(Table1[Horas efetivas],Table1[Tabela],Plano_V3!E339,Table1[Campo],Plano_V3!F339)</f>
        <v>0.5</v>
      </c>
      <c r="L339" s="189">
        <f t="shared" si="54"/>
        <v>6.25E-2</v>
      </c>
      <c r="M339" s="183"/>
      <c r="N339" s="183">
        <f t="shared" si="55"/>
        <v>1</v>
      </c>
      <c r="O339" s="183">
        <f t="shared" si="50"/>
        <v>1</v>
      </c>
      <c r="P339" s="90" t="s">
        <v>39</v>
      </c>
      <c r="Q339" s="91">
        <f t="shared" si="51"/>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2"/>
        <v>modesg_inp_emss_naceano</v>
      </c>
      <c r="B340" s="68" t="s">
        <v>26</v>
      </c>
      <c r="C340" s="69" t="s">
        <v>181</v>
      </c>
      <c r="D340" s="65" t="s">
        <v>40</v>
      </c>
      <c r="E340" s="67" t="s">
        <v>219</v>
      </c>
      <c r="F340" s="65" t="s">
        <v>298</v>
      </c>
      <c r="G340" s="65" t="str">
        <f>INDEX(Auxiliar!$B$16:$B$24,MATCH(Plano_V3!H340,Auxiliar!$C$16:$C$24,0),1)</f>
        <v>1. Concluído</v>
      </c>
      <c r="H340" s="65">
        <f>VLOOKUP(A340,'Aux - pivots1'!$A:$B,2,0)</f>
        <v>1</v>
      </c>
      <c r="I340" s="189">
        <f>SUMIFS(Table1[Estimação (horas)],Table1[Tabela],Plano_V3!E340,Table1[Campo],Plano_V3!F340)</f>
        <v>0.5</v>
      </c>
      <c r="J340" s="189">
        <f t="shared" si="53"/>
        <v>6.25E-2</v>
      </c>
      <c r="K340" s="189">
        <f>SUMIFS(Table1[Horas efetivas],Table1[Tabela],Plano_V3!E340,Table1[Campo],Plano_V3!F340)</f>
        <v>0.5</v>
      </c>
      <c r="L340" s="189">
        <f t="shared" si="54"/>
        <v>6.25E-2</v>
      </c>
      <c r="M340" s="183"/>
      <c r="N340" s="183">
        <f t="shared" si="55"/>
        <v>1</v>
      </c>
      <c r="O340" s="183">
        <f t="shared" si="50"/>
        <v>1</v>
      </c>
      <c r="P340" s="90" t="s">
        <v>39</v>
      </c>
      <c r="Q340" s="91">
        <f t="shared" si="51"/>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2"/>
        <v>modesg_inp_emss_nacenome_pais</v>
      </c>
      <c r="B341" s="68" t="s">
        <v>26</v>
      </c>
      <c r="C341" s="69" t="s">
        <v>181</v>
      </c>
      <c r="D341" s="65" t="s">
        <v>40</v>
      </c>
      <c r="E341" s="67" t="s">
        <v>219</v>
      </c>
      <c r="F341" s="65" t="s">
        <v>222</v>
      </c>
      <c r="G341" s="65" t="str">
        <f>INDEX(Auxiliar!$B$16:$B$24,MATCH(Plano_V3!H341,Auxiliar!$C$16:$C$24,0),1)</f>
        <v>1. Concluído</v>
      </c>
      <c r="H341" s="65">
        <f>VLOOKUP(A341,'Aux - pivots1'!$A:$B,2,0)</f>
        <v>1</v>
      </c>
      <c r="I341" s="189">
        <f>SUMIFS(Table1[Estimação (horas)],Table1[Tabela],Plano_V3!E341,Table1[Campo],Plano_V3!F341)</f>
        <v>0.5</v>
      </c>
      <c r="J341" s="189">
        <f t="shared" si="53"/>
        <v>6.25E-2</v>
      </c>
      <c r="K341" s="189">
        <f>SUMIFS(Table1[Horas efetivas],Table1[Tabela],Plano_V3!E341,Table1[Campo],Plano_V3!F341)</f>
        <v>0.5</v>
      </c>
      <c r="L341" s="189">
        <f t="shared" si="54"/>
        <v>6.25E-2</v>
      </c>
      <c r="M341" s="183"/>
      <c r="N341" s="183">
        <f t="shared" si="55"/>
        <v>1</v>
      </c>
      <c r="O341" s="183">
        <f t="shared" si="50"/>
        <v>1</v>
      </c>
      <c r="P341" s="90" t="s">
        <v>39</v>
      </c>
      <c r="Q341" s="91">
        <f t="shared" si="51"/>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2"/>
        <v>modesg_inp_emss_nacecod_nace_esg</v>
      </c>
      <c r="B342" s="68" t="s">
        <v>26</v>
      </c>
      <c r="C342" s="69" t="s">
        <v>181</v>
      </c>
      <c r="D342" s="65" t="s">
        <v>40</v>
      </c>
      <c r="E342" s="67" t="s">
        <v>219</v>
      </c>
      <c r="F342" s="65" t="s">
        <v>282</v>
      </c>
      <c r="G342" s="65" t="str">
        <f>INDEX(Auxiliar!$B$16:$B$24,MATCH(Plano_V3!H342,Auxiliar!$C$16:$C$24,0),1)</f>
        <v>1. Concluído</v>
      </c>
      <c r="H342" s="65">
        <f>VLOOKUP(A342,'Aux - pivots1'!$A:$B,2,0)</f>
        <v>1</v>
      </c>
      <c r="I342" s="189">
        <f>SUMIFS(Table1[Estimação (horas)],Table1[Tabela],Plano_V3!E342,Table1[Campo],Plano_V3!F342)</f>
        <v>0.6</v>
      </c>
      <c r="J342" s="189">
        <f t="shared" si="53"/>
        <v>7.4999999999999997E-2</v>
      </c>
      <c r="K342" s="189">
        <f>SUMIFS(Table1[Horas efetivas],Table1[Tabela],Plano_V3!E342,Table1[Campo],Plano_V3!F342)</f>
        <v>0.6</v>
      </c>
      <c r="L342" s="189">
        <f t="shared" si="54"/>
        <v>7.4999999999999997E-2</v>
      </c>
      <c r="M342" s="183"/>
      <c r="N342" s="183">
        <f t="shared" si="55"/>
        <v>1</v>
      </c>
      <c r="O342" s="183">
        <f t="shared" si="50"/>
        <v>1</v>
      </c>
      <c r="P342" s="90" t="s">
        <v>39</v>
      </c>
      <c r="Q342" s="91">
        <f t="shared" si="51"/>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2"/>
        <v>modesg_inp_emss_nacecod_class_indust</v>
      </c>
      <c r="B343" s="68" t="s">
        <v>26</v>
      </c>
      <c r="C343" s="69" t="s">
        <v>181</v>
      </c>
      <c r="D343" s="65" t="s">
        <v>40</v>
      </c>
      <c r="E343" s="67" t="s">
        <v>219</v>
      </c>
      <c r="F343" s="65" t="s">
        <v>299</v>
      </c>
      <c r="G343" s="65" t="str">
        <f>INDEX(Auxiliar!$B$16:$B$24,MATCH(Plano_V3!H343,Auxiliar!$C$16:$C$24,0),1)</f>
        <v>1. Concluído</v>
      </c>
      <c r="H343" s="65">
        <f>VLOOKUP(A343,'Aux - pivots1'!$A:$B,2,0)</f>
        <v>1</v>
      </c>
      <c r="I343" s="189">
        <f>SUMIFS(Table1[Estimação (horas)],Table1[Tabela],Plano_V3!E343,Table1[Campo],Plano_V3!F343)</f>
        <v>0.5</v>
      </c>
      <c r="J343" s="189">
        <f t="shared" si="53"/>
        <v>6.25E-2</v>
      </c>
      <c r="K343" s="189">
        <f>SUMIFS(Table1[Horas efetivas],Table1[Tabela],Plano_V3!E343,Table1[Campo],Plano_V3!F343)</f>
        <v>0.5</v>
      </c>
      <c r="L343" s="189">
        <f t="shared" si="54"/>
        <v>6.25E-2</v>
      </c>
      <c r="M343" s="183"/>
      <c r="N343" s="183">
        <f t="shared" si="55"/>
        <v>1</v>
      </c>
      <c r="O343" s="183">
        <f t="shared" si="50"/>
        <v>1</v>
      </c>
      <c r="P343" s="90" t="s">
        <v>39</v>
      </c>
      <c r="Q343" s="91">
        <f t="shared" si="51"/>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2"/>
        <v>modesg_inp_emss_nacenivel_classificacao_1</v>
      </c>
      <c r="B344" s="68" t="s">
        <v>26</v>
      </c>
      <c r="C344" s="69" t="s">
        <v>181</v>
      </c>
      <c r="D344" s="65" t="s">
        <v>40</v>
      </c>
      <c r="E344" s="67" t="s">
        <v>219</v>
      </c>
      <c r="F344" s="65" t="s">
        <v>300</v>
      </c>
      <c r="G344" s="65" t="str">
        <f>INDEX(Auxiliar!$B$16:$B$24,MATCH(Plano_V3!H344,Auxiliar!$C$16:$C$24,0),1)</f>
        <v>1. Concluído</v>
      </c>
      <c r="H344" s="65">
        <f>VLOOKUP(A344,'Aux - pivots1'!$A:$B,2,0)</f>
        <v>1</v>
      </c>
      <c r="I344" s="189">
        <f>SUMIFS(Table1[Estimação (horas)],Table1[Tabela],Plano_V3!E344,Table1[Campo],Plano_V3!F344)</f>
        <v>0.5</v>
      </c>
      <c r="J344" s="189">
        <f t="shared" si="53"/>
        <v>6.25E-2</v>
      </c>
      <c r="K344" s="189">
        <f>SUMIFS(Table1[Horas efetivas],Table1[Tabela],Plano_V3!E344,Table1[Campo],Plano_V3!F344)</f>
        <v>0.5</v>
      </c>
      <c r="L344" s="189">
        <f t="shared" si="54"/>
        <v>6.25E-2</v>
      </c>
      <c r="M344" s="183"/>
      <c r="N344" s="183">
        <f t="shared" si="55"/>
        <v>1</v>
      </c>
      <c r="O344" s="183">
        <f t="shared" si="50"/>
        <v>1</v>
      </c>
      <c r="P344" s="90" t="s">
        <v>39</v>
      </c>
      <c r="Q344" s="91">
        <f t="shared" si="51"/>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2"/>
        <v>modesg_inp_emss_naceclasse_ativo</v>
      </c>
      <c r="B345" s="68" t="s">
        <v>26</v>
      </c>
      <c r="C345" s="69" t="s">
        <v>181</v>
      </c>
      <c r="D345" s="65" t="s">
        <v>40</v>
      </c>
      <c r="E345" s="67" t="s">
        <v>219</v>
      </c>
      <c r="F345" s="65" t="s">
        <v>301</v>
      </c>
      <c r="G345" s="65" t="str">
        <f>INDEX(Auxiliar!$B$16:$B$24,MATCH(Plano_V3!H345,Auxiliar!$C$16:$C$24,0),1)</f>
        <v>1. Concluído</v>
      </c>
      <c r="H345" s="65">
        <f>VLOOKUP(A345,'Aux - pivots1'!$A:$B,2,0)</f>
        <v>1</v>
      </c>
      <c r="I345" s="189">
        <f>SUMIFS(Table1[Estimação (horas)],Table1[Tabela],Plano_V3!E345,Table1[Campo],Plano_V3!F345)</f>
        <v>0.5</v>
      </c>
      <c r="J345" s="189">
        <f t="shared" si="53"/>
        <v>6.25E-2</v>
      </c>
      <c r="K345" s="189">
        <f>SUMIFS(Table1[Horas efetivas],Table1[Tabela],Plano_V3!E345,Table1[Campo],Plano_V3!F345)</f>
        <v>0.5</v>
      </c>
      <c r="L345" s="189">
        <f t="shared" si="54"/>
        <v>6.25E-2</v>
      </c>
      <c r="M345" s="183"/>
      <c r="N345" s="183">
        <f t="shared" si="55"/>
        <v>1</v>
      </c>
      <c r="O345" s="183">
        <f t="shared" si="50"/>
        <v>1</v>
      </c>
      <c r="P345" s="90" t="s">
        <v>39</v>
      </c>
      <c r="Q345" s="91">
        <f t="shared" si="51"/>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2"/>
        <v>modesg_inp_emss_naceopcao_metodologia</v>
      </c>
      <c r="B346" s="68" t="s">
        <v>26</v>
      </c>
      <c r="C346" s="69" t="s">
        <v>181</v>
      </c>
      <c r="D346" s="65" t="s">
        <v>40</v>
      </c>
      <c r="E346" s="67" t="s">
        <v>219</v>
      </c>
      <c r="F346" s="65" t="s">
        <v>302</v>
      </c>
      <c r="G346" s="65" t="str">
        <f>INDEX(Auxiliar!$B$16:$B$24,MATCH(Plano_V3!H346,Auxiliar!$C$16:$C$24,0),1)</f>
        <v>1. Concluído</v>
      </c>
      <c r="H346" s="65">
        <f>VLOOKUP(A346,'Aux - pivots1'!$A:$B,2,0)</f>
        <v>1</v>
      </c>
      <c r="I346" s="189">
        <f>SUMIFS(Table1[Estimação (horas)],Table1[Tabela],Plano_V3!E346,Table1[Campo],Plano_V3!F346)</f>
        <v>0.5</v>
      </c>
      <c r="J346" s="189">
        <f t="shared" si="53"/>
        <v>6.25E-2</v>
      </c>
      <c r="K346" s="189">
        <f>SUMIFS(Table1[Horas efetivas],Table1[Tabela],Plano_V3!E346,Table1[Campo],Plano_V3!F346)</f>
        <v>0.5</v>
      </c>
      <c r="L346" s="189">
        <f t="shared" si="54"/>
        <v>6.25E-2</v>
      </c>
      <c r="M346" s="183"/>
      <c r="N346" s="183">
        <f t="shared" si="55"/>
        <v>1</v>
      </c>
      <c r="O346" s="183">
        <f t="shared" ref="O346:O409" si="56">N346-M346</f>
        <v>1</v>
      </c>
      <c r="P346" s="90" t="s">
        <v>39</v>
      </c>
      <c r="Q346" s="91">
        <f t="shared" si="51"/>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2"/>
        <v>modesg_inp_emss_naceunidade_funcional</v>
      </c>
      <c r="B347" s="68" t="s">
        <v>26</v>
      </c>
      <c r="C347" s="69" t="s">
        <v>181</v>
      </c>
      <c r="D347" s="65" t="s">
        <v>40</v>
      </c>
      <c r="E347" s="67" t="s">
        <v>219</v>
      </c>
      <c r="F347" s="65" t="s">
        <v>230</v>
      </c>
      <c r="G347" s="65" t="str">
        <f>INDEX(Auxiliar!$B$16:$B$24,MATCH(Plano_V3!H347,Auxiliar!$C$16:$C$24,0),1)</f>
        <v>1. Concluído</v>
      </c>
      <c r="H347" s="65">
        <f>VLOOKUP(A347,'Aux - pivots1'!$A:$B,2,0)</f>
        <v>1</v>
      </c>
      <c r="I347" s="189">
        <f>SUMIFS(Table1[Estimação (horas)],Table1[Tabela],Plano_V3!E347,Table1[Campo],Plano_V3!F347)</f>
        <v>0.6</v>
      </c>
      <c r="J347" s="189">
        <f t="shared" si="53"/>
        <v>7.4999999999999997E-2</v>
      </c>
      <c r="K347" s="189">
        <f>SUMIFS(Table1[Horas efetivas],Table1[Tabela],Plano_V3!E347,Table1[Campo],Plano_V3!F347)</f>
        <v>0.6</v>
      </c>
      <c r="L347" s="189">
        <f t="shared" si="54"/>
        <v>7.4999999999999997E-2</v>
      </c>
      <c r="M347" s="183"/>
      <c r="N347" s="183">
        <f t="shared" si="55"/>
        <v>1</v>
      </c>
      <c r="O347" s="183">
        <f t="shared" si="56"/>
        <v>1</v>
      </c>
      <c r="P347" s="90" t="s">
        <v>39</v>
      </c>
      <c r="Q347" s="91">
        <f t="shared" si="51"/>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2"/>
        <v>modesg_inp_emss_naceunidades_fator_de_emissao</v>
      </c>
      <c r="B348" s="68" t="s">
        <v>26</v>
      </c>
      <c r="C348" s="69" t="s">
        <v>181</v>
      </c>
      <c r="D348" s="65" t="s">
        <v>40</v>
      </c>
      <c r="E348" s="67" t="s">
        <v>219</v>
      </c>
      <c r="F348" s="65" t="s">
        <v>303</v>
      </c>
      <c r="G348" s="65" t="str">
        <f>INDEX(Auxiliar!$B$16:$B$24,MATCH(Plano_V3!H348,Auxiliar!$C$16:$C$24,0),1)</f>
        <v>1. Concluído</v>
      </c>
      <c r="H348" s="65">
        <f>VLOOKUP(A348,'Aux - pivots1'!$A:$B,2,0)</f>
        <v>1</v>
      </c>
      <c r="I348" s="189">
        <f>SUMIFS(Table1[Estimação (horas)],Table1[Tabela],Plano_V3!E348,Table1[Campo],Plano_V3!F348)</f>
        <v>0.5</v>
      </c>
      <c r="J348" s="189">
        <f t="shared" si="53"/>
        <v>6.25E-2</v>
      </c>
      <c r="K348" s="189">
        <f>SUMIFS(Table1[Horas efetivas],Table1[Tabela],Plano_V3!E348,Table1[Campo],Plano_V3!F348)</f>
        <v>0.5</v>
      </c>
      <c r="L348" s="189">
        <f t="shared" si="54"/>
        <v>6.25E-2</v>
      </c>
      <c r="M348" s="183"/>
      <c r="N348" s="183">
        <f t="shared" si="55"/>
        <v>1</v>
      </c>
      <c r="O348" s="183">
        <f t="shared" si="56"/>
        <v>1</v>
      </c>
      <c r="P348" s="90" t="s">
        <v>39</v>
      </c>
      <c r="Q348" s="91">
        <f t="shared" si="51"/>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2"/>
        <v>modesg_inp_emss_nacescore_qualidade</v>
      </c>
      <c r="B349" s="68" t="s">
        <v>26</v>
      </c>
      <c r="C349" s="69" t="s">
        <v>181</v>
      </c>
      <c r="D349" s="65" t="s">
        <v>40</v>
      </c>
      <c r="E349" s="67" t="s">
        <v>219</v>
      </c>
      <c r="F349" s="65" t="s">
        <v>233</v>
      </c>
      <c r="G349" s="65" t="str">
        <f>INDEX(Auxiliar!$B$16:$B$24,MATCH(Plano_V3!H349,Auxiliar!$C$16:$C$24,0),1)</f>
        <v>1. Concluído</v>
      </c>
      <c r="H349" s="65">
        <f>VLOOKUP(A349,'Aux - pivots1'!$A:$B,2,0)</f>
        <v>1</v>
      </c>
      <c r="I349" s="189">
        <f>SUMIFS(Table1[Estimação (horas)],Table1[Tabela],Plano_V3!E349,Table1[Campo],Plano_V3!F349)</f>
        <v>0.5</v>
      </c>
      <c r="J349" s="189">
        <f t="shared" si="53"/>
        <v>6.25E-2</v>
      </c>
      <c r="K349" s="189">
        <f>SUMIFS(Table1[Horas efetivas],Table1[Tabela],Plano_V3!E349,Table1[Campo],Plano_V3!F349)</f>
        <v>0.5</v>
      </c>
      <c r="L349" s="189">
        <f t="shared" si="54"/>
        <v>6.25E-2</v>
      </c>
      <c r="M349" s="183"/>
      <c r="N349" s="183">
        <f t="shared" si="55"/>
        <v>1</v>
      </c>
      <c r="O349" s="183">
        <f t="shared" si="56"/>
        <v>1</v>
      </c>
      <c r="P349" s="90" t="s">
        <v>39</v>
      </c>
      <c r="Q349" s="91">
        <f t="shared" si="51"/>
        <v>6.25E-2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2"/>
        <v>modesg_inp_emss_nacescp1_ftr_emss</v>
      </c>
      <c r="B350" s="68" t="s">
        <v>26</v>
      </c>
      <c r="C350" s="69" t="s">
        <v>181</v>
      </c>
      <c r="D350" s="65" t="s">
        <v>40</v>
      </c>
      <c r="E350" s="67" t="s">
        <v>219</v>
      </c>
      <c r="F350" s="65" t="s">
        <v>234</v>
      </c>
      <c r="G350" s="65" t="str">
        <f>INDEX(Auxiliar!$B$16:$B$24,MATCH(Plano_V3!H350,Auxiliar!$C$16:$C$24,0),1)</f>
        <v>1. Concluído</v>
      </c>
      <c r="H350" s="65">
        <f>VLOOKUP(A350,'Aux - pivots1'!$A:$B,2,0)</f>
        <v>1</v>
      </c>
      <c r="I350" s="189">
        <f>SUMIFS(Table1[Estimação (horas)],Table1[Tabela],Plano_V3!E350,Table1[Campo],Plano_V3!F350)</f>
        <v>0.6</v>
      </c>
      <c r="J350" s="189">
        <f t="shared" si="53"/>
        <v>7.4999999999999997E-2</v>
      </c>
      <c r="K350" s="189">
        <f>SUMIFS(Table1[Horas efetivas],Table1[Tabela],Plano_V3!E350,Table1[Campo],Plano_V3!F350)</f>
        <v>0.6</v>
      </c>
      <c r="L350" s="189">
        <f t="shared" si="54"/>
        <v>7.4999999999999997E-2</v>
      </c>
      <c r="M350" s="183"/>
      <c r="N350" s="183">
        <f t="shared" si="55"/>
        <v>1</v>
      </c>
      <c r="O350" s="183">
        <f t="shared" si="56"/>
        <v>1</v>
      </c>
      <c r="P350" s="90" t="s">
        <v>39</v>
      </c>
      <c r="Q350" s="91">
        <f t="shared" si="51"/>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2"/>
        <v>modesg_inp_emss_nacescp2_ftr_emss</v>
      </c>
      <c r="B351" s="68" t="s">
        <v>26</v>
      </c>
      <c r="C351" s="69" t="s">
        <v>181</v>
      </c>
      <c r="D351" s="65" t="s">
        <v>40</v>
      </c>
      <c r="E351" s="67" t="s">
        <v>219</v>
      </c>
      <c r="F351" s="65" t="s">
        <v>235</v>
      </c>
      <c r="G351" s="65" t="str">
        <f>INDEX(Auxiliar!$B$16:$B$24,MATCH(Plano_V3!H351,Auxiliar!$C$16:$C$24,0),1)</f>
        <v>1. Concluído</v>
      </c>
      <c r="H351" s="65">
        <f>VLOOKUP(A351,'Aux - pivots1'!$A:$B,2,0)</f>
        <v>1</v>
      </c>
      <c r="I351" s="189">
        <f>SUMIFS(Table1[Estimação (horas)],Table1[Tabela],Plano_V3!E351,Table1[Campo],Plano_V3!F351)</f>
        <v>0.6</v>
      </c>
      <c r="J351" s="189">
        <f t="shared" si="53"/>
        <v>7.4999999999999997E-2</v>
      </c>
      <c r="K351" s="189">
        <f>SUMIFS(Table1[Horas efetivas],Table1[Tabela],Plano_V3!E351,Table1[Campo],Plano_V3!F351)</f>
        <v>0.6</v>
      </c>
      <c r="L351" s="189">
        <f t="shared" si="54"/>
        <v>7.4999999999999997E-2</v>
      </c>
      <c r="M351" s="183"/>
      <c r="N351" s="183">
        <f t="shared" si="55"/>
        <v>1</v>
      </c>
      <c r="O351" s="183">
        <f t="shared" si="56"/>
        <v>1</v>
      </c>
      <c r="P351" s="90" t="s">
        <v>39</v>
      </c>
      <c r="Q351" s="91">
        <f t="shared" si="51"/>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2"/>
        <v>modesg_inp_emss_nacescp3_ftr_emss</v>
      </c>
      <c r="B352" s="68" t="s">
        <v>26</v>
      </c>
      <c r="C352" s="69" t="s">
        <v>181</v>
      </c>
      <c r="D352" s="65" t="s">
        <v>40</v>
      </c>
      <c r="E352" s="67" t="s">
        <v>219</v>
      </c>
      <c r="F352" s="65" t="s">
        <v>236</v>
      </c>
      <c r="G352" s="65" t="str">
        <f>INDEX(Auxiliar!$B$16:$B$24,MATCH(Plano_V3!H352,Auxiliar!$C$16:$C$24,0),1)</f>
        <v>1. Concluído</v>
      </c>
      <c r="H352" s="65">
        <f>VLOOKUP(A352,'Aux - pivots1'!$A:$B,2,0)</f>
        <v>1</v>
      </c>
      <c r="I352" s="189">
        <f>SUMIFS(Table1[Estimação (horas)],Table1[Tabela],Plano_V3!E352,Table1[Campo],Plano_V3!F352)</f>
        <v>0.6</v>
      </c>
      <c r="J352" s="189">
        <f t="shared" si="53"/>
        <v>7.4999999999999997E-2</v>
      </c>
      <c r="K352" s="189">
        <f>SUMIFS(Table1[Horas efetivas],Table1[Tabela],Plano_V3!E352,Table1[Campo],Plano_V3!F352)</f>
        <v>0.6</v>
      </c>
      <c r="L352" s="189">
        <f t="shared" si="54"/>
        <v>7.4999999999999997E-2</v>
      </c>
      <c r="M352" s="183"/>
      <c r="N352" s="183">
        <f t="shared" si="55"/>
        <v>1</v>
      </c>
      <c r="O352" s="183">
        <f t="shared" si="56"/>
        <v>1</v>
      </c>
      <c r="P352" s="90" t="s">
        <v>39</v>
      </c>
      <c r="Q352" s="91">
        <f t="shared" si="51"/>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2"/>
        <v>modesg_inp_emss_bens_imoveisref_date</v>
      </c>
      <c r="B353" s="68" t="s">
        <v>26</v>
      </c>
      <c r="C353" s="69" t="s">
        <v>181</v>
      </c>
      <c r="D353" s="65" t="s">
        <v>40</v>
      </c>
      <c r="E353" s="67" t="s">
        <v>220</v>
      </c>
      <c r="F353" s="65" t="s">
        <v>208</v>
      </c>
      <c r="G353" s="65" t="str">
        <f>INDEX(Auxiliar!$B$16:$B$24,MATCH(Plano_V3!H353,Auxiliar!$C$16:$C$24,0),1)</f>
        <v>1. Concluído</v>
      </c>
      <c r="H353" s="65">
        <f>VLOOKUP(A353,'Aux - pivots1'!$A:$B,2,0)</f>
        <v>1</v>
      </c>
      <c r="I353" s="189">
        <f>SUMIFS(Table1[Estimação (horas)],Table1[Tabela],Plano_V3!E353,Table1[Campo],Plano_V3!F353)</f>
        <v>0.5</v>
      </c>
      <c r="J353" s="189">
        <f t="shared" si="53"/>
        <v>6.25E-2</v>
      </c>
      <c r="K353" s="189">
        <f>SUMIFS(Table1[Horas efetivas],Table1[Tabela],Plano_V3!E353,Table1[Campo],Plano_V3!F353)</f>
        <v>0.5</v>
      </c>
      <c r="L353" s="189">
        <f t="shared" si="54"/>
        <v>6.25E-2</v>
      </c>
      <c r="M353" s="183"/>
      <c r="N353" s="183">
        <f t="shared" si="55"/>
        <v>1</v>
      </c>
      <c r="O353" s="183">
        <f t="shared" si="56"/>
        <v>1</v>
      </c>
      <c r="P353" s="90" t="s">
        <v>39</v>
      </c>
      <c r="Q353" s="91">
        <f t="shared" si="51"/>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2"/>
        <v>modesg_inp_emss_bens_imoveisnome_pais</v>
      </c>
      <c r="B354" s="68" t="s">
        <v>26</v>
      </c>
      <c r="C354" s="69" t="s">
        <v>181</v>
      </c>
      <c r="D354" s="65" t="s">
        <v>40</v>
      </c>
      <c r="E354" s="67" t="s">
        <v>220</v>
      </c>
      <c r="F354" s="65" t="s">
        <v>222</v>
      </c>
      <c r="G354" s="65" t="str">
        <f>INDEX(Auxiliar!$B$16:$B$24,MATCH(Plano_V3!H354,Auxiliar!$C$16:$C$24,0),1)</f>
        <v>1. Concluído</v>
      </c>
      <c r="H354" s="65">
        <f>VLOOKUP(A354,'Aux - pivots1'!$A:$B,2,0)</f>
        <v>1</v>
      </c>
      <c r="I354" s="189">
        <f>SUMIFS(Table1[Estimação (horas)],Table1[Tabela],Plano_V3!E354,Table1[Campo],Plano_V3!F354)</f>
        <v>0.5</v>
      </c>
      <c r="J354" s="189">
        <f t="shared" si="53"/>
        <v>6.25E-2</v>
      </c>
      <c r="K354" s="189">
        <f>SUMIFS(Table1[Horas efetivas],Table1[Tabela],Plano_V3!E354,Table1[Campo],Plano_V3!F354)</f>
        <v>0.5</v>
      </c>
      <c r="L354" s="189">
        <f t="shared" si="54"/>
        <v>6.25E-2</v>
      </c>
      <c r="M354" s="183"/>
      <c r="N354" s="183">
        <f t="shared" si="55"/>
        <v>1</v>
      </c>
      <c r="O354" s="183">
        <f t="shared" si="56"/>
        <v>1</v>
      </c>
      <c r="P354" s="90" t="s">
        <v>39</v>
      </c>
      <c r="Q354" s="91">
        <f t="shared" si="51"/>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2"/>
        <v>modesg_inp_emss_bens_imoveisnome_estado</v>
      </c>
      <c r="B355" s="68" t="s">
        <v>26</v>
      </c>
      <c r="C355" s="69" t="s">
        <v>181</v>
      </c>
      <c r="D355" s="65" t="s">
        <v>40</v>
      </c>
      <c r="E355" s="67" t="s">
        <v>220</v>
      </c>
      <c r="F355" s="65" t="s">
        <v>223</v>
      </c>
      <c r="G355" s="65" t="str">
        <f>INDEX(Auxiliar!$B$16:$B$24,MATCH(Plano_V3!H355,Auxiliar!$C$16:$C$24,0),1)</f>
        <v>1. Concluído</v>
      </c>
      <c r="H355" s="65">
        <f>VLOOKUP(A355,'Aux - pivots1'!$A:$B,2,0)</f>
        <v>1</v>
      </c>
      <c r="I355" s="189">
        <f>SUMIFS(Table1[Estimação (horas)],Table1[Tabela],Plano_V3!E355,Table1[Campo],Plano_V3!F355)</f>
        <v>0.5</v>
      </c>
      <c r="J355" s="189">
        <f t="shared" si="53"/>
        <v>6.25E-2</v>
      </c>
      <c r="K355" s="189">
        <f>SUMIFS(Table1[Horas efetivas],Table1[Tabela],Plano_V3!E355,Table1[Campo],Plano_V3!F355)</f>
        <v>0.5</v>
      </c>
      <c r="L355" s="189">
        <f t="shared" si="54"/>
        <v>6.25E-2</v>
      </c>
      <c r="M355" s="183"/>
      <c r="N355" s="183">
        <f t="shared" si="55"/>
        <v>1</v>
      </c>
      <c r="O355" s="183">
        <f t="shared" si="56"/>
        <v>1</v>
      </c>
      <c r="P355" s="90" t="s">
        <v>39</v>
      </c>
      <c r="Q355" s="91">
        <f t="shared" si="51"/>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2"/>
        <v>modesg_inp_emss_bens_imoveisclasse_ativo</v>
      </c>
      <c r="B356" s="68" t="s">
        <v>26</v>
      </c>
      <c r="C356" s="69" t="s">
        <v>181</v>
      </c>
      <c r="D356" s="65" t="s">
        <v>40</v>
      </c>
      <c r="E356" s="67" t="s">
        <v>220</v>
      </c>
      <c r="F356" s="65" t="s">
        <v>301</v>
      </c>
      <c r="G356" s="65" t="str">
        <f>INDEX(Auxiliar!$B$16:$B$24,MATCH(Plano_V3!H356,Auxiliar!$C$16:$C$24,0),1)</f>
        <v>1. Concluído</v>
      </c>
      <c r="H356" s="65">
        <f>VLOOKUP(A356,'Aux - pivots1'!$A:$B,2,0)</f>
        <v>1</v>
      </c>
      <c r="I356" s="189">
        <f>SUMIFS(Table1[Estimação (horas)],Table1[Tabela],Plano_V3!E356,Table1[Campo],Plano_V3!F356)</f>
        <v>0.5</v>
      </c>
      <c r="J356" s="189">
        <f t="shared" si="53"/>
        <v>6.25E-2</v>
      </c>
      <c r="K356" s="189">
        <f>SUMIFS(Table1[Horas efetivas],Table1[Tabela],Plano_V3!E356,Table1[Campo],Plano_V3!F356)</f>
        <v>0.5</v>
      </c>
      <c r="L356" s="189">
        <f t="shared" si="54"/>
        <v>6.25E-2</v>
      </c>
      <c r="M356" s="183"/>
      <c r="N356" s="183">
        <f t="shared" si="55"/>
        <v>1</v>
      </c>
      <c r="O356" s="183">
        <f t="shared" si="56"/>
        <v>1</v>
      </c>
      <c r="P356" s="90" t="s">
        <v>39</v>
      </c>
      <c r="Q356" s="91">
        <f t="shared" si="51"/>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2"/>
        <v>modesg_inp_emss_bens_imoveistipo_fator_emissao</v>
      </c>
      <c r="B357" s="68" t="s">
        <v>26</v>
      </c>
      <c r="C357" s="69" t="s">
        <v>181</v>
      </c>
      <c r="D357" s="65" t="s">
        <v>40</v>
      </c>
      <c r="E357" s="67" t="s">
        <v>220</v>
      </c>
      <c r="F357" s="65" t="s">
        <v>304</v>
      </c>
      <c r="G357" s="65" t="str">
        <f>INDEX(Auxiliar!$B$16:$B$24,MATCH(Plano_V3!H357,Auxiliar!$C$16:$C$24,0),1)</f>
        <v>1. Concluído</v>
      </c>
      <c r="H357" s="65">
        <f>VLOOKUP(A357,'Aux - pivots1'!$A:$B,2,0)</f>
        <v>1</v>
      </c>
      <c r="I357" s="189">
        <f>SUMIFS(Table1[Estimação (horas)],Table1[Tabela],Plano_V3!E357,Table1[Campo],Plano_V3!F357)</f>
        <v>1</v>
      </c>
      <c r="J357" s="189">
        <f t="shared" si="53"/>
        <v>0.125</v>
      </c>
      <c r="K357" s="189">
        <f>SUMIFS(Table1[Horas efetivas],Table1[Tabela],Plano_V3!E357,Table1[Campo],Plano_V3!F357)</f>
        <v>1</v>
      </c>
      <c r="L357" s="189">
        <f t="shared" si="54"/>
        <v>0.125</v>
      </c>
      <c r="M357" s="183"/>
      <c r="N357" s="183">
        <f t="shared" si="55"/>
        <v>1</v>
      </c>
      <c r="O357" s="183">
        <f t="shared" si="56"/>
        <v>1</v>
      </c>
      <c r="P357" s="90" t="s">
        <v>39</v>
      </c>
      <c r="Q357" s="91">
        <f t="shared" ref="Q357:Q420" si="57">J357-SUM(R357:ES357)</f>
        <v>0.125</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52"/>
        <v>modesg_inp_emss_bens_imoveisregiao</v>
      </c>
      <c r="B358" s="68" t="s">
        <v>26</v>
      </c>
      <c r="C358" s="69" t="s">
        <v>181</v>
      </c>
      <c r="D358" s="65" t="s">
        <v>40</v>
      </c>
      <c r="E358" s="67" t="s">
        <v>220</v>
      </c>
      <c r="F358" s="65" t="s">
        <v>305</v>
      </c>
      <c r="G358" s="65" t="str">
        <f>INDEX(Auxiliar!$B$16:$B$24,MATCH(Plano_V3!H358,Auxiliar!$C$16:$C$24,0),1)</f>
        <v>1. Concluído</v>
      </c>
      <c r="H358" s="65">
        <f>VLOOKUP(A358,'Aux - pivots1'!$A:$B,2,0)</f>
        <v>1</v>
      </c>
      <c r="I358" s="189">
        <f>SUMIFS(Table1[Estimação (horas)],Table1[Tabela],Plano_V3!E358,Table1[Campo],Plano_V3!F358)</f>
        <v>0.5</v>
      </c>
      <c r="J358" s="189">
        <f t="shared" si="53"/>
        <v>6.25E-2</v>
      </c>
      <c r="K358" s="189">
        <f>SUMIFS(Table1[Horas efetivas],Table1[Tabela],Plano_V3!E358,Table1[Campo],Plano_V3!F358)</f>
        <v>0.5</v>
      </c>
      <c r="L358" s="189">
        <f t="shared" si="54"/>
        <v>6.25E-2</v>
      </c>
      <c r="M358" s="183"/>
      <c r="N358" s="183">
        <f t="shared" si="55"/>
        <v>1</v>
      </c>
      <c r="O358" s="183">
        <f t="shared" si="56"/>
        <v>1</v>
      </c>
      <c r="P358" s="90" t="s">
        <v>39</v>
      </c>
      <c r="Q358" s="91">
        <f t="shared" si="57"/>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ref="A359:A422" si="58">E359&amp;F359</f>
        <v>modesg_inp_emss_bens_imoveistipo_bem</v>
      </c>
      <c r="B359" s="68" t="s">
        <v>26</v>
      </c>
      <c r="C359" s="69" t="s">
        <v>181</v>
      </c>
      <c r="D359" s="65" t="s">
        <v>40</v>
      </c>
      <c r="E359" s="67" t="s">
        <v>220</v>
      </c>
      <c r="F359" s="65" t="s">
        <v>306</v>
      </c>
      <c r="G359" s="65" t="str">
        <f>INDEX(Auxiliar!$B$16:$B$24,MATCH(Plano_V3!H359,Auxiliar!$C$16:$C$24,0),1)</f>
        <v>1. Concluído</v>
      </c>
      <c r="H359" s="65">
        <f>VLOOKUP(A359,'Aux - pivots1'!$A:$B,2,0)</f>
        <v>1</v>
      </c>
      <c r="I359" s="189">
        <f>SUMIFS(Table1[Estimação (horas)],Table1[Tabela],Plano_V3!E359,Table1[Campo],Plano_V3!F359)</f>
        <v>0.5</v>
      </c>
      <c r="J359" s="189">
        <f t="shared" si="53"/>
        <v>6.25E-2</v>
      </c>
      <c r="K359" s="189">
        <f>SUMIFS(Table1[Horas efetivas],Table1[Tabela],Plano_V3!E359,Table1[Campo],Plano_V3!F359)</f>
        <v>0.5</v>
      </c>
      <c r="L359" s="189">
        <f t="shared" si="54"/>
        <v>6.25E-2</v>
      </c>
      <c r="M359" s="183"/>
      <c r="N359" s="183">
        <f t="shared" si="55"/>
        <v>1</v>
      </c>
      <c r="O359" s="183">
        <f t="shared" si="56"/>
        <v>1</v>
      </c>
      <c r="P359" s="90" t="s">
        <v>39</v>
      </c>
      <c r="Q359" s="91">
        <f t="shared" si="57"/>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8"/>
        <v>modesg_inp_emss_bens_imoveistipo_finalidade_bem</v>
      </c>
      <c r="B360" s="68" t="s">
        <v>26</v>
      </c>
      <c r="C360" s="69" t="s">
        <v>181</v>
      </c>
      <c r="D360" s="65" t="s">
        <v>40</v>
      </c>
      <c r="E360" s="67" t="s">
        <v>220</v>
      </c>
      <c r="F360" s="65" t="s">
        <v>307</v>
      </c>
      <c r="G360" s="65" t="str">
        <f>INDEX(Auxiliar!$B$16:$B$24,MATCH(Plano_V3!H360,Auxiliar!$C$16:$C$24,0),1)</f>
        <v>1. Concluído</v>
      </c>
      <c r="H360" s="65">
        <f>VLOOKUP(A360,'Aux - pivots1'!$A:$B,2,0)</f>
        <v>1</v>
      </c>
      <c r="I360" s="189">
        <f>SUMIFS(Table1[Estimação (horas)],Table1[Tabela],Plano_V3!E360,Table1[Campo],Plano_V3!F360)</f>
        <v>0.5</v>
      </c>
      <c r="J360" s="189">
        <f t="shared" si="53"/>
        <v>6.25E-2</v>
      </c>
      <c r="K360" s="189">
        <f>SUMIFS(Table1[Horas efetivas],Table1[Tabela],Plano_V3!E360,Table1[Campo],Plano_V3!F360)</f>
        <v>0.5</v>
      </c>
      <c r="L360" s="189">
        <f t="shared" si="54"/>
        <v>6.25E-2</v>
      </c>
      <c r="M360" s="183"/>
      <c r="N360" s="183">
        <f t="shared" si="55"/>
        <v>1</v>
      </c>
      <c r="O360" s="183">
        <f t="shared" si="56"/>
        <v>1</v>
      </c>
      <c r="P360" s="90" t="s">
        <v>39</v>
      </c>
      <c r="Q360" s="91">
        <f t="shared" si="57"/>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8"/>
        <v>modesg_inp_emss_bens_imoveisepc</v>
      </c>
      <c r="B361" s="68" t="s">
        <v>26</v>
      </c>
      <c r="C361" s="69" t="s">
        <v>181</v>
      </c>
      <c r="D361" s="65" t="s">
        <v>40</v>
      </c>
      <c r="E361" s="67" t="s">
        <v>220</v>
      </c>
      <c r="F361" s="65" t="s">
        <v>198</v>
      </c>
      <c r="G361" s="65" t="str">
        <f>INDEX(Auxiliar!$B$16:$B$24,MATCH(Plano_V3!H361,Auxiliar!$C$16:$C$24,0),1)</f>
        <v>1. Concluído</v>
      </c>
      <c r="H361" s="65">
        <f>VLOOKUP(A361,'Aux - pivots1'!$A:$B,2,0)</f>
        <v>1</v>
      </c>
      <c r="I361" s="189">
        <f>SUMIFS(Table1[Estimação (horas)],Table1[Tabela],Plano_V3!E361,Table1[Campo],Plano_V3!F361)</f>
        <v>0.5</v>
      </c>
      <c r="J361" s="189">
        <f t="shared" si="53"/>
        <v>6.25E-2</v>
      </c>
      <c r="K361" s="189">
        <f>SUMIFS(Table1[Horas efetivas],Table1[Tabela],Plano_V3!E361,Table1[Campo],Plano_V3!F361)</f>
        <v>0.5</v>
      </c>
      <c r="L361" s="189">
        <f t="shared" si="54"/>
        <v>6.25E-2</v>
      </c>
      <c r="M361" s="183"/>
      <c r="N361" s="183">
        <f t="shared" si="55"/>
        <v>1</v>
      </c>
      <c r="O361" s="183">
        <f t="shared" si="56"/>
        <v>1</v>
      </c>
      <c r="P361" s="90" t="s">
        <v>39</v>
      </c>
      <c r="Q361" s="91">
        <f t="shared" si="57"/>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8"/>
        <v>modesg_inp_emss_bens_imoveisflg_ftr_emss_area</v>
      </c>
      <c r="B362" s="68" t="s">
        <v>26</v>
      </c>
      <c r="C362" s="69" t="s">
        <v>181</v>
      </c>
      <c r="D362" s="65" t="s">
        <v>40</v>
      </c>
      <c r="E362" s="67" t="s">
        <v>220</v>
      </c>
      <c r="F362" s="65" t="s">
        <v>308</v>
      </c>
      <c r="G362" s="65" t="str">
        <f>INDEX(Auxiliar!$B$16:$B$24,MATCH(Plano_V3!H362,Auxiliar!$C$16:$C$24,0),1)</f>
        <v>0. Cancelado</v>
      </c>
      <c r="H362" s="65">
        <f>VLOOKUP(A362,'Aux - pivots1'!$A:$B,2,0)</f>
        <v>0</v>
      </c>
      <c r="I362" s="189">
        <f>SUMIFS(Table1[Estimação (horas)],Table1[Tabela],Plano_V3!E362,Table1[Campo],Plano_V3!F362)</f>
        <v>0.5</v>
      </c>
      <c r="J362" s="189">
        <f t="shared" si="53"/>
        <v>6.25E-2</v>
      </c>
      <c r="K362" s="189">
        <f>SUMIFS(Table1[Horas efetivas],Table1[Tabela],Plano_V3!E362,Table1[Campo],Plano_V3!F362)</f>
        <v>0</v>
      </c>
      <c r="L362" s="189">
        <f t="shared" si="54"/>
        <v>0</v>
      </c>
      <c r="M362" s="183"/>
      <c r="N362" s="183">
        <f t="shared" si="55"/>
        <v>0</v>
      </c>
      <c r="O362" s="183">
        <f t="shared" si="56"/>
        <v>0</v>
      </c>
      <c r="P362" s="90" t="s">
        <v>39</v>
      </c>
      <c r="Q362" s="91">
        <f t="shared" si="57"/>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8"/>
        <v>modesg_inp_emss_bens_imoveisnome_unidade_funcional</v>
      </c>
      <c r="B363" s="68" t="s">
        <v>26</v>
      </c>
      <c r="C363" s="69" t="s">
        <v>181</v>
      </c>
      <c r="D363" s="65" t="s">
        <v>40</v>
      </c>
      <c r="E363" s="67" t="s">
        <v>220</v>
      </c>
      <c r="F363" s="65" t="s">
        <v>229</v>
      </c>
      <c r="G363" s="65" t="str">
        <f>INDEX(Auxiliar!$B$16:$B$24,MATCH(Plano_V3!H363,Auxiliar!$C$16:$C$24,0),1)</f>
        <v>1. Concluído</v>
      </c>
      <c r="H363" s="65">
        <f>VLOOKUP(A363,'Aux - pivots1'!$A:$B,2,0)</f>
        <v>1</v>
      </c>
      <c r="I363" s="189">
        <f>SUMIFS(Table1[Estimação (horas)],Table1[Tabela],Plano_V3!E363,Table1[Campo],Plano_V3!F363)</f>
        <v>0.5</v>
      </c>
      <c r="J363" s="189">
        <f t="shared" si="53"/>
        <v>6.25E-2</v>
      </c>
      <c r="K363" s="189">
        <f>SUMIFS(Table1[Horas efetivas],Table1[Tabela],Plano_V3!E363,Table1[Campo],Plano_V3!F363)</f>
        <v>0.5</v>
      </c>
      <c r="L363" s="189">
        <f t="shared" si="54"/>
        <v>6.25E-2</v>
      </c>
      <c r="M363" s="183"/>
      <c r="N363" s="183">
        <f t="shared" si="55"/>
        <v>1</v>
      </c>
      <c r="O363" s="183">
        <f t="shared" si="56"/>
        <v>1</v>
      </c>
      <c r="P363" s="90" t="s">
        <v>39</v>
      </c>
      <c r="Q363" s="91">
        <f t="shared" si="57"/>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8"/>
        <v>modesg_inp_emss_bens_imoveisunidade_funcional</v>
      </c>
      <c r="B364" s="68" t="s">
        <v>26</v>
      </c>
      <c r="C364" s="69" t="s">
        <v>181</v>
      </c>
      <c r="D364" s="65" t="s">
        <v>40</v>
      </c>
      <c r="E364" s="67" t="s">
        <v>220</v>
      </c>
      <c r="F364" s="65" t="s">
        <v>230</v>
      </c>
      <c r="G364" s="65" t="str">
        <f>INDEX(Auxiliar!$B$16:$B$24,MATCH(Plano_V3!H364,Auxiliar!$C$16:$C$24,0),1)</f>
        <v>1. Concluído</v>
      </c>
      <c r="H364" s="65">
        <f>VLOOKUP(A364,'Aux - pivots1'!$A:$B,2,0)</f>
        <v>1</v>
      </c>
      <c r="I364" s="189">
        <f>SUMIFS(Table1[Estimação (horas)],Table1[Tabela],Plano_V3!E364,Table1[Campo],Plano_V3!F364)</f>
        <v>0.5</v>
      </c>
      <c r="J364" s="189">
        <f t="shared" si="53"/>
        <v>6.25E-2</v>
      </c>
      <c r="K364" s="189">
        <f>SUMIFS(Table1[Horas efetivas],Table1[Tabela],Plano_V3!E364,Table1[Campo],Plano_V3!F364)</f>
        <v>0.5</v>
      </c>
      <c r="L364" s="189">
        <f t="shared" si="54"/>
        <v>6.25E-2</v>
      </c>
      <c r="M364" s="183"/>
      <c r="N364" s="183">
        <f t="shared" si="55"/>
        <v>1</v>
      </c>
      <c r="O364" s="183">
        <f t="shared" si="56"/>
        <v>1</v>
      </c>
      <c r="P364" s="90" t="s">
        <v>39</v>
      </c>
      <c r="Q364" s="91">
        <f t="shared" si="57"/>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8"/>
        <v>modesg_inp_emss_bens_imoveisnome_fator_emissao</v>
      </c>
      <c r="B365" s="68" t="s">
        <v>26</v>
      </c>
      <c r="C365" s="69" t="s">
        <v>181</v>
      </c>
      <c r="D365" s="65" t="s">
        <v>40</v>
      </c>
      <c r="E365" s="67" t="s">
        <v>220</v>
      </c>
      <c r="F365" s="65" t="s">
        <v>231</v>
      </c>
      <c r="G365" s="65" t="str">
        <f>INDEX(Auxiliar!$B$16:$B$24,MATCH(Plano_V3!H365,Auxiliar!$C$16:$C$24,0),1)</f>
        <v>1. Concluído</v>
      </c>
      <c r="H365" s="65">
        <f>VLOOKUP(A365,'Aux - pivots1'!$A:$B,2,0)</f>
        <v>1</v>
      </c>
      <c r="I365" s="189">
        <f>SUMIFS(Table1[Estimação (horas)],Table1[Tabela],Plano_V3!E365,Table1[Campo],Plano_V3!F365)</f>
        <v>0.5</v>
      </c>
      <c r="J365" s="189">
        <f t="shared" si="53"/>
        <v>6.25E-2</v>
      </c>
      <c r="K365" s="189">
        <f>SUMIFS(Table1[Horas efetivas],Table1[Tabela],Plano_V3!E365,Table1[Campo],Plano_V3!F365)</f>
        <v>0.5</v>
      </c>
      <c r="L365" s="189">
        <f t="shared" si="54"/>
        <v>6.25E-2</v>
      </c>
      <c r="M365" s="183"/>
      <c r="N365" s="183">
        <f t="shared" si="55"/>
        <v>1</v>
      </c>
      <c r="O365" s="183">
        <f t="shared" si="56"/>
        <v>1</v>
      </c>
      <c r="P365" s="90" t="s">
        <v>39</v>
      </c>
      <c r="Q365" s="91">
        <f t="shared" si="57"/>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8"/>
        <v>modesg_inp_emss_bens_imoveisunidade_fator_de_emissao</v>
      </c>
      <c r="B366" s="68" t="s">
        <v>26</v>
      </c>
      <c r="C366" s="69" t="s">
        <v>181</v>
      </c>
      <c r="D366" s="65" t="s">
        <v>40</v>
      </c>
      <c r="E366" s="67" t="s">
        <v>220</v>
      </c>
      <c r="F366" s="65" t="s">
        <v>232</v>
      </c>
      <c r="G366" s="65" t="str">
        <f>INDEX(Auxiliar!$B$16:$B$24,MATCH(Plano_V3!H366,Auxiliar!$C$16:$C$24,0),1)</f>
        <v>1. Concluído</v>
      </c>
      <c r="H366" s="65">
        <f>VLOOKUP(A366,'Aux - pivots1'!$A:$B,2,0)</f>
        <v>1</v>
      </c>
      <c r="I366" s="189">
        <f>SUMIFS(Table1[Estimação (horas)],Table1[Tabela],Plano_V3!E366,Table1[Campo],Plano_V3!F366)</f>
        <v>0.5</v>
      </c>
      <c r="J366" s="189">
        <f t="shared" si="53"/>
        <v>6.25E-2</v>
      </c>
      <c r="K366" s="189">
        <f>SUMIFS(Table1[Horas efetivas],Table1[Tabela],Plano_V3!E366,Table1[Campo],Plano_V3!F366)</f>
        <v>0.5</v>
      </c>
      <c r="L366" s="189">
        <f t="shared" si="54"/>
        <v>6.25E-2</v>
      </c>
      <c r="M366" s="183"/>
      <c r="N366" s="183">
        <f t="shared" si="55"/>
        <v>1</v>
      </c>
      <c r="O366" s="183">
        <f t="shared" si="56"/>
        <v>1</v>
      </c>
      <c r="P366" s="90" t="s">
        <v>39</v>
      </c>
      <c r="Q366" s="91">
        <f t="shared" si="57"/>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8"/>
        <v>modesg_inp_emss_bens_imoveisscore_qualidade</v>
      </c>
      <c r="B367" s="68" t="s">
        <v>26</v>
      </c>
      <c r="C367" s="69" t="s">
        <v>181</v>
      </c>
      <c r="D367" s="65" t="s">
        <v>40</v>
      </c>
      <c r="E367" s="67" t="s">
        <v>220</v>
      </c>
      <c r="F367" s="65" t="s">
        <v>233</v>
      </c>
      <c r="G367" s="65" t="str">
        <f>INDEX(Auxiliar!$B$16:$B$24,MATCH(Plano_V3!H367,Auxiliar!$C$16:$C$24,0),1)</f>
        <v>1. Concluído</v>
      </c>
      <c r="H367" s="65">
        <f>VLOOKUP(A367,'Aux - pivots1'!$A:$B,2,0)</f>
        <v>1</v>
      </c>
      <c r="I367" s="189">
        <f>SUMIFS(Table1[Estimação (horas)],Table1[Tabela],Plano_V3!E367,Table1[Campo],Plano_V3!F367)</f>
        <v>0.5</v>
      </c>
      <c r="J367" s="189">
        <f t="shared" si="53"/>
        <v>6.25E-2</v>
      </c>
      <c r="K367" s="189">
        <f>SUMIFS(Table1[Horas efetivas],Table1[Tabela],Plano_V3!E367,Table1[Campo],Plano_V3!F367)</f>
        <v>0.5</v>
      </c>
      <c r="L367" s="189">
        <f t="shared" si="54"/>
        <v>6.25E-2</v>
      </c>
      <c r="M367" s="183"/>
      <c r="N367" s="183">
        <f t="shared" si="55"/>
        <v>1</v>
      </c>
      <c r="O367" s="183">
        <f t="shared" si="56"/>
        <v>1</v>
      </c>
      <c r="P367" s="90" t="s">
        <v>39</v>
      </c>
      <c r="Q367" s="91">
        <f t="shared" si="57"/>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8"/>
        <v>modesg_inp_emss_bens_imoveisano_fator_emissao</v>
      </c>
      <c r="B368" s="68" t="s">
        <v>26</v>
      </c>
      <c r="C368" s="69" t="s">
        <v>181</v>
      </c>
      <c r="D368" s="65" t="s">
        <v>40</v>
      </c>
      <c r="E368" s="67" t="s">
        <v>220</v>
      </c>
      <c r="F368" s="65" t="s">
        <v>309</v>
      </c>
      <c r="G368" s="65" t="str">
        <f>INDEX(Auxiliar!$B$16:$B$24,MATCH(Plano_V3!H368,Auxiliar!$C$16:$C$24,0),1)</f>
        <v>1. Concluído</v>
      </c>
      <c r="H368" s="65">
        <f>VLOOKUP(A368,'Aux - pivots1'!$A:$B,2,0)</f>
        <v>1</v>
      </c>
      <c r="I368" s="189">
        <f>SUMIFS(Table1[Estimação (horas)],Table1[Tabela],Plano_V3!E368,Table1[Campo],Plano_V3!F368)</f>
        <v>0.5</v>
      </c>
      <c r="J368" s="189">
        <f t="shared" si="53"/>
        <v>6.25E-2</v>
      </c>
      <c r="K368" s="189">
        <f>SUMIFS(Table1[Horas efetivas],Table1[Tabela],Plano_V3!E368,Table1[Campo],Plano_V3!F368)</f>
        <v>0.5</v>
      </c>
      <c r="L368" s="189">
        <f t="shared" si="54"/>
        <v>6.25E-2</v>
      </c>
      <c r="M368" s="183"/>
      <c r="N368" s="183">
        <f t="shared" si="55"/>
        <v>1</v>
      </c>
      <c r="O368" s="183">
        <f t="shared" si="56"/>
        <v>1</v>
      </c>
      <c r="P368" s="90" t="s">
        <v>39</v>
      </c>
      <c r="Q368" s="91">
        <f t="shared" si="57"/>
        <v>6.25E-2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8"/>
        <v>modesg_inp_emss_bens_imoveisscp1_ftr_emss</v>
      </c>
      <c r="B369" s="68" t="s">
        <v>26</v>
      </c>
      <c r="C369" s="69" t="s">
        <v>181</v>
      </c>
      <c r="D369" s="65" t="s">
        <v>40</v>
      </c>
      <c r="E369" s="67" t="s">
        <v>220</v>
      </c>
      <c r="F369" s="65" t="s">
        <v>234</v>
      </c>
      <c r="G369" s="65" t="str">
        <f>INDEX(Auxiliar!$B$16:$B$24,MATCH(Plano_V3!H369,Auxiliar!$C$16:$C$24,0),1)</f>
        <v>1. Concluído</v>
      </c>
      <c r="H369" s="65">
        <f>VLOOKUP(A369,'Aux - pivots1'!$A:$B,2,0)</f>
        <v>1</v>
      </c>
      <c r="I369" s="189">
        <f>SUMIFS(Table1[Estimação (horas)],Table1[Tabela],Plano_V3!E369,Table1[Campo],Plano_V3!F369)</f>
        <v>0.6</v>
      </c>
      <c r="J369" s="189">
        <f t="shared" si="53"/>
        <v>7.4999999999999997E-2</v>
      </c>
      <c r="K369" s="189">
        <f>SUMIFS(Table1[Horas efetivas],Table1[Tabela],Plano_V3!E369,Table1[Campo],Plano_V3!F369)</f>
        <v>0.6</v>
      </c>
      <c r="L369" s="189">
        <f t="shared" si="54"/>
        <v>7.4999999999999997E-2</v>
      </c>
      <c r="M369" s="183"/>
      <c r="N369" s="183">
        <f t="shared" si="55"/>
        <v>1</v>
      </c>
      <c r="O369" s="183">
        <f t="shared" si="56"/>
        <v>1</v>
      </c>
      <c r="P369" s="90" t="s">
        <v>39</v>
      </c>
      <c r="Q369" s="91">
        <f t="shared" si="57"/>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8"/>
        <v>modesg_inp_emss_bens_imoveisscp2_ftr_emss</v>
      </c>
      <c r="B370" s="68" t="s">
        <v>26</v>
      </c>
      <c r="C370" s="69" t="s">
        <v>181</v>
      </c>
      <c r="D370" s="65" t="s">
        <v>40</v>
      </c>
      <c r="E370" s="67" t="s">
        <v>220</v>
      </c>
      <c r="F370" s="65" t="s">
        <v>235</v>
      </c>
      <c r="G370" s="65" t="str">
        <f>INDEX(Auxiliar!$B$16:$B$24,MATCH(Plano_V3!H370,Auxiliar!$C$16:$C$24,0),1)</f>
        <v>1. Concluído</v>
      </c>
      <c r="H370" s="65">
        <f>VLOOKUP(A370,'Aux - pivots1'!$A:$B,2,0)</f>
        <v>1</v>
      </c>
      <c r="I370" s="189">
        <f>SUMIFS(Table1[Estimação (horas)],Table1[Tabela],Plano_V3!E370,Table1[Campo],Plano_V3!F370)</f>
        <v>0.6</v>
      </c>
      <c r="J370" s="189">
        <f t="shared" si="53"/>
        <v>7.4999999999999997E-2</v>
      </c>
      <c r="K370" s="189">
        <f>SUMIFS(Table1[Horas efetivas],Table1[Tabela],Plano_V3!E370,Table1[Campo],Plano_V3!F370)</f>
        <v>0.6</v>
      </c>
      <c r="L370" s="189">
        <f t="shared" si="54"/>
        <v>7.4999999999999997E-2</v>
      </c>
      <c r="M370" s="183"/>
      <c r="N370" s="183">
        <f t="shared" si="55"/>
        <v>1</v>
      </c>
      <c r="O370" s="183">
        <f t="shared" si="56"/>
        <v>1</v>
      </c>
      <c r="P370" s="90" t="s">
        <v>39</v>
      </c>
      <c r="Q370" s="91">
        <f t="shared" si="57"/>
        <v>7.4999999999999997E-2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58"/>
        <v>Re-testesn.a.</v>
      </c>
      <c r="B371" s="68" t="s">
        <v>26</v>
      </c>
      <c r="C371" s="69" t="s">
        <v>181</v>
      </c>
      <c r="D371" s="65" t="s">
        <v>40</v>
      </c>
      <c r="E371" s="67" t="s">
        <v>53</v>
      </c>
      <c r="F371" s="65" t="s">
        <v>38</v>
      </c>
      <c r="G371" s="65" t="s">
        <v>310</v>
      </c>
      <c r="H371" s="65"/>
      <c r="I371" s="189">
        <f>J371*8</f>
        <v>16</v>
      </c>
      <c r="J371" s="189">
        <v>2</v>
      </c>
      <c r="K371" s="189"/>
      <c r="L371" s="189"/>
      <c r="M371" s="183"/>
      <c r="N371" s="183">
        <v>0.25</v>
      </c>
      <c r="O371" s="183">
        <f t="shared" si="56"/>
        <v>0.25</v>
      </c>
      <c r="P371" s="88"/>
      <c r="Q371" s="91">
        <f t="shared" si="57"/>
        <v>2</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collapsed="1">
      <c r="A372" s="105" t="str">
        <f t="shared" si="58"/>
        <v/>
      </c>
      <c r="B372" s="64" t="s">
        <v>26</v>
      </c>
      <c r="C372" s="97" t="s">
        <v>311</v>
      </c>
      <c r="D372" s="97"/>
      <c r="E372" s="104"/>
      <c r="F372" s="97"/>
      <c r="G372" s="97"/>
      <c r="H372" s="97"/>
      <c r="I372" s="188">
        <f>SUM(I373:I456)</f>
        <v>796.3875000000013</v>
      </c>
      <c r="J372" s="188">
        <f>ROUNDUP(I372/8,0)</f>
        <v>100</v>
      </c>
      <c r="K372" s="188">
        <f>SUM(K373:K456)</f>
        <v>666.45000000000027</v>
      </c>
      <c r="L372" s="188">
        <f>ROUNDUP(K372/8,0)</f>
        <v>84</v>
      </c>
      <c r="M372" s="187">
        <f>SUMIFS(R372:ES372,$R$9:$ES$9,"S")/J372</f>
        <v>0.32500000000000001</v>
      </c>
      <c r="N372" s="187">
        <f>IFERROR(L372/J372,0)-15%</f>
        <v>0.69</v>
      </c>
      <c r="O372" s="187">
        <f t="shared" si="56"/>
        <v>0.36499999999999994</v>
      </c>
      <c r="P372" s="194" t="s">
        <v>1924</v>
      </c>
      <c r="Q372" s="91">
        <f t="shared" si="57"/>
        <v>0</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v>1</v>
      </c>
      <c r="BW372" s="79">
        <v>1</v>
      </c>
      <c r="BX372" s="79">
        <v>1</v>
      </c>
      <c r="BY372" s="79">
        <v>1</v>
      </c>
      <c r="BZ372" s="79">
        <v>0.5</v>
      </c>
      <c r="CA372" s="79">
        <v>1</v>
      </c>
      <c r="CB372" s="79">
        <v>1</v>
      </c>
      <c r="CC372" s="79">
        <v>1</v>
      </c>
      <c r="CD372" s="79">
        <v>1</v>
      </c>
      <c r="CE372" s="79">
        <v>0.5</v>
      </c>
      <c r="CF372" s="79">
        <v>1</v>
      </c>
      <c r="CG372" s="79">
        <v>1</v>
      </c>
      <c r="CH372" s="79">
        <v>1</v>
      </c>
      <c r="CI372" s="79">
        <v>1</v>
      </c>
      <c r="CJ372" s="79">
        <v>0.5</v>
      </c>
      <c r="CK372" s="79">
        <v>1</v>
      </c>
      <c r="CL372" s="79">
        <v>1</v>
      </c>
      <c r="CM372" s="79">
        <v>1</v>
      </c>
      <c r="CN372" s="79">
        <v>1</v>
      </c>
      <c r="CO372" s="79">
        <v>0.5</v>
      </c>
      <c r="CP372" s="79">
        <v>1</v>
      </c>
      <c r="CQ372" s="79">
        <v>1</v>
      </c>
      <c r="CR372" s="79">
        <v>1</v>
      </c>
      <c r="CS372" s="79">
        <v>1</v>
      </c>
      <c r="CT372" s="79">
        <v>0.5</v>
      </c>
      <c r="CU372" s="79">
        <v>1</v>
      </c>
      <c r="CV372" s="79">
        <v>1</v>
      </c>
      <c r="CW372" s="79">
        <v>1</v>
      </c>
      <c r="CX372" s="79">
        <v>1</v>
      </c>
      <c r="CY372" s="79">
        <v>2</v>
      </c>
      <c r="CZ372" s="79">
        <v>2</v>
      </c>
      <c r="DA372" s="79">
        <v>2</v>
      </c>
      <c r="DB372" s="79">
        <v>2</v>
      </c>
      <c r="DC372" s="79">
        <v>2</v>
      </c>
      <c r="DD372" s="79">
        <v>2</v>
      </c>
      <c r="DE372" s="79">
        <v>2</v>
      </c>
      <c r="DF372" s="79">
        <v>2</v>
      </c>
      <c r="DG372" s="79">
        <v>2</v>
      </c>
      <c r="DH372" s="79">
        <v>2</v>
      </c>
      <c r="DI372" s="79">
        <v>2</v>
      </c>
      <c r="DJ372" s="79">
        <v>2</v>
      </c>
      <c r="DK372" s="79">
        <v>2</v>
      </c>
      <c r="DL372" s="79">
        <v>2</v>
      </c>
      <c r="DM372" s="79">
        <v>2</v>
      </c>
      <c r="DN372" s="79">
        <v>2</v>
      </c>
      <c r="DO372" s="79">
        <v>2</v>
      </c>
      <c r="DP372" s="79">
        <v>2</v>
      </c>
      <c r="DQ372" s="79">
        <v>2</v>
      </c>
      <c r="DR372" s="79">
        <v>2</v>
      </c>
      <c r="DS372" s="79">
        <v>2</v>
      </c>
      <c r="DT372" s="79">
        <v>2</v>
      </c>
      <c r="DU372" s="79">
        <v>2</v>
      </c>
      <c r="DV372" s="79">
        <v>2</v>
      </c>
      <c r="DW372" s="79">
        <v>2</v>
      </c>
      <c r="DX372" s="79">
        <v>2</v>
      </c>
      <c r="DY372" s="79">
        <v>2</v>
      </c>
      <c r="DZ372" s="79">
        <v>2</v>
      </c>
      <c r="EA372" s="79">
        <v>2</v>
      </c>
      <c r="EB372" s="79">
        <v>2</v>
      </c>
      <c r="EC372" s="79">
        <v>2</v>
      </c>
      <c r="ED372" s="79">
        <v>2</v>
      </c>
      <c r="EE372" s="79">
        <v>2</v>
      </c>
      <c r="EF372" s="79">
        <v>2</v>
      </c>
      <c r="EG372" s="79">
        <v>2</v>
      </c>
      <c r="EH372" s="79">
        <v>2</v>
      </c>
      <c r="EI372" s="79">
        <v>1.5</v>
      </c>
      <c r="EJ372" s="79"/>
      <c r="EK372" s="79"/>
      <c r="EL372" s="79"/>
      <c r="EM372" s="79"/>
      <c r="EN372" s="92"/>
      <c r="EO372" s="92"/>
      <c r="EP372" s="92"/>
      <c r="EQ372" s="92"/>
      <c r="ER372" s="92"/>
      <c r="ES372" s="92"/>
    </row>
    <row r="373" spans="1:149" hidden="1" outlineLevel="1">
      <c r="A373" s="30" t="str">
        <f t="shared" si="58"/>
        <v>modesg_out_bens_imoveisn.a.</v>
      </c>
      <c r="B373" s="68" t="s">
        <v>26</v>
      </c>
      <c r="C373" s="69" t="s">
        <v>311</v>
      </c>
      <c r="D373" s="65" t="s">
        <v>36</v>
      </c>
      <c r="E373" s="67" t="s">
        <v>312</v>
      </c>
      <c r="F373" s="65" t="s">
        <v>38</v>
      </c>
      <c r="G373" s="65" t="str">
        <f>INDEX(Auxiliar!$B$16:$B$24,MATCH(Plano_V3!H373,Auxiliar!$C$16:$C$24,0),1)</f>
        <v>1. Concluído</v>
      </c>
      <c r="H373" s="65">
        <f>VLOOKUP(A373,'Aux - pivots1'!$A:$B,2,0)</f>
        <v>1</v>
      </c>
      <c r="I373" s="189">
        <f>SUMIFS(Table1[Estimação (horas)],Table1[Tabela],Plano_V3!E373,Table1[Campo],Plano_V3!F373)</f>
        <v>8</v>
      </c>
      <c r="J373" s="189">
        <f t="shared" ref="J373:J436" si="59">I373/8</f>
        <v>1</v>
      </c>
      <c r="K373" s="189">
        <f>SUMIFS(Table1[Horas efetivas],Table1[Tabela],Plano_V3!E373,Table1[Campo],Plano_V3!F373)</f>
        <v>8</v>
      </c>
      <c r="L373" s="189">
        <f t="shared" ref="L373:L436" si="60">K373/8</f>
        <v>1</v>
      </c>
      <c r="M373" s="183"/>
      <c r="N373" s="183">
        <f t="shared" ref="N373:N436" si="61">L373/J373</f>
        <v>1</v>
      </c>
      <c r="O373" s="183">
        <f t="shared" si="56"/>
        <v>1</v>
      </c>
      <c r="P373" s="88" t="s">
        <v>313</v>
      </c>
      <c r="Q373" s="91">
        <f t="shared" si="57"/>
        <v>1</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8"/>
        <v>modesg_out_bens_imoveiscempbem</v>
      </c>
      <c r="B374" s="68" t="s">
        <v>26</v>
      </c>
      <c r="C374" s="69" t="s">
        <v>311</v>
      </c>
      <c r="D374" s="65" t="s">
        <v>40</v>
      </c>
      <c r="E374" s="67" t="s">
        <v>312</v>
      </c>
      <c r="F374" s="65" t="s">
        <v>314</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9"/>
        <v>0.51249999999999996</v>
      </c>
      <c r="K374" s="189">
        <f>SUMIFS(Table1[Horas efetivas],Table1[Tabela],Plano_V3!E374,Table1[Campo],Plano_V3!F374)</f>
        <v>4.0999999999999996</v>
      </c>
      <c r="L374" s="189">
        <f t="shared" si="60"/>
        <v>0.51249999999999996</v>
      </c>
      <c r="M374" s="183"/>
      <c r="N374" s="183">
        <f t="shared" si="61"/>
        <v>1</v>
      </c>
      <c r="O374" s="183">
        <f t="shared" si="56"/>
        <v>1</v>
      </c>
      <c r="P374" s="88" t="s">
        <v>313</v>
      </c>
      <c r="Q374" s="91">
        <f t="shared" si="57"/>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8"/>
        <v>modesg_out_bens_imoveisckbalbem</v>
      </c>
      <c r="B375" s="68" t="s">
        <v>26</v>
      </c>
      <c r="C375" s="69" t="s">
        <v>311</v>
      </c>
      <c r="D375" s="65" t="s">
        <v>40</v>
      </c>
      <c r="E375" s="67" t="s">
        <v>312</v>
      </c>
      <c r="F375" s="65" t="s">
        <v>315</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9"/>
        <v>0.51249999999999996</v>
      </c>
      <c r="K375" s="189">
        <f>SUMIFS(Table1[Horas efetivas],Table1[Tabela],Plano_V3!E375,Table1[Campo],Plano_V3!F375)</f>
        <v>4.0999999999999996</v>
      </c>
      <c r="L375" s="189">
        <f t="shared" si="60"/>
        <v>0.51249999999999996</v>
      </c>
      <c r="M375" s="183"/>
      <c r="N375" s="183">
        <f t="shared" si="61"/>
        <v>1</v>
      </c>
      <c r="O375" s="183">
        <f t="shared" si="56"/>
        <v>1</v>
      </c>
      <c r="P375" s="88" t="s">
        <v>313</v>
      </c>
      <c r="Q375" s="91">
        <f t="shared" si="57"/>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8"/>
        <v>modesg_out_bens_imoveisckctabem</v>
      </c>
      <c r="B376" s="68" t="s">
        <v>26</v>
      </c>
      <c r="C376" s="69" t="s">
        <v>311</v>
      </c>
      <c r="D376" s="65" t="s">
        <v>40</v>
      </c>
      <c r="E376" s="67" t="s">
        <v>312</v>
      </c>
      <c r="F376" s="65" t="s">
        <v>316</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9"/>
        <v>0.51249999999999996</v>
      </c>
      <c r="K376" s="189">
        <f>SUMIFS(Table1[Horas efetivas],Table1[Tabela],Plano_V3!E376,Table1[Campo],Plano_V3!F376)</f>
        <v>4.0999999999999996</v>
      </c>
      <c r="L376" s="189">
        <f t="shared" si="60"/>
        <v>0.51249999999999996</v>
      </c>
      <c r="M376" s="183"/>
      <c r="N376" s="183">
        <f t="shared" si="61"/>
        <v>1</v>
      </c>
      <c r="O376" s="183">
        <f t="shared" si="56"/>
        <v>1</v>
      </c>
      <c r="P376" s="88" t="s">
        <v>313</v>
      </c>
      <c r="Q376" s="91">
        <f t="shared" si="57"/>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8"/>
        <v>modesg_out_bens_imoveisckrefbem</v>
      </c>
      <c r="B377" s="68" t="s">
        <v>26</v>
      </c>
      <c r="C377" s="69" t="s">
        <v>311</v>
      </c>
      <c r="D377" s="65" t="s">
        <v>40</v>
      </c>
      <c r="E377" s="67" t="s">
        <v>312</v>
      </c>
      <c r="F377" s="65" t="s">
        <v>317</v>
      </c>
      <c r="G377" s="65" t="str">
        <f>INDEX(Auxiliar!$B$16:$B$24,MATCH(Plano_V3!H377,Auxiliar!$C$16:$C$24,0),1)</f>
        <v>1. Concluído</v>
      </c>
      <c r="H377" s="65">
        <f>VLOOKUP(A377,'Aux - pivots1'!$A:$B,2,0)</f>
        <v>1</v>
      </c>
      <c r="I377" s="189">
        <f>SUMIFS(Table1[Estimação (horas)],Table1[Tabela],Plano_V3!E377,Table1[Campo],Plano_V3!F377)</f>
        <v>4.0999999999999996</v>
      </c>
      <c r="J377" s="189">
        <f t="shared" si="59"/>
        <v>0.51249999999999996</v>
      </c>
      <c r="K377" s="189">
        <f>SUMIFS(Table1[Horas efetivas],Table1[Tabela],Plano_V3!E377,Table1[Campo],Plano_V3!F377)</f>
        <v>4.0999999999999996</v>
      </c>
      <c r="L377" s="189">
        <f t="shared" si="60"/>
        <v>0.51249999999999996</v>
      </c>
      <c r="M377" s="183"/>
      <c r="N377" s="183">
        <f t="shared" si="61"/>
        <v>1</v>
      </c>
      <c r="O377" s="183">
        <f t="shared" si="56"/>
        <v>1</v>
      </c>
      <c r="P377" s="88" t="s">
        <v>313</v>
      </c>
      <c r="Q377" s="91">
        <f t="shared" si="57"/>
        <v>0.51249999999999996</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8"/>
        <v>modesg_out_bens_imoveisflg_rsc_fsc_agd</v>
      </c>
      <c r="B378" s="68" t="s">
        <v>26</v>
      </c>
      <c r="C378" s="69" t="s">
        <v>311</v>
      </c>
      <c r="D378" s="65" t="s">
        <v>40</v>
      </c>
      <c r="E378" s="67" t="s">
        <v>312</v>
      </c>
      <c r="F378" s="65" t="s">
        <v>283</v>
      </c>
      <c r="G378" s="65" t="str">
        <f>INDEX(Auxiliar!$B$16:$B$24,MATCH(Plano_V3!H378,Auxiliar!$C$16:$C$24,0),1)</f>
        <v>1. Concluído</v>
      </c>
      <c r="H378" s="65">
        <f>VLOOKUP(A378,'Aux - pivots1'!$A:$B,2,0)</f>
        <v>1</v>
      </c>
      <c r="I378" s="189">
        <f>SUMIFS(Table1[Estimação (horas)],Table1[Tabela],Plano_V3!E378,Table1[Campo],Plano_V3!F378)</f>
        <v>16.100000000000001</v>
      </c>
      <c r="J378" s="189">
        <f t="shared" si="59"/>
        <v>2.0125000000000002</v>
      </c>
      <c r="K378" s="189">
        <f>SUMIFS(Table1[Horas efetivas],Table1[Tabela],Plano_V3!E378,Table1[Campo],Plano_V3!F378)</f>
        <v>16.100000000000001</v>
      </c>
      <c r="L378" s="189">
        <f t="shared" si="60"/>
        <v>2.0125000000000002</v>
      </c>
      <c r="M378" s="183"/>
      <c r="N378" s="183">
        <f t="shared" si="61"/>
        <v>1</v>
      </c>
      <c r="O378" s="183">
        <f t="shared" si="56"/>
        <v>1</v>
      </c>
      <c r="P378" s="88" t="s">
        <v>313</v>
      </c>
      <c r="Q378" s="91">
        <f t="shared" si="57"/>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8"/>
        <v>modesg_out_bens_imoveisflg_rsc_fsc_crnc</v>
      </c>
      <c r="B379" s="68" t="s">
        <v>26</v>
      </c>
      <c r="C379" s="69" t="s">
        <v>311</v>
      </c>
      <c r="D379" s="65" t="s">
        <v>40</v>
      </c>
      <c r="E379" s="67" t="s">
        <v>312</v>
      </c>
      <c r="F379" s="65" t="s">
        <v>284</v>
      </c>
      <c r="G379" s="65" t="str">
        <f>INDEX(Auxiliar!$B$16:$B$24,MATCH(Plano_V3!H379,Auxiliar!$C$16:$C$24,0),1)</f>
        <v>1. Concluído</v>
      </c>
      <c r="H379" s="65">
        <f>VLOOKUP(A379,'Aux - pivots1'!$A:$B,2,0)</f>
        <v>1</v>
      </c>
      <c r="I379" s="189">
        <f>SUMIFS(Table1[Estimação (horas)],Table1[Tabela],Plano_V3!E379,Table1[Campo],Plano_V3!F379)</f>
        <v>16.100000000000001</v>
      </c>
      <c r="J379" s="189">
        <f t="shared" si="59"/>
        <v>2.0125000000000002</v>
      </c>
      <c r="K379" s="189">
        <f>SUMIFS(Table1[Horas efetivas],Table1[Tabela],Plano_V3!E379,Table1[Campo],Plano_V3!F379)</f>
        <v>16.100000000000001</v>
      </c>
      <c r="L379" s="189">
        <f t="shared" si="60"/>
        <v>2.0125000000000002</v>
      </c>
      <c r="M379" s="183"/>
      <c r="N379" s="183">
        <f t="shared" si="61"/>
        <v>1</v>
      </c>
      <c r="O379" s="183">
        <f t="shared" si="56"/>
        <v>1</v>
      </c>
      <c r="P379" s="88" t="s">
        <v>313</v>
      </c>
      <c r="Q379" s="91">
        <f t="shared" si="57"/>
        <v>2.0125000000000002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8"/>
        <v>modesg_out_bens_imoveisorigem_flg_rsc_fsc_agd</v>
      </c>
      <c r="B380" s="68" t="s">
        <v>26</v>
      </c>
      <c r="C380" s="69" t="s">
        <v>311</v>
      </c>
      <c r="D380" s="65" t="s">
        <v>40</v>
      </c>
      <c r="E380" s="67" t="s">
        <v>312</v>
      </c>
      <c r="F380" s="65" t="s">
        <v>318</v>
      </c>
      <c r="G380" s="65" t="str">
        <f>INDEX(Auxiliar!$B$16:$B$24,MATCH(Plano_V3!H380,Auxiliar!$C$16:$C$24,0),1)</f>
        <v>1. Concluído</v>
      </c>
      <c r="H380" s="65">
        <f>VLOOKUP(A380,'Aux - pivots1'!$A:$B,2,0)</f>
        <v>1</v>
      </c>
      <c r="I380" s="189">
        <f>SUMIFS(Table1[Estimação (horas)],Table1[Tabela],Plano_V3!E380,Table1[Campo],Plano_V3!F380)</f>
        <v>4.0999999999999996</v>
      </c>
      <c r="J380" s="189">
        <f t="shared" si="59"/>
        <v>0.51249999999999996</v>
      </c>
      <c r="K380" s="189">
        <f>SUMIFS(Table1[Horas efetivas],Table1[Tabela],Plano_V3!E380,Table1[Campo],Plano_V3!F380)</f>
        <v>4.0999999999999996</v>
      </c>
      <c r="L380" s="189">
        <f t="shared" si="60"/>
        <v>0.51249999999999996</v>
      </c>
      <c r="M380" s="183"/>
      <c r="N380" s="183">
        <f t="shared" si="61"/>
        <v>1</v>
      </c>
      <c r="O380" s="183">
        <f t="shared" si="56"/>
        <v>1</v>
      </c>
      <c r="P380" s="88" t="s">
        <v>313</v>
      </c>
      <c r="Q380" s="91">
        <f t="shared" si="57"/>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8"/>
        <v>modesg_out_bens_imoveisorigem_flg_rsc_fsc_crnc</v>
      </c>
      <c r="B381" s="68" t="s">
        <v>26</v>
      </c>
      <c r="C381" s="69" t="s">
        <v>311</v>
      </c>
      <c r="D381" s="65" t="s">
        <v>40</v>
      </c>
      <c r="E381" s="67" t="s">
        <v>312</v>
      </c>
      <c r="F381" s="65" t="s">
        <v>319</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9"/>
        <v>0.51249999999999996</v>
      </c>
      <c r="K381" s="189">
        <f>SUMIFS(Table1[Horas efetivas],Table1[Tabela],Plano_V3!E381,Table1[Campo],Plano_V3!F381)</f>
        <v>4.0999999999999996</v>
      </c>
      <c r="L381" s="189">
        <f t="shared" si="60"/>
        <v>0.51249999999999996</v>
      </c>
      <c r="M381" s="183"/>
      <c r="N381" s="183">
        <f t="shared" si="61"/>
        <v>1</v>
      </c>
      <c r="O381" s="183">
        <f t="shared" si="56"/>
        <v>1</v>
      </c>
      <c r="P381" s="88" t="s">
        <v>313</v>
      </c>
      <c r="Q381" s="91">
        <f t="shared" si="57"/>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8"/>
        <v>modesg_out_bens_imoveisorigem_scp1_emss</v>
      </c>
      <c r="B382" s="68" t="s">
        <v>26</v>
      </c>
      <c r="C382" s="69" t="s">
        <v>311</v>
      </c>
      <c r="D382" s="65" t="s">
        <v>40</v>
      </c>
      <c r="E382" s="67" t="s">
        <v>312</v>
      </c>
      <c r="F382" s="65" t="s">
        <v>320</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9"/>
        <v>0.51249999999999996</v>
      </c>
      <c r="K382" s="189">
        <f>SUMIFS(Table1[Horas efetivas],Table1[Tabela],Plano_V3!E382,Table1[Campo],Plano_V3!F382)</f>
        <v>4.0999999999999996</v>
      </c>
      <c r="L382" s="189">
        <f t="shared" si="60"/>
        <v>0.51249999999999996</v>
      </c>
      <c r="M382" s="183"/>
      <c r="N382" s="183">
        <f t="shared" si="61"/>
        <v>1</v>
      </c>
      <c r="O382" s="183">
        <f t="shared" si="56"/>
        <v>1</v>
      </c>
      <c r="P382" s="88" t="s">
        <v>313</v>
      </c>
      <c r="Q382" s="91">
        <f t="shared" si="57"/>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8"/>
        <v>modesg_out_bens_imoveisorigem_scp2_emss</v>
      </c>
      <c r="B383" s="68" t="s">
        <v>26</v>
      </c>
      <c r="C383" s="69" t="s">
        <v>311</v>
      </c>
      <c r="D383" s="65" t="s">
        <v>40</v>
      </c>
      <c r="E383" s="67" t="s">
        <v>312</v>
      </c>
      <c r="F383" s="65" t="s">
        <v>321</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9"/>
        <v>0.51249999999999996</v>
      </c>
      <c r="K383" s="189">
        <f>SUMIFS(Table1[Horas efetivas],Table1[Tabela],Plano_V3!E383,Table1[Campo],Plano_V3!F383)</f>
        <v>4.0999999999999996</v>
      </c>
      <c r="L383" s="189">
        <f t="shared" si="60"/>
        <v>0.51249999999999996</v>
      </c>
      <c r="M383" s="183"/>
      <c r="N383" s="183">
        <f t="shared" si="61"/>
        <v>1</v>
      </c>
      <c r="O383" s="183">
        <f t="shared" si="56"/>
        <v>1</v>
      </c>
      <c r="P383" s="88" t="s">
        <v>313</v>
      </c>
      <c r="Q383" s="91">
        <f t="shared" si="57"/>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8"/>
        <v>modesg_out_bens_imoveisorigem_scp3_emss</v>
      </c>
      <c r="B384" s="68" t="s">
        <v>26</v>
      </c>
      <c r="C384" s="69" t="s">
        <v>311</v>
      </c>
      <c r="D384" s="65" t="s">
        <v>40</v>
      </c>
      <c r="E384" s="67" t="s">
        <v>312</v>
      </c>
      <c r="F384" s="65" t="s">
        <v>322</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9"/>
        <v>0.51249999999999996</v>
      </c>
      <c r="K384" s="189">
        <f>SUMIFS(Table1[Horas efetivas],Table1[Tabela],Plano_V3!E384,Table1[Campo],Plano_V3!F384)</f>
        <v>4.0999999999999996</v>
      </c>
      <c r="L384" s="189">
        <f t="shared" si="60"/>
        <v>0.51249999999999996</v>
      </c>
      <c r="M384" s="183"/>
      <c r="N384" s="183">
        <f t="shared" si="61"/>
        <v>1</v>
      </c>
      <c r="O384" s="183">
        <f t="shared" si="56"/>
        <v>1</v>
      </c>
      <c r="P384" s="88" t="s">
        <v>313</v>
      </c>
      <c r="Q384" s="91">
        <f t="shared" si="57"/>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8"/>
        <v>modesg_out_bens_imoveisref_date</v>
      </c>
      <c r="B385" s="68" t="s">
        <v>26</v>
      </c>
      <c r="C385" s="69" t="s">
        <v>311</v>
      </c>
      <c r="D385" s="65" t="s">
        <v>40</v>
      </c>
      <c r="E385" s="67" t="s">
        <v>312</v>
      </c>
      <c r="F385" s="65" t="s">
        <v>208</v>
      </c>
      <c r="G385" s="65" t="str">
        <f>INDEX(Auxiliar!$B$16:$B$24,MATCH(Plano_V3!H385,Auxiliar!$C$16:$C$24,0),1)</f>
        <v>1. Concluído</v>
      </c>
      <c r="H385" s="65">
        <f>VLOOKUP(A385,'Aux - pivots1'!$A:$B,2,0)</f>
        <v>1</v>
      </c>
      <c r="I385" s="189">
        <f>SUMIFS(Table1[Estimação (horas)],Table1[Tabela],Plano_V3!E385,Table1[Campo],Plano_V3!F385)</f>
        <v>4.0999999999999996</v>
      </c>
      <c r="J385" s="189">
        <f t="shared" si="59"/>
        <v>0.51249999999999996</v>
      </c>
      <c r="K385" s="189">
        <f>SUMIFS(Table1[Horas efetivas],Table1[Tabela],Plano_V3!E385,Table1[Campo],Plano_V3!F385)</f>
        <v>4.0999999999999996</v>
      </c>
      <c r="L385" s="189">
        <f t="shared" si="60"/>
        <v>0.51249999999999996</v>
      </c>
      <c r="M385" s="183"/>
      <c r="N385" s="183">
        <f t="shared" si="61"/>
        <v>1</v>
      </c>
      <c r="O385" s="183">
        <f t="shared" si="56"/>
        <v>1</v>
      </c>
      <c r="P385" s="88" t="s">
        <v>313</v>
      </c>
      <c r="Q385" s="91">
        <f t="shared" si="57"/>
        <v>0.51249999999999996</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8"/>
        <v>modesg_out_bens_imoveisscp1_emss</v>
      </c>
      <c r="B386" s="68" t="s">
        <v>26</v>
      </c>
      <c r="C386" s="69" t="s">
        <v>311</v>
      </c>
      <c r="D386" s="65" t="s">
        <v>40</v>
      </c>
      <c r="E386" s="67" t="s">
        <v>312</v>
      </c>
      <c r="F386" s="65" t="s">
        <v>286</v>
      </c>
      <c r="G386" s="65" t="str">
        <f>INDEX(Auxiliar!$B$16:$B$24,MATCH(Plano_V3!H386,Auxiliar!$C$16:$C$24,0),1)</f>
        <v>1. Concluído</v>
      </c>
      <c r="H386" s="65">
        <f>VLOOKUP(A386,'Aux - pivots1'!$A:$B,2,0)</f>
        <v>1</v>
      </c>
      <c r="I386" s="189">
        <f>SUMIFS(Table1[Estimação (horas)],Table1[Tabela],Plano_V3!E386,Table1[Campo],Plano_V3!F386)</f>
        <v>8.1</v>
      </c>
      <c r="J386" s="189">
        <f t="shared" si="59"/>
        <v>1.0125</v>
      </c>
      <c r="K386" s="189">
        <f>SUMIFS(Table1[Horas efetivas],Table1[Tabela],Plano_V3!E386,Table1[Campo],Plano_V3!F386)</f>
        <v>8.1</v>
      </c>
      <c r="L386" s="189">
        <f t="shared" si="60"/>
        <v>1.0125</v>
      </c>
      <c r="M386" s="183"/>
      <c r="N386" s="183">
        <f t="shared" si="61"/>
        <v>1</v>
      </c>
      <c r="O386" s="183">
        <f t="shared" si="56"/>
        <v>1</v>
      </c>
      <c r="P386" s="88" t="s">
        <v>313</v>
      </c>
      <c r="Q386" s="91">
        <f t="shared" si="57"/>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8"/>
        <v>modesg_out_bens_imoveisscp2_emss</v>
      </c>
      <c r="B387" s="68" t="s">
        <v>26</v>
      </c>
      <c r="C387" s="69" t="s">
        <v>311</v>
      </c>
      <c r="D387" s="65" t="s">
        <v>40</v>
      </c>
      <c r="E387" s="67" t="s">
        <v>312</v>
      </c>
      <c r="F387" s="65" t="s">
        <v>287</v>
      </c>
      <c r="G387" s="65" t="str">
        <f>INDEX(Auxiliar!$B$16:$B$24,MATCH(Plano_V3!H387,Auxiliar!$C$16:$C$24,0),1)</f>
        <v>1. Concluído</v>
      </c>
      <c r="H387" s="65">
        <f>VLOOKUP(A387,'Aux - pivots1'!$A:$B,2,0)</f>
        <v>1</v>
      </c>
      <c r="I387" s="189">
        <f>SUMIFS(Table1[Estimação (horas)],Table1[Tabela],Plano_V3!E387,Table1[Campo],Plano_V3!F387)</f>
        <v>8.1</v>
      </c>
      <c r="J387" s="189">
        <f t="shared" si="59"/>
        <v>1.0125</v>
      </c>
      <c r="K387" s="189">
        <f>SUMIFS(Table1[Horas efetivas],Table1[Tabela],Plano_V3!E387,Table1[Campo],Plano_V3!F387)</f>
        <v>8.1</v>
      </c>
      <c r="L387" s="189">
        <f t="shared" si="60"/>
        <v>1.0125</v>
      </c>
      <c r="M387" s="183"/>
      <c r="N387" s="183">
        <f t="shared" si="61"/>
        <v>1</v>
      </c>
      <c r="O387" s="183">
        <f t="shared" si="56"/>
        <v>1</v>
      </c>
      <c r="P387" s="88" t="s">
        <v>313</v>
      </c>
      <c r="Q387" s="91">
        <f t="shared" si="57"/>
        <v>1.0125</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8"/>
        <v>modesg_out_bens_imoveisscp3_emss</v>
      </c>
      <c r="B388" s="68" t="s">
        <v>26</v>
      </c>
      <c r="C388" s="69" t="s">
        <v>311</v>
      </c>
      <c r="D388" s="65" t="s">
        <v>40</v>
      </c>
      <c r="E388" s="67" t="s">
        <v>312</v>
      </c>
      <c r="F388" s="65" t="s">
        <v>288</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9"/>
        <v>0.51249999999999996</v>
      </c>
      <c r="K388" s="189">
        <f>SUMIFS(Table1[Horas efetivas],Table1[Tabela],Plano_V3!E388,Table1[Campo],Plano_V3!F388)</f>
        <v>4.0999999999999996</v>
      </c>
      <c r="L388" s="189">
        <f t="shared" si="60"/>
        <v>0.51249999999999996</v>
      </c>
      <c r="M388" s="183"/>
      <c r="N388" s="183">
        <f t="shared" si="61"/>
        <v>1</v>
      </c>
      <c r="O388" s="183">
        <f t="shared" si="56"/>
        <v>1</v>
      </c>
      <c r="P388" s="88" t="s">
        <v>313</v>
      </c>
      <c r="Q388" s="91">
        <f t="shared" si="57"/>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8"/>
        <v>modesg_out_bens_imoveisunidade_funcional_scp1_emss</v>
      </c>
      <c r="B389" s="68" t="s">
        <v>26</v>
      </c>
      <c r="C389" s="69" t="s">
        <v>311</v>
      </c>
      <c r="D389" s="65" t="s">
        <v>40</v>
      </c>
      <c r="E389" s="67" t="s">
        <v>312</v>
      </c>
      <c r="F389" s="65" t="s">
        <v>323</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9"/>
        <v>0.51249999999999996</v>
      </c>
      <c r="K389" s="189">
        <f>SUMIFS(Table1[Horas efetivas],Table1[Tabela],Plano_V3!E389,Table1[Campo],Plano_V3!F389)</f>
        <v>4.0999999999999996</v>
      </c>
      <c r="L389" s="189">
        <f t="shared" si="60"/>
        <v>0.51249999999999996</v>
      </c>
      <c r="M389" s="183"/>
      <c r="N389" s="183">
        <f t="shared" si="61"/>
        <v>1</v>
      </c>
      <c r="O389" s="183">
        <f t="shared" si="56"/>
        <v>1</v>
      </c>
      <c r="P389" s="88" t="s">
        <v>313</v>
      </c>
      <c r="Q389" s="91">
        <f t="shared" si="57"/>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8"/>
        <v>modesg_out_bens_imoveisunidade_funcional_scp2_emss</v>
      </c>
      <c r="B390" s="68" t="s">
        <v>26</v>
      </c>
      <c r="C390" s="69" t="s">
        <v>311</v>
      </c>
      <c r="D390" s="65" t="s">
        <v>40</v>
      </c>
      <c r="E390" s="67" t="s">
        <v>312</v>
      </c>
      <c r="F390" s="65" t="s">
        <v>324</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9"/>
        <v>0.51249999999999996</v>
      </c>
      <c r="K390" s="189">
        <f>SUMIFS(Table1[Horas efetivas],Table1[Tabela],Plano_V3!E390,Table1[Campo],Plano_V3!F390)</f>
        <v>4.0999999999999996</v>
      </c>
      <c r="L390" s="189">
        <f t="shared" si="60"/>
        <v>0.51249999999999996</v>
      </c>
      <c r="M390" s="183"/>
      <c r="N390" s="183">
        <f t="shared" si="61"/>
        <v>1</v>
      </c>
      <c r="O390" s="183">
        <f t="shared" si="56"/>
        <v>1</v>
      </c>
      <c r="P390" s="88" t="s">
        <v>313</v>
      </c>
      <c r="Q390" s="91">
        <f t="shared" si="57"/>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8"/>
        <v>modesg_out_bens_imoveisunidade_funcional_scp3_emss</v>
      </c>
      <c r="B391" s="68" t="s">
        <v>26</v>
      </c>
      <c r="C391" s="69" t="s">
        <v>311</v>
      </c>
      <c r="D391" s="65" t="s">
        <v>40</v>
      </c>
      <c r="E391" s="67" t="s">
        <v>312</v>
      </c>
      <c r="F391" s="65" t="s">
        <v>325</v>
      </c>
      <c r="G391" s="65" t="str">
        <f>INDEX(Auxiliar!$B$16:$B$24,MATCH(Plano_V3!H391,Auxiliar!$C$16:$C$24,0),1)</f>
        <v>1. Concluído</v>
      </c>
      <c r="H391" s="65">
        <f>VLOOKUP(A391,'Aux - pivots1'!$A:$B,2,0)</f>
        <v>1</v>
      </c>
      <c r="I391" s="189">
        <f>SUMIFS(Table1[Estimação (horas)],Table1[Tabela],Plano_V3!E391,Table1[Campo],Plano_V3!F391)</f>
        <v>4.0999999999999996</v>
      </c>
      <c r="J391" s="189">
        <f t="shared" si="59"/>
        <v>0.51249999999999996</v>
      </c>
      <c r="K391" s="189">
        <f>SUMIFS(Table1[Horas efetivas],Table1[Tabela],Plano_V3!E391,Table1[Campo],Plano_V3!F391)</f>
        <v>4.0999999999999996</v>
      </c>
      <c r="L391" s="189">
        <f t="shared" si="60"/>
        <v>0.51249999999999996</v>
      </c>
      <c r="M391" s="183"/>
      <c r="N391" s="183">
        <f t="shared" si="61"/>
        <v>1</v>
      </c>
      <c r="O391" s="183">
        <f t="shared" si="56"/>
        <v>1</v>
      </c>
      <c r="P391" s="88" t="s">
        <v>313</v>
      </c>
      <c r="Q391" s="91">
        <f t="shared" si="57"/>
        <v>0.51249999999999996</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8"/>
        <v>modesg_out_empr_info_nfinn.a.</v>
      </c>
      <c r="B392" s="68" t="s">
        <v>26</v>
      </c>
      <c r="C392" s="69" t="s">
        <v>311</v>
      </c>
      <c r="D392" s="65" t="s">
        <v>36</v>
      </c>
      <c r="E392" s="67" t="s">
        <v>326</v>
      </c>
      <c r="F392" s="65" t="s">
        <v>38</v>
      </c>
      <c r="G392" s="65" t="str">
        <f>INDEX(Auxiliar!$B$16:$B$24,MATCH(Plano_V3!H392,Auxiliar!$C$16:$C$24,0),1)</f>
        <v>1. Concluído</v>
      </c>
      <c r="H392" s="65">
        <f>VLOOKUP(A392,'Aux - pivots1'!$A:$B,2,0)</f>
        <v>1</v>
      </c>
      <c r="I392" s="189">
        <f>SUMIFS(Table1[Estimação (horas)],Table1[Tabela],Plano_V3!E392,Table1[Campo],Plano_V3!F392)</f>
        <v>8</v>
      </c>
      <c r="J392" s="189">
        <f t="shared" si="59"/>
        <v>1</v>
      </c>
      <c r="K392" s="189">
        <f>SUMIFS(Table1[Horas efetivas],Table1[Tabela],Plano_V3!E392,Table1[Campo],Plano_V3!F392)</f>
        <v>8</v>
      </c>
      <c r="L392" s="189">
        <f t="shared" si="60"/>
        <v>1</v>
      </c>
      <c r="M392" s="183"/>
      <c r="N392" s="183">
        <f t="shared" si="61"/>
        <v>1</v>
      </c>
      <c r="O392" s="183">
        <f t="shared" si="56"/>
        <v>1</v>
      </c>
      <c r="P392" s="88" t="s">
        <v>327</v>
      </c>
      <c r="Q392" s="91">
        <f t="shared" si="57"/>
        <v>1</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8"/>
        <v>modesg_out_empr_info_nfincca_capex_enblng_algnd</v>
      </c>
      <c r="B393" s="68" t="s">
        <v>26</v>
      </c>
      <c r="C393" s="69" t="s">
        <v>311</v>
      </c>
      <c r="D393" s="65" t="s">
        <v>40</v>
      </c>
      <c r="E393" s="67" t="s">
        <v>326</v>
      </c>
      <c r="F393" s="65" t="s">
        <v>250</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9"/>
        <v>2.0125000000000002</v>
      </c>
      <c r="K393" s="189">
        <f>SUMIFS(Table1[Horas efetivas],Table1[Tabela],Plano_V3!E393,Table1[Campo],Plano_V3!F393)</f>
        <v>16.100000000000001</v>
      </c>
      <c r="L393" s="189">
        <f t="shared" si="60"/>
        <v>2.0125000000000002</v>
      </c>
      <c r="M393" s="183"/>
      <c r="N393" s="183">
        <f t="shared" si="61"/>
        <v>1</v>
      </c>
      <c r="O393" s="183">
        <f t="shared" si="56"/>
        <v>1</v>
      </c>
      <c r="P393" s="88" t="s">
        <v>327</v>
      </c>
      <c r="Q393" s="91">
        <f t="shared" si="57"/>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8"/>
        <v>modesg_out_empr_info_nfincca_capex_own_prfrmnce_algnd</v>
      </c>
      <c r="B394" s="68" t="s">
        <v>26</v>
      </c>
      <c r="C394" s="69" t="s">
        <v>311</v>
      </c>
      <c r="D394" s="65" t="s">
        <v>40</v>
      </c>
      <c r="E394" s="67" t="s">
        <v>326</v>
      </c>
      <c r="F394" s="65" t="s">
        <v>251</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9"/>
        <v>2.0125000000000002</v>
      </c>
      <c r="K394" s="189">
        <f>SUMIFS(Table1[Horas efetivas],Table1[Tabela],Plano_V3!E394,Table1[Campo],Plano_V3!F394)</f>
        <v>16.100000000000001</v>
      </c>
      <c r="L394" s="189">
        <f t="shared" si="60"/>
        <v>2.0125000000000002</v>
      </c>
      <c r="M394" s="183"/>
      <c r="N394" s="183">
        <f t="shared" si="61"/>
        <v>1</v>
      </c>
      <c r="O394" s="183">
        <f t="shared" si="56"/>
        <v>1</v>
      </c>
      <c r="P394" s="88" t="s">
        <v>327</v>
      </c>
      <c r="Q394" s="91">
        <f t="shared" si="57"/>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8"/>
        <v>modesg_out_empr_info_nfincca_capex_ttl_elgbl</v>
      </c>
      <c r="B395" s="68" t="s">
        <v>26</v>
      </c>
      <c r="C395" s="69" t="s">
        <v>311</v>
      </c>
      <c r="D395" s="65" t="s">
        <v>40</v>
      </c>
      <c r="E395" s="67" t="s">
        <v>326</v>
      </c>
      <c r="F395" s="65" t="s">
        <v>249</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9"/>
        <v>2.0125000000000002</v>
      </c>
      <c r="K395" s="189">
        <f>SUMIFS(Table1[Horas efetivas],Table1[Tabela],Plano_V3!E395,Table1[Campo],Plano_V3!F395)</f>
        <v>16.100000000000001</v>
      </c>
      <c r="L395" s="189">
        <f t="shared" si="60"/>
        <v>2.0125000000000002</v>
      </c>
      <c r="M395" s="183"/>
      <c r="N395" s="183">
        <f t="shared" si="61"/>
        <v>1</v>
      </c>
      <c r="O395" s="183">
        <f t="shared" si="56"/>
        <v>1</v>
      </c>
      <c r="P395" s="88" t="s">
        <v>327</v>
      </c>
      <c r="Q395" s="91">
        <f t="shared" si="57"/>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8"/>
        <v>modesg_out_empr_info_nfincca_trnvr_enblng_alignd</v>
      </c>
      <c r="B396" s="68" t="s">
        <v>26</v>
      </c>
      <c r="C396" s="69" t="s">
        <v>311</v>
      </c>
      <c r="D396" s="65" t="s">
        <v>40</v>
      </c>
      <c r="E396" s="67" t="s">
        <v>326</v>
      </c>
      <c r="F396" s="65" t="s">
        <v>247</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9"/>
        <v>2.0125000000000002</v>
      </c>
      <c r="K396" s="189">
        <f>SUMIFS(Table1[Horas efetivas],Table1[Tabela],Plano_V3!E396,Table1[Campo],Plano_V3!F396)</f>
        <v>16.100000000000001</v>
      </c>
      <c r="L396" s="189">
        <f t="shared" si="60"/>
        <v>2.0125000000000002</v>
      </c>
      <c r="M396" s="183"/>
      <c r="N396" s="183">
        <f t="shared" si="61"/>
        <v>1</v>
      </c>
      <c r="O396" s="183">
        <f t="shared" si="56"/>
        <v>1</v>
      </c>
      <c r="P396" s="88" t="s">
        <v>327</v>
      </c>
      <c r="Q396" s="91">
        <f t="shared" si="57"/>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8"/>
        <v>modesg_out_empr_info_nfincca_trnvr_ttl_elgbl</v>
      </c>
      <c r="B397" s="68" t="s">
        <v>26</v>
      </c>
      <c r="C397" s="69" t="s">
        <v>311</v>
      </c>
      <c r="D397" s="65" t="s">
        <v>40</v>
      </c>
      <c r="E397" s="67" t="s">
        <v>326</v>
      </c>
      <c r="F397" s="65" t="s">
        <v>246</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9"/>
        <v>2.0125000000000002</v>
      </c>
      <c r="K397" s="189">
        <f>SUMIFS(Table1[Horas efetivas],Table1[Tabela],Plano_V3!E397,Table1[Campo],Plano_V3!F397)</f>
        <v>16.100000000000001</v>
      </c>
      <c r="L397" s="189">
        <f t="shared" si="60"/>
        <v>2.0125000000000002</v>
      </c>
      <c r="M397" s="183"/>
      <c r="N397" s="183">
        <f t="shared" si="61"/>
        <v>1</v>
      </c>
      <c r="O397" s="183">
        <f t="shared" si="56"/>
        <v>1</v>
      </c>
      <c r="P397" s="88" t="s">
        <v>327</v>
      </c>
      <c r="Q397" s="91">
        <f t="shared" si="57"/>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8"/>
        <v>modesg_out_empr_info_nfincca_turnover_own_prfrmnce_algnd</v>
      </c>
      <c r="B398" s="68" t="s">
        <v>26</v>
      </c>
      <c r="C398" s="69" t="s">
        <v>311</v>
      </c>
      <c r="D398" s="65" t="s">
        <v>40</v>
      </c>
      <c r="E398" s="67" t="s">
        <v>326</v>
      </c>
      <c r="F398" s="65" t="s">
        <v>248</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9"/>
        <v>2.0125000000000002</v>
      </c>
      <c r="K398" s="189">
        <f>SUMIFS(Table1[Horas efetivas],Table1[Tabela],Plano_V3!E398,Table1[Campo],Plano_V3!F398)</f>
        <v>16.100000000000001</v>
      </c>
      <c r="L398" s="189">
        <f t="shared" si="60"/>
        <v>2.0125000000000002</v>
      </c>
      <c r="M398" s="183"/>
      <c r="N398" s="183">
        <f t="shared" si="61"/>
        <v>1</v>
      </c>
      <c r="O398" s="183">
        <f t="shared" si="56"/>
        <v>1</v>
      </c>
      <c r="P398" s="88" t="s">
        <v>327</v>
      </c>
      <c r="Q398" s="91">
        <f t="shared" si="57"/>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8"/>
        <v>modesg_out_empr_info_nfinccm_capex_enblng_algnd</v>
      </c>
      <c r="B399" s="68" t="s">
        <v>26</v>
      </c>
      <c r="C399" s="69" t="s">
        <v>311</v>
      </c>
      <c r="D399" s="65" t="s">
        <v>40</v>
      </c>
      <c r="E399" s="67" t="s">
        <v>326</v>
      </c>
      <c r="F399" s="65" t="s">
        <v>257</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9"/>
        <v>2.0125000000000002</v>
      </c>
      <c r="K399" s="189">
        <f>SUMIFS(Table1[Horas efetivas],Table1[Tabela],Plano_V3!E399,Table1[Campo],Plano_V3!F399)</f>
        <v>16.100000000000001</v>
      </c>
      <c r="L399" s="189">
        <f t="shared" si="60"/>
        <v>2.0125000000000002</v>
      </c>
      <c r="M399" s="183"/>
      <c r="N399" s="183">
        <f t="shared" si="61"/>
        <v>1</v>
      </c>
      <c r="O399" s="183">
        <f t="shared" si="56"/>
        <v>1</v>
      </c>
      <c r="P399" s="88" t="s">
        <v>327</v>
      </c>
      <c r="Q399" s="91">
        <f t="shared" si="57"/>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8"/>
        <v>modesg_out_empr_info_nfinccm_capex_own_prfrmnce_algnd</v>
      </c>
      <c r="B400" s="68" t="s">
        <v>26</v>
      </c>
      <c r="C400" s="69" t="s">
        <v>311</v>
      </c>
      <c r="D400" s="65" t="s">
        <v>40</v>
      </c>
      <c r="E400" s="67" t="s">
        <v>326</v>
      </c>
      <c r="F400" s="65" t="s">
        <v>259</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9"/>
        <v>2.0125000000000002</v>
      </c>
      <c r="K400" s="189">
        <f>SUMIFS(Table1[Horas efetivas],Table1[Tabela],Plano_V3!E400,Table1[Campo],Plano_V3!F400)</f>
        <v>16.100000000000001</v>
      </c>
      <c r="L400" s="189">
        <f t="shared" si="60"/>
        <v>2.0125000000000002</v>
      </c>
      <c r="M400" s="183"/>
      <c r="N400" s="183">
        <f t="shared" si="61"/>
        <v>1</v>
      </c>
      <c r="O400" s="183">
        <f t="shared" si="56"/>
        <v>1</v>
      </c>
      <c r="P400" s="88" t="s">
        <v>327</v>
      </c>
      <c r="Q400" s="91">
        <f t="shared" si="57"/>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8"/>
        <v>modesg_out_empr_info_nfinccm_capex_trnstn_algnd</v>
      </c>
      <c r="B401" s="68" t="s">
        <v>26</v>
      </c>
      <c r="C401" s="69" t="s">
        <v>311</v>
      </c>
      <c r="D401" s="65" t="s">
        <v>40</v>
      </c>
      <c r="E401" s="67" t="s">
        <v>326</v>
      </c>
      <c r="F401" s="65" t="s">
        <v>258</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9"/>
        <v>2.0125000000000002</v>
      </c>
      <c r="K401" s="189">
        <f>SUMIFS(Table1[Horas efetivas],Table1[Tabela],Plano_V3!E401,Table1[Campo],Plano_V3!F401)</f>
        <v>16.100000000000001</v>
      </c>
      <c r="L401" s="189">
        <f t="shared" si="60"/>
        <v>2.0125000000000002</v>
      </c>
      <c r="M401" s="183"/>
      <c r="N401" s="183">
        <f t="shared" si="61"/>
        <v>1</v>
      </c>
      <c r="O401" s="183">
        <f t="shared" si="56"/>
        <v>1</v>
      </c>
      <c r="P401" s="88" t="s">
        <v>327</v>
      </c>
      <c r="Q401" s="91">
        <f t="shared" si="57"/>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8"/>
        <v>modesg_out_empr_info_nfinccm_capex_ttl_elgbl</v>
      </c>
      <c r="B402" s="68" t="s">
        <v>26</v>
      </c>
      <c r="C402" s="69" t="s">
        <v>311</v>
      </c>
      <c r="D402" s="65" t="s">
        <v>40</v>
      </c>
      <c r="E402" s="67" t="s">
        <v>326</v>
      </c>
      <c r="F402" s="65" t="s">
        <v>256</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9"/>
        <v>2.0125000000000002</v>
      </c>
      <c r="K402" s="189">
        <f>SUMIFS(Table1[Horas efetivas],Table1[Tabela],Plano_V3!E402,Table1[Campo],Plano_V3!F402)</f>
        <v>16.100000000000001</v>
      </c>
      <c r="L402" s="189">
        <f t="shared" si="60"/>
        <v>2.0125000000000002</v>
      </c>
      <c r="M402" s="183"/>
      <c r="N402" s="183">
        <f t="shared" si="61"/>
        <v>1</v>
      </c>
      <c r="O402" s="183">
        <f t="shared" si="56"/>
        <v>1</v>
      </c>
      <c r="P402" s="88" t="s">
        <v>327</v>
      </c>
      <c r="Q402" s="91">
        <f t="shared" si="57"/>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8"/>
        <v>modesg_out_empr_info_nfinccm_trnvr_enblng_algnd</v>
      </c>
      <c r="B403" s="68" t="s">
        <v>26</v>
      </c>
      <c r="C403" s="69" t="s">
        <v>311</v>
      </c>
      <c r="D403" s="65" t="s">
        <v>40</v>
      </c>
      <c r="E403" s="67" t="s">
        <v>326</v>
      </c>
      <c r="F403" s="65" t="s">
        <v>253</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9"/>
        <v>2.0125000000000002</v>
      </c>
      <c r="K403" s="189">
        <f>SUMIFS(Table1[Horas efetivas],Table1[Tabela],Plano_V3!E403,Table1[Campo],Plano_V3!F403)</f>
        <v>16.100000000000001</v>
      </c>
      <c r="L403" s="189">
        <f t="shared" si="60"/>
        <v>2.0125000000000002</v>
      </c>
      <c r="M403" s="183"/>
      <c r="N403" s="183">
        <f t="shared" si="61"/>
        <v>1</v>
      </c>
      <c r="O403" s="183">
        <f t="shared" si="56"/>
        <v>1</v>
      </c>
      <c r="P403" s="88" t="s">
        <v>327</v>
      </c>
      <c r="Q403" s="91">
        <f t="shared" si="57"/>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8"/>
        <v>modesg_out_empr_info_nfinccm_trnvr_own_prfrmnce_algnd</v>
      </c>
      <c r="B404" s="68" t="s">
        <v>26</v>
      </c>
      <c r="C404" s="69" t="s">
        <v>311</v>
      </c>
      <c r="D404" s="65" t="s">
        <v>40</v>
      </c>
      <c r="E404" s="67" t="s">
        <v>326</v>
      </c>
      <c r="F404" s="65" t="s">
        <v>255</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9"/>
        <v>2.0125000000000002</v>
      </c>
      <c r="K404" s="189">
        <f>SUMIFS(Table1[Horas efetivas],Table1[Tabela],Plano_V3!E404,Table1[Campo],Plano_V3!F404)</f>
        <v>16.100000000000001</v>
      </c>
      <c r="L404" s="189">
        <f t="shared" si="60"/>
        <v>2.0125000000000002</v>
      </c>
      <c r="M404" s="183"/>
      <c r="N404" s="183">
        <f t="shared" si="61"/>
        <v>1</v>
      </c>
      <c r="O404" s="183">
        <f t="shared" si="56"/>
        <v>1</v>
      </c>
      <c r="P404" s="88" t="s">
        <v>327</v>
      </c>
      <c r="Q404" s="91">
        <f t="shared" si="57"/>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8"/>
        <v>modesg_out_empr_info_nfinccm_trnvr_trnstn_alignd</v>
      </c>
      <c r="B405" s="68" t="s">
        <v>26</v>
      </c>
      <c r="C405" s="69" t="s">
        <v>311</v>
      </c>
      <c r="D405" s="65" t="s">
        <v>40</v>
      </c>
      <c r="E405" s="67" t="s">
        <v>326</v>
      </c>
      <c r="F405" s="65" t="s">
        <v>254</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9"/>
        <v>2.0125000000000002</v>
      </c>
      <c r="K405" s="189">
        <f>SUMIFS(Table1[Horas efetivas],Table1[Tabela],Plano_V3!E405,Table1[Campo],Plano_V3!F405)</f>
        <v>16.100000000000001</v>
      </c>
      <c r="L405" s="189">
        <f t="shared" si="60"/>
        <v>2.0125000000000002</v>
      </c>
      <c r="M405" s="183"/>
      <c r="N405" s="183">
        <f t="shared" si="61"/>
        <v>1</v>
      </c>
      <c r="O405" s="183">
        <f t="shared" si="56"/>
        <v>1</v>
      </c>
      <c r="P405" s="88" t="s">
        <v>327</v>
      </c>
      <c r="Q405" s="91">
        <f t="shared" si="57"/>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8"/>
        <v>modesg_out_empr_info_nfinccm_trnvr_ttl_elgbl</v>
      </c>
      <c r="B406" s="68" t="s">
        <v>26</v>
      </c>
      <c r="C406" s="69" t="s">
        <v>311</v>
      </c>
      <c r="D406" s="65" t="s">
        <v>40</v>
      </c>
      <c r="E406" s="67" t="s">
        <v>326</v>
      </c>
      <c r="F406" s="65" t="s">
        <v>252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59"/>
        <v>2.0125000000000002</v>
      </c>
      <c r="K406" s="189">
        <f>SUMIFS(Table1[Horas efetivas],Table1[Tabela],Plano_V3!E406,Table1[Campo],Plano_V3!F406)</f>
        <v>16.100000000000001</v>
      </c>
      <c r="L406" s="189">
        <f t="shared" si="60"/>
        <v>2.0125000000000002</v>
      </c>
      <c r="M406" s="183"/>
      <c r="N406" s="183">
        <f t="shared" si="61"/>
        <v>1</v>
      </c>
      <c r="O406" s="183">
        <f t="shared" si="56"/>
        <v>1</v>
      </c>
      <c r="P406" s="88" t="s">
        <v>327</v>
      </c>
      <c r="Q406" s="91">
        <f t="shared" si="57"/>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8"/>
        <v>modesg_out_empr_info_nfincod_nace_esg</v>
      </c>
      <c r="B407" s="68" t="s">
        <v>26</v>
      </c>
      <c r="C407" s="69" t="s">
        <v>311</v>
      </c>
      <c r="D407" s="65" t="s">
        <v>40</v>
      </c>
      <c r="E407" s="67" t="s">
        <v>326</v>
      </c>
      <c r="F407" s="65" t="s">
        <v>282</v>
      </c>
      <c r="G407" s="65" t="str">
        <f>INDEX(Auxiliar!$B$16:$B$24,MATCH(Plano_V3!H407,Auxiliar!$C$16:$C$24,0),1)</f>
        <v>2.2 Em Re-especificação</v>
      </c>
      <c r="H407" s="65">
        <f>VLOOKUP(A407,'Aux - pivots1'!$A:$B,2,0)</f>
        <v>3</v>
      </c>
      <c r="I407" s="189">
        <f>SUMIFS(Table1[Estimação (horas)],Table1[Tabela],Plano_V3!E407,Table1[Campo],Plano_V3!F407)</f>
        <v>16.100000000000001</v>
      </c>
      <c r="J407" s="189">
        <f t="shared" si="59"/>
        <v>2.0125000000000002</v>
      </c>
      <c r="K407" s="189">
        <f>SUMIFS(Table1[Horas efetivas],Table1[Tabela],Plano_V3!E407,Table1[Campo],Plano_V3!F407)</f>
        <v>8.0500000000000007</v>
      </c>
      <c r="L407" s="189">
        <f t="shared" si="60"/>
        <v>1.0062500000000001</v>
      </c>
      <c r="M407" s="183"/>
      <c r="N407" s="183">
        <f t="shared" si="61"/>
        <v>0.5</v>
      </c>
      <c r="O407" s="183">
        <f t="shared" si="56"/>
        <v>0.5</v>
      </c>
      <c r="P407" s="88" t="s">
        <v>327</v>
      </c>
      <c r="Q407" s="91">
        <f t="shared" si="57"/>
        <v>2.0125000000000002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8"/>
        <v>modesg_out_empr_info_nfinflg_emprs_excl_paris</v>
      </c>
      <c r="B408" s="68" t="s">
        <v>26</v>
      </c>
      <c r="C408" s="69" t="s">
        <v>311</v>
      </c>
      <c r="D408" s="65" t="s">
        <v>40</v>
      </c>
      <c r="E408" s="67" t="s">
        <v>326</v>
      </c>
      <c r="F408" s="65" t="s">
        <v>328</v>
      </c>
      <c r="G408" s="65" t="str">
        <f>INDEX(Auxiliar!$B$16:$B$24,MATCH(Plano_V3!H408,Auxiliar!$C$16:$C$24,0),1)</f>
        <v>1. Concluído</v>
      </c>
      <c r="H408" s="65">
        <f>VLOOKUP(A408,'Aux - pivots1'!$A:$B,2,0)</f>
        <v>1</v>
      </c>
      <c r="I408" s="189">
        <f>SUMIFS(Table1[Estimação (horas)],Table1[Tabela],Plano_V3!E408,Table1[Campo],Plano_V3!F408)</f>
        <v>8.1</v>
      </c>
      <c r="J408" s="189">
        <f t="shared" si="59"/>
        <v>1.0125</v>
      </c>
      <c r="K408" s="189">
        <f>SUMIFS(Table1[Horas efetivas],Table1[Tabela],Plano_V3!E408,Table1[Campo],Plano_V3!F408)</f>
        <v>8.1</v>
      </c>
      <c r="L408" s="189">
        <f t="shared" si="60"/>
        <v>1.0125</v>
      </c>
      <c r="M408" s="183"/>
      <c r="N408" s="183">
        <f t="shared" si="61"/>
        <v>1</v>
      </c>
      <c r="O408" s="183">
        <f t="shared" si="56"/>
        <v>1</v>
      </c>
      <c r="P408" s="88" t="s">
        <v>327</v>
      </c>
      <c r="Q408" s="91">
        <f t="shared" si="57"/>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8"/>
        <v>modesg_out_empr_info_nfinflg_nfrd</v>
      </c>
      <c r="B409" s="68" t="s">
        <v>26</v>
      </c>
      <c r="C409" s="69" t="s">
        <v>311</v>
      </c>
      <c r="D409" s="65" t="s">
        <v>40</v>
      </c>
      <c r="E409" s="67" t="s">
        <v>326</v>
      </c>
      <c r="F409" s="65" t="s">
        <v>245</v>
      </c>
      <c r="G409" s="65" t="str">
        <f>INDEX(Auxiliar!$B$16:$B$24,MATCH(Plano_V3!H409,Auxiliar!$C$16:$C$24,0),1)</f>
        <v>1. Concluído</v>
      </c>
      <c r="H409" s="65">
        <f>VLOOKUP(A409,'Aux - pivots1'!$A:$B,2,0)</f>
        <v>1</v>
      </c>
      <c r="I409" s="189">
        <f>SUMIFS(Table1[Estimação (horas)],Table1[Tabela],Plano_V3!E409,Table1[Campo],Plano_V3!F409)</f>
        <v>8.1</v>
      </c>
      <c r="J409" s="189">
        <f t="shared" si="59"/>
        <v>1.0125</v>
      </c>
      <c r="K409" s="189">
        <f>SUMIFS(Table1[Horas efetivas],Table1[Tabela],Plano_V3!E409,Table1[Campo],Plano_V3!F409)</f>
        <v>8.1</v>
      </c>
      <c r="L409" s="189">
        <f t="shared" si="60"/>
        <v>1.0125</v>
      </c>
      <c r="M409" s="183"/>
      <c r="N409" s="183">
        <f t="shared" si="61"/>
        <v>1</v>
      </c>
      <c r="O409" s="183">
        <f t="shared" si="56"/>
        <v>1</v>
      </c>
      <c r="P409" s="88" t="s">
        <v>327</v>
      </c>
      <c r="Q409" s="91">
        <f t="shared" si="57"/>
        <v>1.0125</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8"/>
        <v>modesg_out_empr_info_nfinflg_rsc_fsc_agd</v>
      </c>
      <c r="B410" s="68" t="s">
        <v>26</v>
      </c>
      <c r="C410" s="69" t="s">
        <v>311</v>
      </c>
      <c r="D410" s="65" t="s">
        <v>40</v>
      </c>
      <c r="E410" s="67" t="s">
        <v>326</v>
      </c>
      <c r="F410" s="65" t="s">
        <v>283</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9"/>
        <v>2.0125000000000002</v>
      </c>
      <c r="K410" s="189">
        <f>SUMIFS(Table1[Horas efetivas],Table1[Tabela],Plano_V3!E410,Table1[Campo],Plano_V3!F410)</f>
        <v>16.100000000000001</v>
      </c>
      <c r="L410" s="189">
        <f t="shared" si="60"/>
        <v>2.0125000000000002</v>
      </c>
      <c r="M410" s="183"/>
      <c r="N410" s="183">
        <f t="shared" si="61"/>
        <v>1</v>
      </c>
      <c r="O410" s="183">
        <f t="shared" ref="O410:O457" si="62">N410-M410</f>
        <v>1</v>
      </c>
      <c r="P410" s="88" t="s">
        <v>327</v>
      </c>
      <c r="Q410" s="91">
        <f t="shared" si="57"/>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8"/>
        <v>modesg_out_empr_info_nfinflg_rsc_fsc_crnc</v>
      </c>
      <c r="B411" s="68" t="s">
        <v>26</v>
      </c>
      <c r="C411" s="69" t="s">
        <v>311</v>
      </c>
      <c r="D411" s="65" t="s">
        <v>40</v>
      </c>
      <c r="E411" s="67" t="s">
        <v>326</v>
      </c>
      <c r="F411" s="65" t="s">
        <v>284</v>
      </c>
      <c r="G411" s="65" t="str">
        <f>INDEX(Auxiliar!$B$16:$B$24,MATCH(Plano_V3!H411,Auxiliar!$C$16:$C$24,0),1)</f>
        <v>1. Concluído</v>
      </c>
      <c r="H411" s="65">
        <f>VLOOKUP(A411,'Aux - pivots1'!$A:$B,2,0)</f>
        <v>1</v>
      </c>
      <c r="I411" s="189">
        <f>SUMIFS(Table1[Estimação (horas)],Table1[Tabela],Plano_V3!E411,Table1[Campo],Plano_V3!F411)</f>
        <v>16.100000000000001</v>
      </c>
      <c r="J411" s="189">
        <f t="shared" si="59"/>
        <v>2.0125000000000002</v>
      </c>
      <c r="K411" s="189">
        <f>SUMIFS(Table1[Horas efetivas],Table1[Tabela],Plano_V3!E411,Table1[Campo],Plano_V3!F411)</f>
        <v>16.100000000000001</v>
      </c>
      <c r="L411" s="189">
        <f t="shared" si="60"/>
        <v>2.0125000000000002</v>
      </c>
      <c r="M411" s="183"/>
      <c r="N411" s="183">
        <f t="shared" si="61"/>
        <v>1</v>
      </c>
      <c r="O411" s="183">
        <f t="shared" si="62"/>
        <v>1</v>
      </c>
      <c r="P411" s="88" t="s">
        <v>327</v>
      </c>
      <c r="Q411" s="91">
        <f t="shared" si="57"/>
        <v>2.0125000000000002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8"/>
        <v>modesg_out_empr_info_nfinorigem_alinhamentos</v>
      </c>
      <c r="B412" s="68" t="s">
        <v>26</v>
      </c>
      <c r="C412" s="69" t="s">
        <v>311</v>
      </c>
      <c r="D412" s="65" t="s">
        <v>40</v>
      </c>
      <c r="E412" s="67" t="s">
        <v>326</v>
      </c>
      <c r="F412" s="65" t="s">
        <v>329</v>
      </c>
      <c r="G412" s="65" t="str">
        <f>INDEX(Auxiliar!$B$16:$B$24,MATCH(Plano_V3!H412,Auxiliar!$C$16:$C$24,0),1)</f>
        <v>1. Concluído</v>
      </c>
      <c r="H412" s="65">
        <f>VLOOKUP(A412,'Aux - pivots1'!$A:$B,2,0)</f>
        <v>1</v>
      </c>
      <c r="I412" s="189">
        <f>SUMIFS(Table1[Estimação (horas)],Table1[Tabela],Plano_V3!E412,Table1[Campo],Plano_V3!F412)</f>
        <v>4.0999999999999996</v>
      </c>
      <c r="J412" s="189">
        <f t="shared" si="59"/>
        <v>0.51249999999999996</v>
      </c>
      <c r="K412" s="189">
        <f>SUMIFS(Table1[Horas efetivas],Table1[Tabela],Plano_V3!E412,Table1[Campo],Plano_V3!F412)</f>
        <v>4.0999999999999996</v>
      </c>
      <c r="L412" s="189">
        <f t="shared" si="60"/>
        <v>0.51249999999999996</v>
      </c>
      <c r="M412" s="183"/>
      <c r="N412" s="183">
        <f t="shared" si="61"/>
        <v>1</v>
      </c>
      <c r="O412" s="183">
        <f t="shared" si="62"/>
        <v>1</v>
      </c>
      <c r="P412" s="88" t="s">
        <v>327</v>
      </c>
      <c r="Q412" s="91">
        <f t="shared" si="57"/>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8"/>
        <v>modesg_out_empr_info_nfinorigem_flg_emprs_excl_paris</v>
      </c>
      <c r="B413" s="68" t="s">
        <v>26</v>
      </c>
      <c r="C413" s="69" t="s">
        <v>311</v>
      </c>
      <c r="D413" s="65" t="s">
        <v>40</v>
      </c>
      <c r="E413" s="67" t="s">
        <v>326</v>
      </c>
      <c r="F413" s="65" t="s">
        <v>330</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9"/>
        <v>0.51249999999999996</v>
      </c>
      <c r="K413" s="189">
        <f>SUMIFS(Table1[Horas efetivas],Table1[Tabela],Plano_V3!E413,Table1[Campo],Plano_V3!F413)</f>
        <v>4.0999999999999996</v>
      </c>
      <c r="L413" s="189">
        <f t="shared" si="60"/>
        <v>0.51249999999999996</v>
      </c>
      <c r="M413" s="183"/>
      <c r="N413" s="183">
        <f t="shared" si="61"/>
        <v>1</v>
      </c>
      <c r="O413" s="183">
        <f t="shared" si="62"/>
        <v>1</v>
      </c>
      <c r="P413" s="88" t="s">
        <v>327</v>
      </c>
      <c r="Q413" s="91">
        <f t="shared" si="57"/>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8"/>
        <v>modesg_out_empr_info_nfinorigem_flg_nfrd</v>
      </c>
      <c r="B414" s="68" t="s">
        <v>26</v>
      </c>
      <c r="C414" s="69" t="s">
        <v>311</v>
      </c>
      <c r="D414" s="65" t="s">
        <v>40</v>
      </c>
      <c r="E414" s="67" t="s">
        <v>326</v>
      </c>
      <c r="F414" s="65" t="s">
        <v>331</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9"/>
        <v>0.51249999999999996</v>
      </c>
      <c r="K414" s="189">
        <f>SUMIFS(Table1[Horas efetivas],Table1[Tabela],Plano_V3!E414,Table1[Campo],Plano_V3!F414)</f>
        <v>4.0999999999999996</v>
      </c>
      <c r="L414" s="189">
        <f t="shared" si="60"/>
        <v>0.51249999999999996</v>
      </c>
      <c r="M414" s="183"/>
      <c r="N414" s="183">
        <f t="shared" si="61"/>
        <v>1</v>
      </c>
      <c r="O414" s="183">
        <f t="shared" si="62"/>
        <v>1</v>
      </c>
      <c r="P414" s="88" t="s">
        <v>327</v>
      </c>
      <c r="Q414" s="91">
        <f t="shared" si="57"/>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8"/>
        <v>modesg_out_empr_info_nfinorigem_flg_rsc_fsc_agd</v>
      </c>
      <c r="B415" s="68" t="s">
        <v>26</v>
      </c>
      <c r="C415" s="69" t="s">
        <v>311</v>
      </c>
      <c r="D415" s="65" t="s">
        <v>40</v>
      </c>
      <c r="E415" s="67" t="s">
        <v>326</v>
      </c>
      <c r="F415" s="65" t="s">
        <v>318</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9"/>
        <v>0.51249999999999996</v>
      </c>
      <c r="K415" s="189">
        <f>SUMIFS(Table1[Horas efetivas],Table1[Tabela],Plano_V3!E415,Table1[Campo],Plano_V3!F415)</f>
        <v>4.0999999999999996</v>
      </c>
      <c r="L415" s="189">
        <f t="shared" si="60"/>
        <v>0.51249999999999996</v>
      </c>
      <c r="M415" s="183"/>
      <c r="N415" s="183">
        <f t="shared" si="61"/>
        <v>1</v>
      </c>
      <c r="O415" s="183">
        <f t="shared" si="62"/>
        <v>1</v>
      </c>
      <c r="P415" s="88" t="s">
        <v>327</v>
      </c>
      <c r="Q415" s="91">
        <f t="shared" si="57"/>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8"/>
        <v>modesg_out_empr_info_nfinorigem_flg_rsc_fsc_crnc</v>
      </c>
      <c r="B416" s="68" t="s">
        <v>26</v>
      </c>
      <c r="C416" s="69" t="s">
        <v>311</v>
      </c>
      <c r="D416" s="65" t="s">
        <v>40</v>
      </c>
      <c r="E416" s="67" t="s">
        <v>326</v>
      </c>
      <c r="F416" s="65" t="s">
        <v>319</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59"/>
        <v>0.51249999999999996</v>
      </c>
      <c r="K416" s="189">
        <f>SUMIFS(Table1[Horas efetivas],Table1[Tabela],Plano_V3!E416,Table1[Campo],Plano_V3!F416)</f>
        <v>4.0999999999999996</v>
      </c>
      <c r="L416" s="189">
        <f t="shared" si="60"/>
        <v>0.51249999999999996</v>
      </c>
      <c r="M416" s="183"/>
      <c r="N416" s="183">
        <f t="shared" si="61"/>
        <v>1</v>
      </c>
      <c r="O416" s="183">
        <f t="shared" si="62"/>
        <v>1</v>
      </c>
      <c r="P416" s="88" t="s">
        <v>327</v>
      </c>
      <c r="Q416" s="91">
        <f t="shared" si="57"/>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8"/>
        <v>modesg_out_empr_info_nfinorigem_scp1_emss</v>
      </c>
      <c r="B417" s="68" t="s">
        <v>26</v>
      </c>
      <c r="C417" s="69" t="s">
        <v>311</v>
      </c>
      <c r="D417" s="65" t="s">
        <v>40</v>
      </c>
      <c r="E417" s="67" t="s">
        <v>326</v>
      </c>
      <c r="F417" s="65" t="s">
        <v>320</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9"/>
        <v>0.51249999999999996</v>
      </c>
      <c r="K417" s="189">
        <f>SUMIFS(Table1[Horas efetivas],Table1[Tabela],Plano_V3!E417,Table1[Campo],Plano_V3!F417)</f>
        <v>1.0249999999999999</v>
      </c>
      <c r="L417" s="189">
        <f t="shared" si="60"/>
        <v>0.12812499999999999</v>
      </c>
      <c r="M417" s="183"/>
      <c r="N417" s="183">
        <f t="shared" si="61"/>
        <v>0.25</v>
      </c>
      <c r="O417" s="183">
        <f t="shared" si="62"/>
        <v>0.25</v>
      </c>
      <c r="P417" s="88" t="s">
        <v>327</v>
      </c>
      <c r="Q417" s="91">
        <f t="shared" si="57"/>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8"/>
        <v>modesg_out_empr_info_nfinorigem_scp2_emss</v>
      </c>
      <c r="B418" s="68" t="s">
        <v>26</v>
      </c>
      <c r="C418" s="69" t="s">
        <v>311</v>
      </c>
      <c r="D418" s="65" t="s">
        <v>40</v>
      </c>
      <c r="E418" s="67" t="s">
        <v>326</v>
      </c>
      <c r="F418" s="65" t="s">
        <v>321</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9"/>
        <v>0.51249999999999996</v>
      </c>
      <c r="K418" s="189">
        <f>SUMIFS(Table1[Horas efetivas],Table1[Tabela],Plano_V3!E418,Table1[Campo],Plano_V3!F418)</f>
        <v>1.0249999999999999</v>
      </c>
      <c r="L418" s="189">
        <f t="shared" si="60"/>
        <v>0.12812499999999999</v>
      </c>
      <c r="M418" s="183"/>
      <c r="N418" s="183">
        <f t="shared" si="61"/>
        <v>0.25</v>
      </c>
      <c r="O418" s="183">
        <f t="shared" si="62"/>
        <v>0.25</v>
      </c>
      <c r="P418" s="88" t="s">
        <v>327</v>
      </c>
      <c r="Q418" s="91">
        <f t="shared" si="57"/>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8"/>
        <v>modesg_out_empr_info_nfinorigem_scp3_emss</v>
      </c>
      <c r="B419" s="68" t="s">
        <v>26</v>
      </c>
      <c r="C419" s="69" t="s">
        <v>311</v>
      </c>
      <c r="D419" s="65" t="s">
        <v>40</v>
      </c>
      <c r="E419" s="67" t="s">
        <v>326</v>
      </c>
      <c r="F419" s="65" t="s">
        <v>322</v>
      </c>
      <c r="G419" s="65" t="str">
        <f>INDEX(Auxiliar!$B$16:$B$24,MATCH(Plano_V3!H419,Auxiliar!$C$16:$C$24,0),1)</f>
        <v>6. Em implementação (re-especificação)</v>
      </c>
      <c r="H419" s="65">
        <f>VLOOKUP(A419,'Aux - pivots1'!$A:$B,2,0)</f>
        <v>7</v>
      </c>
      <c r="I419" s="189">
        <f>SUMIFS(Table1[Estimação (horas)],Table1[Tabela],Plano_V3!E419,Table1[Campo],Plano_V3!F419)</f>
        <v>4.0999999999999996</v>
      </c>
      <c r="J419" s="189">
        <f t="shared" si="59"/>
        <v>0.51249999999999996</v>
      </c>
      <c r="K419" s="189">
        <f>SUMIFS(Table1[Horas efetivas],Table1[Tabela],Plano_V3!E419,Table1[Campo],Plano_V3!F419)</f>
        <v>1.0249999999999999</v>
      </c>
      <c r="L419" s="189">
        <f t="shared" si="60"/>
        <v>0.12812499999999999</v>
      </c>
      <c r="M419" s="183"/>
      <c r="N419" s="183">
        <f t="shared" si="61"/>
        <v>0.25</v>
      </c>
      <c r="O419" s="183">
        <f t="shared" si="62"/>
        <v>0.25</v>
      </c>
      <c r="P419" s="88" t="s">
        <v>327</v>
      </c>
      <c r="Q419" s="91">
        <f t="shared" si="57"/>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8"/>
        <v>modesg_out_empr_info_nfinref_date</v>
      </c>
      <c r="B420" s="68" t="s">
        <v>26</v>
      </c>
      <c r="C420" s="69" t="s">
        <v>311</v>
      </c>
      <c r="D420" s="65" t="s">
        <v>40</v>
      </c>
      <c r="E420" s="67" t="s">
        <v>326</v>
      </c>
      <c r="F420" s="65" t="s">
        <v>208</v>
      </c>
      <c r="G420" s="65" t="str">
        <f>INDEX(Auxiliar!$B$16:$B$24,MATCH(Plano_V3!H420,Auxiliar!$C$16:$C$24,0),1)</f>
        <v>1. Concluído</v>
      </c>
      <c r="H420" s="65">
        <f>VLOOKUP(A420,'Aux - pivots1'!$A:$B,2,0)</f>
        <v>1</v>
      </c>
      <c r="I420" s="189">
        <f>SUMIFS(Table1[Estimação (horas)],Table1[Tabela],Plano_V3!E420,Table1[Campo],Plano_V3!F420)</f>
        <v>4.0999999999999996</v>
      </c>
      <c r="J420" s="189">
        <f t="shared" si="59"/>
        <v>0.51249999999999996</v>
      </c>
      <c r="K420" s="189">
        <f>SUMIFS(Table1[Horas efetivas],Table1[Tabela],Plano_V3!E420,Table1[Campo],Plano_V3!F420)</f>
        <v>4.0999999999999996</v>
      </c>
      <c r="L420" s="189">
        <f t="shared" si="60"/>
        <v>0.51249999999999996</v>
      </c>
      <c r="M420" s="183"/>
      <c r="N420" s="183">
        <f t="shared" si="61"/>
        <v>1</v>
      </c>
      <c r="O420" s="183">
        <f t="shared" si="62"/>
        <v>1</v>
      </c>
      <c r="P420" s="88" t="s">
        <v>327</v>
      </c>
      <c r="Q420" s="91">
        <f t="shared" si="57"/>
        <v>0.51249999999999996</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8"/>
        <v>modesg_out_empr_info_nfinscp1_emss</v>
      </c>
      <c r="B421" s="68" t="s">
        <v>26</v>
      </c>
      <c r="C421" s="69" t="s">
        <v>311</v>
      </c>
      <c r="D421" s="65" t="s">
        <v>40</v>
      </c>
      <c r="E421" s="67" t="s">
        <v>326</v>
      </c>
      <c r="F421" s="65" t="s">
        <v>286</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9"/>
        <v>1.0125</v>
      </c>
      <c r="K421" s="189">
        <f>SUMIFS(Table1[Horas efetivas],Table1[Tabela],Plano_V3!E421,Table1[Campo],Plano_V3!F421)</f>
        <v>2.0249999999999999</v>
      </c>
      <c r="L421" s="189">
        <f t="shared" si="60"/>
        <v>0.25312499999999999</v>
      </c>
      <c r="M421" s="183"/>
      <c r="N421" s="183">
        <f t="shared" si="61"/>
        <v>0.25</v>
      </c>
      <c r="O421" s="183">
        <f t="shared" si="62"/>
        <v>0.25</v>
      </c>
      <c r="P421" s="88" t="s">
        <v>327</v>
      </c>
      <c r="Q421" s="91">
        <f t="shared" ref="Q421:Q457" si="63">J421-SUM(R421:ES421)</f>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58"/>
        <v>modesg_out_empr_info_nfinscp2_emss</v>
      </c>
      <c r="B422" s="68" t="s">
        <v>26</v>
      </c>
      <c r="C422" s="69" t="s">
        <v>311</v>
      </c>
      <c r="D422" s="65" t="s">
        <v>40</v>
      </c>
      <c r="E422" s="67" t="s">
        <v>326</v>
      </c>
      <c r="F422" s="65" t="s">
        <v>287</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9"/>
        <v>1.0125</v>
      </c>
      <c r="K422" s="189">
        <f>SUMIFS(Table1[Horas efetivas],Table1[Tabela],Plano_V3!E422,Table1[Campo],Plano_V3!F422)</f>
        <v>2.0249999999999999</v>
      </c>
      <c r="L422" s="189">
        <f t="shared" si="60"/>
        <v>0.25312499999999999</v>
      </c>
      <c r="M422" s="183"/>
      <c r="N422" s="183">
        <f t="shared" si="61"/>
        <v>0.25</v>
      </c>
      <c r="O422" s="183">
        <f t="shared" si="62"/>
        <v>0.25</v>
      </c>
      <c r="P422" s="88" t="s">
        <v>327</v>
      </c>
      <c r="Q422" s="91">
        <f t="shared" si="63"/>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ref="A423:A486" si="64">E423&amp;F423</f>
        <v>modesg_out_empr_info_nfinscp3_emss</v>
      </c>
      <c r="B423" s="68" t="s">
        <v>26</v>
      </c>
      <c r="C423" s="69" t="s">
        <v>311</v>
      </c>
      <c r="D423" s="65" t="s">
        <v>40</v>
      </c>
      <c r="E423" s="67" t="s">
        <v>326</v>
      </c>
      <c r="F423" s="65" t="s">
        <v>288</v>
      </c>
      <c r="G423" s="65" t="str">
        <f>INDEX(Auxiliar!$B$16:$B$24,MATCH(Plano_V3!H423,Auxiliar!$C$16:$C$24,0),1)</f>
        <v>6. Em implementação (re-especificação)</v>
      </c>
      <c r="H423" s="65">
        <f>VLOOKUP(A423,'Aux - pivots1'!$A:$B,2,0)</f>
        <v>7</v>
      </c>
      <c r="I423" s="189">
        <f>SUMIFS(Table1[Estimação (horas)],Table1[Tabela],Plano_V3!E423,Table1[Campo],Plano_V3!F423)</f>
        <v>8.1</v>
      </c>
      <c r="J423" s="189">
        <f t="shared" si="59"/>
        <v>1.0125</v>
      </c>
      <c r="K423" s="189">
        <f>SUMIFS(Table1[Horas efetivas],Table1[Tabela],Plano_V3!E423,Table1[Campo],Plano_V3!F423)</f>
        <v>2.0249999999999999</v>
      </c>
      <c r="L423" s="189">
        <f t="shared" si="60"/>
        <v>0.25312499999999999</v>
      </c>
      <c r="M423" s="183"/>
      <c r="N423" s="183">
        <f t="shared" si="61"/>
        <v>0.25</v>
      </c>
      <c r="O423" s="183">
        <f t="shared" si="62"/>
        <v>0.25</v>
      </c>
      <c r="P423" s="88" t="s">
        <v>327</v>
      </c>
      <c r="Q423" s="91">
        <f t="shared" si="63"/>
        <v>1.0125</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4"/>
        <v>modesg_out_empr_info_nfinzcliente</v>
      </c>
      <c r="B424" s="68" t="s">
        <v>26</v>
      </c>
      <c r="C424" s="69" t="s">
        <v>311</v>
      </c>
      <c r="D424" s="65" t="s">
        <v>40</v>
      </c>
      <c r="E424" s="67" t="s">
        <v>326</v>
      </c>
      <c r="F424" s="65" t="s">
        <v>209</v>
      </c>
      <c r="G424" s="65" t="str">
        <f>INDEX(Auxiliar!$B$16:$B$24,MATCH(Plano_V3!H424,Auxiliar!$C$16:$C$24,0),1)</f>
        <v>1. Concluído</v>
      </c>
      <c r="H424" s="65">
        <f>VLOOKUP(A424,'Aux - pivots1'!$A:$B,2,0)</f>
        <v>1</v>
      </c>
      <c r="I424" s="189">
        <f>SUMIFS(Table1[Estimação (horas)],Table1[Tabela],Plano_V3!E424,Table1[Campo],Plano_V3!F424)</f>
        <v>4.0999999999999996</v>
      </c>
      <c r="J424" s="189">
        <f t="shared" si="59"/>
        <v>0.51249999999999996</v>
      </c>
      <c r="K424" s="189">
        <f>SUMIFS(Table1[Horas efetivas],Table1[Tabela],Plano_V3!E424,Table1[Campo],Plano_V3!F424)</f>
        <v>4.0999999999999996</v>
      </c>
      <c r="L424" s="189">
        <f t="shared" si="60"/>
        <v>0.51249999999999996</v>
      </c>
      <c r="M424" s="183"/>
      <c r="N424" s="183">
        <f t="shared" si="61"/>
        <v>1</v>
      </c>
      <c r="O424" s="183">
        <f t="shared" si="62"/>
        <v>1</v>
      </c>
      <c r="P424" s="88" t="s">
        <v>327</v>
      </c>
      <c r="Q424" s="91">
        <f t="shared" si="63"/>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4"/>
        <v>modesg_out_emss_vclsn.a.</v>
      </c>
      <c r="B425" s="68" t="s">
        <v>26</v>
      </c>
      <c r="C425" s="69" t="s">
        <v>311</v>
      </c>
      <c r="D425" s="65" t="s">
        <v>36</v>
      </c>
      <c r="E425" s="67" t="s">
        <v>332</v>
      </c>
      <c r="F425" s="65" t="s">
        <v>38</v>
      </c>
      <c r="G425" s="65" t="str">
        <f>INDEX(Auxiliar!$B$16:$B$24,MATCH(Plano_V3!H425,Auxiliar!$C$16:$C$24,0),1)</f>
        <v>1. Concluído</v>
      </c>
      <c r="H425" s="65">
        <f>VLOOKUP(A425,'Aux - pivots1'!$A:$B,2,0)</f>
        <v>1</v>
      </c>
      <c r="I425" s="189">
        <f>SUMIFS(Table1[Estimação (horas)],Table1[Tabela],Plano_V3!E425,Table1[Campo],Plano_V3!F425)</f>
        <v>8</v>
      </c>
      <c r="J425" s="189">
        <f t="shared" si="59"/>
        <v>1</v>
      </c>
      <c r="K425" s="189">
        <f>SUMIFS(Table1[Horas efetivas],Table1[Tabela],Plano_V3!E425,Table1[Campo],Plano_V3!F425)</f>
        <v>8</v>
      </c>
      <c r="L425" s="189">
        <f t="shared" si="60"/>
        <v>1</v>
      </c>
      <c r="M425" s="183"/>
      <c r="N425" s="183">
        <f t="shared" si="61"/>
        <v>1</v>
      </c>
      <c r="O425" s="183">
        <f t="shared" si="62"/>
        <v>1</v>
      </c>
      <c r="P425" s="88" t="s">
        <v>333</v>
      </c>
      <c r="Q425" s="91">
        <f t="shared" si="63"/>
        <v>1</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4"/>
        <v>modesg_out_emss_vclscempbem</v>
      </c>
      <c r="B426" s="68" t="s">
        <v>26</v>
      </c>
      <c r="C426" s="69" t="s">
        <v>311</v>
      </c>
      <c r="D426" s="65" t="s">
        <v>40</v>
      </c>
      <c r="E426" s="67" t="s">
        <v>332</v>
      </c>
      <c r="F426" s="65" t="s">
        <v>314</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9"/>
        <v>0.51249999999999996</v>
      </c>
      <c r="K426" s="189">
        <f>SUMIFS(Table1[Horas efetivas],Table1[Tabela],Plano_V3!E426,Table1[Campo],Plano_V3!F426)</f>
        <v>4.0999999999999996</v>
      </c>
      <c r="L426" s="189">
        <f t="shared" si="60"/>
        <v>0.51249999999999996</v>
      </c>
      <c r="M426" s="183"/>
      <c r="N426" s="183">
        <f t="shared" si="61"/>
        <v>1</v>
      </c>
      <c r="O426" s="183">
        <f t="shared" si="62"/>
        <v>1</v>
      </c>
      <c r="P426" s="88" t="s">
        <v>333</v>
      </c>
      <c r="Q426" s="91">
        <f t="shared" si="63"/>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4"/>
        <v>modesg_out_emss_vclsckbalbem</v>
      </c>
      <c r="B427" s="68" t="s">
        <v>26</v>
      </c>
      <c r="C427" s="69" t="s">
        <v>311</v>
      </c>
      <c r="D427" s="65" t="s">
        <v>40</v>
      </c>
      <c r="E427" s="67" t="s">
        <v>332</v>
      </c>
      <c r="F427" s="65" t="s">
        <v>315</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9"/>
        <v>0.51249999999999996</v>
      </c>
      <c r="K427" s="189">
        <f>SUMIFS(Table1[Horas efetivas],Table1[Tabela],Plano_V3!E427,Table1[Campo],Plano_V3!F427)</f>
        <v>4.0999999999999996</v>
      </c>
      <c r="L427" s="189">
        <f t="shared" si="60"/>
        <v>0.51249999999999996</v>
      </c>
      <c r="M427" s="183"/>
      <c r="N427" s="183">
        <f t="shared" si="61"/>
        <v>1</v>
      </c>
      <c r="O427" s="183">
        <f t="shared" si="62"/>
        <v>1</v>
      </c>
      <c r="P427" s="88" t="s">
        <v>333</v>
      </c>
      <c r="Q427" s="91">
        <f t="shared" si="63"/>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4"/>
        <v>modesg_out_emss_vclsckctabem</v>
      </c>
      <c r="B428" s="68" t="s">
        <v>26</v>
      </c>
      <c r="C428" s="69" t="s">
        <v>311</v>
      </c>
      <c r="D428" s="65" t="s">
        <v>40</v>
      </c>
      <c r="E428" s="67" t="s">
        <v>332</v>
      </c>
      <c r="F428" s="65" t="s">
        <v>316</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9"/>
        <v>0.51249999999999996</v>
      </c>
      <c r="K428" s="189">
        <f>SUMIFS(Table1[Horas efetivas],Table1[Tabela],Plano_V3!E428,Table1[Campo],Plano_V3!F428)</f>
        <v>4.0999999999999996</v>
      </c>
      <c r="L428" s="189">
        <f t="shared" si="60"/>
        <v>0.51249999999999996</v>
      </c>
      <c r="M428" s="183"/>
      <c r="N428" s="183">
        <f t="shared" si="61"/>
        <v>1</v>
      </c>
      <c r="O428" s="183">
        <f t="shared" si="62"/>
        <v>1</v>
      </c>
      <c r="P428" s="88" t="s">
        <v>333</v>
      </c>
      <c r="Q428" s="91">
        <f t="shared" si="63"/>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4"/>
        <v>modesg_out_emss_vclsckrefbem</v>
      </c>
      <c r="B429" s="68" t="s">
        <v>26</v>
      </c>
      <c r="C429" s="69" t="s">
        <v>311</v>
      </c>
      <c r="D429" s="65" t="s">
        <v>40</v>
      </c>
      <c r="E429" s="67" t="s">
        <v>332</v>
      </c>
      <c r="F429" s="65" t="s">
        <v>317</v>
      </c>
      <c r="G429" s="65" t="str">
        <f>INDEX(Auxiliar!$B$16:$B$24,MATCH(Plano_V3!H429,Auxiliar!$C$16:$C$24,0),1)</f>
        <v>1. Concluído</v>
      </c>
      <c r="H429" s="65">
        <f>VLOOKUP(A429,'Aux - pivots1'!$A:$B,2,0)</f>
        <v>1</v>
      </c>
      <c r="I429" s="189">
        <f>SUMIFS(Table1[Estimação (horas)],Table1[Tabela],Plano_V3!E429,Table1[Campo],Plano_V3!F429)</f>
        <v>4.0999999999999996</v>
      </c>
      <c r="J429" s="189">
        <f t="shared" si="59"/>
        <v>0.51249999999999996</v>
      </c>
      <c r="K429" s="189">
        <f>SUMIFS(Table1[Horas efetivas],Table1[Tabela],Plano_V3!E429,Table1[Campo],Plano_V3!F429)</f>
        <v>4.0999999999999996</v>
      </c>
      <c r="L429" s="189">
        <f t="shared" si="60"/>
        <v>0.51249999999999996</v>
      </c>
      <c r="M429" s="183"/>
      <c r="N429" s="183">
        <f t="shared" si="61"/>
        <v>1</v>
      </c>
      <c r="O429" s="183">
        <f t="shared" si="62"/>
        <v>1</v>
      </c>
      <c r="P429" s="88" t="s">
        <v>333</v>
      </c>
      <c r="Q429" s="91">
        <f t="shared" si="63"/>
        <v>0.51249999999999996</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4"/>
        <v>modesg_out_emss_vclscnsm_co2</v>
      </c>
      <c r="B430" s="68" t="s">
        <v>26</v>
      </c>
      <c r="C430" s="69" t="s">
        <v>311</v>
      </c>
      <c r="D430" s="65" t="s">
        <v>40</v>
      </c>
      <c r="E430" s="67" t="s">
        <v>332</v>
      </c>
      <c r="F430" s="65" t="s">
        <v>188</v>
      </c>
      <c r="G430" s="65" t="str">
        <f>INDEX(Auxiliar!$B$16:$B$24,MATCH(Plano_V3!H430,Auxiliar!$C$16:$C$24,0),1)</f>
        <v>1. Concluído</v>
      </c>
      <c r="H430" s="65">
        <f>VLOOKUP(A430,'Aux - pivots1'!$A:$B,2,0)</f>
        <v>1</v>
      </c>
      <c r="I430" s="189">
        <f>SUMIFS(Table1[Estimação (horas)],Table1[Tabela],Plano_V3!E430,Table1[Campo],Plano_V3!F430)</f>
        <v>8.1</v>
      </c>
      <c r="J430" s="189">
        <f t="shared" si="59"/>
        <v>1.0125</v>
      </c>
      <c r="K430" s="189">
        <f>SUMIFS(Table1[Horas efetivas],Table1[Tabela],Plano_V3!E430,Table1[Campo],Plano_V3!F430)</f>
        <v>8.1</v>
      </c>
      <c r="L430" s="189">
        <f t="shared" si="60"/>
        <v>1.0125</v>
      </c>
      <c r="M430" s="183"/>
      <c r="N430" s="183">
        <f t="shared" si="61"/>
        <v>1</v>
      </c>
      <c r="O430" s="183">
        <f t="shared" si="62"/>
        <v>1</v>
      </c>
      <c r="P430" s="88" t="s">
        <v>333</v>
      </c>
      <c r="Q430" s="91">
        <f t="shared" si="63"/>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4"/>
        <v>modesg_out_emss_vclsorigem_scp1_emss</v>
      </c>
      <c r="B431" s="68" t="s">
        <v>26</v>
      </c>
      <c r="C431" s="69" t="s">
        <v>311</v>
      </c>
      <c r="D431" s="65" t="s">
        <v>40</v>
      </c>
      <c r="E431" s="67" t="s">
        <v>332</v>
      </c>
      <c r="F431" s="65" t="s">
        <v>320</v>
      </c>
      <c r="G431" s="65" t="str">
        <f>INDEX(Auxiliar!$B$16:$B$24,MATCH(Plano_V3!H431,Auxiliar!$C$16:$C$24,0),1)</f>
        <v>1. Concluído</v>
      </c>
      <c r="H431" s="65">
        <f>VLOOKUP(A431,'Aux - pivots1'!$A:$B,2,0)</f>
        <v>1</v>
      </c>
      <c r="I431" s="189">
        <f>SUMIFS(Table1[Estimação (horas)],Table1[Tabela],Plano_V3!E431,Table1[Campo],Plano_V3!F431)</f>
        <v>8.1</v>
      </c>
      <c r="J431" s="189">
        <f t="shared" si="59"/>
        <v>1.0125</v>
      </c>
      <c r="K431" s="189">
        <f>SUMIFS(Table1[Horas efetivas],Table1[Tabela],Plano_V3!E431,Table1[Campo],Plano_V3!F431)</f>
        <v>8.1</v>
      </c>
      <c r="L431" s="189">
        <f t="shared" si="60"/>
        <v>1.0125</v>
      </c>
      <c r="M431" s="183"/>
      <c r="N431" s="183">
        <f t="shared" si="61"/>
        <v>1</v>
      </c>
      <c r="O431" s="183">
        <f t="shared" si="62"/>
        <v>1</v>
      </c>
      <c r="P431" s="88" t="s">
        <v>333</v>
      </c>
      <c r="Q431" s="91">
        <f t="shared" si="63"/>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4"/>
        <v>modesg_out_emss_vclsorigem_scp2_emss</v>
      </c>
      <c r="B432" s="68" t="s">
        <v>26</v>
      </c>
      <c r="C432" s="69" t="s">
        <v>311</v>
      </c>
      <c r="D432" s="65" t="s">
        <v>40</v>
      </c>
      <c r="E432" s="67" t="s">
        <v>332</v>
      </c>
      <c r="F432" s="65" t="s">
        <v>321</v>
      </c>
      <c r="G432" s="65" t="str">
        <f>INDEX(Auxiliar!$B$16:$B$24,MATCH(Plano_V3!H432,Auxiliar!$C$16:$C$24,0),1)</f>
        <v>1. Concluído</v>
      </c>
      <c r="H432" s="65">
        <f>VLOOKUP(A432,'Aux - pivots1'!$A:$B,2,0)</f>
        <v>1</v>
      </c>
      <c r="I432" s="189">
        <f>SUMIFS(Table1[Estimação (horas)],Table1[Tabela],Plano_V3!E432,Table1[Campo],Plano_V3!F432)</f>
        <v>8.1</v>
      </c>
      <c r="J432" s="189">
        <f t="shared" si="59"/>
        <v>1.0125</v>
      </c>
      <c r="K432" s="189">
        <f>SUMIFS(Table1[Horas efetivas],Table1[Tabela],Plano_V3!E432,Table1[Campo],Plano_V3!F432)</f>
        <v>8.1</v>
      </c>
      <c r="L432" s="189">
        <f t="shared" si="60"/>
        <v>1.0125</v>
      </c>
      <c r="M432" s="183"/>
      <c r="N432" s="183">
        <f t="shared" si="61"/>
        <v>1</v>
      </c>
      <c r="O432" s="183">
        <f t="shared" si="62"/>
        <v>1</v>
      </c>
      <c r="P432" s="88" t="s">
        <v>333</v>
      </c>
      <c r="Q432" s="91">
        <f t="shared" si="63"/>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4"/>
        <v>modesg_out_emss_vclsorigem_scp3_emss</v>
      </c>
      <c r="B433" s="68" t="s">
        <v>26</v>
      </c>
      <c r="C433" s="69" t="s">
        <v>311</v>
      </c>
      <c r="D433" s="65" t="s">
        <v>40</v>
      </c>
      <c r="E433" s="67" t="s">
        <v>332</v>
      </c>
      <c r="F433" s="65" t="s">
        <v>322</v>
      </c>
      <c r="G433" s="65" t="str">
        <f>INDEX(Auxiliar!$B$16:$B$24,MATCH(Plano_V3!H433,Auxiliar!$C$16:$C$24,0),1)</f>
        <v>1. Concluído</v>
      </c>
      <c r="H433" s="65">
        <f>VLOOKUP(A433,'Aux - pivots1'!$A:$B,2,0)</f>
        <v>1</v>
      </c>
      <c r="I433" s="189">
        <f>SUMIFS(Table1[Estimação (horas)],Table1[Tabela],Plano_V3!E433,Table1[Campo],Plano_V3!F433)</f>
        <v>8.1</v>
      </c>
      <c r="J433" s="189">
        <f t="shared" si="59"/>
        <v>1.0125</v>
      </c>
      <c r="K433" s="189">
        <f>SUMIFS(Table1[Horas efetivas],Table1[Tabela],Plano_V3!E433,Table1[Campo],Plano_V3!F433)</f>
        <v>8.1</v>
      </c>
      <c r="L433" s="189">
        <f t="shared" si="60"/>
        <v>1.0125</v>
      </c>
      <c r="M433" s="183"/>
      <c r="N433" s="183">
        <f t="shared" si="61"/>
        <v>1</v>
      </c>
      <c r="O433" s="183">
        <f t="shared" si="62"/>
        <v>1</v>
      </c>
      <c r="P433" s="88" t="s">
        <v>333</v>
      </c>
      <c r="Q433" s="91">
        <f t="shared" si="63"/>
        <v>1.0125</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4"/>
        <v>modesg_out_emss_vclsref_date</v>
      </c>
      <c r="B434" s="68" t="s">
        <v>26</v>
      </c>
      <c r="C434" s="69" t="s">
        <v>311</v>
      </c>
      <c r="D434" s="65" t="s">
        <v>40</v>
      </c>
      <c r="E434" s="67" t="s">
        <v>332</v>
      </c>
      <c r="F434" s="65" t="s">
        <v>208</v>
      </c>
      <c r="G434" s="65" t="str">
        <f>INDEX(Auxiliar!$B$16:$B$24,MATCH(Plano_V3!H434,Auxiliar!$C$16:$C$24,0),1)</f>
        <v>1. Concluído</v>
      </c>
      <c r="H434" s="65">
        <f>VLOOKUP(A434,'Aux - pivots1'!$A:$B,2,0)</f>
        <v>1</v>
      </c>
      <c r="I434" s="189">
        <f>SUMIFS(Table1[Estimação (horas)],Table1[Tabela],Plano_V3!E434,Table1[Campo],Plano_V3!F434)</f>
        <v>4.0999999999999996</v>
      </c>
      <c r="J434" s="189">
        <f t="shared" si="59"/>
        <v>0.51249999999999996</v>
      </c>
      <c r="K434" s="189">
        <f>SUMIFS(Table1[Horas efetivas],Table1[Tabela],Plano_V3!E434,Table1[Campo],Plano_V3!F434)</f>
        <v>4.0999999999999996</v>
      </c>
      <c r="L434" s="189">
        <f t="shared" si="60"/>
        <v>0.51249999999999996</v>
      </c>
      <c r="M434" s="183"/>
      <c r="N434" s="183">
        <f t="shared" si="61"/>
        <v>1</v>
      </c>
      <c r="O434" s="183">
        <f t="shared" si="62"/>
        <v>1</v>
      </c>
      <c r="P434" s="88" t="s">
        <v>333</v>
      </c>
      <c r="Q434" s="91">
        <f t="shared" si="63"/>
        <v>0.51249999999999996</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4"/>
        <v>modesg_out_emss_vclsscp1_emss</v>
      </c>
      <c r="B435" s="68" t="s">
        <v>26</v>
      </c>
      <c r="C435" s="69" t="s">
        <v>311</v>
      </c>
      <c r="D435" s="65" t="s">
        <v>40</v>
      </c>
      <c r="E435" s="67" t="s">
        <v>332</v>
      </c>
      <c r="F435" s="65" t="s">
        <v>286</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9"/>
        <v>2.0125000000000002</v>
      </c>
      <c r="K435" s="189">
        <f>SUMIFS(Table1[Horas efetivas],Table1[Tabela],Plano_V3!E435,Table1[Campo],Plano_V3!F435)</f>
        <v>16.100000000000001</v>
      </c>
      <c r="L435" s="189">
        <f t="shared" si="60"/>
        <v>2.0125000000000002</v>
      </c>
      <c r="M435" s="183"/>
      <c r="N435" s="183">
        <f t="shared" si="61"/>
        <v>1</v>
      </c>
      <c r="O435" s="183">
        <f t="shared" si="62"/>
        <v>1</v>
      </c>
      <c r="P435" s="88" t="s">
        <v>333</v>
      </c>
      <c r="Q435" s="91">
        <f t="shared" si="63"/>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4"/>
        <v>modesg_out_emss_vclsscp2_emss</v>
      </c>
      <c r="B436" s="68" t="s">
        <v>26</v>
      </c>
      <c r="C436" s="69" t="s">
        <v>311</v>
      </c>
      <c r="D436" s="65" t="s">
        <v>40</v>
      </c>
      <c r="E436" s="67" t="s">
        <v>332</v>
      </c>
      <c r="F436" s="65" t="s">
        <v>287</v>
      </c>
      <c r="G436" s="65" t="str">
        <f>INDEX(Auxiliar!$B$16:$B$24,MATCH(Plano_V3!H436,Auxiliar!$C$16:$C$24,0),1)</f>
        <v>1. Concluído</v>
      </c>
      <c r="H436" s="65">
        <f>VLOOKUP(A436,'Aux - pivots1'!$A:$B,2,0)</f>
        <v>1</v>
      </c>
      <c r="I436" s="189">
        <f>SUMIFS(Table1[Estimação (horas)],Table1[Tabela],Plano_V3!E436,Table1[Campo],Plano_V3!F436)</f>
        <v>16.100000000000001</v>
      </c>
      <c r="J436" s="189">
        <f t="shared" si="59"/>
        <v>2.0125000000000002</v>
      </c>
      <c r="K436" s="189">
        <f>SUMIFS(Table1[Horas efetivas],Table1[Tabela],Plano_V3!E436,Table1[Campo],Plano_V3!F436)</f>
        <v>16.100000000000001</v>
      </c>
      <c r="L436" s="189">
        <f t="shared" si="60"/>
        <v>2.0125000000000002</v>
      </c>
      <c r="M436" s="183"/>
      <c r="N436" s="183">
        <f t="shared" si="61"/>
        <v>1</v>
      </c>
      <c r="O436" s="183">
        <f t="shared" si="62"/>
        <v>1</v>
      </c>
      <c r="P436" s="88" t="s">
        <v>333</v>
      </c>
      <c r="Q436" s="91">
        <f t="shared" si="63"/>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4"/>
        <v>modesg_out_emss_vclsscp3_emss</v>
      </c>
      <c r="B437" s="68" t="s">
        <v>26</v>
      </c>
      <c r="C437" s="69" t="s">
        <v>311</v>
      </c>
      <c r="D437" s="65" t="s">
        <v>40</v>
      </c>
      <c r="E437" s="67" t="s">
        <v>332</v>
      </c>
      <c r="F437" s="65" t="s">
        <v>288</v>
      </c>
      <c r="G437" s="65" t="str">
        <f>INDEX(Auxiliar!$B$16:$B$24,MATCH(Plano_V3!H437,Auxiliar!$C$16:$C$24,0),1)</f>
        <v>1. Concluído</v>
      </c>
      <c r="H437" s="65">
        <f>VLOOKUP(A437,'Aux - pivots1'!$A:$B,2,0)</f>
        <v>1</v>
      </c>
      <c r="I437" s="189">
        <f>SUMIFS(Table1[Estimação (horas)],Table1[Tabela],Plano_V3!E437,Table1[Campo],Plano_V3!F437)</f>
        <v>16.100000000000001</v>
      </c>
      <c r="J437" s="189">
        <f t="shared" ref="J437:J455" si="65">I437/8</f>
        <v>2.0125000000000002</v>
      </c>
      <c r="K437" s="189">
        <f>SUMIFS(Table1[Horas efetivas],Table1[Tabela],Plano_V3!E437,Table1[Campo],Plano_V3!F437)</f>
        <v>16.100000000000001</v>
      </c>
      <c r="L437" s="189">
        <f t="shared" ref="L437:L455" si="66">K437/8</f>
        <v>2.0125000000000002</v>
      </c>
      <c r="M437" s="183"/>
      <c r="N437" s="183">
        <f t="shared" ref="N437:N456" si="67">L437/J437</f>
        <v>1</v>
      </c>
      <c r="O437" s="183">
        <f t="shared" si="62"/>
        <v>1</v>
      </c>
      <c r="P437" s="88" t="s">
        <v>333</v>
      </c>
      <c r="Q437" s="91">
        <f t="shared" si="63"/>
        <v>2.0125000000000002</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4"/>
        <v>modesg_out_emss_vclsunidade_funcional_scp1_emss</v>
      </c>
      <c r="B438" s="68" t="s">
        <v>26</v>
      </c>
      <c r="C438" s="69" t="s">
        <v>311</v>
      </c>
      <c r="D438" s="65" t="s">
        <v>40</v>
      </c>
      <c r="E438" s="67" t="s">
        <v>332</v>
      </c>
      <c r="F438" s="65" t="s">
        <v>323</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5"/>
        <v>0.51249999999999996</v>
      </c>
      <c r="K438" s="189">
        <f>SUMIFS(Table1[Horas efetivas],Table1[Tabela],Plano_V3!E438,Table1[Campo],Plano_V3!F438)</f>
        <v>4.0999999999999996</v>
      </c>
      <c r="L438" s="189">
        <f t="shared" si="66"/>
        <v>0.51249999999999996</v>
      </c>
      <c r="M438" s="183"/>
      <c r="N438" s="183">
        <f t="shared" si="67"/>
        <v>1</v>
      </c>
      <c r="O438" s="183">
        <f t="shared" si="62"/>
        <v>1</v>
      </c>
      <c r="P438" s="88" t="s">
        <v>333</v>
      </c>
      <c r="Q438" s="91">
        <f t="shared" si="63"/>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4"/>
        <v>modesg_out_emss_vclsunidade_funcional_scp2_emss</v>
      </c>
      <c r="B439" s="68" t="s">
        <v>26</v>
      </c>
      <c r="C439" s="69" t="s">
        <v>311</v>
      </c>
      <c r="D439" s="65" t="s">
        <v>40</v>
      </c>
      <c r="E439" s="67" t="s">
        <v>332</v>
      </c>
      <c r="F439" s="65" t="s">
        <v>324</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5"/>
        <v>0.51249999999999996</v>
      </c>
      <c r="K439" s="189">
        <f>SUMIFS(Table1[Horas efetivas],Table1[Tabela],Plano_V3!E439,Table1[Campo],Plano_V3!F439)</f>
        <v>4.0999999999999996</v>
      </c>
      <c r="L439" s="189">
        <f t="shared" si="66"/>
        <v>0.51249999999999996</v>
      </c>
      <c r="M439" s="183"/>
      <c r="N439" s="183">
        <f t="shared" si="67"/>
        <v>1</v>
      </c>
      <c r="O439" s="183">
        <f t="shared" si="62"/>
        <v>1</v>
      </c>
      <c r="P439" s="88" t="s">
        <v>333</v>
      </c>
      <c r="Q439" s="91">
        <f t="shared" si="63"/>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4"/>
        <v>modesg_out_emss_vclsunidade_funcional_scp3_emss</v>
      </c>
      <c r="B440" s="68" t="s">
        <v>26</v>
      </c>
      <c r="C440" s="69" t="s">
        <v>311</v>
      </c>
      <c r="D440" s="65" t="s">
        <v>40</v>
      </c>
      <c r="E440" s="67" t="s">
        <v>332</v>
      </c>
      <c r="F440" s="65" t="s">
        <v>325</v>
      </c>
      <c r="G440" s="65" t="str">
        <f>INDEX(Auxiliar!$B$16:$B$24,MATCH(Plano_V3!H440,Auxiliar!$C$16:$C$24,0),1)</f>
        <v>1. Concluído</v>
      </c>
      <c r="H440" s="65">
        <f>VLOOKUP(A440,'Aux - pivots1'!$A:$B,2,0)</f>
        <v>1</v>
      </c>
      <c r="I440" s="189">
        <f>SUMIFS(Table1[Estimação (horas)],Table1[Tabela],Plano_V3!E440,Table1[Campo],Plano_V3!F440)</f>
        <v>4.0999999999999996</v>
      </c>
      <c r="J440" s="189">
        <f t="shared" si="65"/>
        <v>0.51249999999999996</v>
      </c>
      <c r="K440" s="189">
        <f>SUMIFS(Table1[Horas efetivas],Table1[Tabela],Plano_V3!E440,Table1[Campo],Plano_V3!F440)</f>
        <v>4.0999999999999996</v>
      </c>
      <c r="L440" s="189">
        <f t="shared" si="66"/>
        <v>0.51249999999999996</v>
      </c>
      <c r="M440" s="183"/>
      <c r="N440" s="183">
        <f t="shared" si="67"/>
        <v>1</v>
      </c>
      <c r="O440" s="183">
        <f t="shared" si="62"/>
        <v>1</v>
      </c>
      <c r="P440" s="88" t="s">
        <v>333</v>
      </c>
      <c r="Q440" s="91">
        <f t="shared" si="63"/>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4"/>
        <v>modesg_out_sfcs_taxon_europeian.a.</v>
      </c>
      <c r="B441" s="68" t="s">
        <v>26</v>
      </c>
      <c r="C441" s="69" t="s">
        <v>311</v>
      </c>
      <c r="D441" s="65" t="s">
        <v>36</v>
      </c>
      <c r="E441" s="67" t="s">
        <v>334</v>
      </c>
      <c r="F441" s="65" t="s">
        <v>38</v>
      </c>
      <c r="G441" s="65" t="str">
        <f>INDEX(Auxiliar!$B$16:$B$24,MATCH(Plano_V3!H441,Auxiliar!$C$16:$C$24,0),1)</f>
        <v>4. Validação EF</v>
      </c>
      <c r="H441" s="65">
        <f>VLOOKUP(A441,'Aux - pivots1'!$A:$B,2,0)</f>
        <v>5</v>
      </c>
      <c r="I441" s="189">
        <f>SUMIFS(Table1[Estimação (horas)],Table1[Tabela],Plano_V3!E441,Table1[Campo],Plano_V3!F441)</f>
        <v>8</v>
      </c>
      <c r="J441" s="189">
        <f t="shared" si="65"/>
        <v>1</v>
      </c>
      <c r="K441" s="189">
        <f>SUMIFS(Table1[Horas efetivas],Table1[Tabela],Plano_V3!E441,Table1[Campo],Plano_V3!F441)</f>
        <v>2</v>
      </c>
      <c r="L441" s="189">
        <f t="shared" si="66"/>
        <v>0.25</v>
      </c>
      <c r="M441" s="183"/>
      <c r="N441" s="183">
        <f t="shared" si="67"/>
        <v>0.25</v>
      </c>
      <c r="O441" s="183">
        <f t="shared" si="62"/>
        <v>0.25</v>
      </c>
      <c r="P441" s="88" t="s">
        <v>335</v>
      </c>
      <c r="Q441" s="91">
        <f t="shared" si="63"/>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4"/>
        <v>modesg_out_sfcs_taxon_europeiacbalcao</v>
      </c>
      <c r="B442" s="68" t="s">
        <v>26</v>
      </c>
      <c r="C442" s="69" t="s">
        <v>311</v>
      </c>
      <c r="D442" s="65" t="s">
        <v>40</v>
      </c>
      <c r="E442" s="67" t="s">
        <v>334</v>
      </c>
      <c r="F442" s="65" t="s">
        <v>183</v>
      </c>
      <c r="G442" s="65" t="str">
        <f>INDEX(Auxiliar!$B$16:$B$24,MATCH(Plano_V3!H442,Auxiliar!$C$16:$C$24,0),1)</f>
        <v>4. Validação EF</v>
      </c>
      <c r="H442" s="65">
        <f>VLOOKUP(A442,'Aux - pivots1'!$A:$B,2,0)</f>
        <v>5</v>
      </c>
      <c r="I442" s="189">
        <f>SUMIFS(Table1[Estimação (horas)],Table1[Tabela],Plano_V3!E442,Table1[Campo],Plano_V3!F442)</f>
        <v>4.0999999999999996</v>
      </c>
      <c r="J442" s="189">
        <f t="shared" si="65"/>
        <v>0.51249999999999996</v>
      </c>
      <c r="K442" s="189">
        <f>SUMIFS(Table1[Horas efetivas],Table1[Tabela],Plano_V3!E442,Table1[Campo],Plano_V3!F442)</f>
        <v>1.0249999999999999</v>
      </c>
      <c r="L442" s="189">
        <f t="shared" si="66"/>
        <v>0.12812499999999999</v>
      </c>
      <c r="M442" s="183"/>
      <c r="N442" s="183">
        <f t="shared" si="67"/>
        <v>0.25</v>
      </c>
      <c r="O442" s="183">
        <f t="shared" si="62"/>
        <v>0.25</v>
      </c>
      <c r="P442" s="88" t="s">
        <v>335</v>
      </c>
      <c r="Q442" s="91">
        <f t="shared" si="63"/>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4"/>
        <v>modesg_out_sfcs_taxon_europeiacempresa</v>
      </c>
      <c r="B443" s="68" t="s">
        <v>26</v>
      </c>
      <c r="C443" s="69" t="s">
        <v>311</v>
      </c>
      <c r="D443" s="65" t="s">
        <v>40</v>
      </c>
      <c r="E443" s="67" t="s">
        <v>334</v>
      </c>
      <c r="F443" s="65" t="s">
        <v>184</v>
      </c>
      <c r="G443" s="65" t="str">
        <f>INDEX(Auxiliar!$B$16:$B$24,MATCH(Plano_V3!H443,Auxiliar!$C$16:$C$24,0),1)</f>
        <v>4. Validação EF</v>
      </c>
      <c r="H443" s="65">
        <f>VLOOKUP(A443,'Aux - pivots1'!$A:$B,2,0)</f>
        <v>5</v>
      </c>
      <c r="I443" s="189">
        <f>SUMIFS(Table1[Estimação (horas)],Table1[Tabela],Plano_V3!E443,Table1[Campo],Plano_V3!F443)</f>
        <v>4.0999999999999996</v>
      </c>
      <c r="J443" s="189">
        <f t="shared" si="65"/>
        <v>0.51249999999999996</v>
      </c>
      <c r="K443" s="189">
        <f>SUMIFS(Table1[Horas efetivas],Table1[Tabela],Plano_V3!E443,Table1[Campo],Plano_V3!F443)</f>
        <v>1.0249999999999999</v>
      </c>
      <c r="L443" s="189">
        <f t="shared" si="66"/>
        <v>0.12812499999999999</v>
      </c>
      <c r="M443" s="183"/>
      <c r="N443" s="183">
        <f t="shared" si="67"/>
        <v>0.25</v>
      </c>
      <c r="O443" s="183">
        <f t="shared" si="62"/>
        <v>0.25</v>
      </c>
      <c r="P443" s="88" t="s">
        <v>335</v>
      </c>
      <c r="Q443" s="91">
        <f t="shared" si="63"/>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4"/>
        <v>modesg_out_sfcs_taxon_europeiacnumecta</v>
      </c>
      <c r="B444" s="68" t="s">
        <v>26</v>
      </c>
      <c r="C444" s="69" t="s">
        <v>311</v>
      </c>
      <c r="D444" s="65" t="s">
        <v>40</v>
      </c>
      <c r="E444" s="67" t="s">
        <v>334</v>
      </c>
      <c r="F444" s="65" t="s">
        <v>189</v>
      </c>
      <c r="G444" s="65" t="str">
        <f>INDEX(Auxiliar!$B$16:$B$24,MATCH(Plano_V3!H444,Auxiliar!$C$16:$C$24,0),1)</f>
        <v>4. Validação EF</v>
      </c>
      <c r="H444" s="65">
        <f>VLOOKUP(A444,'Aux - pivots1'!$A:$B,2,0)</f>
        <v>5</v>
      </c>
      <c r="I444" s="189">
        <f>SUMIFS(Table1[Estimação (horas)],Table1[Tabela],Plano_V3!E444,Table1[Campo],Plano_V3!F444)</f>
        <v>4.0999999999999996</v>
      </c>
      <c r="J444" s="189">
        <f t="shared" si="65"/>
        <v>0.51249999999999996</v>
      </c>
      <c r="K444" s="189">
        <f>SUMIFS(Table1[Horas efetivas],Table1[Tabela],Plano_V3!E444,Table1[Campo],Plano_V3!F444)</f>
        <v>1.0249999999999999</v>
      </c>
      <c r="L444" s="189">
        <f t="shared" si="66"/>
        <v>0.12812499999999999</v>
      </c>
      <c r="M444" s="183"/>
      <c r="N444" s="183">
        <f t="shared" si="67"/>
        <v>0.25</v>
      </c>
      <c r="O444" s="183">
        <f t="shared" si="62"/>
        <v>0.25</v>
      </c>
      <c r="P444" s="88" t="s">
        <v>335</v>
      </c>
      <c r="Q444" s="91">
        <f t="shared" si="63"/>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4"/>
        <v>modesg_out_sfcs_taxon_europeiacod_regra</v>
      </c>
      <c r="B445" s="68" t="s">
        <v>26</v>
      </c>
      <c r="C445" s="69" t="s">
        <v>311</v>
      </c>
      <c r="D445" s="65" t="s">
        <v>40</v>
      </c>
      <c r="E445" s="67" t="s">
        <v>334</v>
      </c>
      <c r="F445" s="65" t="s">
        <v>191</v>
      </c>
      <c r="G445" s="65" t="str">
        <f>INDEX(Auxiliar!$B$16:$B$24,MATCH(Plano_V3!H445,Auxiliar!$C$16:$C$24,0),1)</f>
        <v>4. Validação EF</v>
      </c>
      <c r="H445" s="65">
        <f>VLOOKUP(A445,'Aux - pivots1'!$A:$B,2,0)</f>
        <v>5</v>
      </c>
      <c r="I445" s="189">
        <f>SUMIFS(Table1[Estimação (horas)],Table1[Tabela],Plano_V3!E445,Table1[Campo],Plano_V3!F445)</f>
        <v>4.0999999999999996</v>
      </c>
      <c r="J445" s="189">
        <f t="shared" si="65"/>
        <v>0.51249999999999996</v>
      </c>
      <c r="K445" s="189">
        <f>SUMIFS(Table1[Horas efetivas],Table1[Tabela],Plano_V3!E445,Table1[Campo],Plano_V3!F445)</f>
        <v>1.0249999999999999</v>
      </c>
      <c r="L445" s="189">
        <f t="shared" si="66"/>
        <v>0.12812499999999999</v>
      </c>
      <c r="M445" s="183"/>
      <c r="N445" s="183">
        <f t="shared" si="67"/>
        <v>0.25</v>
      </c>
      <c r="O445" s="183">
        <f t="shared" si="62"/>
        <v>0.25</v>
      </c>
      <c r="P445" s="88" t="s">
        <v>335</v>
      </c>
      <c r="Q445" s="91">
        <f t="shared" si="63"/>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4"/>
        <v>modesg_out_sfcs_taxon_europeiaordem</v>
      </c>
      <c r="B446" s="68" t="s">
        <v>26</v>
      </c>
      <c r="C446" s="69" t="s">
        <v>311</v>
      </c>
      <c r="D446" s="65" t="s">
        <v>40</v>
      </c>
      <c r="E446" s="67" t="s">
        <v>334</v>
      </c>
      <c r="F446" s="65" t="s">
        <v>211</v>
      </c>
      <c r="G446" s="65" t="str">
        <f>INDEX(Auxiliar!$B$16:$B$24,MATCH(Plano_V3!H446,Auxiliar!$C$16:$C$24,0),1)</f>
        <v>0. Cancelado</v>
      </c>
      <c r="H446" s="65">
        <f>VLOOKUP(A446,'Aux - pivots1'!$A:$B,2,0)</f>
        <v>0</v>
      </c>
      <c r="I446" s="189">
        <f>SUMIFS(Table1[Estimação (horas)],Table1[Tabela],Plano_V3!E446,Table1[Campo],Plano_V3!F446)</f>
        <v>4.0999999999999996</v>
      </c>
      <c r="J446" s="189">
        <f t="shared" si="65"/>
        <v>0.51249999999999996</v>
      </c>
      <c r="K446" s="189">
        <f>SUMIFS(Table1[Horas efetivas],Table1[Tabela],Plano_V3!E446,Table1[Campo],Plano_V3!F446)</f>
        <v>0</v>
      </c>
      <c r="L446" s="189">
        <f t="shared" si="66"/>
        <v>0</v>
      </c>
      <c r="M446" s="183"/>
      <c r="N446" s="183">
        <f t="shared" si="67"/>
        <v>0</v>
      </c>
      <c r="O446" s="183">
        <f t="shared" si="62"/>
        <v>0</v>
      </c>
      <c r="P446" s="88" t="s">
        <v>335</v>
      </c>
      <c r="Q446" s="91">
        <f t="shared" si="63"/>
        <v>0.51249999999999996</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4"/>
        <v>modesg_out_sfcs_taxon_europeiamontante_pndrc</v>
      </c>
      <c r="B447" s="68" t="s">
        <v>26</v>
      </c>
      <c r="C447" s="69" t="s">
        <v>311</v>
      </c>
      <c r="D447" s="65" t="s">
        <v>40</v>
      </c>
      <c r="E447" s="67" t="s">
        <v>334</v>
      </c>
      <c r="F447" s="65" t="s">
        <v>202</v>
      </c>
      <c r="G447" s="65" t="str">
        <f>INDEX(Auxiliar!$B$16:$B$24,MATCH(Plano_V3!H447,Auxiliar!$C$16:$C$24,0),1)</f>
        <v>4. Validação EF</v>
      </c>
      <c r="H447" s="65">
        <f>VLOOKUP(A447,'Aux - pivots1'!$A:$B,2,0)</f>
        <v>5</v>
      </c>
      <c r="I447" s="189">
        <f>SUMIFS(Table1[Estimação (horas)],Table1[Tabela],Plano_V3!E447,Table1[Campo],Plano_V3!F447)</f>
        <v>16.100000000000001</v>
      </c>
      <c r="J447" s="189">
        <f t="shared" si="65"/>
        <v>2.0125000000000002</v>
      </c>
      <c r="K447" s="189">
        <f>SUMIFS(Table1[Horas efetivas],Table1[Tabela],Plano_V3!E447,Table1[Campo],Plano_V3!F447)</f>
        <v>4.0250000000000004</v>
      </c>
      <c r="L447" s="189">
        <f t="shared" si="66"/>
        <v>0.50312500000000004</v>
      </c>
      <c r="M447" s="183"/>
      <c r="N447" s="183">
        <f t="shared" si="67"/>
        <v>0.25</v>
      </c>
      <c r="O447" s="183">
        <f t="shared" si="62"/>
        <v>0.25</v>
      </c>
      <c r="P447" s="88" t="s">
        <v>335</v>
      </c>
      <c r="Q447" s="91">
        <f t="shared" si="63"/>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4"/>
        <v>modesg_out_sfcs_taxon_europeianome_ctgr_sfcs</v>
      </c>
      <c r="B448" s="68" t="s">
        <v>26</v>
      </c>
      <c r="C448" s="69" t="s">
        <v>311</v>
      </c>
      <c r="D448" s="65" t="s">
        <v>40</v>
      </c>
      <c r="E448" s="67" t="s">
        <v>334</v>
      </c>
      <c r="F448" s="65" t="s">
        <v>203</v>
      </c>
      <c r="G448" s="65" t="str">
        <f>INDEX(Auxiliar!$B$16:$B$24,MATCH(Plano_V3!H448,Auxiliar!$C$16:$C$24,0),1)</f>
        <v>4. Validação EF</v>
      </c>
      <c r="H448" s="65">
        <f>VLOOKUP(A448,'Aux - pivots1'!$A:$B,2,0)</f>
        <v>5</v>
      </c>
      <c r="I448" s="189">
        <f>SUMIFS(Table1[Estimação (horas)],Table1[Tabela],Plano_V3!E448,Table1[Campo],Plano_V3!F448)</f>
        <v>16.100000000000001</v>
      </c>
      <c r="J448" s="189">
        <f t="shared" si="65"/>
        <v>2.0125000000000002</v>
      </c>
      <c r="K448" s="189">
        <f>SUMIFS(Table1[Horas efetivas],Table1[Tabela],Plano_V3!E448,Table1[Campo],Plano_V3!F448)</f>
        <v>4.0250000000000004</v>
      </c>
      <c r="L448" s="189">
        <f t="shared" si="66"/>
        <v>0.50312500000000004</v>
      </c>
      <c r="M448" s="183"/>
      <c r="N448" s="183">
        <f t="shared" si="67"/>
        <v>0.25</v>
      </c>
      <c r="O448" s="183">
        <f t="shared" si="62"/>
        <v>0.25</v>
      </c>
      <c r="P448" s="88" t="s">
        <v>335</v>
      </c>
      <c r="Q448" s="91">
        <f t="shared" si="63"/>
        <v>2.0125000000000002</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4"/>
        <v>modesg_out_sfcs_taxon_europeianome_general_specific_purpose</v>
      </c>
      <c r="B449" s="68" t="s">
        <v>26</v>
      </c>
      <c r="C449" s="69" t="s">
        <v>311</v>
      </c>
      <c r="D449" s="65" t="s">
        <v>40</v>
      </c>
      <c r="E449" s="67" t="s">
        <v>334</v>
      </c>
      <c r="F449" s="65" t="s">
        <v>204</v>
      </c>
      <c r="G449" s="65" t="str">
        <f>INDEX(Auxiliar!$B$16:$B$24,MATCH(Plano_V3!H449,Auxiliar!$C$16:$C$24,0),1)</f>
        <v>4. Validação EF</v>
      </c>
      <c r="H449" s="65">
        <f>VLOOKUP(A449,'Aux - pivots1'!$A:$B,2,0)</f>
        <v>5</v>
      </c>
      <c r="I449" s="189">
        <f>SUMIFS(Table1[Estimação (horas)],Table1[Tabela],Plano_V3!E449,Table1[Campo],Plano_V3!F449)</f>
        <v>8.1</v>
      </c>
      <c r="J449" s="189">
        <f t="shared" si="65"/>
        <v>1.0125</v>
      </c>
      <c r="K449" s="189">
        <f>SUMIFS(Table1[Horas efetivas],Table1[Tabela],Plano_V3!E449,Table1[Campo],Plano_V3!F449)</f>
        <v>2.0249999999999999</v>
      </c>
      <c r="L449" s="189">
        <f t="shared" si="66"/>
        <v>0.25312499999999999</v>
      </c>
      <c r="M449" s="183"/>
      <c r="N449" s="183">
        <f t="shared" si="67"/>
        <v>0.25</v>
      </c>
      <c r="O449" s="183">
        <f t="shared" si="62"/>
        <v>0.25</v>
      </c>
      <c r="P449" s="88" t="s">
        <v>335</v>
      </c>
      <c r="Q449" s="91">
        <f t="shared" si="63"/>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4"/>
        <v>modesg_out_sfcs_taxon_europeianome_purpose_esg</v>
      </c>
      <c r="B450" s="68" t="s">
        <v>26</v>
      </c>
      <c r="C450" s="69" t="s">
        <v>311</v>
      </c>
      <c r="D450" s="65" t="s">
        <v>40</v>
      </c>
      <c r="E450" s="67" t="s">
        <v>334</v>
      </c>
      <c r="F450" s="65" t="s">
        <v>205</v>
      </c>
      <c r="G450" s="65" t="str">
        <f>INDEX(Auxiliar!$B$16:$B$24,MATCH(Plano_V3!H450,Auxiliar!$C$16:$C$24,0),1)</f>
        <v>4. Validação EF</v>
      </c>
      <c r="H450" s="65">
        <f>VLOOKUP(A450,'Aux - pivots1'!$A:$B,2,0)</f>
        <v>5</v>
      </c>
      <c r="I450" s="189">
        <f>SUMIFS(Table1[Estimação (horas)],Table1[Tabela],Plano_V3!E450,Table1[Campo],Plano_V3!F450)</f>
        <v>8.1</v>
      </c>
      <c r="J450" s="189">
        <f t="shared" si="65"/>
        <v>1.0125</v>
      </c>
      <c r="K450" s="189">
        <f>SUMIFS(Table1[Horas efetivas],Table1[Tabela],Plano_V3!E450,Table1[Campo],Plano_V3!F450)</f>
        <v>2.0249999999999999</v>
      </c>
      <c r="L450" s="189">
        <f t="shared" si="66"/>
        <v>0.25312499999999999</v>
      </c>
      <c r="M450" s="183"/>
      <c r="N450" s="183">
        <f t="shared" si="67"/>
        <v>0.25</v>
      </c>
      <c r="O450" s="183">
        <f t="shared" si="62"/>
        <v>0.25</v>
      </c>
      <c r="P450" s="88" t="s">
        <v>335</v>
      </c>
      <c r="Q450" s="91">
        <f t="shared" si="63"/>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4"/>
        <v>modesg_out_sfcs_taxon_europeianome_specific_eligible</v>
      </c>
      <c r="B451" s="68" t="s">
        <v>26</v>
      </c>
      <c r="C451" s="69" t="s">
        <v>311</v>
      </c>
      <c r="D451" s="65" t="s">
        <v>40</v>
      </c>
      <c r="E451" s="67" t="s">
        <v>334</v>
      </c>
      <c r="F451" s="65" t="s">
        <v>206</v>
      </c>
      <c r="G451" s="65" t="str">
        <f>INDEX(Auxiliar!$B$16:$B$24,MATCH(Plano_V3!H451,Auxiliar!$C$16:$C$24,0),1)</f>
        <v>4. Validação EF</v>
      </c>
      <c r="H451" s="65">
        <f>VLOOKUP(A451,'Aux - pivots1'!$A:$B,2,0)</f>
        <v>5</v>
      </c>
      <c r="I451" s="189">
        <f>SUMIFS(Table1[Estimação (horas)],Table1[Tabela],Plano_V3!E451,Table1[Campo],Plano_V3!F451)</f>
        <v>8.1</v>
      </c>
      <c r="J451" s="189">
        <f t="shared" si="65"/>
        <v>1.0125</v>
      </c>
      <c r="K451" s="189">
        <f>SUMIFS(Table1[Horas efetivas],Table1[Tabela],Plano_V3!E451,Table1[Campo],Plano_V3!F451)</f>
        <v>2.0249999999999999</v>
      </c>
      <c r="L451" s="189">
        <f t="shared" si="66"/>
        <v>0.25312499999999999</v>
      </c>
      <c r="M451" s="183"/>
      <c r="N451" s="183">
        <f t="shared" si="67"/>
        <v>0.25</v>
      </c>
      <c r="O451" s="183">
        <f t="shared" si="62"/>
        <v>0.25</v>
      </c>
      <c r="P451" s="88" t="s">
        <v>335</v>
      </c>
      <c r="Q451" s="91">
        <f t="shared" si="63"/>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4"/>
        <v>modesg_out_sfcs_taxon_europeianome_specific_sustainable</v>
      </c>
      <c r="B452" s="68" t="s">
        <v>26</v>
      </c>
      <c r="C452" s="69" t="s">
        <v>311</v>
      </c>
      <c r="D452" s="65" t="s">
        <v>40</v>
      </c>
      <c r="E452" s="67" t="s">
        <v>334</v>
      </c>
      <c r="F452" s="65" t="s">
        <v>207</v>
      </c>
      <c r="G452" s="65" t="str">
        <f>INDEX(Auxiliar!$B$16:$B$24,MATCH(Plano_V3!H452,Auxiliar!$C$16:$C$24,0),1)</f>
        <v>4. Validação EF</v>
      </c>
      <c r="H452" s="65">
        <f>VLOOKUP(A452,'Aux - pivots1'!$A:$B,2,0)</f>
        <v>5</v>
      </c>
      <c r="I452" s="189">
        <f>SUMIFS(Table1[Estimação (horas)],Table1[Tabela],Plano_V3!E452,Table1[Campo],Plano_V3!F452)</f>
        <v>8.1</v>
      </c>
      <c r="J452" s="189">
        <f t="shared" si="65"/>
        <v>1.0125</v>
      </c>
      <c r="K452" s="189">
        <f>SUMIFS(Table1[Horas efetivas],Table1[Tabela],Plano_V3!E452,Table1[Campo],Plano_V3!F452)</f>
        <v>2.0249999999999999</v>
      </c>
      <c r="L452" s="189">
        <f t="shared" si="66"/>
        <v>0.25312499999999999</v>
      </c>
      <c r="M452" s="183"/>
      <c r="N452" s="183">
        <f t="shared" si="67"/>
        <v>0.25</v>
      </c>
      <c r="O452" s="183">
        <f t="shared" si="62"/>
        <v>0.25</v>
      </c>
      <c r="P452" s="88" t="s">
        <v>335</v>
      </c>
      <c r="Q452" s="91">
        <f t="shared" si="63"/>
        <v>1.0125</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4"/>
        <v>modesg_out_sfcs_taxon_europeiaorigem</v>
      </c>
      <c r="B453" s="68" t="s">
        <v>26</v>
      </c>
      <c r="C453" s="69" t="s">
        <v>311</v>
      </c>
      <c r="D453" s="65" t="s">
        <v>40</v>
      </c>
      <c r="E453" s="67" t="s">
        <v>334</v>
      </c>
      <c r="F453" s="65" t="s">
        <v>72</v>
      </c>
      <c r="G453" s="65" t="str">
        <f>INDEX(Auxiliar!$B$16:$B$24,MATCH(Plano_V3!H453,Auxiliar!$C$16:$C$24,0),1)</f>
        <v>1. Concluído</v>
      </c>
      <c r="H453" s="65">
        <f>VLOOKUP(A453,'Aux - pivots1'!$A:$B,2,0)</f>
        <v>1</v>
      </c>
      <c r="I453" s="189">
        <f>SUMIFS(Table1[Estimação (horas)],Table1[Tabela],Plano_V3!E453,Table1[Campo],Plano_V3!F453)</f>
        <v>4.0999999999999996</v>
      </c>
      <c r="J453" s="189">
        <f t="shared" si="65"/>
        <v>0.51249999999999996</v>
      </c>
      <c r="K453" s="189">
        <f>SUMIFS(Table1[Horas efetivas],Table1[Tabela],Plano_V3!E453,Table1[Campo],Plano_V3!F453)</f>
        <v>4.0999999999999996</v>
      </c>
      <c r="L453" s="189">
        <f t="shared" si="66"/>
        <v>0.51249999999999996</v>
      </c>
      <c r="M453" s="183"/>
      <c r="N453" s="183">
        <f t="shared" si="67"/>
        <v>1</v>
      </c>
      <c r="O453" s="183">
        <f t="shared" si="62"/>
        <v>1</v>
      </c>
      <c r="P453" s="88" t="s">
        <v>335</v>
      </c>
      <c r="Q453" s="91">
        <f t="shared" si="63"/>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4"/>
        <v>modesg_out_sfcs_taxon_europeiaref_date</v>
      </c>
      <c r="B454" s="68" t="s">
        <v>26</v>
      </c>
      <c r="C454" s="69" t="s">
        <v>311</v>
      </c>
      <c r="D454" s="65" t="s">
        <v>40</v>
      </c>
      <c r="E454" s="67" t="s">
        <v>334</v>
      </c>
      <c r="F454" s="65" t="s">
        <v>208</v>
      </c>
      <c r="G454" s="65" t="str">
        <f>INDEX(Auxiliar!$B$16:$B$24,MATCH(Plano_V3!H454,Auxiliar!$C$16:$C$24,0),1)</f>
        <v>4. Validação EF</v>
      </c>
      <c r="H454" s="65">
        <f>VLOOKUP(A454,'Aux - pivots1'!$A:$B,2,0)</f>
        <v>5</v>
      </c>
      <c r="I454" s="189">
        <f>SUMIFS(Table1[Estimação (horas)],Table1[Tabela],Plano_V3!E454,Table1[Campo],Plano_V3!F454)</f>
        <v>4.0999999999999996</v>
      </c>
      <c r="J454" s="189">
        <f t="shared" si="65"/>
        <v>0.51249999999999996</v>
      </c>
      <c r="K454" s="189">
        <f>SUMIFS(Table1[Horas efetivas],Table1[Tabela],Plano_V3!E454,Table1[Campo],Plano_V3!F454)</f>
        <v>1.0249999999999999</v>
      </c>
      <c r="L454" s="189">
        <f t="shared" si="66"/>
        <v>0.12812499999999999</v>
      </c>
      <c r="M454" s="183"/>
      <c r="N454" s="183">
        <f t="shared" si="67"/>
        <v>0.25</v>
      </c>
      <c r="O454" s="183">
        <f t="shared" si="62"/>
        <v>0.25</v>
      </c>
      <c r="P454" s="88" t="s">
        <v>335</v>
      </c>
      <c r="Q454" s="91">
        <f t="shared" si="63"/>
        <v>0.51249999999999996</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4"/>
        <v>modesg_out_sfcs_taxon_europeiazdeposit</v>
      </c>
      <c r="B455" s="68" t="s">
        <v>26</v>
      </c>
      <c r="C455" s="69" t="s">
        <v>311</v>
      </c>
      <c r="D455" s="65" t="s">
        <v>40</v>
      </c>
      <c r="E455" s="67" t="s">
        <v>334</v>
      </c>
      <c r="F455" s="65" t="s">
        <v>210</v>
      </c>
      <c r="G455" s="65" t="str">
        <f>INDEX(Auxiliar!$B$16:$B$24,MATCH(Plano_V3!H455,Auxiliar!$C$16:$C$24,0),1)</f>
        <v>4. Validação EF</v>
      </c>
      <c r="H455" s="65">
        <f>VLOOKUP(A455,'Aux - pivots1'!$A:$B,2,0)</f>
        <v>5</v>
      </c>
      <c r="I455" s="189">
        <f>SUMIFS(Table1[Estimação (horas)],Table1[Tabela],Plano_V3!E455,Table1[Campo],Plano_V3!F455)</f>
        <v>8.1</v>
      </c>
      <c r="J455" s="189">
        <f t="shared" si="65"/>
        <v>1.0125</v>
      </c>
      <c r="K455" s="189">
        <f>SUMIFS(Table1[Horas efetivas],Table1[Tabela],Plano_V3!E455,Table1[Campo],Plano_V3!F455)</f>
        <v>2.0249999999999999</v>
      </c>
      <c r="L455" s="189">
        <f t="shared" si="66"/>
        <v>0.25312499999999999</v>
      </c>
      <c r="M455" s="183"/>
      <c r="N455" s="183">
        <f t="shared" si="67"/>
        <v>0.25</v>
      </c>
      <c r="O455" s="183">
        <f t="shared" si="62"/>
        <v>0.25</v>
      </c>
      <c r="P455" s="88" t="s">
        <v>335</v>
      </c>
      <c r="Q455" s="91">
        <f t="shared" si="63"/>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64"/>
        <v>Re-testesn.a.</v>
      </c>
      <c r="B456" s="68" t="s">
        <v>26</v>
      </c>
      <c r="C456" s="69" t="s">
        <v>311</v>
      </c>
      <c r="D456" s="65" t="s">
        <v>40</v>
      </c>
      <c r="E456" s="67" t="s">
        <v>53</v>
      </c>
      <c r="F456" s="65" t="s">
        <v>38</v>
      </c>
      <c r="G456" s="65" t="s">
        <v>180</v>
      </c>
      <c r="H456" s="65"/>
      <c r="I456" s="189">
        <f>SUM(I373:I455)*$D$7</f>
        <v>88.487500000000139</v>
      </c>
      <c r="J456" s="189">
        <f>I456/8</f>
        <v>11.060937500000017</v>
      </c>
      <c r="K456" s="189">
        <f>SUM(K373:K455)*$D$7</f>
        <v>74.050000000000026</v>
      </c>
      <c r="L456" s="189">
        <f>K456/8</f>
        <v>9.2562500000000032</v>
      </c>
      <c r="M456" s="183"/>
      <c r="N456" s="183">
        <f t="shared" si="67"/>
        <v>0.83684136177426083</v>
      </c>
      <c r="O456" s="183">
        <f t="shared" si="62"/>
        <v>0.83684136177426083</v>
      </c>
      <c r="P456" s="88"/>
      <c r="Q456" s="91">
        <f t="shared" si="63"/>
        <v>11.060937500000017</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collapsed="1">
      <c r="A457" s="30" t="str">
        <f t="shared" si="64"/>
        <v/>
      </c>
      <c r="B457" s="102" t="s">
        <v>26</v>
      </c>
      <c r="C457" s="103" t="s">
        <v>30</v>
      </c>
      <c r="D457" s="97"/>
      <c r="E457" s="104"/>
      <c r="F457" s="97"/>
      <c r="G457" s="97"/>
      <c r="H457" s="97"/>
      <c r="I457" s="188">
        <f>SUM(I458:I593)</f>
        <v>377.63750000000158</v>
      </c>
      <c r="J457" s="188">
        <f>ROUNDUP(I457/8,0)</f>
        <v>48</v>
      </c>
      <c r="K457" s="188">
        <f>SUM(K458:K593)</f>
        <v>347.14687500000133</v>
      </c>
      <c r="L457" s="188">
        <f>ROUNDUP(K457/8,0)</f>
        <v>44</v>
      </c>
      <c r="M457" s="187">
        <f>SUMIFS(R457:ES457,$R$9:$ES$9,"S")/J457</f>
        <v>6.25E-2</v>
      </c>
      <c r="N457" s="187">
        <f>IFERROR(L457/J457,0)</f>
        <v>0.91666666666666663</v>
      </c>
      <c r="O457" s="187">
        <f t="shared" si="62"/>
        <v>0.85416666666666663</v>
      </c>
      <c r="P457" s="195" t="s">
        <v>1931</v>
      </c>
      <c r="Q457" s="91">
        <f t="shared" si="63"/>
        <v>0</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v>0.5</v>
      </c>
      <c r="CY457" s="79">
        <v>0.5</v>
      </c>
      <c r="CZ457" s="79">
        <v>1</v>
      </c>
      <c r="DA457" s="79">
        <v>1</v>
      </c>
      <c r="DB457" s="79">
        <v>1</v>
      </c>
      <c r="DC457" s="79">
        <v>1</v>
      </c>
      <c r="DD457" s="79">
        <v>0.5</v>
      </c>
      <c r="DE457" s="79">
        <v>1</v>
      </c>
      <c r="DF457" s="79">
        <v>1</v>
      </c>
      <c r="DG457" s="79">
        <v>1</v>
      </c>
      <c r="DH457" s="79">
        <v>1</v>
      </c>
      <c r="DI457" s="79">
        <v>1</v>
      </c>
      <c r="DJ457" s="79">
        <v>1</v>
      </c>
      <c r="DK457" s="79">
        <v>1</v>
      </c>
      <c r="DL457" s="79">
        <v>1</v>
      </c>
      <c r="DM457" s="79">
        <v>1</v>
      </c>
      <c r="DN457" s="79">
        <v>1</v>
      </c>
      <c r="DO457" s="79">
        <v>1</v>
      </c>
      <c r="DP457" s="79">
        <v>1</v>
      </c>
      <c r="DQ457" s="79">
        <v>1</v>
      </c>
      <c r="DR457" s="79">
        <v>1</v>
      </c>
      <c r="DS457" s="198"/>
      <c r="DT457" s="79">
        <v>1</v>
      </c>
      <c r="DU457" s="79">
        <v>1</v>
      </c>
      <c r="DV457" s="79">
        <v>1</v>
      </c>
      <c r="DW457" s="79">
        <v>1</v>
      </c>
      <c r="DX457" s="79">
        <v>1</v>
      </c>
      <c r="DY457" s="79">
        <v>1</v>
      </c>
      <c r="DZ457" s="79">
        <v>1</v>
      </c>
      <c r="EA457" s="79">
        <v>1</v>
      </c>
      <c r="EB457" s="79">
        <v>1</v>
      </c>
      <c r="EC457" s="79">
        <v>1</v>
      </c>
      <c r="ED457" s="79">
        <v>1</v>
      </c>
      <c r="EE457" s="79">
        <v>1</v>
      </c>
      <c r="EF457" s="79">
        <v>1</v>
      </c>
      <c r="EG457" s="79">
        <v>1</v>
      </c>
      <c r="EH457" s="79">
        <v>1</v>
      </c>
      <c r="EI457" s="79">
        <v>1.5</v>
      </c>
      <c r="EJ457" s="79">
        <v>3</v>
      </c>
      <c r="EK457" s="79">
        <v>3</v>
      </c>
      <c r="EL457" s="79">
        <v>3</v>
      </c>
      <c r="EM457" s="79">
        <v>3</v>
      </c>
      <c r="EN457" s="92"/>
      <c r="EO457" s="92"/>
      <c r="EP457" s="92"/>
      <c r="EQ457" s="92"/>
      <c r="ER457" s="92"/>
      <c r="ES457" s="92"/>
    </row>
    <row r="458" spans="1:149" outlineLevel="1">
      <c r="A458" s="30" t="str">
        <f t="shared" si="64"/>
        <v>lt003_entitynace_esg</v>
      </c>
      <c r="B458" s="68" t="s">
        <v>26</v>
      </c>
      <c r="C458" s="69" t="s">
        <v>26</v>
      </c>
      <c r="D458" s="65" t="s">
        <v>40</v>
      </c>
      <c r="E458" s="71" t="s">
        <v>336</v>
      </c>
      <c r="F458" s="72" t="s">
        <v>337</v>
      </c>
      <c r="G458" s="65" t="str">
        <f>INDEX(Auxiliar!$B$16:$B$24,MATCH(Plano_V3!H458,Auxiliar!$C$16:$C$24,0),1)</f>
        <v>1. Concluído</v>
      </c>
      <c r="H458" s="65">
        <f>VLOOKUP(A458,'Aux - pivots1'!$A:$B,2,0)</f>
        <v>1</v>
      </c>
      <c r="I458" s="181">
        <f>SUMIFS(Table1[Estimação (horas)],Table1[Tabela],Plano_V3!E458,Table1[Campo],Plano_V3!F458)</f>
        <v>4.0999999999999996</v>
      </c>
      <c r="J458" s="181">
        <f t="shared" ref="J458:J526" si="68">I458/8</f>
        <v>0.51249999999999996</v>
      </c>
      <c r="K458" s="181">
        <f>SUMIFS(Table1[Horas efetivas],Table1[Tabela],Plano_V3!E458,Table1[Campo],Plano_V3!F458)</f>
        <v>4.0999999999999996</v>
      </c>
      <c r="L458" s="181">
        <f t="shared" ref="L458:L526" si="69">K458/8</f>
        <v>0.51249999999999996</v>
      </c>
      <c r="M458" s="183"/>
      <c r="N458" s="183">
        <f t="shared" ref="N458:N526" si="70">L458/J458</f>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4"/>
        <v>lt003_entitytxnmy_elgbl_capex_ccm</v>
      </c>
      <c r="B459" s="68" t="s">
        <v>26</v>
      </c>
      <c r="C459" s="69" t="s">
        <v>26</v>
      </c>
      <c r="D459" s="65" t="s">
        <v>40</v>
      </c>
      <c r="E459" s="71" t="s">
        <v>336</v>
      </c>
      <c r="F459" s="72" t="s">
        <v>339</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8"/>
        <v>0.51249999999999996</v>
      </c>
      <c r="K459" s="181">
        <f>SUMIFS(Table1[Horas efetivas],Table1[Tabela],Plano_V3!E459,Table1[Campo],Plano_V3!F459)</f>
        <v>4.0999999999999996</v>
      </c>
      <c r="L459" s="181">
        <f t="shared" si="69"/>
        <v>0.51249999999999996</v>
      </c>
      <c r="M459" s="183"/>
      <c r="N459" s="183">
        <f t="shared" si="70"/>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4"/>
        <v>lt003_entitytxnmy_elgbl_trnvr_ccm</v>
      </c>
      <c r="B460" s="68" t="s">
        <v>26</v>
      </c>
      <c r="C460" s="69" t="s">
        <v>26</v>
      </c>
      <c r="D460" s="65" t="s">
        <v>40</v>
      </c>
      <c r="E460" s="71" t="s">
        <v>336</v>
      </c>
      <c r="F460" s="72" t="s">
        <v>340</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8"/>
        <v>0.51249999999999996</v>
      </c>
      <c r="K460" s="181">
        <f>SUMIFS(Table1[Horas efetivas],Table1[Tabela],Plano_V3!E460,Table1[Campo],Plano_V3!F460)</f>
        <v>4.0999999999999996</v>
      </c>
      <c r="L460" s="181">
        <f t="shared" si="69"/>
        <v>0.51249999999999996</v>
      </c>
      <c r="M460" s="183"/>
      <c r="N460" s="183">
        <f t="shared" si="70"/>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4"/>
        <v>lt003_entitytxnmy_elgbl_capex_cca</v>
      </c>
      <c r="B461" s="68" t="s">
        <v>26</v>
      </c>
      <c r="C461" s="69" t="s">
        <v>26</v>
      </c>
      <c r="D461" s="65" t="s">
        <v>40</v>
      </c>
      <c r="E461" s="71" t="s">
        <v>336</v>
      </c>
      <c r="F461" s="72" t="s">
        <v>341</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8"/>
        <v>0.51249999999999996</v>
      </c>
      <c r="K461" s="181">
        <f>SUMIFS(Table1[Horas efetivas],Table1[Tabela],Plano_V3!E461,Table1[Campo],Plano_V3!F461)</f>
        <v>4.0999999999999996</v>
      </c>
      <c r="L461" s="181">
        <f t="shared" si="69"/>
        <v>0.51249999999999996</v>
      </c>
      <c r="M461" s="183"/>
      <c r="N461" s="183">
        <f t="shared" si="70"/>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4"/>
        <v>lt003_entitytxnmy_elgbl_trnvr_cca</v>
      </c>
      <c r="B462" s="68" t="s">
        <v>26</v>
      </c>
      <c r="C462" s="69" t="s">
        <v>26</v>
      </c>
      <c r="D462" s="65" t="s">
        <v>40</v>
      </c>
      <c r="E462" s="71" t="s">
        <v>336</v>
      </c>
      <c r="F462" s="72" t="s">
        <v>342</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8"/>
        <v>0.51249999999999996</v>
      </c>
      <c r="K462" s="181">
        <f>SUMIFS(Table1[Horas efetivas],Table1[Tabela],Plano_V3!E462,Table1[Campo],Plano_V3!F462)</f>
        <v>4.0999999999999996</v>
      </c>
      <c r="L462" s="181">
        <f t="shared" si="69"/>
        <v>0.51249999999999996</v>
      </c>
      <c r="M462" s="183"/>
      <c r="N462" s="183">
        <f t="shared" si="70"/>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4"/>
        <v>lt003_entityenblng_capex_ccm</v>
      </c>
      <c r="B463" s="68" t="s">
        <v>26</v>
      </c>
      <c r="C463" s="69" t="s">
        <v>26</v>
      </c>
      <c r="D463" s="65" t="s">
        <v>40</v>
      </c>
      <c r="E463" s="71" t="s">
        <v>336</v>
      </c>
      <c r="F463" s="72" t="s">
        <v>343</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8"/>
        <v>0.51249999999999996</v>
      </c>
      <c r="K463" s="181">
        <f>SUMIFS(Table1[Horas efetivas],Table1[Tabela],Plano_V3!E463,Table1[Campo],Plano_V3!F463)</f>
        <v>4.0999999999999996</v>
      </c>
      <c r="L463" s="181">
        <f t="shared" si="69"/>
        <v>0.51249999999999996</v>
      </c>
      <c r="M463" s="183"/>
      <c r="N463" s="183">
        <f t="shared" si="70"/>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4"/>
        <v>lt003_entityenblng_capex_cca</v>
      </c>
      <c r="B464" s="68" t="s">
        <v>26</v>
      </c>
      <c r="C464" s="69" t="s">
        <v>26</v>
      </c>
      <c r="D464" s="65" t="s">
        <v>40</v>
      </c>
      <c r="E464" s="71" t="s">
        <v>336</v>
      </c>
      <c r="F464" s="72" t="s">
        <v>344</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8"/>
        <v>0.51249999999999996</v>
      </c>
      <c r="K464" s="181">
        <f>SUMIFS(Table1[Horas efetivas],Table1[Tabela],Plano_V3!E464,Table1[Campo],Plano_V3!F464)</f>
        <v>4.0999999999999996</v>
      </c>
      <c r="L464" s="181">
        <f t="shared" si="69"/>
        <v>0.51249999999999996</v>
      </c>
      <c r="M464" s="183"/>
      <c r="N464" s="183">
        <f t="shared" si="70"/>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4"/>
        <v>lt003_entitytrnstnl_capex</v>
      </c>
      <c r="B465" s="68" t="s">
        <v>26</v>
      </c>
      <c r="C465" s="69" t="s">
        <v>26</v>
      </c>
      <c r="D465" s="65" t="s">
        <v>40</v>
      </c>
      <c r="E465" s="71" t="s">
        <v>336</v>
      </c>
      <c r="F465" s="72" t="s">
        <v>345</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8"/>
        <v>0.51249999999999996</v>
      </c>
      <c r="K465" s="181">
        <f>SUMIFS(Table1[Horas efetivas],Table1[Tabela],Plano_V3!E465,Table1[Campo],Plano_V3!F465)</f>
        <v>4.0999999999999996</v>
      </c>
      <c r="L465" s="181">
        <f t="shared" si="69"/>
        <v>0.51249999999999996</v>
      </c>
      <c r="M465" s="183"/>
      <c r="N465" s="183">
        <f t="shared" si="70"/>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4"/>
        <v>lt003_entitypure_capex_ccm</v>
      </c>
      <c r="B466" s="68" t="s">
        <v>26</v>
      </c>
      <c r="C466" s="69" t="s">
        <v>26</v>
      </c>
      <c r="D466" s="65" t="s">
        <v>40</v>
      </c>
      <c r="E466" s="71" t="s">
        <v>336</v>
      </c>
      <c r="F466" s="72" t="s">
        <v>346</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8"/>
        <v>0.51249999999999996</v>
      </c>
      <c r="K466" s="181">
        <f>SUMIFS(Table1[Horas efetivas],Table1[Tabela],Plano_V3!E466,Table1[Campo],Plano_V3!F466)</f>
        <v>4.0999999999999996</v>
      </c>
      <c r="L466" s="181">
        <f t="shared" si="69"/>
        <v>0.51249999999999996</v>
      </c>
      <c r="M466" s="183"/>
      <c r="N466" s="183">
        <f t="shared" si="70"/>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4"/>
        <v>lt003_entitypure_capex_cca</v>
      </c>
      <c r="B467" s="68" t="s">
        <v>26</v>
      </c>
      <c r="C467" s="69" t="s">
        <v>26</v>
      </c>
      <c r="D467" s="65" t="s">
        <v>40</v>
      </c>
      <c r="E467" s="71" t="s">
        <v>336</v>
      </c>
      <c r="F467" s="72" t="s">
        <v>347</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8"/>
        <v>0.51249999999999996</v>
      </c>
      <c r="K467" s="181">
        <f>SUMIFS(Table1[Horas efetivas],Table1[Tabela],Plano_V3!E467,Table1[Campo],Plano_V3!F467)</f>
        <v>4.0999999999999996</v>
      </c>
      <c r="L467" s="181">
        <f t="shared" si="69"/>
        <v>0.51249999999999996</v>
      </c>
      <c r="M467" s="183"/>
      <c r="N467" s="183">
        <f t="shared" si="70"/>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4"/>
        <v>lt003_entityenblng_trnvr_ccm</v>
      </c>
      <c r="B468" s="68" t="s">
        <v>26</v>
      </c>
      <c r="C468" s="69" t="s">
        <v>26</v>
      </c>
      <c r="D468" s="65" t="s">
        <v>40</v>
      </c>
      <c r="E468" s="71" t="s">
        <v>336</v>
      </c>
      <c r="F468" s="72" t="s">
        <v>348</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8"/>
        <v>0.51249999999999996</v>
      </c>
      <c r="K468" s="181">
        <f>SUMIFS(Table1[Horas efetivas],Table1[Tabela],Plano_V3!E468,Table1[Campo],Plano_V3!F468)</f>
        <v>4.0999999999999996</v>
      </c>
      <c r="L468" s="181">
        <f t="shared" si="69"/>
        <v>0.51249999999999996</v>
      </c>
      <c r="M468" s="183"/>
      <c r="N468" s="183">
        <f t="shared" si="70"/>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4"/>
        <v>lt003_entityenblng_trnvr_cca</v>
      </c>
      <c r="B469" s="68" t="s">
        <v>26</v>
      </c>
      <c r="C469" s="69" t="s">
        <v>26</v>
      </c>
      <c r="D469" s="65" t="s">
        <v>40</v>
      </c>
      <c r="E469" s="71" t="s">
        <v>336</v>
      </c>
      <c r="F469" s="72" t="s">
        <v>349</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8"/>
        <v>0.51249999999999996</v>
      </c>
      <c r="K469" s="181">
        <f>SUMIFS(Table1[Horas efetivas],Table1[Tabela],Plano_V3!E469,Table1[Campo],Plano_V3!F469)</f>
        <v>4.0999999999999996</v>
      </c>
      <c r="L469" s="181">
        <f t="shared" si="69"/>
        <v>0.51249999999999996</v>
      </c>
      <c r="M469" s="183"/>
      <c r="N469" s="183">
        <f t="shared" si="70"/>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4"/>
        <v>lt003_entitytrnstnl_trnvr</v>
      </c>
      <c r="B470" s="68" t="s">
        <v>26</v>
      </c>
      <c r="C470" s="69" t="s">
        <v>26</v>
      </c>
      <c r="D470" s="65" t="s">
        <v>40</v>
      </c>
      <c r="E470" s="71" t="s">
        <v>336</v>
      </c>
      <c r="F470" s="72" t="s">
        <v>350</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8"/>
        <v>0.51249999999999996</v>
      </c>
      <c r="K470" s="181">
        <f>SUMIFS(Table1[Horas efetivas],Table1[Tabela],Plano_V3!E470,Table1[Campo],Plano_V3!F470)</f>
        <v>4.0999999999999996</v>
      </c>
      <c r="L470" s="181">
        <f t="shared" si="69"/>
        <v>0.51249999999999996</v>
      </c>
      <c r="M470" s="183"/>
      <c r="N470" s="183">
        <f t="shared" si="70"/>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4"/>
        <v>lt003_entitypure_trnvr_ccm</v>
      </c>
      <c r="B471" s="68" t="s">
        <v>26</v>
      </c>
      <c r="C471" s="69" t="s">
        <v>26</v>
      </c>
      <c r="D471" s="65" t="s">
        <v>40</v>
      </c>
      <c r="E471" s="71" t="s">
        <v>336</v>
      </c>
      <c r="F471" s="72" t="s">
        <v>351</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8"/>
        <v>0.51249999999999996</v>
      </c>
      <c r="K471" s="181">
        <f>SUMIFS(Table1[Horas efetivas],Table1[Tabela],Plano_V3!E471,Table1[Campo],Plano_V3!F471)</f>
        <v>4.0999999999999996</v>
      </c>
      <c r="L471" s="181">
        <f t="shared" si="69"/>
        <v>0.51249999999999996</v>
      </c>
      <c r="M471" s="183"/>
      <c r="N471" s="183">
        <f t="shared" si="70"/>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4"/>
        <v>lt003_entitypure_trnvr_cca</v>
      </c>
      <c r="B472" s="68" t="s">
        <v>26</v>
      </c>
      <c r="C472" s="69" t="s">
        <v>26</v>
      </c>
      <c r="D472" s="65" t="s">
        <v>40</v>
      </c>
      <c r="E472" s="71" t="s">
        <v>336</v>
      </c>
      <c r="F472" s="72" t="s">
        <v>352</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8"/>
        <v>0.51249999999999996</v>
      </c>
      <c r="K472" s="181">
        <f>SUMIFS(Table1[Horas efetivas],Table1[Tabela],Plano_V3!E472,Table1[Campo],Plano_V3!F472)</f>
        <v>4.0999999999999996</v>
      </c>
      <c r="L472" s="181">
        <f t="shared" si="69"/>
        <v>0.51249999999999996</v>
      </c>
      <c r="M472" s="183"/>
      <c r="N472" s="183">
        <f t="shared" si="70"/>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4"/>
        <v>lt003_entityflg_nfrd_applcblty</v>
      </c>
      <c r="B473" s="68" t="s">
        <v>26</v>
      </c>
      <c r="C473" s="69" t="s">
        <v>26</v>
      </c>
      <c r="D473" s="65" t="s">
        <v>40</v>
      </c>
      <c r="E473" s="71" t="s">
        <v>336</v>
      </c>
      <c r="F473" s="72" t="s">
        <v>353</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68"/>
        <v>0.51249999999999996</v>
      </c>
      <c r="K473" s="181">
        <f>SUMIFS(Table1[Horas efetivas],Table1[Tabela],Plano_V3!E473,Table1[Campo],Plano_V3!F473)</f>
        <v>4.0999999999999996</v>
      </c>
      <c r="L473" s="181">
        <f t="shared" si="69"/>
        <v>0.51249999999999996</v>
      </c>
      <c r="M473" s="183"/>
      <c r="N473" s="183">
        <f t="shared" si="70"/>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4"/>
        <v>lt003_entitycntrprty_emssns_scp1</v>
      </c>
      <c r="B474" s="68" t="s">
        <v>26</v>
      </c>
      <c r="C474" s="69" t="s">
        <v>26</v>
      </c>
      <c r="D474" s="65" t="s">
        <v>40</v>
      </c>
      <c r="E474" s="71" t="s">
        <v>336</v>
      </c>
      <c r="F474" s="72" t="s">
        <v>354</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68"/>
        <v>0.51249999999999996</v>
      </c>
      <c r="K474" s="181">
        <f>SUMIFS(Table1[Horas efetivas],Table1[Tabela],Plano_V3!E474,Table1[Campo],Plano_V3!F474)</f>
        <v>4.0999999999999996</v>
      </c>
      <c r="L474" s="181">
        <f t="shared" si="69"/>
        <v>0.51249999999999996</v>
      </c>
      <c r="M474" s="183"/>
      <c r="N474" s="183">
        <f t="shared" si="70"/>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4"/>
        <v>lt003_entitycntrprty_emssns_scp2</v>
      </c>
      <c r="B475" s="68" t="s">
        <v>26</v>
      </c>
      <c r="C475" s="69" t="s">
        <v>26</v>
      </c>
      <c r="D475" s="65" t="s">
        <v>40</v>
      </c>
      <c r="E475" s="71" t="s">
        <v>336</v>
      </c>
      <c r="F475" s="72" t="s">
        <v>355</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68"/>
        <v>0.51249999999999996</v>
      </c>
      <c r="K475" s="181">
        <f>SUMIFS(Table1[Horas efetivas],Table1[Tabela],Plano_V3!E475,Table1[Campo],Plano_V3!F475)</f>
        <v>4.0999999999999996</v>
      </c>
      <c r="L475" s="181">
        <f t="shared" si="69"/>
        <v>0.51249999999999996</v>
      </c>
      <c r="M475" s="183"/>
      <c r="N475" s="183">
        <f t="shared" si="70"/>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4"/>
        <v>lt003_entitycntrprty_emssns_scp3</v>
      </c>
      <c r="B476" s="68" t="s">
        <v>26</v>
      </c>
      <c r="C476" s="69" t="s">
        <v>26</v>
      </c>
      <c r="D476" s="65" t="s">
        <v>40</v>
      </c>
      <c r="E476" s="71" t="s">
        <v>336</v>
      </c>
      <c r="F476" s="72" t="s">
        <v>356</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8"/>
        <v>0.51249999999999996</v>
      </c>
      <c r="K476" s="181">
        <f>SUMIFS(Table1[Horas efetivas],Table1[Tabela],Plano_V3!E476,Table1[Campo],Plano_V3!F476)</f>
        <v>4.0999999999999996</v>
      </c>
      <c r="L476" s="181">
        <f t="shared" si="69"/>
        <v>0.51249999999999996</v>
      </c>
      <c r="M476" s="183"/>
      <c r="N476" s="183">
        <f t="shared" si="70"/>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4"/>
        <v>lt003_entityflg_excldd_eu_prs_algnd_bnchmrk</v>
      </c>
      <c r="B477" s="68" t="s">
        <v>26</v>
      </c>
      <c r="C477" s="69" t="s">
        <v>26</v>
      </c>
      <c r="D477" s="65" t="s">
        <v>40</v>
      </c>
      <c r="E477" s="71" t="s">
        <v>336</v>
      </c>
      <c r="F477" s="72" t="s">
        <v>357</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8"/>
        <v>0.51249999999999996</v>
      </c>
      <c r="K477" s="181">
        <f>SUMIFS(Table1[Horas efetivas],Table1[Tabela],Plano_V3!E477,Table1[Campo],Plano_V3!F477)</f>
        <v>4.0999999999999996</v>
      </c>
      <c r="L477" s="181">
        <f t="shared" si="69"/>
        <v>0.51249999999999996</v>
      </c>
      <c r="M477" s="183"/>
      <c r="N477" s="183">
        <f t="shared" si="70"/>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4"/>
        <v>lt003_entityflg_act_physcl_rsk</v>
      </c>
      <c r="B478" s="68" t="s">
        <v>26</v>
      </c>
      <c r="C478" s="69" t="s">
        <v>26</v>
      </c>
      <c r="D478" s="65" t="s">
        <v>40</v>
      </c>
      <c r="E478" s="71" t="s">
        <v>336</v>
      </c>
      <c r="F478" s="72" t="s">
        <v>358</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8"/>
        <v>0.51249999999999996</v>
      </c>
      <c r="K478" s="181">
        <f>SUMIFS(Table1[Horas efetivas],Table1[Tabela],Plano_V3!E478,Table1[Campo],Plano_V3!F478)</f>
        <v>4.0999999999999996</v>
      </c>
      <c r="L478" s="181">
        <f t="shared" si="69"/>
        <v>0.51249999999999996</v>
      </c>
      <c r="M478" s="183"/>
      <c r="N478" s="183">
        <f t="shared" si="70"/>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4"/>
        <v>lt003_entityflg_chrnc_physcl_rsk</v>
      </c>
      <c r="B479" s="68" t="s">
        <v>26</v>
      </c>
      <c r="C479" s="69" t="s">
        <v>26</v>
      </c>
      <c r="D479" s="65" t="s">
        <v>40</v>
      </c>
      <c r="E479" s="71" t="s">
        <v>336</v>
      </c>
      <c r="F479" s="72" t="s">
        <v>359</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8"/>
        <v>0.51249999999999996</v>
      </c>
      <c r="K479" s="181">
        <f>SUMIFS(Table1[Horas efetivas],Table1[Tabela],Plano_V3!E479,Table1[Campo],Plano_V3!F479)</f>
        <v>4.0999999999999996</v>
      </c>
      <c r="L479" s="181">
        <f t="shared" si="69"/>
        <v>0.51249999999999996</v>
      </c>
      <c r="M479" s="183"/>
      <c r="N479" s="183">
        <f t="shared" si="70"/>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4"/>
        <v>lt003_entitypst_cd</v>
      </c>
      <c r="B480" s="68" t="s">
        <v>26</v>
      </c>
      <c r="C480" s="69" t="s">
        <v>26</v>
      </c>
      <c r="D480" s="65" t="s">
        <v>40</v>
      </c>
      <c r="E480" s="71" t="s">
        <v>336</v>
      </c>
      <c r="F480" s="72" t="s">
        <v>360</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8"/>
        <v>0.51249999999999996</v>
      </c>
      <c r="K480" s="181">
        <f>SUMIFS(Table1[Horas efetivas],Table1[Tabela],Plano_V3!E480,Table1[Campo],Plano_V3!F480)</f>
        <v>4.0999999999999996</v>
      </c>
      <c r="L480" s="181">
        <f t="shared" si="69"/>
        <v>0.51249999999999996</v>
      </c>
      <c r="M480" s="183"/>
      <c r="N480" s="183">
        <f t="shared" si="70"/>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4"/>
        <v>lt003_entityesg_sbsctr</v>
      </c>
      <c r="B481" s="68" t="s">
        <v>26</v>
      </c>
      <c r="C481" s="69" t="s">
        <v>26</v>
      </c>
      <c r="D481" s="65" t="s">
        <v>40</v>
      </c>
      <c r="E481" s="71" t="s">
        <v>336</v>
      </c>
      <c r="F481" s="72" t="s">
        <v>361</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8"/>
        <v>0.51249999999999996</v>
      </c>
      <c r="K481" s="181">
        <f>SUMIFS(Table1[Horas efetivas],Table1[Tabela],Plano_V3!E481,Table1[Campo],Plano_V3!F481)</f>
        <v>4.0999999999999996</v>
      </c>
      <c r="L481" s="181">
        <f t="shared" si="69"/>
        <v>0.51249999999999996</v>
      </c>
      <c r="M481" s="183"/>
      <c r="N481" s="183">
        <f t="shared" si="70"/>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4"/>
        <v>lt003_entityttl_lblty</v>
      </c>
      <c r="B482" s="68" t="s">
        <v>26</v>
      </c>
      <c r="C482" s="69" t="s">
        <v>26</v>
      </c>
      <c r="D482" s="65" t="s">
        <v>40</v>
      </c>
      <c r="E482" s="71" t="s">
        <v>336</v>
      </c>
      <c r="F482" s="72" t="s">
        <v>362</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8"/>
        <v>0.51249999999999996</v>
      </c>
      <c r="K482" s="181">
        <f>SUMIFS(Table1[Horas efetivas],Table1[Tabela],Plano_V3!E482,Table1[Campo],Plano_V3!F482)</f>
        <v>4.0999999999999996</v>
      </c>
      <c r="L482" s="181">
        <f t="shared" si="69"/>
        <v>0.51249999999999996</v>
      </c>
      <c r="M482" s="183"/>
      <c r="N482" s="183">
        <f t="shared" si="70"/>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4"/>
        <v>lt003_entityisin</v>
      </c>
      <c r="B483" s="68" t="s">
        <v>26</v>
      </c>
      <c r="C483" s="69" t="s">
        <v>26</v>
      </c>
      <c r="D483" s="65" t="s">
        <v>40</v>
      </c>
      <c r="E483" s="71" t="s">
        <v>336</v>
      </c>
      <c r="F483" s="72" t="s">
        <v>239</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8"/>
        <v>0.51249999999999996</v>
      </c>
      <c r="K483" s="181">
        <f>SUMIFS(Table1[Horas efetivas],Table1[Tabela],Plano_V3!E483,Table1[Campo],Plano_V3!F483)</f>
        <v>4.0999999999999996</v>
      </c>
      <c r="L483" s="181">
        <f t="shared" si="69"/>
        <v>0.51249999999999996</v>
      </c>
      <c r="M483" s="183"/>
      <c r="N483" s="183">
        <f t="shared" si="70"/>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4"/>
        <v>lt003_entitygrp_annl_trnvr_le</v>
      </c>
      <c r="B484" s="68" t="s">
        <v>26</v>
      </c>
      <c r="C484" s="69" t="s">
        <v>26</v>
      </c>
      <c r="D484" s="65" t="s">
        <v>40</v>
      </c>
      <c r="E484" s="71" t="s">
        <v>336</v>
      </c>
      <c r="F484" s="72" t="s">
        <v>363</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8"/>
        <v>0.51249999999999996</v>
      </c>
      <c r="K484" s="181">
        <f>SUMIFS(Table1[Horas efetivas],Table1[Tabela],Plano_V3!E484,Table1[Campo],Plano_V3!F484)</f>
        <v>4.0999999999999996</v>
      </c>
      <c r="L484" s="181">
        <f t="shared" si="69"/>
        <v>0.51249999999999996</v>
      </c>
      <c r="M484" s="183"/>
      <c r="N484" s="183">
        <f t="shared" si="70"/>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4"/>
        <v>lt003_entitygrp_ttl_lblty</v>
      </c>
      <c r="B485" s="68" t="s">
        <v>26</v>
      </c>
      <c r="C485" s="69" t="s">
        <v>26</v>
      </c>
      <c r="D485" s="65" t="s">
        <v>40</v>
      </c>
      <c r="E485" s="71" t="s">
        <v>336</v>
      </c>
      <c r="F485" s="72" t="s">
        <v>364</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8"/>
        <v>0.51249999999999996</v>
      </c>
      <c r="K485" s="181">
        <f>SUMIFS(Table1[Horas efetivas],Table1[Tabela],Plano_V3!E485,Table1[Campo],Plano_V3!F485)</f>
        <v>4.0999999999999996</v>
      </c>
      <c r="L485" s="181">
        <f t="shared" si="69"/>
        <v>0.51249999999999996</v>
      </c>
      <c r="M485" s="183"/>
      <c r="N485" s="183">
        <f t="shared" si="70"/>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64"/>
        <v>lt003_entityflg_grp_nfrd_applcblty</v>
      </c>
      <c r="B486" s="68" t="s">
        <v>26</v>
      </c>
      <c r="C486" s="69" t="s">
        <v>26</v>
      </c>
      <c r="D486" s="65" t="s">
        <v>40</v>
      </c>
      <c r="E486" s="71" t="s">
        <v>336</v>
      </c>
      <c r="F486" s="72" t="s">
        <v>365</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68"/>
        <v>0.51249999999999996</v>
      </c>
      <c r="K486" s="181">
        <f>SUMIFS(Table1[Horas efetivas],Table1[Tabela],Plano_V3!E486,Table1[Campo],Plano_V3!F486)</f>
        <v>4.0999999999999996</v>
      </c>
      <c r="L486" s="181">
        <f t="shared" si="69"/>
        <v>0.51249999999999996</v>
      </c>
      <c r="M486" s="183"/>
      <c r="N486" s="183">
        <f t="shared" si="70"/>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ref="A487:A593" si="71">E487&amp;F487</f>
        <v>lt003_entitygrp_emssns_scp1</v>
      </c>
      <c r="B487" s="68" t="s">
        <v>26</v>
      </c>
      <c r="C487" s="69" t="s">
        <v>26</v>
      </c>
      <c r="D487" s="65" t="s">
        <v>40</v>
      </c>
      <c r="E487" s="71" t="s">
        <v>336</v>
      </c>
      <c r="F487" s="72" t="s">
        <v>366</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68"/>
        <v>0.51249999999999996</v>
      </c>
      <c r="K487" s="181">
        <f>SUMIFS(Table1[Horas efetivas],Table1[Tabela],Plano_V3!E487,Table1[Campo],Plano_V3!F487)</f>
        <v>4.0999999999999996</v>
      </c>
      <c r="L487" s="181">
        <f t="shared" si="69"/>
        <v>0.51249999999999996</v>
      </c>
      <c r="M487" s="183"/>
      <c r="N487" s="183">
        <f t="shared" si="70"/>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1"/>
        <v>lt003_entitygrp_emssns_scp2</v>
      </c>
      <c r="B488" s="68" t="s">
        <v>26</v>
      </c>
      <c r="C488" s="69" t="s">
        <v>26</v>
      </c>
      <c r="D488" s="65" t="s">
        <v>40</v>
      </c>
      <c r="E488" s="71" t="s">
        <v>336</v>
      </c>
      <c r="F488" s="72" t="s">
        <v>367</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68"/>
        <v>0.51249999999999996</v>
      </c>
      <c r="K488" s="181">
        <f>SUMIFS(Table1[Horas efetivas],Table1[Tabela],Plano_V3!E488,Table1[Campo],Plano_V3!F488)</f>
        <v>4.0999999999999996</v>
      </c>
      <c r="L488" s="181">
        <f t="shared" si="69"/>
        <v>0.51249999999999996</v>
      </c>
      <c r="M488" s="183"/>
      <c r="N488" s="183">
        <f t="shared" si="70"/>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1"/>
        <v>lt003_entitygrp_emssns_scp3</v>
      </c>
      <c r="B489" s="68" t="s">
        <v>26</v>
      </c>
      <c r="C489" s="69" t="s">
        <v>26</v>
      </c>
      <c r="D489" s="65" t="s">
        <v>40</v>
      </c>
      <c r="E489" s="71" t="s">
        <v>336</v>
      </c>
      <c r="F489" s="72" t="s">
        <v>368</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8"/>
        <v>0.51249999999999996</v>
      </c>
      <c r="K489" s="181">
        <f>SUMIFS(Table1[Horas efetivas],Table1[Tabela],Plano_V3!E489,Table1[Campo],Plano_V3!F489)</f>
        <v>4.0999999999999996</v>
      </c>
      <c r="L489" s="181">
        <f t="shared" si="69"/>
        <v>0.51249999999999996</v>
      </c>
      <c r="M489" s="183"/>
      <c r="N489" s="183">
        <f t="shared" si="70"/>
        <v>1</v>
      </c>
      <c r="O489" s="183"/>
      <c r="P489" s="88" t="s">
        <v>338</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1"/>
        <v>lt004_protectiontyp_ep_scr</v>
      </c>
      <c r="B490" s="68" t="s">
        <v>26</v>
      </c>
      <c r="C490" s="69" t="s">
        <v>26</v>
      </c>
      <c r="D490" s="65" t="s">
        <v>40</v>
      </c>
      <c r="E490" s="71" t="s">
        <v>369</v>
      </c>
      <c r="F490" s="72" t="s">
        <v>370</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8"/>
        <v>0.51249999999999996</v>
      </c>
      <c r="K490" s="181">
        <f>SUMIFS(Table1[Horas efetivas],Table1[Tabela],Plano_V3!E490,Table1[Campo],Plano_V3!F490)</f>
        <v>4.0999999999999996</v>
      </c>
      <c r="L490" s="181">
        <f t="shared" si="69"/>
        <v>0.51249999999999996</v>
      </c>
      <c r="M490" s="183"/>
      <c r="N490" s="183">
        <f t="shared" si="70"/>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1"/>
        <v>lt004_protectionep_scr</v>
      </c>
      <c r="B491" s="68" t="s">
        <v>26</v>
      </c>
      <c r="C491" s="69" t="s">
        <v>26</v>
      </c>
      <c r="D491" s="65" t="s">
        <v>40</v>
      </c>
      <c r="E491" s="71" t="s">
        <v>369</v>
      </c>
      <c r="F491" s="72" t="s">
        <v>371</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8"/>
        <v>0.51249999999999996</v>
      </c>
      <c r="K491" s="181">
        <f>SUMIFS(Table1[Horas efetivas],Table1[Tabela],Plano_V3!E491,Table1[Campo],Plano_V3!F491)</f>
        <v>4.0999999999999996</v>
      </c>
      <c r="L491" s="181">
        <f t="shared" si="69"/>
        <v>0.51249999999999996</v>
      </c>
      <c r="M491" s="183"/>
      <c r="N491" s="183">
        <f t="shared" si="70"/>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1"/>
        <v>lt004_protectiontyp_epc_lbl</v>
      </c>
      <c r="B492" s="68" t="s">
        <v>26</v>
      </c>
      <c r="C492" s="69" t="s">
        <v>26</v>
      </c>
      <c r="D492" s="65" t="s">
        <v>40</v>
      </c>
      <c r="E492" s="71" t="s">
        <v>369</v>
      </c>
      <c r="F492" s="72" t="s">
        <v>372</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8"/>
        <v>0.51249999999999996</v>
      </c>
      <c r="K492" s="181">
        <f>SUMIFS(Table1[Horas efetivas],Table1[Tabela],Plano_V3!E492,Table1[Campo],Plano_V3!F492)</f>
        <v>4.0999999999999996</v>
      </c>
      <c r="L492" s="181">
        <f t="shared" si="69"/>
        <v>0.51249999999999996</v>
      </c>
      <c r="M492" s="183"/>
      <c r="N492" s="183">
        <f t="shared" si="70"/>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1"/>
        <v>lt004_protectionepc_lbl</v>
      </c>
      <c r="B493" s="68" t="s">
        <v>26</v>
      </c>
      <c r="C493" s="69" t="s">
        <v>26</v>
      </c>
      <c r="D493" s="65" t="s">
        <v>40</v>
      </c>
      <c r="E493" s="71" t="s">
        <v>369</v>
      </c>
      <c r="F493" s="72" t="s">
        <v>373</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8"/>
        <v>0.51249999999999996</v>
      </c>
      <c r="K493" s="181">
        <f>SUMIFS(Table1[Horas efetivas],Table1[Tabela],Plano_V3!E493,Table1[Campo],Plano_V3!F493)</f>
        <v>4.0999999999999996</v>
      </c>
      <c r="L493" s="181">
        <f t="shared" si="69"/>
        <v>0.51249999999999996</v>
      </c>
      <c r="M493" s="183"/>
      <c r="N493" s="183">
        <f t="shared" si="70"/>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1"/>
        <v>lt004_protectionemssns_scp1_prtctn</v>
      </c>
      <c r="B494" s="68" t="s">
        <v>26</v>
      </c>
      <c r="C494" s="69" t="s">
        <v>26</v>
      </c>
      <c r="D494" s="65" t="s">
        <v>40</v>
      </c>
      <c r="E494" s="71" t="s">
        <v>369</v>
      </c>
      <c r="F494" s="72" t="s">
        <v>374</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8"/>
        <v>0.51249999999999996</v>
      </c>
      <c r="K494" s="181">
        <f>SUMIFS(Table1[Horas efetivas],Table1[Tabela],Plano_V3!E494,Table1[Campo],Plano_V3!F494)</f>
        <v>4.0999999999999996</v>
      </c>
      <c r="L494" s="181">
        <f t="shared" si="69"/>
        <v>0.51249999999999996</v>
      </c>
      <c r="M494" s="183"/>
      <c r="N494" s="183">
        <f t="shared" si="70"/>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1"/>
        <v>lt004_protectionemssns_scp2_prtctn</v>
      </c>
      <c r="B495" s="68" t="s">
        <v>26</v>
      </c>
      <c r="C495" s="69" t="s">
        <v>26</v>
      </c>
      <c r="D495" s="65" t="s">
        <v>40</v>
      </c>
      <c r="E495" s="71" t="s">
        <v>369</v>
      </c>
      <c r="F495" s="72" t="s">
        <v>375</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8"/>
        <v>0.51249999999999996</v>
      </c>
      <c r="K495" s="181">
        <f>SUMIFS(Table1[Horas efetivas],Table1[Tabela],Plano_V3!E495,Table1[Campo],Plano_V3!F495)</f>
        <v>4.0999999999999996</v>
      </c>
      <c r="L495" s="181">
        <f t="shared" si="69"/>
        <v>0.51249999999999996</v>
      </c>
      <c r="M495" s="183"/>
      <c r="N495" s="183">
        <f t="shared" si="70"/>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1"/>
        <v>lt004_protectionemssns_scp3_prtctn</v>
      </c>
      <c r="B496" s="68" t="s">
        <v>26</v>
      </c>
      <c r="C496" s="69" t="s">
        <v>26</v>
      </c>
      <c r="D496" s="65" t="s">
        <v>40</v>
      </c>
      <c r="E496" s="71" t="s">
        <v>369</v>
      </c>
      <c r="F496" s="72" t="s">
        <v>376</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8"/>
        <v>0.51249999999999996</v>
      </c>
      <c r="K496" s="181">
        <f>SUMIFS(Table1[Horas efetivas],Table1[Tabela],Plano_V3!E496,Table1[Campo],Plano_V3!F496)</f>
        <v>4.0999999999999996</v>
      </c>
      <c r="L496" s="181">
        <f t="shared" si="69"/>
        <v>0.51249999999999996</v>
      </c>
      <c r="M496" s="183"/>
      <c r="N496" s="183">
        <f t="shared" si="70"/>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1"/>
        <v>lt004_protectionmthd_usd_prtctn_scp_1</v>
      </c>
      <c r="B497" s="68" t="s">
        <v>26</v>
      </c>
      <c r="C497" s="69" t="s">
        <v>26</v>
      </c>
      <c r="D497" s="65" t="s">
        <v>40</v>
      </c>
      <c r="E497" s="71" t="s">
        <v>369</v>
      </c>
      <c r="F497" s="72" t="s">
        <v>377</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8"/>
        <v>0.51249999999999996</v>
      </c>
      <c r="K497" s="181">
        <f>SUMIFS(Table1[Horas efetivas],Table1[Tabela],Plano_V3!E497,Table1[Campo],Plano_V3!F497)</f>
        <v>4.0999999999999996</v>
      </c>
      <c r="L497" s="181">
        <f t="shared" si="69"/>
        <v>0.51249999999999996</v>
      </c>
      <c r="M497" s="183"/>
      <c r="N497" s="183">
        <f t="shared" si="70"/>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1"/>
        <v>lt004_protectionmthd_usd_prtctn_scp_2</v>
      </c>
      <c r="B498" s="68" t="s">
        <v>26</v>
      </c>
      <c r="C498" s="69" t="s">
        <v>26</v>
      </c>
      <c r="D498" s="65" t="s">
        <v>40</v>
      </c>
      <c r="E498" s="71" t="s">
        <v>369</v>
      </c>
      <c r="F498" s="72" t="s">
        <v>378</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8"/>
        <v>0.51249999999999996</v>
      </c>
      <c r="K498" s="181">
        <f>SUMIFS(Table1[Horas efetivas],Table1[Tabela],Plano_V3!E498,Table1[Campo],Plano_V3!F498)</f>
        <v>4.0999999999999996</v>
      </c>
      <c r="L498" s="181">
        <f t="shared" si="69"/>
        <v>0.51249999999999996</v>
      </c>
      <c r="M498" s="183"/>
      <c r="N498" s="183">
        <f t="shared" si="70"/>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1"/>
        <v>lt004_protectionmthd_usd_prtctn_scp_3</v>
      </c>
      <c r="B499" s="68" t="s">
        <v>26</v>
      </c>
      <c r="C499" s="69" t="s">
        <v>26</v>
      </c>
      <c r="D499" s="65" t="s">
        <v>40</v>
      </c>
      <c r="E499" s="71" t="s">
        <v>369</v>
      </c>
      <c r="F499" s="72" t="s">
        <v>379</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8"/>
        <v>0.51249999999999996</v>
      </c>
      <c r="K499" s="181">
        <f>SUMIFS(Table1[Horas efetivas],Table1[Tabela],Plano_V3!E499,Table1[Campo],Plano_V3!F499)</f>
        <v>4.0999999999999996</v>
      </c>
      <c r="L499" s="181">
        <f t="shared" si="69"/>
        <v>0.51249999999999996</v>
      </c>
      <c r="M499" s="183"/>
      <c r="N499" s="183">
        <f t="shared" si="70"/>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1"/>
        <v>lt004_protectionflg_act_physcl_rsk</v>
      </c>
      <c r="B500" s="68" t="s">
        <v>26</v>
      </c>
      <c r="C500" s="69" t="s">
        <v>26</v>
      </c>
      <c r="D500" s="65" t="s">
        <v>40</v>
      </c>
      <c r="E500" s="71" t="s">
        <v>369</v>
      </c>
      <c r="F500" s="72" t="s">
        <v>358</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8"/>
        <v>0.51249999999999996</v>
      </c>
      <c r="K500" s="181">
        <f>SUMIFS(Table1[Horas efetivas],Table1[Tabela],Plano_V3!E500,Table1[Campo],Plano_V3!F500)</f>
        <v>4.0999999999999996</v>
      </c>
      <c r="L500" s="181">
        <f t="shared" si="69"/>
        <v>0.51249999999999996</v>
      </c>
      <c r="M500" s="183"/>
      <c r="N500" s="183">
        <f t="shared" si="70"/>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1"/>
        <v>lt004_protectionflg_chrnc_physcl_rsk</v>
      </c>
      <c r="B501" s="68" t="s">
        <v>26</v>
      </c>
      <c r="C501" s="69" t="s">
        <v>26</v>
      </c>
      <c r="D501" s="65" t="s">
        <v>40</v>
      </c>
      <c r="E501" s="71" t="s">
        <v>369</v>
      </c>
      <c r="F501" s="72" t="s">
        <v>359</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8"/>
        <v>0.51249999999999996</v>
      </c>
      <c r="K501" s="181">
        <f>SUMIFS(Table1[Horas efetivas],Table1[Tabela],Plano_V3!E501,Table1[Campo],Plano_V3!F501)</f>
        <v>4.0999999999999996</v>
      </c>
      <c r="L501" s="181">
        <f t="shared" si="69"/>
        <v>0.51249999999999996</v>
      </c>
      <c r="M501" s="183"/>
      <c r="N501" s="183">
        <f t="shared" si="70"/>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1"/>
        <v>lt002_instrumentrsk_mtgtd_cct</v>
      </c>
      <c r="B502" s="68" t="s">
        <v>26</v>
      </c>
      <c r="C502" s="69" t="s">
        <v>26</v>
      </c>
      <c r="D502" s="65" t="s">
        <v>40</v>
      </c>
      <c r="E502" s="71" t="s">
        <v>380</v>
      </c>
      <c r="F502" s="72" t="s">
        <v>381</v>
      </c>
      <c r="G502" s="65" t="str">
        <f>INDEX(Auxiliar!$B$16:$B$24,MATCH(Plano_V3!H502,Auxiliar!$C$16:$C$24,0),1)</f>
        <v>1. Concluído</v>
      </c>
      <c r="H502" s="65">
        <f>VLOOKUP(A502,'Aux - pivots1'!$A:$B,2,0)</f>
        <v>1</v>
      </c>
      <c r="I502" s="181">
        <f>SUMIFS(Table1[Estimação (horas)],Table1[Tabela],Plano_V3!E502,Table1[Campo],Plano_V3!F502)</f>
        <v>4.0999999999999996</v>
      </c>
      <c r="J502" s="181">
        <f t="shared" si="68"/>
        <v>0.51249999999999996</v>
      </c>
      <c r="K502" s="181">
        <f>SUMIFS(Table1[Horas efetivas],Table1[Tabela],Plano_V3!E502,Table1[Campo],Plano_V3!F502)</f>
        <v>4.0999999999999996</v>
      </c>
      <c r="L502" s="181">
        <f t="shared" si="69"/>
        <v>0.51249999999999996</v>
      </c>
      <c r="M502" s="183"/>
      <c r="N502" s="183">
        <f t="shared" si="70"/>
        <v>1</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1"/>
        <v>lt002_instrumentrsk_mtgtd_ccp</v>
      </c>
      <c r="B503" s="68" t="s">
        <v>26</v>
      </c>
      <c r="C503" s="69" t="s">
        <v>26</v>
      </c>
      <c r="D503" s="65" t="s">
        <v>40</v>
      </c>
      <c r="E503" s="71" t="s">
        <v>380</v>
      </c>
      <c r="F503" s="72" t="s">
        <v>382</v>
      </c>
      <c r="G503" s="65" t="str">
        <f>INDEX(Auxiliar!$B$16:$B$24,MATCH(Plano_V3!H503,Auxiliar!$C$16:$C$24,0),1)</f>
        <v>4. Validação EF</v>
      </c>
      <c r="H503" s="65">
        <f>VLOOKUP(A503,'Aux - pivots1'!$A:$B,2,0)</f>
        <v>5</v>
      </c>
      <c r="I503" s="181">
        <f>SUMIFS(Table1[Estimação (horas)],Table1[Tabela],Plano_V3!E503,Table1[Campo],Plano_V3!F503)</f>
        <v>4.0999999999999996</v>
      </c>
      <c r="J503" s="181">
        <f t="shared" si="68"/>
        <v>0.51249999999999996</v>
      </c>
      <c r="K503" s="181">
        <f>SUMIFS(Table1[Horas efetivas],Table1[Tabela],Plano_V3!E503,Table1[Campo],Plano_V3!F503)</f>
        <v>1.0249999999999999</v>
      </c>
      <c r="L503" s="181">
        <f t="shared" si="69"/>
        <v>0.12812499999999999</v>
      </c>
      <c r="M503" s="183"/>
      <c r="N503" s="183">
        <f t="shared" si="70"/>
        <v>0.25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1"/>
        <v>lt007_instr_activityenvrnmntl_objctv</v>
      </c>
      <c r="B504" s="68" t="s">
        <v>26</v>
      </c>
      <c r="C504" s="69" t="s">
        <v>26</v>
      </c>
      <c r="D504" s="65" t="s">
        <v>40</v>
      </c>
      <c r="E504" s="71" t="s">
        <v>1948</v>
      </c>
      <c r="F504" s="72" t="s">
        <v>383</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8"/>
        <v>0.51249999999999996</v>
      </c>
      <c r="K504" s="181">
        <f>SUMIFS(Table1[Horas efetivas],Table1[Tabela],Plano_V3!E504,Table1[Campo],Plano_V3!F504)</f>
        <v>4.0999999999999996</v>
      </c>
      <c r="L504" s="181">
        <f t="shared" si="69"/>
        <v>0.51249999999999996</v>
      </c>
      <c r="M504" s="183"/>
      <c r="N504" s="183">
        <f t="shared" si="70"/>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1"/>
        <v>lt007_instr_activitytyp_actvty</v>
      </c>
      <c r="B505" s="68" t="s">
        <v>26</v>
      </c>
      <c r="C505" s="69" t="s">
        <v>26</v>
      </c>
      <c r="D505" s="65" t="s">
        <v>40</v>
      </c>
      <c r="E505" s="71" t="s">
        <v>1948</v>
      </c>
      <c r="F505" s="72" t="s">
        <v>384</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8"/>
        <v>0.51249999999999996</v>
      </c>
      <c r="K505" s="181">
        <f>SUMIFS(Table1[Horas efetivas],Table1[Tabela],Plano_V3!E505,Table1[Campo],Plano_V3!F505)</f>
        <v>4.0999999999999996</v>
      </c>
      <c r="L505" s="181">
        <f t="shared" si="69"/>
        <v>0.51249999999999996</v>
      </c>
      <c r="M505" s="183"/>
      <c r="N505" s="183">
        <f t="shared" si="70"/>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1"/>
        <v>lt002_instrumentlns_clltrlzd_clssfctn</v>
      </c>
      <c r="B506" s="68" t="s">
        <v>26</v>
      </c>
      <c r="C506" s="69" t="s">
        <v>26</v>
      </c>
      <c r="D506" s="65" t="s">
        <v>40</v>
      </c>
      <c r="E506" s="71" t="s">
        <v>380</v>
      </c>
      <c r="F506" s="72" t="s">
        <v>385</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68"/>
        <v>0.51249999999999996</v>
      </c>
      <c r="K506" s="181">
        <f>SUMIFS(Table1[Horas efetivas],Table1[Tabela],Plano_V3!E506,Table1[Campo],Plano_V3!F506)</f>
        <v>4.0999999999999996</v>
      </c>
      <c r="L506" s="181">
        <f t="shared" si="69"/>
        <v>0.51249999999999996</v>
      </c>
      <c r="M506" s="183"/>
      <c r="N506" s="183">
        <f t="shared" si="70"/>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1"/>
        <v>lt002_instrumentmthd_usd_instrmnt_scp_1</v>
      </c>
      <c r="B507" s="68" t="s">
        <v>26</v>
      </c>
      <c r="C507" s="69" t="s">
        <v>26</v>
      </c>
      <c r="D507" s="65" t="s">
        <v>40</v>
      </c>
      <c r="E507" s="71" t="s">
        <v>380</v>
      </c>
      <c r="F507" s="72" t="s">
        <v>386</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8"/>
        <v>0.51249999999999996</v>
      </c>
      <c r="K507" s="181">
        <f>SUMIFS(Table1[Horas efetivas],Table1[Tabela],Plano_V3!E507,Table1[Campo],Plano_V3!F507)</f>
        <v>1.0249999999999999</v>
      </c>
      <c r="L507" s="181">
        <f t="shared" si="69"/>
        <v>0.12812499999999999</v>
      </c>
      <c r="M507" s="183"/>
      <c r="N507" s="183">
        <f t="shared" si="70"/>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1"/>
        <v>lt002_instrumentmthd_usd_instrmnt_scp_2</v>
      </c>
      <c r="B508" s="68" t="s">
        <v>26</v>
      </c>
      <c r="C508" s="69" t="s">
        <v>26</v>
      </c>
      <c r="D508" s="65" t="s">
        <v>40</v>
      </c>
      <c r="E508" s="71" t="s">
        <v>380</v>
      </c>
      <c r="F508" s="72" t="s">
        <v>387</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8"/>
        <v>0.51249999999999996</v>
      </c>
      <c r="K508" s="181">
        <f>SUMIFS(Table1[Horas efetivas],Table1[Tabela],Plano_V3!E508,Table1[Campo],Plano_V3!F508)</f>
        <v>1.0249999999999999</v>
      </c>
      <c r="L508" s="181">
        <f t="shared" si="69"/>
        <v>0.12812499999999999</v>
      </c>
      <c r="M508" s="183"/>
      <c r="N508" s="183">
        <f t="shared" si="70"/>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1"/>
        <v>lt002_instrumentmthd_usd_instrmnt_scp_3</v>
      </c>
      <c r="B509" s="68" t="s">
        <v>26</v>
      </c>
      <c r="C509" s="69" t="s">
        <v>26</v>
      </c>
      <c r="D509" s="65" t="s">
        <v>40</v>
      </c>
      <c r="E509" s="71" t="s">
        <v>380</v>
      </c>
      <c r="F509" s="72" t="s">
        <v>388</v>
      </c>
      <c r="G509" s="65" t="str">
        <f>INDEX(Auxiliar!$B$16:$B$24,MATCH(Plano_V3!H509,Auxiliar!$C$16:$C$24,0),1)</f>
        <v>3. Pendente de outros desenvolvimentos</v>
      </c>
      <c r="H509" s="65">
        <f>VLOOKUP(A509,'Aux - pivots1'!$A:$B,2,0)</f>
        <v>4</v>
      </c>
      <c r="I509" s="181">
        <f>SUMIFS(Table1[Estimação (horas)],Table1[Tabela],Plano_V3!E509,Table1[Campo],Plano_V3!F509)</f>
        <v>4.0999999999999996</v>
      </c>
      <c r="J509" s="181">
        <f t="shared" si="68"/>
        <v>0.51249999999999996</v>
      </c>
      <c r="K509" s="181">
        <f>SUMIFS(Table1[Horas efetivas],Table1[Tabela],Plano_V3!E509,Table1[Campo],Plano_V3!F509)</f>
        <v>1.0249999999999999</v>
      </c>
      <c r="L509" s="181">
        <f t="shared" si="69"/>
        <v>0.12812499999999999</v>
      </c>
      <c r="M509" s="183"/>
      <c r="N509" s="183">
        <f t="shared" si="70"/>
        <v>0.25</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1"/>
        <v>lt002_instrumentsstnbl_ctgry_txnmy</v>
      </c>
      <c r="B510" s="68" t="s">
        <v>26</v>
      </c>
      <c r="C510" s="69" t="s">
        <v>26</v>
      </c>
      <c r="D510" s="65" t="s">
        <v>40</v>
      </c>
      <c r="E510" s="71" t="s">
        <v>380</v>
      </c>
      <c r="F510" s="72" t="s">
        <v>389</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8"/>
        <v>0.51249999999999996</v>
      </c>
      <c r="K510" s="181">
        <f>SUMIFS(Table1[Horas efetivas],Table1[Tabela],Plano_V3!E510,Table1[Campo],Plano_V3!F510)</f>
        <v>4.0999999999999996</v>
      </c>
      <c r="L510" s="181">
        <f t="shared" si="69"/>
        <v>0.51249999999999996</v>
      </c>
      <c r="M510" s="183"/>
      <c r="N510" s="183">
        <f t="shared" si="70"/>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1"/>
        <v>lt827_mthd_usd_instrmntambito</v>
      </c>
      <c r="B511" s="68" t="s">
        <v>26</v>
      </c>
      <c r="C511" s="69" t="s">
        <v>26</v>
      </c>
      <c r="D511" s="65" t="s">
        <v>40</v>
      </c>
      <c r="E511" s="71" t="s">
        <v>1949</v>
      </c>
      <c r="F511" s="73" t="s">
        <v>391</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8"/>
        <v>0.51249999999999996</v>
      </c>
      <c r="K511" s="181">
        <f>SUMIFS(Table1[Horas efetivas],Table1[Tabela],Plano_V3!E511,Table1[Campo],Plano_V3!F511)</f>
        <v>4.0999999999999996</v>
      </c>
      <c r="L511" s="181">
        <f t="shared" si="69"/>
        <v>0.51249999999999996</v>
      </c>
      <c r="M511" s="183"/>
      <c r="N511" s="183">
        <f t="shared" si="70"/>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1"/>
        <v>lt827_mthd_usd_instrmntref_date</v>
      </c>
      <c r="B512" s="68" t="s">
        <v>26</v>
      </c>
      <c r="C512" s="69" t="s">
        <v>26</v>
      </c>
      <c r="D512" s="65" t="s">
        <v>40</v>
      </c>
      <c r="E512" s="71" t="s">
        <v>1949</v>
      </c>
      <c r="F512" s="73" t="s">
        <v>208</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8"/>
        <v>0.51249999999999996</v>
      </c>
      <c r="K512" s="181">
        <f>SUMIFS(Table1[Horas efetivas],Table1[Tabela],Plano_V3!E512,Table1[Campo],Plano_V3!F512)</f>
        <v>4.0999999999999996</v>
      </c>
      <c r="L512" s="181">
        <f t="shared" si="69"/>
        <v>0.51249999999999996</v>
      </c>
      <c r="M512" s="183"/>
      <c r="N512" s="183">
        <f t="shared" si="70"/>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1"/>
        <v>lt827_mthd_usd_instrmntordem</v>
      </c>
      <c r="B513" s="68" t="s">
        <v>26</v>
      </c>
      <c r="C513" s="69" t="s">
        <v>26</v>
      </c>
      <c r="D513" s="65" t="s">
        <v>40</v>
      </c>
      <c r="E513" s="71" t="s">
        <v>1949</v>
      </c>
      <c r="F513" s="73" t="s">
        <v>211</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8"/>
        <v>0.51249999999999996</v>
      </c>
      <c r="K513" s="181">
        <f>SUMIFS(Table1[Horas efetivas],Table1[Tabela],Plano_V3!E513,Table1[Campo],Plano_V3!F513)</f>
        <v>4.0999999999999996</v>
      </c>
      <c r="L513" s="181">
        <f t="shared" si="69"/>
        <v>0.51249999999999996</v>
      </c>
      <c r="M513" s="183"/>
      <c r="N513" s="183">
        <f t="shared" si="70"/>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1"/>
        <v>lt827_mthd_usd_instrmnttabela</v>
      </c>
      <c r="B514" s="68" t="s">
        <v>26</v>
      </c>
      <c r="C514" s="69" t="s">
        <v>26</v>
      </c>
      <c r="D514" s="65" t="s">
        <v>40</v>
      </c>
      <c r="E514" s="71" t="s">
        <v>1949</v>
      </c>
      <c r="F514" s="73" t="s">
        <v>392</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8"/>
        <v>0.51249999999999996</v>
      </c>
      <c r="K514" s="181">
        <f>SUMIFS(Table1[Horas efetivas],Table1[Tabela],Plano_V3!E514,Table1[Campo],Plano_V3!F514)</f>
        <v>4.0999999999999996</v>
      </c>
      <c r="L514" s="181">
        <f t="shared" si="69"/>
        <v>0.51249999999999996</v>
      </c>
      <c r="M514" s="183"/>
      <c r="N514" s="183">
        <f t="shared" si="70"/>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1"/>
        <v>lt827_mthd_usd_instrmntorigem_scp1_emss</v>
      </c>
      <c r="B515" s="68" t="s">
        <v>26</v>
      </c>
      <c r="C515" s="69" t="s">
        <v>26</v>
      </c>
      <c r="D515" s="65" t="s">
        <v>40</v>
      </c>
      <c r="E515" s="71" t="s">
        <v>1949</v>
      </c>
      <c r="F515" s="72" t="s">
        <v>320</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8"/>
        <v>0.51249999999999996</v>
      </c>
      <c r="K515" s="181">
        <f>SUMIFS(Table1[Horas efetivas],Table1[Tabela],Plano_V3!E515,Table1[Campo],Plano_V3!F515)</f>
        <v>4.0999999999999996</v>
      </c>
      <c r="L515" s="181">
        <f t="shared" si="69"/>
        <v>0.51249999999999996</v>
      </c>
      <c r="M515" s="183"/>
      <c r="N515" s="183">
        <f t="shared" si="70"/>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1"/>
        <v>lt827_mthd_usd_instrmntorigem_scp2_emss</v>
      </c>
      <c r="B516" s="68" t="s">
        <v>26</v>
      </c>
      <c r="C516" s="69" t="s">
        <v>26</v>
      </c>
      <c r="D516" s="65" t="s">
        <v>40</v>
      </c>
      <c r="E516" s="71" t="s">
        <v>1949</v>
      </c>
      <c r="F516" s="72" t="s">
        <v>321</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8"/>
        <v>0.51249999999999996</v>
      </c>
      <c r="K516" s="181">
        <f>SUMIFS(Table1[Horas efetivas],Table1[Tabela],Plano_V3!E516,Table1[Campo],Plano_V3!F516)</f>
        <v>4.0999999999999996</v>
      </c>
      <c r="L516" s="181">
        <f t="shared" si="69"/>
        <v>0.51249999999999996</v>
      </c>
      <c r="M516" s="183"/>
      <c r="N516" s="183">
        <f t="shared" si="70"/>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1"/>
        <v>lt827_mthd_usd_instrmntorigem_scp3_emss</v>
      </c>
      <c r="B517" s="68" t="s">
        <v>26</v>
      </c>
      <c r="C517" s="69" t="s">
        <v>26</v>
      </c>
      <c r="D517" s="65" t="s">
        <v>40</v>
      </c>
      <c r="E517" s="71" t="s">
        <v>1949</v>
      </c>
      <c r="F517" s="72" t="s">
        <v>322</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8"/>
        <v>0.51249999999999996</v>
      </c>
      <c r="K517" s="181">
        <f>SUMIFS(Table1[Horas efetivas],Table1[Tabela],Plano_V3!E517,Table1[Campo],Plano_V3!F517)</f>
        <v>4.0999999999999996</v>
      </c>
      <c r="L517" s="181">
        <f t="shared" si="69"/>
        <v>0.51249999999999996</v>
      </c>
      <c r="M517" s="183"/>
      <c r="N517" s="183">
        <f t="shared" si="70"/>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1"/>
        <v>lt827_mthd_usd_instrmntmthd_usd_instrmnt_scp_1</v>
      </c>
      <c r="B518" s="68" t="s">
        <v>26</v>
      </c>
      <c r="C518" s="69" t="s">
        <v>26</v>
      </c>
      <c r="D518" s="65" t="s">
        <v>40</v>
      </c>
      <c r="E518" s="71" t="s">
        <v>1949</v>
      </c>
      <c r="F518" s="72" t="s">
        <v>386</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8"/>
        <v>0.51249999999999996</v>
      </c>
      <c r="K518" s="181">
        <f>SUMIFS(Table1[Horas efetivas],Table1[Tabela],Plano_V3!E518,Table1[Campo],Plano_V3!F518)</f>
        <v>4.0999999999999996</v>
      </c>
      <c r="L518" s="181">
        <f t="shared" si="69"/>
        <v>0.51249999999999996</v>
      </c>
      <c r="M518" s="183"/>
      <c r="N518" s="183">
        <f t="shared" si="70"/>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1"/>
        <v>lt827_mthd_usd_instrmntmthd_usd_instrmnt_scp_2</v>
      </c>
      <c r="B519" s="68" t="s">
        <v>26</v>
      </c>
      <c r="C519" s="69" t="s">
        <v>26</v>
      </c>
      <c r="D519" s="65" t="s">
        <v>40</v>
      </c>
      <c r="E519" s="71" t="s">
        <v>1949</v>
      </c>
      <c r="F519" s="72" t="s">
        <v>387</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8"/>
        <v>0.51249999999999996</v>
      </c>
      <c r="K519" s="181">
        <f>SUMIFS(Table1[Horas efetivas],Table1[Tabela],Plano_V3!E519,Table1[Campo],Plano_V3!F519)</f>
        <v>4.0999999999999996</v>
      </c>
      <c r="L519" s="181">
        <f t="shared" si="69"/>
        <v>0.51249999999999996</v>
      </c>
      <c r="M519" s="183"/>
      <c r="N519" s="183">
        <f t="shared" si="70"/>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1"/>
        <v>lt827_mthd_usd_instrmntmthd_usd_instrmnt_scp_3</v>
      </c>
      <c r="B520" s="68" t="s">
        <v>26</v>
      </c>
      <c r="C520" s="69" t="s">
        <v>26</v>
      </c>
      <c r="D520" s="65" t="s">
        <v>40</v>
      </c>
      <c r="E520" s="71" t="s">
        <v>1949</v>
      </c>
      <c r="F520" s="72" t="s">
        <v>388</v>
      </c>
      <c r="G520" s="65" t="str">
        <f>INDEX(Auxiliar!$B$16:$B$24,MATCH(Plano_V3!H520,Auxiliar!$C$16:$C$24,0),1)</f>
        <v>1. Concluído</v>
      </c>
      <c r="H520" s="65">
        <f>VLOOKUP(A520,'Aux - pivots1'!$A:$B,2,0)</f>
        <v>1</v>
      </c>
      <c r="I520" s="181">
        <f>SUMIFS(Table1[Estimação (horas)],Table1[Tabela],Plano_V3!E520,Table1[Campo],Plano_V3!F520)</f>
        <v>4.0999999999999996</v>
      </c>
      <c r="J520" s="181">
        <f t="shared" si="68"/>
        <v>0.51249999999999996</v>
      </c>
      <c r="K520" s="181">
        <f>SUMIFS(Table1[Horas efetivas],Table1[Tabela],Plano_V3!E520,Table1[Campo],Plano_V3!F520)</f>
        <v>4.0999999999999996</v>
      </c>
      <c r="L520" s="181">
        <f t="shared" si="69"/>
        <v>0.51249999999999996</v>
      </c>
      <c r="M520" s="183"/>
      <c r="N520" s="183">
        <f t="shared" si="70"/>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1"/>
        <v>lt827_mthd_usd_instrmntpurpose_code</v>
      </c>
      <c r="B521" s="68"/>
      <c r="C521" s="69"/>
      <c r="D521" s="65" t="s">
        <v>40</v>
      </c>
      <c r="E521" s="71" t="s">
        <v>1949</v>
      </c>
      <c r="F521" s="72" t="s">
        <v>1933</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1"/>
        <v>lt827_mthd_usd_instrmntflg_fin</v>
      </c>
      <c r="B522" s="68"/>
      <c r="C522" s="69"/>
      <c r="D522" s="65" t="s">
        <v>40</v>
      </c>
      <c r="E522" s="71" t="s">
        <v>1949</v>
      </c>
      <c r="F522" s="72" t="s">
        <v>481</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1"/>
        <v>lt827_mthd_usd_instrmntflg_exec</v>
      </c>
      <c r="B523" s="68"/>
      <c r="C523" s="69"/>
      <c r="D523" s="65" t="s">
        <v>40</v>
      </c>
      <c r="E523" s="71" t="s">
        <v>1949</v>
      </c>
      <c r="F523" s="72" t="s">
        <v>1355</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1"/>
        <v>lt827_mthd_usd_instrmntflg_col</v>
      </c>
      <c r="B524" s="68"/>
      <c r="C524" s="69"/>
      <c r="D524" s="65" t="s">
        <v>40</v>
      </c>
      <c r="E524" s="71" t="s">
        <v>1949</v>
      </c>
      <c r="F524" s="72" t="s">
        <v>480</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1"/>
        <v>lt827_mthd_usd_instrmntflg_pro</v>
      </c>
      <c r="B525" s="68"/>
      <c r="C525" s="69"/>
      <c r="D525" s="65" t="s">
        <v>40</v>
      </c>
      <c r="E525" s="71" t="s">
        <v>1949</v>
      </c>
      <c r="F525" s="72" t="s">
        <v>482</v>
      </c>
      <c r="G525" s="65" t="str">
        <f>INDEX(Auxiliar!$B$16:$B$24,MATCH(Plano_V3!H525,Auxiliar!$C$16:$C$24,0),1)</f>
        <v>1. Concluído</v>
      </c>
      <c r="H525" s="65">
        <f>VLOOKUP(A525,'Aux - pivots1'!$A:$B,2,0)</f>
        <v>1</v>
      </c>
      <c r="I525" s="181">
        <f>SUMIFS(Table1[Estimação (horas)],Table1[Tabela],Plano_V3!E525,Table1[Campo],Plano_V3!F525)</f>
        <v>4.0999999999999996</v>
      </c>
      <c r="J525" s="181">
        <f>I525/8</f>
        <v>0.51249999999999996</v>
      </c>
      <c r="K525" s="181">
        <f>SUMIFS(Table1[Horas efetivas],Table1[Tabela],Plano_V3!E525,Table1[Campo],Plano_V3!F525)</f>
        <v>4.0999999999999996</v>
      </c>
      <c r="L525" s="181">
        <f>K525/8</f>
        <v>0.51249999999999996</v>
      </c>
      <c r="M525" s="183"/>
      <c r="N525" s="183">
        <f>L525/J525</f>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1"/>
        <v>lt826_esg_sbsctrambito</v>
      </c>
      <c r="B526" s="68" t="s">
        <v>26</v>
      </c>
      <c r="C526" s="69" t="s">
        <v>26</v>
      </c>
      <c r="D526" s="65" t="s">
        <v>40</v>
      </c>
      <c r="E526" s="71" t="s">
        <v>393</v>
      </c>
      <c r="F526" s="73" t="s">
        <v>391</v>
      </c>
      <c r="G526" s="65" t="str">
        <f>INDEX(Auxiliar!$B$16:$B$24,MATCH(Plano_V3!H526,Auxiliar!$C$16:$C$24,0),1)</f>
        <v>1. Concluído</v>
      </c>
      <c r="H526" s="65">
        <f>VLOOKUP(A526,'Aux - pivots1'!$A:$B,2,0)</f>
        <v>1</v>
      </c>
      <c r="I526" s="181">
        <f>SUMIFS(Table1[Estimação (horas)],Table1[Tabela],Plano_V3!E526,Table1[Campo],Plano_V3!F526)</f>
        <v>4.0999999999999996</v>
      </c>
      <c r="J526" s="181">
        <f t="shared" si="68"/>
        <v>0.51249999999999996</v>
      </c>
      <c r="K526" s="181">
        <f>SUMIFS(Table1[Horas efetivas],Table1[Tabela],Plano_V3!E526,Table1[Campo],Plano_V3!F526)</f>
        <v>4.0999999999999996</v>
      </c>
      <c r="L526" s="181">
        <f t="shared" si="69"/>
        <v>0.51249999999999996</v>
      </c>
      <c r="M526" s="183"/>
      <c r="N526" s="183">
        <f t="shared" si="70"/>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1"/>
        <v>lt826_esg_sbsctrref_date</v>
      </c>
      <c r="B527" s="68" t="s">
        <v>26</v>
      </c>
      <c r="C527" s="69" t="s">
        <v>26</v>
      </c>
      <c r="D527" s="65" t="s">
        <v>40</v>
      </c>
      <c r="E527" s="71" t="s">
        <v>393</v>
      </c>
      <c r="F527" s="73" t="s">
        <v>208</v>
      </c>
      <c r="G527" s="65" t="str">
        <f>INDEX(Auxiliar!$B$16:$B$24,MATCH(Plano_V3!H527,Auxiliar!$C$16:$C$24,0),1)</f>
        <v>1. Concluído</v>
      </c>
      <c r="H527" s="65">
        <f>VLOOKUP(A527,'Aux - pivots1'!$A:$B,2,0)</f>
        <v>1</v>
      </c>
      <c r="I527" s="181">
        <f>SUMIFS(Table1[Estimação (horas)],Table1[Tabela],Plano_V3!E527,Table1[Campo],Plano_V3!F527)</f>
        <v>4.0999999999999996</v>
      </c>
      <c r="J527" s="181">
        <f t="shared" ref="J527:J590" si="72">I527/8</f>
        <v>0.51249999999999996</v>
      </c>
      <c r="K527" s="181">
        <f>SUMIFS(Table1[Horas efetivas],Table1[Tabela],Plano_V3!E527,Table1[Campo],Plano_V3!F527)</f>
        <v>4.0999999999999996</v>
      </c>
      <c r="L527" s="181">
        <f t="shared" ref="L527:L590" si="73">K527/8</f>
        <v>0.51249999999999996</v>
      </c>
      <c r="M527" s="183"/>
      <c r="N527" s="183">
        <f t="shared" ref="N527:N593" si="74">L527/J527</f>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1"/>
        <v>lt826_esg_sbsctrordem</v>
      </c>
      <c r="B528" s="68" t="s">
        <v>26</v>
      </c>
      <c r="C528" s="69" t="s">
        <v>26</v>
      </c>
      <c r="D528" s="65" t="s">
        <v>40</v>
      </c>
      <c r="E528" s="71" t="s">
        <v>393</v>
      </c>
      <c r="F528" s="73" t="s">
        <v>211</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72"/>
        <v>0.51249999999999996</v>
      </c>
      <c r="K528" s="181">
        <f>SUMIFS(Table1[Horas efetivas],Table1[Tabela],Plano_V3!E528,Table1[Campo],Plano_V3!F528)</f>
        <v>4.0999999999999996</v>
      </c>
      <c r="L528" s="181">
        <f t="shared" si="73"/>
        <v>0.51249999999999996</v>
      </c>
      <c r="M528" s="183"/>
      <c r="N528" s="183">
        <f t="shared" si="74"/>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1"/>
        <v>lt826_esg_sbsctrnace_code</v>
      </c>
      <c r="B529" s="68" t="s">
        <v>26</v>
      </c>
      <c r="C529" s="69" t="s">
        <v>26</v>
      </c>
      <c r="D529" s="65" t="s">
        <v>40</v>
      </c>
      <c r="E529" s="71" t="s">
        <v>393</v>
      </c>
      <c r="F529" s="72" t="s">
        <v>394</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72"/>
        <v>0.51249999999999996</v>
      </c>
      <c r="K529" s="181">
        <f>SUMIFS(Table1[Horas efetivas],Table1[Tabela],Plano_V3!E529,Table1[Campo],Plano_V3!F529)</f>
        <v>4.0999999999999996</v>
      </c>
      <c r="L529" s="181">
        <f t="shared" si="73"/>
        <v>0.51249999999999996</v>
      </c>
      <c r="M529" s="183"/>
      <c r="N529" s="183">
        <f t="shared" si="74"/>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1"/>
        <v>lt826_esg_sbsctrcontraparte</v>
      </c>
      <c r="B530" s="68" t="s">
        <v>26</v>
      </c>
      <c r="C530" s="69" t="s">
        <v>26</v>
      </c>
      <c r="D530" s="65" t="s">
        <v>40</v>
      </c>
      <c r="E530" s="71" t="s">
        <v>393</v>
      </c>
      <c r="F530" s="72" t="s">
        <v>395</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72"/>
        <v>0.51249999999999996</v>
      </c>
      <c r="K530" s="181">
        <f>SUMIFS(Table1[Horas efetivas],Table1[Tabela],Plano_V3!E530,Table1[Campo],Plano_V3!F530)</f>
        <v>4.0999999999999996</v>
      </c>
      <c r="L530" s="181">
        <f t="shared" si="73"/>
        <v>0.51249999999999996</v>
      </c>
      <c r="M530" s="183"/>
      <c r="N530" s="183">
        <f t="shared" si="74"/>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1"/>
        <v>lt826_esg_sbsctrcnatureza_juri</v>
      </c>
      <c r="B531" s="68" t="s">
        <v>26</v>
      </c>
      <c r="C531" s="69" t="s">
        <v>26</v>
      </c>
      <c r="D531" s="65" t="s">
        <v>40</v>
      </c>
      <c r="E531" s="71" t="s">
        <v>393</v>
      </c>
      <c r="F531" s="72" t="s">
        <v>396</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72"/>
        <v>0.51249999999999996</v>
      </c>
      <c r="K531" s="181">
        <f>SUMIFS(Table1[Horas efetivas],Table1[Tabela],Plano_V3!E531,Table1[Campo],Plano_V3!F531)</f>
        <v>4.0999999999999996</v>
      </c>
      <c r="L531" s="181">
        <f t="shared" si="73"/>
        <v>0.51249999999999996</v>
      </c>
      <c r="M531" s="183"/>
      <c r="N531" s="183">
        <f t="shared" si="74"/>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1"/>
        <v>lt826_esg_sbsctridcomb</v>
      </c>
      <c r="B532" s="68" t="s">
        <v>26</v>
      </c>
      <c r="C532" s="69" t="s">
        <v>26</v>
      </c>
      <c r="D532" s="65" t="s">
        <v>40</v>
      </c>
      <c r="E532" s="71" t="s">
        <v>393</v>
      </c>
      <c r="F532" s="72" t="s">
        <v>397</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72"/>
        <v>0.51249999999999996</v>
      </c>
      <c r="K532" s="181">
        <f>SUMIFS(Table1[Horas efetivas],Table1[Tabela],Plano_V3!E532,Table1[Campo],Plano_V3!F532)</f>
        <v>4.0999999999999996</v>
      </c>
      <c r="L532" s="181">
        <f t="shared" si="73"/>
        <v>0.51249999999999996</v>
      </c>
      <c r="M532" s="183"/>
      <c r="N532" s="183">
        <f t="shared" si="74"/>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1"/>
        <v>lt826_esg_sbsctresg_sbsctr</v>
      </c>
      <c r="B533" s="68" t="s">
        <v>26</v>
      </c>
      <c r="C533" s="69" t="s">
        <v>26</v>
      </c>
      <c r="D533" s="65" t="s">
        <v>40</v>
      </c>
      <c r="E533" s="71" t="s">
        <v>393</v>
      </c>
      <c r="F533" s="72" t="s">
        <v>361</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72"/>
        <v>0.51249999999999996</v>
      </c>
      <c r="K533" s="181">
        <f>SUMIFS(Table1[Horas efetivas],Table1[Tabela],Plano_V3!E533,Table1[Campo],Plano_V3!F533)</f>
        <v>4.0999999999999996</v>
      </c>
      <c r="L533" s="181">
        <f t="shared" si="73"/>
        <v>0.51249999999999996</v>
      </c>
      <c r="M533" s="183"/>
      <c r="N533" s="183">
        <f t="shared" si="74"/>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1"/>
        <v>lt826_esg_sbsctrdescrição</v>
      </c>
      <c r="B534" s="68" t="s">
        <v>26</v>
      </c>
      <c r="C534" s="69" t="s">
        <v>26</v>
      </c>
      <c r="D534" s="65" t="s">
        <v>40</v>
      </c>
      <c r="E534" s="71" t="s">
        <v>393</v>
      </c>
      <c r="F534" s="72" t="s">
        <v>398</v>
      </c>
      <c r="G534" s="65" t="str">
        <f>INDEX(Auxiliar!$B$16:$B$24,MATCH(Plano_V3!H534,Auxiliar!$C$16:$C$24,0),1)</f>
        <v>1. Concluído</v>
      </c>
      <c r="H534" s="65">
        <f>VLOOKUP(A534,'Aux - pivots1'!$A:$B,2,0)</f>
        <v>1</v>
      </c>
      <c r="I534" s="181">
        <f>SUMIFS(Table1[Estimação (horas)],Table1[Tabela],Plano_V3!E534,Table1[Campo],Plano_V3!F534)</f>
        <v>4.0999999999999996</v>
      </c>
      <c r="J534" s="181">
        <f t="shared" si="72"/>
        <v>0.51249999999999996</v>
      </c>
      <c r="K534" s="181">
        <f>SUMIFS(Table1[Horas efetivas],Table1[Tabela],Plano_V3!E534,Table1[Campo],Plano_V3!F534)</f>
        <v>4.0999999999999996</v>
      </c>
      <c r="L534" s="181">
        <f t="shared" si="73"/>
        <v>0.51249999999999996</v>
      </c>
      <c r="M534" s="183"/>
      <c r="N534" s="183">
        <f t="shared" si="74"/>
        <v>1</v>
      </c>
      <c r="O534" s="183"/>
      <c r="P534" s="90" t="s">
        <v>39</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1"/>
        <v>lt002_instrumentdt_rfrnc</v>
      </c>
      <c r="B535" s="68" t="s">
        <v>26</v>
      </c>
      <c r="C535" s="69" t="s">
        <v>26</v>
      </c>
      <c r="D535" s="65" t="s">
        <v>40</v>
      </c>
      <c r="E535" s="71" t="s">
        <v>380</v>
      </c>
      <c r="F535" s="72" t="s">
        <v>399</v>
      </c>
      <c r="G535" s="65" t="str">
        <f>INDEX(Auxiliar!$B$16:$B$24,MATCH(Plano_V3!H535,Auxiliar!$C$16:$C$24,0),1)</f>
        <v>1. Concluído</v>
      </c>
      <c r="H535" s="65">
        <f>VLOOKUP(A535,'Aux - pivots1'!$A:$B,2,0)</f>
        <v>1</v>
      </c>
      <c r="I535" s="181">
        <f>SUMIFS(Table1[Estimação (horas)],Table1[Tabela],Plano_V3!E535,Table1[Campo],Plano_V3!F535)</f>
        <v>0.1</v>
      </c>
      <c r="J535" s="181">
        <f t="shared" si="72"/>
        <v>1.2500000000000001E-2</v>
      </c>
      <c r="K535" s="181">
        <f>SUMIFS(Table1[Horas efetivas],Table1[Tabela],Plano_V3!E535,Table1[Campo],Plano_V3!F535)</f>
        <v>0.1</v>
      </c>
      <c r="L535" s="181">
        <f t="shared" si="73"/>
        <v>1.2500000000000001E-2</v>
      </c>
      <c r="M535" s="183"/>
      <c r="N535" s="183">
        <f t="shared" si="74"/>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1"/>
        <v>lt002_instrumentinstrmnt_id</v>
      </c>
      <c r="B536" s="68" t="s">
        <v>26</v>
      </c>
      <c r="C536" s="69" t="s">
        <v>26</v>
      </c>
      <c r="D536" s="65" t="s">
        <v>40</v>
      </c>
      <c r="E536" s="71" t="s">
        <v>380</v>
      </c>
      <c r="F536" s="72" t="s">
        <v>401</v>
      </c>
      <c r="G536" s="65" t="str">
        <f>INDEX(Auxiliar!$B$16:$B$24,MATCH(Plano_V3!H536,Auxiliar!$C$16:$C$24,0),1)</f>
        <v>1. Concluído</v>
      </c>
      <c r="H536" s="65">
        <f>VLOOKUP(A536,'Aux - pivots1'!$A:$B,2,0)</f>
        <v>1</v>
      </c>
      <c r="I536" s="181">
        <f>SUMIFS(Table1[Estimação (horas)],Table1[Tabela],Plano_V3!E536,Table1[Campo],Plano_V3!F536)</f>
        <v>0.1</v>
      </c>
      <c r="J536" s="181">
        <f t="shared" si="72"/>
        <v>1.2500000000000001E-2</v>
      </c>
      <c r="K536" s="181">
        <f>SUMIFS(Table1[Horas efetivas],Table1[Tabela],Plano_V3!E536,Table1[Campo],Plano_V3!F536)</f>
        <v>0.1</v>
      </c>
      <c r="L536" s="181">
        <f t="shared" si="73"/>
        <v>1.2500000000000001E-2</v>
      </c>
      <c r="M536" s="183"/>
      <c r="N536" s="183">
        <f t="shared" si="74"/>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1"/>
        <v>lt002_instrumentdt_incptn</v>
      </c>
      <c r="B537" s="68" t="s">
        <v>26</v>
      </c>
      <c r="C537" s="69" t="s">
        <v>26</v>
      </c>
      <c r="D537" s="65" t="s">
        <v>40</v>
      </c>
      <c r="E537" s="71" t="s">
        <v>380</v>
      </c>
      <c r="F537" s="72" t="s">
        <v>402</v>
      </c>
      <c r="G537" s="65" t="str">
        <f>INDEX(Auxiliar!$B$16:$B$24,MATCH(Plano_V3!H537,Auxiliar!$C$16:$C$24,0),1)</f>
        <v>1. Concluído</v>
      </c>
      <c r="H537" s="65">
        <f>VLOOKUP(A537,'Aux - pivots1'!$A:$B,2,0)</f>
        <v>1</v>
      </c>
      <c r="I537" s="181">
        <f>SUMIFS(Table1[Estimação (horas)],Table1[Tabela],Plano_V3!E537,Table1[Campo],Plano_V3!F537)</f>
        <v>0.1</v>
      </c>
      <c r="J537" s="181">
        <f t="shared" si="72"/>
        <v>1.2500000000000001E-2</v>
      </c>
      <c r="K537" s="181">
        <f>SUMIFS(Table1[Horas efetivas],Table1[Tabela],Plano_V3!E537,Table1[Campo],Plano_V3!F537)</f>
        <v>0.1</v>
      </c>
      <c r="L537" s="181">
        <f t="shared" si="73"/>
        <v>1.2500000000000001E-2</v>
      </c>
      <c r="M537" s="183"/>
      <c r="N537" s="183">
        <f t="shared" si="74"/>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1"/>
        <v>lt002_instrumentdflt_stts_instrmnt</v>
      </c>
      <c r="B538" s="68" t="s">
        <v>26</v>
      </c>
      <c r="C538" s="69" t="s">
        <v>26</v>
      </c>
      <c r="D538" s="65" t="s">
        <v>40</v>
      </c>
      <c r="E538" s="71" t="s">
        <v>380</v>
      </c>
      <c r="F538" s="72" t="s">
        <v>403</v>
      </c>
      <c r="G538" s="65" t="str">
        <f>INDEX(Auxiliar!$B$16:$B$24,MATCH(Plano_V3!H538,Auxiliar!$C$16:$C$24,0),1)</f>
        <v>1. Concluído</v>
      </c>
      <c r="H538" s="65">
        <f>VLOOKUP(A538,'Aux - pivots1'!$A:$B,2,0)</f>
        <v>1</v>
      </c>
      <c r="I538" s="181">
        <f>SUMIFS(Table1[Estimação (horas)],Table1[Tabela],Plano_V3!E538,Table1[Campo],Plano_V3!F538)</f>
        <v>0.1</v>
      </c>
      <c r="J538" s="181">
        <f t="shared" si="72"/>
        <v>1.2500000000000001E-2</v>
      </c>
      <c r="K538" s="181">
        <f>SUMIFS(Table1[Horas efetivas],Table1[Tabela],Plano_V3!E538,Table1[Campo],Plano_V3!F538)</f>
        <v>0.1</v>
      </c>
      <c r="L538" s="181">
        <f t="shared" si="73"/>
        <v>1.2500000000000001E-2</v>
      </c>
      <c r="M538" s="183"/>
      <c r="N538" s="183">
        <f t="shared" si="74"/>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1"/>
        <v>lt002_instrumentimprmnt_stts</v>
      </c>
      <c r="B539" s="68" t="s">
        <v>26</v>
      </c>
      <c r="C539" s="69" t="s">
        <v>26</v>
      </c>
      <c r="D539" s="65" t="s">
        <v>40</v>
      </c>
      <c r="E539" s="71" t="s">
        <v>380</v>
      </c>
      <c r="F539" s="72" t="s">
        <v>404</v>
      </c>
      <c r="G539" s="65" t="str">
        <f>INDEX(Auxiliar!$B$16:$B$24,MATCH(Plano_V3!H539,Auxiliar!$C$16:$C$24,0),1)</f>
        <v>1. Concluído</v>
      </c>
      <c r="H539" s="65">
        <f>VLOOKUP(A539,'Aux - pivots1'!$A:$B,2,0)</f>
        <v>1</v>
      </c>
      <c r="I539" s="181">
        <f>SUMIFS(Table1[Estimação (horas)],Table1[Tabela],Plano_V3!E539,Table1[Campo],Plano_V3!F539)</f>
        <v>0.1</v>
      </c>
      <c r="J539" s="181">
        <f t="shared" si="72"/>
        <v>1.2500000000000001E-2</v>
      </c>
      <c r="K539" s="181">
        <f>SUMIFS(Table1[Horas efetivas],Table1[Tabela],Plano_V3!E539,Table1[Campo],Plano_V3!F539)</f>
        <v>0.1</v>
      </c>
      <c r="L539" s="181">
        <f t="shared" si="73"/>
        <v>1.2500000000000001E-2</v>
      </c>
      <c r="M539" s="183"/>
      <c r="N539" s="183">
        <f t="shared" si="74"/>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1"/>
        <v>lt002_instrumentprfrmng_stts</v>
      </c>
      <c r="B540" s="68" t="s">
        <v>26</v>
      </c>
      <c r="C540" s="69" t="s">
        <v>26</v>
      </c>
      <c r="D540" s="65" t="s">
        <v>40</v>
      </c>
      <c r="E540" s="71" t="s">
        <v>380</v>
      </c>
      <c r="F540" s="72" t="s">
        <v>405</v>
      </c>
      <c r="G540" s="65" t="str">
        <f>INDEX(Auxiliar!$B$16:$B$24,MATCH(Plano_V3!H540,Auxiliar!$C$16:$C$24,0),1)</f>
        <v>1. Concluído</v>
      </c>
      <c r="H540" s="65">
        <f>VLOOKUP(A540,'Aux - pivots1'!$A:$B,2,0)</f>
        <v>1</v>
      </c>
      <c r="I540" s="181">
        <f>SUMIFS(Table1[Estimação (horas)],Table1[Tabela],Plano_V3!E540,Table1[Campo],Plano_V3!F540)</f>
        <v>0.1</v>
      </c>
      <c r="J540" s="181">
        <f t="shared" si="72"/>
        <v>1.2500000000000001E-2</v>
      </c>
      <c r="K540" s="181">
        <f>SUMIFS(Table1[Horas efetivas],Table1[Tabela],Plano_V3!E540,Table1[Campo],Plano_V3!F540)</f>
        <v>0.1</v>
      </c>
      <c r="L540" s="181">
        <f t="shared" si="73"/>
        <v>1.2500000000000001E-2</v>
      </c>
      <c r="M540" s="183"/>
      <c r="N540" s="183">
        <f t="shared" si="74"/>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1"/>
        <v>lt002_instrumentprjct_fnnc_ln</v>
      </c>
      <c r="B541" s="68" t="s">
        <v>26</v>
      </c>
      <c r="C541" s="69" t="s">
        <v>26</v>
      </c>
      <c r="D541" s="65" t="s">
        <v>40</v>
      </c>
      <c r="E541" s="71" t="s">
        <v>380</v>
      </c>
      <c r="F541" s="72" t="s">
        <v>406</v>
      </c>
      <c r="G541" s="65" t="str">
        <f>INDEX(Auxiliar!$B$16:$B$24,MATCH(Plano_V3!H541,Auxiliar!$C$16:$C$24,0),1)</f>
        <v>1. Concluído</v>
      </c>
      <c r="H541" s="65">
        <f>VLOOKUP(A541,'Aux - pivots1'!$A:$B,2,0)</f>
        <v>1</v>
      </c>
      <c r="I541" s="181">
        <f>SUMIFS(Table1[Estimação (horas)],Table1[Tabela],Plano_V3!E541,Table1[Campo],Plano_V3!F541)</f>
        <v>0.1</v>
      </c>
      <c r="J541" s="181">
        <f t="shared" si="72"/>
        <v>1.2500000000000001E-2</v>
      </c>
      <c r="K541" s="181">
        <f>SUMIFS(Table1[Horas efetivas],Table1[Tabela],Plano_V3!E541,Table1[Campo],Plano_V3!F541)</f>
        <v>0.1</v>
      </c>
      <c r="L541" s="181">
        <f t="shared" si="73"/>
        <v>1.2500000000000001E-2</v>
      </c>
      <c r="M541" s="183"/>
      <c r="N541" s="183">
        <f t="shared" si="74"/>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1"/>
        <v>lt002_instrumenttyp_instrmnt</v>
      </c>
      <c r="B542" s="68" t="s">
        <v>26</v>
      </c>
      <c r="C542" s="69" t="s">
        <v>26</v>
      </c>
      <c r="D542" s="65" t="s">
        <v>40</v>
      </c>
      <c r="E542" s="71" t="s">
        <v>380</v>
      </c>
      <c r="F542" s="72" t="s">
        <v>407</v>
      </c>
      <c r="G542" s="65" t="str">
        <f>INDEX(Auxiliar!$B$16:$B$24,MATCH(Plano_V3!H542,Auxiliar!$C$16:$C$24,0),1)</f>
        <v>1. Concluído</v>
      </c>
      <c r="H542" s="65">
        <f>VLOOKUP(A542,'Aux - pivots1'!$A:$B,2,0)</f>
        <v>1</v>
      </c>
      <c r="I542" s="181">
        <f>SUMIFS(Table1[Estimação (horas)],Table1[Tabela],Plano_V3!E542,Table1[Campo],Plano_V3!F542)</f>
        <v>0.1</v>
      </c>
      <c r="J542" s="181">
        <f t="shared" si="72"/>
        <v>1.2500000000000001E-2</v>
      </c>
      <c r="K542" s="181">
        <f>SUMIFS(Table1[Horas efetivas],Table1[Tabela],Plano_V3!E542,Table1[Campo],Plano_V3!F542)</f>
        <v>0.1</v>
      </c>
      <c r="L542" s="181">
        <f t="shared" si="73"/>
        <v>1.2500000000000001E-2</v>
      </c>
      <c r="M542" s="183"/>
      <c r="N542" s="183">
        <f t="shared" si="74"/>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1"/>
        <v>lt002_instrumentgrss_crryng_amnt_instrmnt</v>
      </c>
      <c r="B543" s="68" t="s">
        <v>26</v>
      </c>
      <c r="C543" s="69" t="s">
        <v>26</v>
      </c>
      <c r="D543" s="65" t="s">
        <v>40</v>
      </c>
      <c r="E543" s="71" t="s">
        <v>380</v>
      </c>
      <c r="F543" s="72" t="s">
        <v>408</v>
      </c>
      <c r="G543" s="65" t="str">
        <f>INDEX(Auxiliar!$B$16:$B$24,MATCH(Plano_V3!H543,Auxiliar!$C$16:$C$24,0),1)</f>
        <v>1. Concluído</v>
      </c>
      <c r="H543" s="65">
        <f>VLOOKUP(A543,'Aux - pivots1'!$A:$B,2,0)</f>
        <v>1</v>
      </c>
      <c r="I543" s="181">
        <f>SUMIFS(Table1[Estimação (horas)],Table1[Tabela],Plano_V3!E543,Table1[Campo],Plano_V3!F543)</f>
        <v>0.1</v>
      </c>
      <c r="J543" s="181">
        <f t="shared" si="72"/>
        <v>1.2500000000000001E-2</v>
      </c>
      <c r="K543" s="181">
        <f>SUMIFS(Table1[Horas efetivas],Table1[Tabela],Plano_V3!E543,Table1[Campo],Plano_V3!F543)</f>
        <v>0.1</v>
      </c>
      <c r="L543" s="181">
        <f t="shared" si="73"/>
        <v>1.2500000000000001E-2</v>
      </c>
      <c r="M543" s="183"/>
      <c r="N543" s="183">
        <f t="shared" si="74"/>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1"/>
        <v>lt002_instrumentaccmltd_chngs_fv_cr_instrmnt</v>
      </c>
      <c r="B544" s="68" t="s">
        <v>26</v>
      </c>
      <c r="C544" s="69" t="s">
        <v>26</v>
      </c>
      <c r="D544" s="65" t="s">
        <v>40</v>
      </c>
      <c r="E544" s="71" t="s">
        <v>380</v>
      </c>
      <c r="F544" s="72" t="s">
        <v>409</v>
      </c>
      <c r="G544" s="65" t="str">
        <f>INDEX(Auxiliar!$B$16:$B$24,MATCH(Plano_V3!H544,Auxiliar!$C$16:$C$24,0),1)</f>
        <v>1. Concluído</v>
      </c>
      <c r="H544" s="65">
        <f>VLOOKUP(A544,'Aux - pivots1'!$A:$B,2,0)</f>
        <v>1</v>
      </c>
      <c r="I544" s="181">
        <f>SUMIFS(Table1[Estimação (horas)],Table1[Tabela],Plano_V3!E544,Table1[Campo],Plano_V3!F544)</f>
        <v>0.1</v>
      </c>
      <c r="J544" s="181">
        <f t="shared" si="72"/>
        <v>1.2500000000000001E-2</v>
      </c>
      <c r="K544" s="181">
        <f>SUMIFS(Table1[Horas efetivas],Table1[Tabela],Plano_V3!E544,Table1[Campo],Plano_V3!F544)</f>
        <v>0.1</v>
      </c>
      <c r="L544" s="181">
        <f t="shared" si="73"/>
        <v>1.2500000000000001E-2</v>
      </c>
      <c r="M544" s="183"/>
      <c r="N544" s="183">
        <f t="shared" si="74"/>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1"/>
        <v>lt002_instrumentaccntng_clssfctn</v>
      </c>
      <c r="B545" s="68" t="s">
        <v>26</v>
      </c>
      <c r="C545" s="69" t="s">
        <v>26</v>
      </c>
      <c r="D545" s="65" t="s">
        <v>40</v>
      </c>
      <c r="E545" s="71" t="s">
        <v>380</v>
      </c>
      <c r="F545" s="72" t="s">
        <v>410</v>
      </c>
      <c r="G545" s="65" t="str">
        <f>INDEX(Auxiliar!$B$16:$B$24,MATCH(Plano_V3!H545,Auxiliar!$C$16:$C$24,0),1)</f>
        <v>1. Concluído</v>
      </c>
      <c r="H545" s="65">
        <f>VLOOKUP(A545,'Aux - pivots1'!$A:$B,2,0)</f>
        <v>1</v>
      </c>
      <c r="I545" s="181">
        <f>SUMIFS(Table1[Estimação (horas)],Table1[Tabela],Plano_V3!E545,Table1[Campo],Plano_V3!F545)</f>
        <v>0.1</v>
      </c>
      <c r="J545" s="181">
        <f t="shared" si="72"/>
        <v>1.2500000000000001E-2</v>
      </c>
      <c r="K545" s="181">
        <f>SUMIFS(Table1[Horas efetivas],Table1[Tabela],Plano_V3!E545,Table1[Campo],Plano_V3!F545)</f>
        <v>0.1</v>
      </c>
      <c r="L545" s="181">
        <f t="shared" si="73"/>
        <v>1.2500000000000001E-2</v>
      </c>
      <c r="M545" s="183"/>
      <c r="N545" s="183">
        <f t="shared" si="74"/>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1"/>
        <v>lt002_instrumentdt_lgl_fnl_mtrty</v>
      </c>
      <c r="B546" s="68" t="s">
        <v>26</v>
      </c>
      <c r="C546" s="69" t="s">
        <v>26</v>
      </c>
      <c r="D546" s="65" t="s">
        <v>40</v>
      </c>
      <c r="E546" s="71" t="s">
        <v>380</v>
      </c>
      <c r="F546" s="72" t="s">
        <v>411</v>
      </c>
      <c r="G546" s="65" t="str">
        <f>INDEX(Auxiliar!$B$16:$B$24,MATCH(Plano_V3!H546,Auxiliar!$C$16:$C$24,0),1)</f>
        <v>1. Concluído</v>
      </c>
      <c r="H546" s="65">
        <f>VLOOKUP(A546,'Aux - pivots1'!$A:$B,2,0)</f>
        <v>1</v>
      </c>
      <c r="I546" s="181">
        <f>SUMIFS(Table1[Estimação (horas)],Table1[Tabela],Plano_V3!E546,Table1[Campo],Plano_V3!F546)</f>
        <v>0.1</v>
      </c>
      <c r="J546" s="181">
        <f t="shared" si="72"/>
        <v>1.2500000000000001E-2</v>
      </c>
      <c r="K546" s="181">
        <f>SUMIFS(Table1[Horas efetivas],Table1[Tabela],Plano_V3!E546,Table1[Campo],Plano_V3!F546)</f>
        <v>0.1</v>
      </c>
      <c r="L546" s="181">
        <f t="shared" si="73"/>
        <v>1.2500000000000001E-2</v>
      </c>
      <c r="M546" s="183"/>
      <c r="N546" s="183">
        <f t="shared" si="74"/>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1"/>
        <v>lt002_instrumentaccmltd_imprmnt_instrmnt</v>
      </c>
      <c r="B547" s="68" t="s">
        <v>26</v>
      </c>
      <c r="C547" s="69" t="s">
        <v>26</v>
      </c>
      <c r="D547" s="65" t="s">
        <v>40</v>
      </c>
      <c r="E547" s="71" t="s">
        <v>380</v>
      </c>
      <c r="F547" s="72" t="s">
        <v>412</v>
      </c>
      <c r="G547" s="65" t="str">
        <f>INDEX(Auxiliar!$B$16:$B$24,MATCH(Plano_V3!H547,Auxiliar!$C$16:$C$24,0),1)</f>
        <v>1. Concluído</v>
      </c>
      <c r="H547" s="65">
        <f>VLOOKUP(A547,'Aux - pivots1'!$A:$B,2,0)</f>
        <v>1</v>
      </c>
      <c r="I547" s="181">
        <f>SUMIFS(Table1[Estimação (horas)],Table1[Tabela],Plano_V3!E547,Table1[Campo],Plano_V3!F547)</f>
        <v>0.1</v>
      </c>
      <c r="J547" s="181">
        <f t="shared" si="72"/>
        <v>1.2500000000000001E-2</v>
      </c>
      <c r="K547" s="181">
        <f>SUMIFS(Table1[Horas efetivas],Table1[Tabela],Plano_V3!E547,Table1[Campo],Plano_V3!F547)</f>
        <v>0.1</v>
      </c>
      <c r="L547" s="181">
        <f t="shared" si="73"/>
        <v>1.2500000000000001E-2</v>
      </c>
      <c r="M547" s="183"/>
      <c r="N547" s="183">
        <f t="shared" si="74"/>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1"/>
        <v>lt002_instrumentissr_cntry</v>
      </c>
      <c r="B548" s="68" t="s">
        <v>26</v>
      </c>
      <c r="C548" s="69" t="s">
        <v>26</v>
      </c>
      <c r="D548" s="65" t="s">
        <v>40</v>
      </c>
      <c r="E548" s="71" t="s">
        <v>380</v>
      </c>
      <c r="F548" s="72" t="s">
        <v>413</v>
      </c>
      <c r="G548" s="65" t="str">
        <f>INDEX(Auxiliar!$B$16:$B$24,MATCH(Plano_V3!H548,Auxiliar!$C$16:$C$24,0),1)</f>
        <v>1. Concluído</v>
      </c>
      <c r="H548" s="65">
        <f>VLOOKUP(A548,'Aux - pivots1'!$A:$B,2,0)</f>
        <v>1</v>
      </c>
      <c r="I548" s="181">
        <f>SUMIFS(Table1[Estimação (horas)],Table1[Tabela],Plano_V3!E548,Table1[Campo],Plano_V3!F548)</f>
        <v>0.1</v>
      </c>
      <c r="J548" s="181">
        <f t="shared" si="72"/>
        <v>1.2500000000000001E-2</v>
      </c>
      <c r="K548" s="181">
        <f>SUMIFS(Table1[Horas efetivas],Table1[Tabela],Plano_V3!E548,Table1[Campo],Plano_V3!F548)</f>
        <v>0.1</v>
      </c>
      <c r="L548" s="181">
        <f t="shared" si="73"/>
        <v>1.2500000000000001E-2</v>
      </c>
      <c r="M548" s="183"/>
      <c r="N548" s="183">
        <f t="shared" si="74"/>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1"/>
        <v>lt002_instrumentissr_nace_sctr</v>
      </c>
      <c r="B549" s="68" t="s">
        <v>26</v>
      </c>
      <c r="C549" s="69" t="s">
        <v>26</v>
      </c>
      <c r="D549" s="65" t="s">
        <v>40</v>
      </c>
      <c r="E549" s="71" t="s">
        <v>380</v>
      </c>
      <c r="F549" s="72" t="s">
        <v>414</v>
      </c>
      <c r="G549" s="65" t="str">
        <f>INDEX(Auxiliar!$B$16:$B$24,MATCH(Plano_V3!H549,Auxiliar!$C$16:$C$24,0),1)</f>
        <v>1. Concluído</v>
      </c>
      <c r="H549" s="65">
        <f>VLOOKUP(A549,'Aux - pivots1'!$A:$B,2,0)</f>
        <v>1</v>
      </c>
      <c r="I549" s="181">
        <f>SUMIFS(Table1[Estimação (horas)],Table1[Tabela],Plano_V3!E549,Table1[Campo],Plano_V3!F549)</f>
        <v>0.1</v>
      </c>
      <c r="J549" s="181">
        <f t="shared" si="72"/>
        <v>1.2500000000000001E-2</v>
      </c>
      <c r="K549" s="181">
        <f>SUMIFS(Table1[Horas efetivas],Table1[Tabela],Plano_V3!E549,Table1[Campo],Plano_V3!F549)</f>
        <v>0.1</v>
      </c>
      <c r="L549" s="181">
        <f t="shared" si="73"/>
        <v>1.2500000000000001E-2</v>
      </c>
      <c r="M549" s="183"/>
      <c r="N549" s="183">
        <f t="shared" si="74"/>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1"/>
        <v>lt002_instrumentprmry_asst_clssf</v>
      </c>
      <c r="B550" s="68" t="s">
        <v>26</v>
      </c>
      <c r="C550" s="69" t="s">
        <v>26</v>
      </c>
      <c r="D550" s="65" t="s">
        <v>40</v>
      </c>
      <c r="E550" s="71" t="s">
        <v>380</v>
      </c>
      <c r="F550" s="72" t="s">
        <v>415</v>
      </c>
      <c r="G550" s="65" t="str">
        <f>INDEX(Auxiliar!$B$16:$B$24,MATCH(Plano_V3!H550,Auxiliar!$C$16:$C$24,0),1)</f>
        <v>1. Concluído</v>
      </c>
      <c r="H550" s="65">
        <f>VLOOKUP(A550,'Aux - pivots1'!$A:$B,2,0)</f>
        <v>1</v>
      </c>
      <c r="I550" s="181">
        <f>SUMIFS(Table1[Estimação (horas)],Table1[Tabela],Plano_V3!E550,Table1[Campo],Plano_V3!F550)</f>
        <v>0.1</v>
      </c>
      <c r="J550" s="181">
        <f t="shared" si="72"/>
        <v>1.2500000000000001E-2</v>
      </c>
      <c r="K550" s="181">
        <f>SUMIFS(Table1[Horas efetivas],Table1[Tabela],Plano_V3!E550,Table1[Campo],Plano_V3!F550)</f>
        <v>0.1</v>
      </c>
      <c r="L550" s="181">
        <f t="shared" si="73"/>
        <v>1.2500000000000001E-2</v>
      </c>
      <c r="M550" s="183"/>
      <c r="N550" s="183">
        <f t="shared" si="74"/>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1"/>
        <v>lt002_instrumentsubportfolio_id</v>
      </c>
      <c r="B551" s="68" t="s">
        <v>26</v>
      </c>
      <c r="C551" s="69" t="s">
        <v>26</v>
      </c>
      <c r="D551" s="65" t="s">
        <v>40</v>
      </c>
      <c r="E551" s="71" t="s">
        <v>380</v>
      </c>
      <c r="F551" s="72" t="s">
        <v>416</v>
      </c>
      <c r="G551" s="65" t="str">
        <f>INDEX(Auxiliar!$B$16:$B$24,MATCH(Plano_V3!H551,Auxiliar!$C$16:$C$24,0),1)</f>
        <v>1. Concluído</v>
      </c>
      <c r="H551" s="65">
        <f>VLOOKUP(A551,'Aux - pivots1'!$A:$B,2,0)</f>
        <v>1</v>
      </c>
      <c r="I551" s="181">
        <f>SUMIFS(Table1[Estimação (horas)],Table1[Tabela],Plano_V3!E551,Table1[Campo],Plano_V3!F551)</f>
        <v>0.1</v>
      </c>
      <c r="J551" s="181">
        <f t="shared" si="72"/>
        <v>1.2500000000000001E-2</v>
      </c>
      <c r="K551" s="181">
        <f>SUMIFS(Table1[Horas efetivas],Table1[Tabela],Plano_V3!E551,Table1[Campo],Plano_V3!F551)</f>
        <v>0.1</v>
      </c>
      <c r="L551" s="181">
        <f t="shared" si="73"/>
        <v>1.2500000000000001E-2</v>
      </c>
      <c r="M551" s="183"/>
      <c r="N551" s="183">
        <f t="shared" si="74"/>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1"/>
        <v>lt002_instrumentcod_soc</v>
      </c>
      <c r="B552" s="68" t="s">
        <v>26</v>
      </c>
      <c r="C552" s="69" t="s">
        <v>26</v>
      </c>
      <c r="D552" s="65" t="s">
        <v>40</v>
      </c>
      <c r="E552" s="71" t="s">
        <v>380</v>
      </c>
      <c r="F552" s="72" t="s">
        <v>417</v>
      </c>
      <c r="G552" s="65" t="str">
        <f>INDEX(Auxiliar!$B$16:$B$24,MATCH(Plano_V3!H552,Auxiliar!$C$16:$C$24,0),1)</f>
        <v>1. Concluído</v>
      </c>
      <c r="H552" s="65">
        <f>VLOOKUP(A552,'Aux - pivots1'!$A:$B,2,0)</f>
        <v>1</v>
      </c>
      <c r="I552" s="181">
        <f>SUMIFS(Table1[Estimação (horas)],Table1[Tabela],Plano_V3!E552,Table1[Campo],Plano_V3!F552)</f>
        <v>0.1</v>
      </c>
      <c r="J552" s="181">
        <f t="shared" si="72"/>
        <v>1.2500000000000001E-2</v>
      </c>
      <c r="K552" s="181">
        <f>SUMIFS(Table1[Horas efetivas],Table1[Tabela],Plano_V3!E552,Table1[Campo],Plano_V3!F552)</f>
        <v>0.1</v>
      </c>
      <c r="L552" s="181">
        <f t="shared" si="73"/>
        <v>1.2500000000000001E-2</v>
      </c>
      <c r="M552" s="183"/>
      <c r="N552" s="183">
        <f t="shared" si="74"/>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1"/>
        <v>lt002_instrumentlcl_instmrnt_id</v>
      </c>
      <c r="B553" s="68" t="s">
        <v>26</v>
      </c>
      <c r="C553" s="69" t="s">
        <v>26</v>
      </c>
      <c r="D553" s="65" t="s">
        <v>40</v>
      </c>
      <c r="E553" s="71" t="s">
        <v>380</v>
      </c>
      <c r="F553" s="72" t="s">
        <v>418</v>
      </c>
      <c r="G553" s="65" t="str">
        <f>INDEX(Auxiliar!$B$16:$B$24,MATCH(Plano_V3!H553,Auxiliar!$C$16:$C$24,0),1)</f>
        <v>1. Concluído</v>
      </c>
      <c r="H553" s="65">
        <f>VLOOKUP(A553,'Aux - pivots1'!$A:$B,2,0)</f>
        <v>1</v>
      </c>
      <c r="I553" s="181">
        <f>SUMIFS(Table1[Estimação (horas)],Table1[Tabela],Plano_V3!E553,Table1[Campo],Plano_V3!F553)</f>
        <v>0.1</v>
      </c>
      <c r="J553" s="181">
        <f t="shared" si="72"/>
        <v>1.2500000000000001E-2</v>
      </c>
      <c r="K553" s="181">
        <f>SUMIFS(Table1[Horas efetivas],Table1[Tabela],Plano_V3!E553,Table1[Campo],Plano_V3!F553)</f>
        <v>0.1</v>
      </c>
      <c r="L553" s="181">
        <f t="shared" si="73"/>
        <v>1.2500000000000001E-2</v>
      </c>
      <c r="M553" s="183"/>
      <c r="N553" s="183">
        <f t="shared" si="74"/>
        <v>1</v>
      </c>
      <c r="O553" s="183"/>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1"/>
        <v>lt007_instr_activitysstnbl_indctr</v>
      </c>
      <c r="B554" s="68" t="s">
        <v>26</v>
      </c>
      <c r="C554" s="69" t="s">
        <v>26</v>
      </c>
      <c r="D554" s="65" t="s">
        <v>40</v>
      </c>
      <c r="E554" s="71" t="s">
        <v>1948</v>
      </c>
      <c r="F554" s="72" t="s">
        <v>419</v>
      </c>
      <c r="G554" s="65" t="str">
        <f>INDEX(Auxiliar!$B$16:$B$24,MATCH(Plano_V3!H554,Auxiliar!$C$16:$C$24,0),1)</f>
        <v>1. Concluído</v>
      </c>
      <c r="H554" s="65">
        <f>VLOOKUP(A554,'Aux - pivots1'!$A:$B,2,0)</f>
        <v>1</v>
      </c>
      <c r="I554" s="181">
        <f>SUMIFS(Table1[Estimação (horas)],Table1[Tabela],Plano_V3!E554,Table1[Campo],Plano_V3!F554)</f>
        <v>0.1</v>
      </c>
      <c r="J554" s="181">
        <f t="shared" si="72"/>
        <v>1.2500000000000001E-2</v>
      </c>
      <c r="K554" s="181">
        <f>SUMIFS(Table1[Horas efetivas],Table1[Tabela],Plano_V3!E554,Table1[Campo],Plano_V3!F554)</f>
        <v>0.1</v>
      </c>
      <c r="L554" s="181">
        <f t="shared" si="73"/>
        <v>1.2500000000000001E-2</v>
      </c>
      <c r="M554" s="183"/>
      <c r="N554" s="183">
        <f t="shared" si="74"/>
        <v>1</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1"/>
        <v>lt007_instr_activitysstnbl_ctgry</v>
      </c>
      <c r="B555" s="68" t="s">
        <v>26</v>
      </c>
      <c r="C555" s="69" t="s">
        <v>26</v>
      </c>
      <c r="D555" s="65" t="s">
        <v>40</v>
      </c>
      <c r="E555" s="71" t="s">
        <v>1948</v>
      </c>
      <c r="F555" s="72" t="s">
        <v>420</v>
      </c>
      <c r="G555" s="65" t="str">
        <f>INDEX(Auxiliar!$B$16:$B$24,MATCH(Plano_V3!H555,Auxiliar!$C$16:$C$24,0),1)</f>
        <v>4. Validação EF</v>
      </c>
      <c r="H555" s="65">
        <f>VLOOKUP(A555,'Aux - pivots1'!$A:$B,2,0)</f>
        <v>5</v>
      </c>
      <c r="I555" s="181">
        <f>SUMIFS(Table1[Estimação (horas)],Table1[Tabela],Plano_V3!E555,Table1[Campo],Plano_V3!F555)</f>
        <v>0.1</v>
      </c>
      <c r="J555" s="181">
        <f t="shared" si="72"/>
        <v>1.2500000000000001E-2</v>
      </c>
      <c r="K555" s="181">
        <f>SUMIFS(Table1[Horas efetivas],Table1[Tabela],Plano_V3!E555,Table1[Campo],Plano_V3!F555)</f>
        <v>2.5000000000000001E-2</v>
      </c>
      <c r="L555" s="181">
        <f t="shared" si="73"/>
        <v>3.1250000000000002E-3</v>
      </c>
      <c r="M555" s="183"/>
      <c r="N555" s="183">
        <f t="shared" si="74"/>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1"/>
        <v>lt002_instrumentgrss_intrst_incm</v>
      </c>
      <c r="B556" s="68" t="s">
        <v>26</v>
      </c>
      <c r="C556" s="69" t="s">
        <v>26</v>
      </c>
      <c r="D556" s="65" t="s">
        <v>40</v>
      </c>
      <c r="E556" s="71" t="s">
        <v>380</v>
      </c>
      <c r="F556" s="72" t="s">
        <v>421</v>
      </c>
      <c r="G556" s="65" t="str">
        <f>INDEX(Auxiliar!$B$16:$B$24,MATCH(Plano_V3!H556,Auxiliar!$C$16:$C$24,0),1)</f>
        <v>2.1 Em Teste</v>
      </c>
      <c r="H556" s="65">
        <f>VLOOKUP(A556,'Aux - pivots1'!$A:$B,2,0)</f>
        <v>2</v>
      </c>
      <c r="I556" s="181">
        <f>SUMIFS(Table1[Estimação (horas)],Table1[Tabela],Plano_V3!E556,Table1[Campo],Plano_V3!F556)</f>
        <v>0.1</v>
      </c>
      <c r="J556" s="181">
        <f t="shared" si="72"/>
        <v>1.2500000000000001E-2</v>
      </c>
      <c r="K556" s="181">
        <f>SUMIFS(Table1[Horas efetivas],Table1[Tabela],Plano_V3!E556,Table1[Campo],Plano_V3!F556)</f>
        <v>0.05</v>
      </c>
      <c r="L556" s="181">
        <f t="shared" si="73"/>
        <v>6.2500000000000003E-3</v>
      </c>
      <c r="M556" s="183"/>
      <c r="N556" s="183">
        <f t="shared" si="74"/>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1"/>
        <v>lt002_instrumentgrss_cmmssn_incm</v>
      </c>
      <c r="B557" s="68" t="s">
        <v>26</v>
      </c>
      <c r="C557" s="69" t="s">
        <v>26</v>
      </c>
      <c r="D557" s="65" t="s">
        <v>40</v>
      </c>
      <c r="E557" s="71" t="s">
        <v>380</v>
      </c>
      <c r="F557" s="72" t="s">
        <v>422</v>
      </c>
      <c r="G557" s="65" t="str">
        <f>INDEX(Auxiliar!$B$16:$B$24,MATCH(Plano_V3!H557,Auxiliar!$C$16:$C$24,0),1)</f>
        <v>2.1 Em Teste</v>
      </c>
      <c r="H557" s="65">
        <f>VLOOKUP(A557,'Aux - pivots1'!$A:$B,2,0)</f>
        <v>2</v>
      </c>
      <c r="I557" s="181">
        <f>SUMIFS(Table1[Estimação (horas)],Table1[Tabela],Plano_V3!E557,Table1[Campo],Plano_V3!F557)</f>
        <v>0.1</v>
      </c>
      <c r="J557" s="181">
        <f t="shared" si="72"/>
        <v>1.2500000000000001E-2</v>
      </c>
      <c r="K557" s="181">
        <f>SUMIFS(Table1[Horas efetivas],Table1[Tabela],Plano_V3!E557,Table1[Campo],Plano_V3!F557)</f>
        <v>0.05</v>
      </c>
      <c r="L557" s="181">
        <f t="shared" si="73"/>
        <v>6.2500000000000003E-3</v>
      </c>
      <c r="M557" s="183"/>
      <c r="N557" s="183">
        <f t="shared" si="74"/>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1"/>
        <v>lt002_instrumentgrss_cmmssn_incm_off_blnc</v>
      </c>
      <c r="B558" s="68" t="s">
        <v>26</v>
      </c>
      <c r="C558" s="69" t="s">
        <v>26</v>
      </c>
      <c r="D558" s="65" t="s">
        <v>40</v>
      </c>
      <c r="E558" s="71" t="s">
        <v>380</v>
      </c>
      <c r="F558" s="72" t="s">
        <v>423</v>
      </c>
      <c r="G558" s="65" t="str">
        <f>INDEX(Auxiliar!$B$16:$B$24,MATCH(Plano_V3!H558,Auxiliar!$C$16:$C$24,0),1)</f>
        <v>2.1 Em Teste</v>
      </c>
      <c r="H558" s="65">
        <f>VLOOKUP(A558,'Aux - pivots1'!$A:$B,2,0)</f>
        <v>2</v>
      </c>
      <c r="I558" s="181">
        <f>SUMIFS(Table1[Estimação (horas)],Table1[Tabela],Plano_V3!E558,Table1[Campo],Plano_V3!F558)</f>
        <v>0.1</v>
      </c>
      <c r="J558" s="181">
        <f t="shared" si="72"/>
        <v>1.2500000000000001E-2</v>
      </c>
      <c r="K558" s="181">
        <f>SUMIFS(Table1[Horas efetivas],Table1[Tabela],Plano_V3!E558,Table1[Campo],Plano_V3!F558)</f>
        <v>0.05</v>
      </c>
      <c r="L558" s="181">
        <f t="shared" si="73"/>
        <v>6.2500000000000003E-3</v>
      </c>
      <c r="M558" s="183"/>
      <c r="N558" s="183">
        <f t="shared" si="74"/>
        <v>0.5</v>
      </c>
      <c r="O558" s="183"/>
      <c r="P558" s="90" t="s">
        <v>31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1"/>
        <v>lt002_instrumentidcmb</v>
      </c>
      <c r="B559" s="68" t="s">
        <v>26</v>
      </c>
      <c r="C559" s="69" t="s">
        <v>26</v>
      </c>
      <c r="D559" s="65" t="s">
        <v>40</v>
      </c>
      <c r="E559" s="71" t="s">
        <v>380</v>
      </c>
      <c r="F559" s="72" t="s">
        <v>424</v>
      </c>
      <c r="G559" s="65" t="str">
        <f>INDEX(Auxiliar!$B$16:$B$24,MATCH(Plano_V3!H559,Auxiliar!$C$16:$C$24,0),1)</f>
        <v>1. Concluído</v>
      </c>
      <c r="H559" s="65">
        <f>VLOOKUP(A559,'Aux - pivots1'!$A:$B,2,0)</f>
        <v>1</v>
      </c>
      <c r="I559" s="181">
        <f>SUMIFS(Table1[Estimação (horas)],Table1[Tabela],Plano_V3!E559,Table1[Campo],Plano_V3!F559)</f>
        <v>0.1</v>
      </c>
      <c r="J559" s="181">
        <f t="shared" si="72"/>
        <v>1.2500000000000001E-2</v>
      </c>
      <c r="K559" s="181">
        <f>SUMIFS(Table1[Horas efetivas],Table1[Tabela],Plano_V3!E559,Table1[Campo],Plano_V3!F559)</f>
        <v>0.1</v>
      </c>
      <c r="L559" s="181">
        <f t="shared" si="73"/>
        <v>1.2500000000000001E-2</v>
      </c>
      <c r="M559" s="183"/>
      <c r="N559" s="183">
        <f t="shared" si="74"/>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1"/>
        <v>lt003_entitycntry</v>
      </c>
      <c r="B560" s="68" t="s">
        <v>26</v>
      </c>
      <c r="C560" s="69" t="s">
        <v>26</v>
      </c>
      <c r="D560" s="65" t="s">
        <v>40</v>
      </c>
      <c r="E560" s="71" t="s">
        <v>336</v>
      </c>
      <c r="F560" s="72" t="s">
        <v>425</v>
      </c>
      <c r="G560" s="65" t="str">
        <f>INDEX(Auxiliar!$B$16:$B$24,MATCH(Plano_V3!H560,Auxiliar!$C$16:$C$24,0),1)</f>
        <v>1. Concluído</v>
      </c>
      <c r="H560" s="65">
        <f>VLOOKUP(A560,'Aux - pivots1'!$A:$B,2,0)</f>
        <v>1</v>
      </c>
      <c r="I560" s="181">
        <f>SUMIFS(Table1[Estimação (horas)],Table1[Tabela],Plano_V3!E560,Table1[Campo],Plano_V3!F560)</f>
        <v>0.1</v>
      </c>
      <c r="J560" s="181">
        <f t="shared" si="72"/>
        <v>1.2500000000000001E-2</v>
      </c>
      <c r="K560" s="181">
        <f>SUMIFS(Table1[Horas efetivas],Table1[Tabela],Plano_V3!E560,Table1[Campo],Plano_V3!F560)</f>
        <v>0.1</v>
      </c>
      <c r="L560" s="181">
        <f t="shared" si="73"/>
        <v>1.2500000000000001E-2</v>
      </c>
      <c r="M560" s="183"/>
      <c r="N560" s="183">
        <f t="shared" si="74"/>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1"/>
        <v>lt003_entitydt_rfrnc</v>
      </c>
      <c r="B561" s="68" t="s">
        <v>26</v>
      </c>
      <c r="C561" s="69" t="s">
        <v>26</v>
      </c>
      <c r="D561" s="65" t="s">
        <v>40</v>
      </c>
      <c r="E561" s="71" t="s">
        <v>336</v>
      </c>
      <c r="F561" s="72" t="s">
        <v>399</v>
      </c>
      <c r="G561" s="65" t="str">
        <f>INDEX(Auxiliar!$B$16:$B$24,MATCH(Plano_V3!H561,Auxiliar!$C$16:$C$24,0),1)</f>
        <v>1. Concluído</v>
      </c>
      <c r="H561" s="65">
        <f>VLOOKUP(A561,'Aux - pivots1'!$A:$B,2,0)</f>
        <v>1</v>
      </c>
      <c r="I561" s="181">
        <f>SUMIFS(Table1[Estimação (horas)],Table1[Tabela],Plano_V3!E561,Table1[Campo],Plano_V3!F561)</f>
        <v>0.1</v>
      </c>
      <c r="J561" s="181">
        <f t="shared" si="72"/>
        <v>1.2500000000000001E-2</v>
      </c>
      <c r="K561" s="181">
        <f>SUMIFS(Table1[Horas efetivas],Table1[Tabela],Plano_V3!E561,Table1[Campo],Plano_V3!F561)</f>
        <v>0.1</v>
      </c>
      <c r="L561" s="181">
        <f t="shared" si="73"/>
        <v>1.2500000000000001E-2</v>
      </c>
      <c r="M561" s="183"/>
      <c r="N561" s="183">
        <f t="shared" si="74"/>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1"/>
        <v>lt003_entityentty_id</v>
      </c>
      <c r="B562" s="68" t="s">
        <v>26</v>
      </c>
      <c r="C562" s="69" t="s">
        <v>26</v>
      </c>
      <c r="D562" s="65" t="s">
        <v>40</v>
      </c>
      <c r="E562" s="71" t="s">
        <v>336</v>
      </c>
      <c r="F562" s="72" t="s">
        <v>426</v>
      </c>
      <c r="G562" s="65" t="str">
        <f>INDEX(Auxiliar!$B$16:$B$24,MATCH(Plano_V3!H562,Auxiliar!$C$16:$C$24,0),1)</f>
        <v>1. Concluído</v>
      </c>
      <c r="H562" s="65">
        <f>VLOOKUP(A562,'Aux - pivots1'!$A:$B,2,0)</f>
        <v>1</v>
      </c>
      <c r="I562" s="181">
        <f>SUMIFS(Table1[Estimação (horas)],Table1[Tabela],Plano_V3!E562,Table1[Campo],Plano_V3!F562)</f>
        <v>0.1</v>
      </c>
      <c r="J562" s="181">
        <f t="shared" si="72"/>
        <v>1.2500000000000001E-2</v>
      </c>
      <c r="K562" s="181">
        <f>SUMIFS(Table1[Horas efetivas],Table1[Tabela],Plano_V3!E562,Table1[Campo],Plano_V3!F562)</f>
        <v>0.1</v>
      </c>
      <c r="L562" s="181">
        <f t="shared" si="73"/>
        <v>1.2500000000000001E-2</v>
      </c>
      <c r="M562" s="183"/>
      <c r="N562" s="183">
        <f t="shared" si="74"/>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1"/>
        <v>lt003_entitylei</v>
      </c>
      <c r="B563" s="68" t="s">
        <v>26</v>
      </c>
      <c r="C563" s="69" t="s">
        <v>26</v>
      </c>
      <c r="D563" s="65" t="s">
        <v>40</v>
      </c>
      <c r="E563" s="71" t="s">
        <v>336</v>
      </c>
      <c r="F563" s="72" t="s">
        <v>427</v>
      </c>
      <c r="G563" s="65" t="str">
        <f>INDEX(Auxiliar!$B$16:$B$24,MATCH(Plano_V3!H563,Auxiliar!$C$16:$C$24,0),1)</f>
        <v>1. Concluído</v>
      </c>
      <c r="H563" s="65">
        <f>VLOOKUP(A563,'Aux - pivots1'!$A:$B,2,0)</f>
        <v>1</v>
      </c>
      <c r="I563" s="181">
        <f>SUMIFS(Table1[Estimação (horas)],Table1[Tabela],Plano_V3!E563,Table1[Campo],Plano_V3!F563)</f>
        <v>0.1</v>
      </c>
      <c r="J563" s="181">
        <f t="shared" si="72"/>
        <v>1.2500000000000001E-2</v>
      </c>
      <c r="K563" s="181">
        <f>SUMIFS(Table1[Horas efetivas],Table1[Tabela],Plano_V3!E563,Table1[Campo],Plano_V3!F563)</f>
        <v>0.1</v>
      </c>
      <c r="L563" s="181">
        <f t="shared" si="73"/>
        <v>1.2500000000000001E-2</v>
      </c>
      <c r="M563" s="183"/>
      <c r="N563" s="183">
        <f t="shared" si="74"/>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1"/>
        <v>lt003_entityecnmc_actvty</v>
      </c>
      <c r="B564" s="68" t="s">
        <v>26</v>
      </c>
      <c r="C564" s="69" t="s">
        <v>26</v>
      </c>
      <c r="D564" s="65" t="s">
        <v>40</v>
      </c>
      <c r="E564" s="71" t="s">
        <v>336</v>
      </c>
      <c r="F564" s="72" t="s">
        <v>428</v>
      </c>
      <c r="G564" s="65" t="str">
        <f>INDEX(Auxiliar!$B$16:$B$24,MATCH(Plano_V3!H564,Auxiliar!$C$16:$C$24,0),1)</f>
        <v>1. Concluído</v>
      </c>
      <c r="H564" s="65">
        <f>VLOOKUP(A564,'Aux - pivots1'!$A:$B,2,0)</f>
        <v>1</v>
      </c>
      <c r="I564" s="181">
        <f>SUMIFS(Table1[Estimação (horas)],Table1[Tabela],Plano_V3!E564,Table1[Campo],Plano_V3!F564)</f>
        <v>0.1</v>
      </c>
      <c r="J564" s="181">
        <f t="shared" si="72"/>
        <v>1.2500000000000001E-2</v>
      </c>
      <c r="K564" s="181">
        <f>SUMIFS(Table1[Horas efetivas],Table1[Tabela],Plano_V3!E564,Table1[Campo],Plano_V3!F564)</f>
        <v>0.1</v>
      </c>
      <c r="L564" s="181">
        <f t="shared" si="73"/>
        <v>1.2500000000000001E-2</v>
      </c>
      <c r="M564" s="183"/>
      <c r="N564" s="183">
        <f t="shared" si="74"/>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1"/>
        <v>lt003_entitygrp_eqty</v>
      </c>
      <c r="B565" s="68" t="s">
        <v>26</v>
      </c>
      <c r="C565" s="69" t="s">
        <v>26</v>
      </c>
      <c r="D565" s="65" t="s">
        <v>40</v>
      </c>
      <c r="E565" s="71" t="s">
        <v>336</v>
      </c>
      <c r="F565" s="72" t="s">
        <v>429</v>
      </c>
      <c r="G565" s="65" t="str">
        <f>INDEX(Auxiliar!$B$16:$B$24,MATCH(Plano_V3!H565,Auxiliar!$C$16:$C$24,0),1)</f>
        <v>1. Concluído</v>
      </c>
      <c r="H565" s="65">
        <f>VLOOKUP(A565,'Aux - pivots1'!$A:$B,2,0)</f>
        <v>1</v>
      </c>
      <c r="I565" s="181">
        <f>SUMIFS(Table1[Estimação (horas)],Table1[Tabela],Plano_V3!E565,Table1[Campo],Plano_V3!F565)</f>
        <v>0.1</v>
      </c>
      <c r="J565" s="181">
        <f t="shared" si="72"/>
        <v>1.2500000000000001E-2</v>
      </c>
      <c r="K565" s="181">
        <f>SUMIFS(Table1[Horas efetivas],Table1[Tabela],Plano_V3!E565,Table1[Campo],Plano_V3!F565)</f>
        <v>0.1</v>
      </c>
      <c r="L565" s="181">
        <f t="shared" si="73"/>
        <v>1.2500000000000001E-2</v>
      </c>
      <c r="M565" s="183"/>
      <c r="N565" s="183">
        <f t="shared" si="74"/>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1"/>
        <v>lt003_entityannl_trnvr_le</v>
      </c>
      <c r="B566" s="68" t="s">
        <v>26</v>
      </c>
      <c r="C566" s="69" t="s">
        <v>26</v>
      </c>
      <c r="D566" s="65" t="s">
        <v>40</v>
      </c>
      <c r="E566" s="71" t="s">
        <v>336</v>
      </c>
      <c r="F566" s="72" t="s">
        <v>430</v>
      </c>
      <c r="G566" s="65" t="str">
        <f>INDEX(Auxiliar!$B$16:$B$24,MATCH(Plano_V3!H566,Auxiliar!$C$16:$C$24,0),1)</f>
        <v>1. Concluído</v>
      </c>
      <c r="H566" s="65">
        <f>VLOOKUP(A566,'Aux - pivots1'!$A:$B,2,0)</f>
        <v>1</v>
      </c>
      <c r="I566" s="181">
        <f>SUMIFS(Table1[Estimação (horas)],Table1[Tabela],Plano_V3!E566,Table1[Campo],Plano_V3!F566)</f>
        <v>0.1</v>
      </c>
      <c r="J566" s="181">
        <f t="shared" si="72"/>
        <v>1.2500000000000001E-2</v>
      </c>
      <c r="K566" s="181">
        <f>SUMIFS(Table1[Horas efetivas],Table1[Tabela],Plano_V3!E566,Table1[Campo],Plano_V3!F566)</f>
        <v>0.1</v>
      </c>
      <c r="L566" s="181">
        <f t="shared" si="73"/>
        <v>1.2500000000000001E-2</v>
      </c>
      <c r="M566" s="183"/>
      <c r="N566" s="183">
        <f t="shared" si="74"/>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1"/>
        <v>lt003_entityeqty</v>
      </c>
      <c r="B567" s="68" t="s">
        <v>26</v>
      </c>
      <c r="C567" s="69" t="s">
        <v>26</v>
      </c>
      <c r="D567" s="65" t="s">
        <v>40</v>
      </c>
      <c r="E567" s="71" t="s">
        <v>336</v>
      </c>
      <c r="F567" s="72" t="s">
        <v>431</v>
      </c>
      <c r="G567" s="65" t="str">
        <f>INDEX(Auxiliar!$B$16:$B$24,MATCH(Plano_V3!H567,Auxiliar!$C$16:$C$24,0),1)</f>
        <v>1. Concluído</v>
      </c>
      <c r="H567" s="65">
        <f>VLOOKUP(A567,'Aux - pivots1'!$A:$B,2,0)</f>
        <v>1</v>
      </c>
      <c r="I567" s="181">
        <f>SUMIFS(Table1[Estimação (horas)],Table1[Tabela],Plano_V3!E567,Table1[Campo],Plano_V3!F567)</f>
        <v>0.1</v>
      </c>
      <c r="J567" s="181">
        <f t="shared" si="72"/>
        <v>1.2500000000000001E-2</v>
      </c>
      <c r="K567" s="181">
        <f>SUMIFS(Table1[Horas efetivas],Table1[Tabela],Plano_V3!E567,Table1[Campo],Plano_V3!F567)</f>
        <v>0.1</v>
      </c>
      <c r="L567" s="181">
        <f t="shared" si="73"/>
        <v>1.2500000000000001E-2</v>
      </c>
      <c r="M567" s="183"/>
      <c r="N567" s="183">
        <f t="shared" si="74"/>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1"/>
        <v>lt003_entitygrp_ttl_dbt</v>
      </c>
      <c r="B568" s="68" t="s">
        <v>26</v>
      </c>
      <c r="C568" s="69" t="s">
        <v>26</v>
      </c>
      <c r="D568" s="65" t="s">
        <v>40</v>
      </c>
      <c r="E568" s="71" t="s">
        <v>336</v>
      </c>
      <c r="F568" s="72" t="s">
        <v>432</v>
      </c>
      <c r="G568" s="65" t="str">
        <f>INDEX(Auxiliar!$B$16:$B$24,MATCH(Plano_V3!H568,Auxiliar!$C$16:$C$24,0),1)</f>
        <v>1. Concluído</v>
      </c>
      <c r="H568" s="65">
        <f>VLOOKUP(A568,'Aux - pivots1'!$A:$B,2,0)</f>
        <v>1</v>
      </c>
      <c r="I568" s="181">
        <f>SUMIFS(Table1[Estimação (horas)],Table1[Tabela],Plano_V3!E568,Table1[Campo],Plano_V3!F568)</f>
        <v>0.1</v>
      </c>
      <c r="J568" s="181">
        <f t="shared" si="72"/>
        <v>1.2500000000000001E-2</v>
      </c>
      <c r="K568" s="181">
        <f>SUMIFS(Table1[Horas efetivas],Table1[Tabela],Plano_V3!E568,Table1[Campo],Plano_V3!F568)</f>
        <v>0.1</v>
      </c>
      <c r="L568" s="181">
        <f t="shared" si="73"/>
        <v>1.2500000000000001E-2</v>
      </c>
      <c r="M568" s="183"/>
      <c r="N568" s="183">
        <f t="shared" si="74"/>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1"/>
        <v>lt003_entityttl_dbt</v>
      </c>
      <c r="B569" s="68" t="s">
        <v>26</v>
      </c>
      <c r="C569" s="69" t="s">
        <v>26</v>
      </c>
      <c r="D569" s="65" t="s">
        <v>40</v>
      </c>
      <c r="E569" s="71" t="s">
        <v>336</v>
      </c>
      <c r="F569" s="72" t="s">
        <v>433</v>
      </c>
      <c r="G569" s="65" t="str">
        <f>INDEX(Auxiliar!$B$16:$B$24,MATCH(Plano_V3!H569,Auxiliar!$C$16:$C$24,0),1)</f>
        <v>1. Concluído</v>
      </c>
      <c r="H569" s="65">
        <f>VLOOKUP(A569,'Aux - pivots1'!$A:$B,2,0)</f>
        <v>1</v>
      </c>
      <c r="I569" s="181">
        <f>SUMIFS(Table1[Estimação (horas)],Table1[Tabela],Plano_V3!E569,Table1[Campo],Plano_V3!F569)</f>
        <v>0.1</v>
      </c>
      <c r="J569" s="181">
        <f t="shared" si="72"/>
        <v>1.2500000000000001E-2</v>
      </c>
      <c r="K569" s="181">
        <f>SUMIFS(Table1[Horas efetivas],Table1[Tabela],Plano_V3!E569,Table1[Campo],Plano_V3!F569)</f>
        <v>0.1</v>
      </c>
      <c r="L569" s="181">
        <f t="shared" si="73"/>
        <v>1.2500000000000001E-2</v>
      </c>
      <c r="M569" s="183"/>
      <c r="N569" s="183">
        <f t="shared" si="74"/>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1"/>
        <v>lt003_entitycod_soc</v>
      </c>
      <c r="B570" s="68" t="s">
        <v>26</v>
      </c>
      <c r="C570" s="69" t="s">
        <v>26</v>
      </c>
      <c r="D570" s="65" t="s">
        <v>40</v>
      </c>
      <c r="E570" s="71" t="s">
        <v>336</v>
      </c>
      <c r="F570" s="72" t="s">
        <v>417</v>
      </c>
      <c r="G570" s="65" t="str">
        <f>INDEX(Auxiliar!$B$16:$B$24,MATCH(Plano_V3!H570,Auxiliar!$C$16:$C$24,0),1)</f>
        <v>1. Concluído</v>
      </c>
      <c r="H570" s="65">
        <f>VLOOKUP(A570,'Aux - pivots1'!$A:$B,2,0)</f>
        <v>1</v>
      </c>
      <c r="I570" s="181">
        <f>SUMIFS(Table1[Estimação (horas)],Table1[Tabela],Plano_V3!E570,Table1[Campo],Plano_V3!F570)</f>
        <v>0.1</v>
      </c>
      <c r="J570" s="181">
        <f t="shared" si="72"/>
        <v>1.2500000000000001E-2</v>
      </c>
      <c r="K570" s="181">
        <f>SUMIFS(Table1[Horas efetivas],Table1[Tabela],Plano_V3!E570,Table1[Campo],Plano_V3!F570)</f>
        <v>0.1</v>
      </c>
      <c r="L570" s="181">
        <f t="shared" si="73"/>
        <v>1.2500000000000001E-2</v>
      </c>
      <c r="M570" s="183"/>
      <c r="N570" s="183">
        <f t="shared" si="74"/>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1"/>
        <v>lt004_protectiondt_rfrnc</v>
      </c>
      <c r="B571" s="68" t="s">
        <v>26</v>
      </c>
      <c r="C571" s="69" t="s">
        <v>26</v>
      </c>
      <c r="D571" s="65" t="s">
        <v>40</v>
      </c>
      <c r="E571" s="71" t="s">
        <v>369</v>
      </c>
      <c r="F571" s="72" t="s">
        <v>399</v>
      </c>
      <c r="G571" s="65" t="str">
        <f>INDEX(Auxiliar!$B$16:$B$24,MATCH(Plano_V3!H571,Auxiliar!$C$16:$C$24,0),1)</f>
        <v>1. Concluído</v>
      </c>
      <c r="H571" s="65">
        <f>VLOOKUP(A571,'Aux - pivots1'!$A:$B,2,0)</f>
        <v>1</v>
      </c>
      <c r="I571" s="181">
        <f>SUMIFS(Table1[Estimação (horas)],Table1[Tabela],Plano_V3!E571,Table1[Campo],Plano_V3!F571)</f>
        <v>0.1</v>
      </c>
      <c r="J571" s="181">
        <f t="shared" si="72"/>
        <v>1.2500000000000001E-2</v>
      </c>
      <c r="K571" s="181">
        <f>SUMIFS(Table1[Horas efetivas],Table1[Tabela],Plano_V3!E571,Table1[Campo],Plano_V3!F571)</f>
        <v>0.1</v>
      </c>
      <c r="L571" s="181">
        <f t="shared" si="73"/>
        <v>1.2500000000000001E-2</v>
      </c>
      <c r="M571" s="183"/>
      <c r="N571" s="183">
        <f t="shared" si="74"/>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1"/>
        <v>lt004_protectionprtctn_id</v>
      </c>
      <c r="B572" s="68" t="s">
        <v>26</v>
      </c>
      <c r="C572" s="69" t="s">
        <v>26</v>
      </c>
      <c r="D572" s="65" t="s">
        <v>40</v>
      </c>
      <c r="E572" s="71" t="s">
        <v>369</v>
      </c>
      <c r="F572" s="72" t="s">
        <v>434</v>
      </c>
      <c r="G572" s="65" t="str">
        <f>INDEX(Auxiliar!$B$16:$B$24,MATCH(Plano_V3!H572,Auxiliar!$C$16:$C$24,0),1)</f>
        <v>1. Concluído</v>
      </c>
      <c r="H572" s="65">
        <f>VLOOKUP(A572,'Aux - pivots1'!$A:$B,2,0)</f>
        <v>1</v>
      </c>
      <c r="I572" s="181">
        <f>SUMIFS(Table1[Estimação (horas)],Table1[Tabela],Plano_V3!E572,Table1[Campo],Plano_V3!F572)</f>
        <v>0.1</v>
      </c>
      <c r="J572" s="181">
        <f t="shared" si="72"/>
        <v>1.2500000000000001E-2</v>
      </c>
      <c r="K572" s="181">
        <f>SUMIFS(Table1[Horas efetivas],Table1[Tabela],Plano_V3!E572,Table1[Campo],Plano_V3!F572)</f>
        <v>0.1</v>
      </c>
      <c r="L572" s="181">
        <f t="shared" si="73"/>
        <v>1.2500000000000001E-2</v>
      </c>
      <c r="M572" s="183"/>
      <c r="N572" s="183">
        <f t="shared" si="74"/>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1"/>
        <v>lt004_protectionrl_estt_clltrl_lctn</v>
      </c>
      <c r="B573" s="68" t="s">
        <v>26</v>
      </c>
      <c r="C573" s="69" t="s">
        <v>26</v>
      </c>
      <c r="D573" s="65" t="s">
        <v>40</v>
      </c>
      <c r="E573" s="71" t="s">
        <v>369</v>
      </c>
      <c r="F573" s="72" t="s">
        <v>435</v>
      </c>
      <c r="G573" s="65" t="str">
        <f>INDEX(Auxiliar!$B$16:$B$24,MATCH(Plano_V3!H573,Auxiliar!$C$16:$C$24,0),1)</f>
        <v>1. Concluído</v>
      </c>
      <c r="H573" s="65">
        <f>VLOOKUP(A573,'Aux - pivots1'!$A:$B,2,0)</f>
        <v>1</v>
      </c>
      <c r="I573" s="181">
        <f>SUMIFS(Table1[Estimação (horas)],Table1[Tabela],Plano_V3!E573,Table1[Campo],Plano_V3!F573)</f>
        <v>0.1</v>
      </c>
      <c r="J573" s="181">
        <f t="shared" si="72"/>
        <v>1.2500000000000001E-2</v>
      </c>
      <c r="K573" s="181">
        <f>SUMIFS(Table1[Horas efetivas],Table1[Tabela],Plano_V3!E573,Table1[Campo],Plano_V3!F573)</f>
        <v>0.1</v>
      </c>
      <c r="L573" s="181">
        <f t="shared" si="73"/>
        <v>1.2500000000000001E-2</v>
      </c>
      <c r="M573" s="183"/>
      <c r="N573" s="183">
        <f t="shared" si="74"/>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1"/>
        <v>lt004_protectionrl_estt_pst_cd</v>
      </c>
      <c r="B574" s="68" t="s">
        <v>26</v>
      </c>
      <c r="C574" s="69" t="s">
        <v>26</v>
      </c>
      <c r="D574" s="65" t="s">
        <v>40</v>
      </c>
      <c r="E574" s="71" t="s">
        <v>369</v>
      </c>
      <c r="F574" s="72" t="s">
        <v>436</v>
      </c>
      <c r="G574" s="65" t="str">
        <f>INDEX(Auxiliar!$B$16:$B$24,MATCH(Plano_V3!H574,Auxiliar!$C$16:$C$24,0),1)</f>
        <v>1. Concluído</v>
      </c>
      <c r="H574" s="65">
        <f>VLOOKUP(A574,'Aux - pivots1'!$A:$B,2,0)</f>
        <v>1</v>
      </c>
      <c r="I574" s="181">
        <f>SUMIFS(Table1[Estimação (horas)],Table1[Tabela],Plano_V3!E574,Table1[Campo],Plano_V3!F574)</f>
        <v>0.1</v>
      </c>
      <c r="J574" s="181">
        <f t="shared" si="72"/>
        <v>1.2500000000000001E-2</v>
      </c>
      <c r="K574" s="181">
        <f>SUMIFS(Table1[Horas efetivas],Table1[Tabela],Plano_V3!E574,Table1[Campo],Plano_V3!F574)</f>
        <v>0.1</v>
      </c>
      <c r="L574" s="181">
        <f t="shared" si="73"/>
        <v>1.2500000000000001E-2</v>
      </c>
      <c r="M574" s="183"/>
      <c r="N574" s="183">
        <f t="shared" si="74"/>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1"/>
        <v>lt004_protectiontyp_prtctn</v>
      </c>
      <c r="B575" s="68" t="s">
        <v>26</v>
      </c>
      <c r="C575" s="69" t="s">
        <v>26</v>
      </c>
      <c r="D575" s="65" t="s">
        <v>40</v>
      </c>
      <c r="E575" s="71" t="s">
        <v>369</v>
      </c>
      <c r="F575" s="72" t="s">
        <v>437</v>
      </c>
      <c r="G575" s="65" t="str">
        <f>INDEX(Auxiliar!$B$16:$B$24,MATCH(Plano_V3!H575,Auxiliar!$C$16:$C$24,0),1)</f>
        <v>1. Concluído</v>
      </c>
      <c r="H575" s="65">
        <f>VLOOKUP(A575,'Aux - pivots1'!$A:$B,2,0)</f>
        <v>1</v>
      </c>
      <c r="I575" s="181">
        <f>SUMIFS(Table1[Estimação (horas)],Table1[Tabela],Plano_V3!E575,Table1[Campo],Plano_V3!F575)</f>
        <v>0.1</v>
      </c>
      <c r="J575" s="181">
        <f t="shared" si="72"/>
        <v>1.2500000000000001E-2</v>
      </c>
      <c r="K575" s="181">
        <f>SUMIFS(Table1[Horas efetivas],Table1[Tabela],Plano_V3!E575,Table1[Campo],Plano_V3!F575)</f>
        <v>0.1</v>
      </c>
      <c r="L575" s="181">
        <f t="shared" si="73"/>
        <v>1.2500000000000001E-2</v>
      </c>
      <c r="M575" s="183"/>
      <c r="N575" s="183">
        <f t="shared" si="74"/>
        <v>1</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1"/>
        <v>lt004_protectionorgnl_prtctn_vl</v>
      </c>
      <c r="B576" s="68" t="s">
        <v>26</v>
      </c>
      <c r="C576" s="69" t="s">
        <v>26</v>
      </c>
      <c r="D576" s="65" t="s">
        <v>40</v>
      </c>
      <c r="E576" s="71" t="s">
        <v>369</v>
      </c>
      <c r="F576" s="72" t="s">
        <v>438</v>
      </c>
      <c r="G576" s="65" t="str">
        <f>INDEX(Auxiliar!$B$16:$B$24,MATCH(Plano_V3!H576,Auxiliar!$C$16:$C$24,0),1)</f>
        <v>1. Concluído</v>
      </c>
      <c r="H576" s="65">
        <f>VLOOKUP(A576,'Aux - pivots1'!$A:$B,2,0)</f>
        <v>1</v>
      </c>
      <c r="I576" s="181">
        <f>SUMIFS(Table1[Estimação (horas)],Table1[Tabela],Plano_V3!E576,Table1[Campo],Plano_V3!F576)</f>
        <v>0.1</v>
      </c>
      <c r="J576" s="181">
        <f t="shared" si="72"/>
        <v>1.2500000000000001E-2</v>
      </c>
      <c r="K576" s="181">
        <f>SUMIFS(Table1[Horas efetivas],Table1[Tabela],Plano_V3!E576,Table1[Campo],Plano_V3!F576)</f>
        <v>0.1</v>
      </c>
      <c r="L576" s="181">
        <f t="shared" si="73"/>
        <v>1.2500000000000001E-2</v>
      </c>
      <c r="M576" s="183"/>
      <c r="N576" s="183">
        <f t="shared" si="74"/>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1"/>
        <v>lt004_protectionprtctn_vl</v>
      </c>
      <c r="B577" s="68" t="s">
        <v>26</v>
      </c>
      <c r="C577" s="69" t="s">
        <v>26</v>
      </c>
      <c r="D577" s="65" t="s">
        <v>40</v>
      </c>
      <c r="E577" s="71" t="s">
        <v>369</v>
      </c>
      <c r="F577" s="72" t="s">
        <v>439</v>
      </c>
      <c r="G577" s="65" t="str">
        <f>INDEX(Auxiliar!$B$16:$B$24,MATCH(Plano_V3!H577,Auxiliar!$C$16:$C$24,0),1)</f>
        <v>1. Concluído</v>
      </c>
      <c r="H577" s="65">
        <f>VLOOKUP(A577,'Aux - pivots1'!$A:$B,2,0)</f>
        <v>1</v>
      </c>
      <c r="I577" s="181">
        <f>SUMIFS(Table1[Estimação (horas)],Table1[Tabela],Plano_V3!E577,Table1[Campo],Plano_V3!F577)</f>
        <v>0.1</v>
      </c>
      <c r="J577" s="181">
        <f t="shared" si="72"/>
        <v>1.2500000000000001E-2</v>
      </c>
      <c r="K577" s="181">
        <f>SUMIFS(Table1[Horas efetivas],Table1[Tabela],Plano_V3!E577,Table1[Campo],Plano_V3!F577)</f>
        <v>0.1</v>
      </c>
      <c r="L577" s="181">
        <f t="shared" si="73"/>
        <v>1.2500000000000001E-2</v>
      </c>
      <c r="M577" s="183"/>
      <c r="N577" s="183">
        <f t="shared" si="74"/>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1"/>
        <v>lt004_protectioncod_soc</v>
      </c>
      <c r="B578" s="68" t="s">
        <v>26</v>
      </c>
      <c r="C578" s="69" t="s">
        <v>26</v>
      </c>
      <c r="D578" s="65" t="s">
        <v>40</v>
      </c>
      <c r="E578" s="71" t="s">
        <v>369</v>
      </c>
      <c r="F578" s="72" t="s">
        <v>417</v>
      </c>
      <c r="G578" s="65" t="str">
        <f>INDEX(Auxiliar!$B$16:$B$24,MATCH(Plano_V3!H578,Auxiliar!$C$16:$C$24,0),1)</f>
        <v>1. Concluído</v>
      </c>
      <c r="H578" s="65">
        <f>VLOOKUP(A578,'Aux - pivots1'!$A:$B,2,0)</f>
        <v>1</v>
      </c>
      <c r="I578" s="181">
        <f>SUMIFS(Table1[Estimação (horas)],Table1[Tabela],Plano_V3!E578,Table1[Campo],Plano_V3!F578)</f>
        <v>0.1</v>
      </c>
      <c r="J578" s="181">
        <f t="shared" si="72"/>
        <v>1.2500000000000001E-2</v>
      </c>
      <c r="K578" s="181">
        <f>SUMIFS(Table1[Horas efetivas],Table1[Tabela],Plano_V3!E578,Table1[Campo],Plano_V3!F578)</f>
        <v>0.1</v>
      </c>
      <c r="L578" s="181">
        <f t="shared" si="73"/>
        <v>1.2500000000000001E-2</v>
      </c>
      <c r="M578" s="183"/>
      <c r="N578" s="183">
        <f t="shared" si="74"/>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1"/>
        <v>lt005_instr_entdt_rfrnc</v>
      </c>
      <c r="B579" s="68" t="s">
        <v>26</v>
      </c>
      <c r="C579" s="69" t="s">
        <v>26</v>
      </c>
      <c r="D579" s="65" t="s">
        <v>40</v>
      </c>
      <c r="E579" s="71" t="s">
        <v>440</v>
      </c>
      <c r="F579" s="72" t="s">
        <v>399</v>
      </c>
      <c r="G579" s="65" t="str">
        <f>INDEX(Auxiliar!$B$16:$B$24,MATCH(Plano_V3!H579,Auxiliar!$C$16:$C$24,0),1)</f>
        <v>1. Concluído</v>
      </c>
      <c r="H579" s="65">
        <f>VLOOKUP(A579,'Aux - pivots1'!$A:$B,2,0)</f>
        <v>1</v>
      </c>
      <c r="I579" s="181">
        <f>SUMIFS(Table1[Estimação (horas)],Table1[Tabela],Plano_V3!E579,Table1[Campo],Plano_V3!F579)</f>
        <v>0.1</v>
      </c>
      <c r="J579" s="181">
        <f t="shared" si="72"/>
        <v>1.2500000000000001E-2</v>
      </c>
      <c r="K579" s="181">
        <f>SUMIFS(Table1[Horas efetivas],Table1[Tabela],Plano_V3!E579,Table1[Campo],Plano_V3!F579)</f>
        <v>0.1</v>
      </c>
      <c r="L579" s="181">
        <f t="shared" si="73"/>
        <v>1.2500000000000001E-2</v>
      </c>
      <c r="M579" s="183"/>
      <c r="N579" s="183">
        <f t="shared" si="74"/>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1"/>
        <v>lt005_instr_ententty_id</v>
      </c>
      <c r="B580" s="68" t="s">
        <v>26</v>
      </c>
      <c r="C580" s="69" t="s">
        <v>26</v>
      </c>
      <c r="D580" s="65" t="s">
        <v>40</v>
      </c>
      <c r="E580" s="71" t="s">
        <v>440</v>
      </c>
      <c r="F580" s="72" t="s">
        <v>426</v>
      </c>
      <c r="G580" s="65" t="str">
        <f>INDEX(Auxiliar!$B$16:$B$24,MATCH(Plano_V3!H580,Auxiliar!$C$16:$C$24,0),1)</f>
        <v>1. Concluído</v>
      </c>
      <c r="H580" s="65">
        <f>VLOOKUP(A580,'Aux - pivots1'!$A:$B,2,0)</f>
        <v>1</v>
      </c>
      <c r="I580" s="181">
        <f>SUMIFS(Table1[Estimação (horas)],Table1[Tabela],Plano_V3!E580,Table1[Campo],Plano_V3!F580)</f>
        <v>0.1</v>
      </c>
      <c r="J580" s="181">
        <f t="shared" si="72"/>
        <v>1.2500000000000001E-2</v>
      </c>
      <c r="K580" s="181">
        <f>SUMIFS(Table1[Horas efetivas],Table1[Tabela],Plano_V3!E580,Table1[Campo],Plano_V3!F580)</f>
        <v>0.1</v>
      </c>
      <c r="L580" s="181">
        <f t="shared" si="73"/>
        <v>1.2500000000000001E-2</v>
      </c>
      <c r="M580" s="183"/>
      <c r="N580" s="183">
        <f t="shared" si="74"/>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1"/>
        <v>lt005_instr_entinstrmnt_id</v>
      </c>
      <c r="B581" s="68" t="s">
        <v>26</v>
      </c>
      <c r="C581" s="69" t="s">
        <v>26</v>
      </c>
      <c r="D581" s="65" t="s">
        <v>40</v>
      </c>
      <c r="E581" s="71" t="s">
        <v>440</v>
      </c>
      <c r="F581" s="72" t="s">
        <v>401</v>
      </c>
      <c r="G581" s="65" t="str">
        <f>INDEX(Auxiliar!$B$16:$B$24,MATCH(Plano_V3!H581,Auxiliar!$C$16:$C$24,0),1)</f>
        <v>1. Concluído</v>
      </c>
      <c r="H581" s="65">
        <f>VLOOKUP(A581,'Aux - pivots1'!$A:$B,2,0)</f>
        <v>1</v>
      </c>
      <c r="I581" s="181">
        <f>SUMIFS(Table1[Estimação (horas)],Table1[Tabela],Plano_V3!E581,Table1[Campo],Plano_V3!F581)</f>
        <v>0.1</v>
      </c>
      <c r="J581" s="181">
        <f t="shared" si="72"/>
        <v>1.2500000000000001E-2</v>
      </c>
      <c r="K581" s="181">
        <f>SUMIFS(Table1[Horas efetivas],Table1[Tabela],Plano_V3!E581,Table1[Campo],Plano_V3!F581)</f>
        <v>0.1</v>
      </c>
      <c r="L581" s="181">
        <f t="shared" si="73"/>
        <v>1.2500000000000001E-2</v>
      </c>
      <c r="M581" s="183"/>
      <c r="N581" s="183">
        <f t="shared" si="74"/>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1"/>
        <v>lt005_instr_entcod_soc</v>
      </c>
      <c r="B582" s="68" t="s">
        <v>26</v>
      </c>
      <c r="C582" s="69" t="s">
        <v>26</v>
      </c>
      <c r="D582" s="65" t="s">
        <v>40</v>
      </c>
      <c r="E582" s="71" t="s">
        <v>440</v>
      </c>
      <c r="F582" s="72" t="s">
        <v>417</v>
      </c>
      <c r="G582" s="65" t="str">
        <f>INDEX(Auxiliar!$B$16:$B$24,MATCH(Plano_V3!H582,Auxiliar!$C$16:$C$24,0),1)</f>
        <v>1. Concluído</v>
      </c>
      <c r="H582" s="65">
        <f>VLOOKUP(A582,'Aux - pivots1'!$A:$B,2,0)</f>
        <v>1</v>
      </c>
      <c r="I582" s="181">
        <f>SUMIFS(Table1[Estimação (horas)],Table1[Tabela],Plano_V3!E582,Table1[Campo],Plano_V3!F582)</f>
        <v>0.1</v>
      </c>
      <c r="J582" s="181">
        <f t="shared" si="72"/>
        <v>1.2500000000000001E-2</v>
      </c>
      <c r="K582" s="181">
        <f>SUMIFS(Table1[Horas efetivas],Table1[Tabela],Plano_V3!E582,Table1[Campo],Plano_V3!F582)</f>
        <v>0.1</v>
      </c>
      <c r="L582" s="181">
        <f t="shared" si="73"/>
        <v>1.2500000000000001E-2</v>
      </c>
      <c r="M582" s="183"/>
      <c r="N582" s="183">
        <f t="shared" si="74"/>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1"/>
        <v>lt005_instr_entmn_entty_id</v>
      </c>
      <c r="B583" s="68" t="s">
        <v>26</v>
      </c>
      <c r="C583" s="69" t="s">
        <v>26</v>
      </c>
      <c r="D583" s="65" t="s">
        <v>40</v>
      </c>
      <c r="E583" s="71" t="s">
        <v>440</v>
      </c>
      <c r="F583" s="72" t="s">
        <v>441</v>
      </c>
      <c r="G583" s="65" t="str">
        <f>INDEX(Auxiliar!$B$16:$B$24,MATCH(Plano_V3!H583,Auxiliar!$C$16:$C$24,0),1)</f>
        <v>1. Concluído</v>
      </c>
      <c r="H583" s="65">
        <f>VLOOKUP(A583,'Aux - pivots1'!$A:$B,2,0)</f>
        <v>1</v>
      </c>
      <c r="I583" s="181">
        <f>SUMIFS(Table1[Estimação (horas)],Table1[Tabela],Plano_V3!E583,Table1[Campo],Plano_V3!F583)</f>
        <v>0.1</v>
      </c>
      <c r="J583" s="181">
        <f t="shared" si="72"/>
        <v>1.2500000000000001E-2</v>
      </c>
      <c r="K583" s="181">
        <f>SUMIFS(Table1[Horas efetivas],Table1[Tabela],Plano_V3!E583,Table1[Campo],Plano_V3!F583)</f>
        <v>0.1</v>
      </c>
      <c r="L583" s="181">
        <f t="shared" si="73"/>
        <v>1.2500000000000001E-2</v>
      </c>
      <c r="M583" s="183"/>
      <c r="N583" s="183">
        <f t="shared" si="74"/>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1"/>
        <v>lt006_instr_protdt_rfrnc</v>
      </c>
      <c r="B584" s="68" t="s">
        <v>26</v>
      </c>
      <c r="C584" s="69" t="s">
        <v>26</v>
      </c>
      <c r="D584" s="65" t="s">
        <v>40</v>
      </c>
      <c r="E584" s="71" t="s">
        <v>442</v>
      </c>
      <c r="F584" s="72" t="s">
        <v>399</v>
      </c>
      <c r="G584" s="65" t="str">
        <f>INDEX(Auxiliar!$B$16:$B$24,MATCH(Plano_V3!H584,Auxiliar!$C$16:$C$24,0),1)</f>
        <v>1. Concluído</v>
      </c>
      <c r="H584" s="65">
        <f>VLOOKUP(A584,'Aux - pivots1'!$A:$B,2,0)</f>
        <v>1</v>
      </c>
      <c r="I584" s="181">
        <f>SUMIFS(Table1[Estimação (horas)],Table1[Tabela],Plano_V3!E584,Table1[Campo],Plano_V3!F584)</f>
        <v>0.1</v>
      </c>
      <c r="J584" s="181">
        <f t="shared" si="72"/>
        <v>1.2500000000000001E-2</v>
      </c>
      <c r="K584" s="181">
        <f>SUMIFS(Table1[Horas efetivas],Table1[Tabela],Plano_V3!E584,Table1[Campo],Plano_V3!F584)</f>
        <v>0.1</v>
      </c>
      <c r="L584" s="181">
        <f t="shared" si="73"/>
        <v>1.2500000000000001E-2</v>
      </c>
      <c r="M584" s="183"/>
      <c r="N584" s="183">
        <f t="shared" si="74"/>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1"/>
        <v>lt006_instr_protinstrmnt_id</v>
      </c>
      <c r="B585" s="68" t="s">
        <v>26</v>
      </c>
      <c r="C585" s="69" t="s">
        <v>26</v>
      </c>
      <c r="D585" s="65" t="s">
        <v>40</v>
      </c>
      <c r="E585" s="71" t="s">
        <v>442</v>
      </c>
      <c r="F585" s="72" t="s">
        <v>401</v>
      </c>
      <c r="G585" s="65" t="str">
        <f>INDEX(Auxiliar!$B$16:$B$24,MATCH(Plano_V3!H585,Auxiliar!$C$16:$C$24,0),1)</f>
        <v>1. Concluído</v>
      </c>
      <c r="H585" s="65">
        <f>VLOOKUP(A585,'Aux - pivots1'!$A:$B,2,0)</f>
        <v>1</v>
      </c>
      <c r="I585" s="181">
        <f>SUMIFS(Table1[Estimação (horas)],Table1[Tabela],Plano_V3!E585,Table1[Campo],Plano_V3!F585)</f>
        <v>0.1</v>
      </c>
      <c r="J585" s="181">
        <f t="shared" si="72"/>
        <v>1.2500000000000001E-2</v>
      </c>
      <c r="K585" s="181">
        <f>SUMIFS(Table1[Horas efetivas],Table1[Tabela],Plano_V3!E585,Table1[Campo],Plano_V3!F585)</f>
        <v>0.1</v>
      </c>
      <c r="L585" s="181">
        <f t="shared" si="73"/>
        <v>1.2500000000000001E-2</v>
      </c>
      <c r="M585" s="183"/>
      <c r="N585" s="183">
        <f t="shared" si="74"/>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1"/>
        <v>lt006_instr_protprtctn_id</v>
      </c>
      <c r="B586" s="68" t="s">
        <v>26</v>
      </c>
      <c r="C586" s="69" t="s">
        <v>26</v>
      </c>
      <c r="D586" s="65" t="s">
        <v>40</v>
      </c>
      <c r="E586" s="71" t="s">
        <v>442</v>
      </c>
      <c r="F586" s="72" t="s">
        <v>434</v>
      </c>
      <c r="G586" s="65" t="str">
        <f>INDEX(Auxiliar!$B$16:$B$24,MATCH(Plano_V3!H586,Auxiliar!$C$16:$C$24,0),1)</f>
        <v>1. Concluído</v>
      </c>
      <c r="H586" s="65">
        <f>VLOOKUP(A586,'Aux - pivots1'!$A:$B,2,0)</f>
        <v>1</v>
      </c>
      <c r="I586" s="181">
        <f>SUMIFS(Table1[Estimação (horas)],Table1[Tabela],Plano_V3!E586,Table1[Campo],Plano_V3!F586)</f>
        <v>0.1</v>
      </c>
      <c r="J586" s="181">
        <f t="shared" si="72"/>
        <v>1.2500000000000001E-2</v>
      </c>
      <c r="K586" s="181">
        <f>SUMIFS(Table1[Horas efetivas],Table1[Tabela],Plano_V3!E586,Table1[Campo],Plano_V3!F586)</f>
        <v>0.1</v>
      </c>
      <c r="L586" s="181">
        <f t="shared" si="73"/>
        <v>1.2500000000000001E-2</v>
      </c>
      <c r="M586" s="183"/>
      <c r="N586" s="183">
        <f t="shared" si="74"/>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1"/>
        <v>lt006_instr_protprtctn_allctd_vl</v>
      </c>
      <c r="B587" s="68" t="s">
        <v>26</v>
      </c>
      <c r="C587" s="69" t="s">
        <v>26</v>
      </c>
      <c r="D587" s="65" t="s">
        <v>40</v>
      </c>
      <c r="E587" s="71" t="s">
        <v>442</v>
      </c>
      <c r="F587" s="72" t="s">
        <v>443</v>
      </c>
      <c r="G587" s="65" t="str">
        <f>INDEX(Auxiliar!$B$16:$B$24,MATCH(Plano_V3!H587,Auxiliar!$C$16:$C$24,0),1)</f>
        <v>1. Concluído</v>
      </c>
      <c r="H587" s="65">
        <f>VLOOKUP(A587,'Aux - pivots1'!$A:$B,2,0)</f>
        <v>1</v>
      </c>
      <c r="I587" s="181">
        <f>SUMIFS(Table1[Estimação (horas)],Table1[Tabela],Plano_V3!E587,Table1[Campo],Plano_V3!F587)</f>
        <v>0.1</v>
      </c>
      <c r="J587" s="181">
        <f t="shared" si="72"/>
        <v>1.2500000000000001E-2</v>
      </c>
      <c r="K587" s="181">
        <f>SUMIFS(Table1[Horas efetivas],Table1[Tabela],Plano_V3!E587,Table1[Campo],Plano_V3!F587)</f>
        <v>0.1</v>
      </c>
      <c r="L587" s="181">
        <f t="shared" si="73"/>
        <v>1.2500000000000001E-2</v>
      </c>
      <c r="M587" s="183"/>
      <c r="N587" s="183">
        <f t="shared" si="74"/>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1"/>
        <v>lt006_instr_protcod_soc</v>
      </c>
      <c r="B588" s="68" t="s">
        <v>26</v>
      </c>
      <c r="C588" s="69" t="s">
        <v>26</v>
      </c>
      <c r="D588" s="65" t="s">
        <v>40</v>
      </c>
      <c r="E588" s="71" t="s">
        <v>442</v>
      </c>
      <c r="F588" s="72" t="s">
        <v>417</v>
      </c>
      <c r="G588" s="65" t="str">
        <f>INDEX(Auxiliar!$B$16:$B$24,MATCH(Plano_V3!H588,Auxiliar!$C$16:$C$24,0),1)</f>
        <v>1. Concluído</v>
      </c>
      <c r="H588" s="65">
        <f>VLOOKUP(A588,'Aux - pivots1'!$A:$B,2,0)</f>
        <v>1</v>
      </c>
      <c r="I588" s="181">
        <f>SUMIFS(Table1[Estimação (horas)],Table1[Tabela],Plano_V3!E588,Table1[Campo],Plano_V3!F588)</f>
        <v>0.1</v>
      </c>
      <c r="J588" s="181">
        <f t="shared" si="72"/>
        <v>1.2500000000000001E-2</v>
      </c>
      <c r="K588" s="181">
        <f>SUMIFS(Table1[Horas efetivas],Table1[Tabela],Plano_V3!E588,Table1[Campo],Plano_V3!F588)</f>
        <v>0.1</v>
      </c>
      <c r="L588" s="181">
        <f t="shared" si="73"/>
        <v>1.2500000000000001E-2</v>
      </c>
      <c r="M588" s="183"/>
      <c r="N588" s="183">
        <f t="shared" si="74"/>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1"/>
        <v>lt004_protectionflg_fin</v>
      </c>
      <c r="B589" s="68"/>
      <c r="C589" s="69"/>
      <c r="D589" s="65" t="s">
        <v>40</v>
      </c>
      <c r="E589" s="71" t="s">
        <v>369</v>
      </c>
      <c r="F589" s="72" t="s">
        <v>481</v>
      </c>
      <c r="G589" s="65" t="str">
        <f>INDEX(Auxiliar!$B$16:$B$24,MATCH(Plano_V3!H589,Auxiliar!$C$16:$C$24,0),1)</f>
        <v>0. Cancelado</v>
      </c>
      <c r="H589" s="65">
        <f>VLOOKUP(A589,'Aux - pivots1'!$A:$B,2,0)</f>
        <v>0</v>
      </c>
      <c r="I589" s="181">
        <f>SUMIFS(Table1[Estimação (horas)],Table1[Tabela],Plano_V3!E589,Table1[Campo],Plano_V3!F589)</f>
        <v>4.0999999999999996</v>
      </c>
      <c r="J589" s="181">
        <f t="shared" si="72"/>
        <v>0.51249999999999996</v>
      </c>
      <c r="K589" s="181">
        <f>SUMIFS(Table1[Horas efetivas],Table1[Tabela],Plano_V3!E589,Table1[Campo],Plano_V3!F589)</f>
        <v>0</v>
      </c>
      <c r="L589" s="181">
        <f t="shared" si="73"/>
        <v>0</v>
      </c>
      <c r="M589" s="183"/>
      <c r="N589" s="183">
        <f t="shared" si="74"/>
        <v>0</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1"/>
        <v>lt004_protectionflg_exec</v>
      </c>
      <c r="B590" s="68"/>
      <c r="C590" s="69"/>
      <c r="D590" s="65" t="s">
        <v>40</v>
      </c>
      <c r="E590" s="71" t="s">
        <v>369</v>
      </c>
      <c r="F590" s="72" t="s">
        <v>1355</v>
      </c>
      <c r="G590" s="65" t="str">
        <f>INDEX(Auxiliar!$B$16:$B$24,MATCH(Plano_V3!H590,Auxiliar!$C$16:$C$24,0),1)</f>
        <v>0. Cancelado</v>
      </c>
      <c r="H590" s="65">
        <f>VLOOKUP(A590,'Aux - pivots1'!$A:$B,2,0)</f>
        <v>0</v>
      </c>
      <c r="I590" s="181">
        <f>SUMIFS(Table1[Estimação (horas)],Table1[Tabela],Plano_V3!E590,Table1[Campo],Plano_V3!F590)</f>
        <v>4.0999999999999996</v>
      </c>
      <c r="J590" s="181">
        <f t="shared" si="72"/>
        <v>0.51249999999999996</v>
      </c>
      <c r="K590" s="181">
        <f>SUMIFS(Table1[Horas efetivas],Table1[Tabela],Plano_V3!E590,Table1[Campo],Plano_V3!F590)</f>
        <v>0</v>
      </c>
      <c r="L590" s="181">
        <f t="shared" si="73"/>
        <v>0</v>
      </c>
      <c r="M590" s="183"/>
      <c r="N590" s="183">
        <f t="shared" si="74"/>
        <v>0</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1"/>
        <v>lt004_protectionflg_col</v>
      </c>
      <c r="B591" s="68"/>
      <c r="C591" s="69"/>
      <c r="D591" s="65" t="s">
        <v>40</v>
      </c>
      <c r="E591" s="71" t="s">
        <v>369</v>
      </c>
      <c r="F591" s="72" t="s">
        <v>480</v>
      </c>
      <c r="G591" s="65" t="str">
        <f>INDEX(Auxiliar!$B$16:$B$24,MATCH(Plano_V3!H591,Auxiliar!$C$16:$C$24,0),1)</f>
        <v>0. Cancelado</v>
      </c>
      <c r="H591" s="65">
        <f>VLOOKUP(A591,'Aux - pivots1'!$A:$B,2,0)</f>
        <v>0</v>
      </c>
      <c r="I591" s="181">
        <f>SUMIFS(Table1[Estimação (horas)],Table1[Tabela],Plano_V3!E591,Table1[Campo],Plano_V3!F591)</f>
        <v>4.0999999999999996</v>
      </c>
      <c r="J591" s="181">
        <f>I591/8</f>
        <v>0.51249999999999996</v>
      </c>
      <c r="K591" s="181">
        <f>SUMIFS(Table1[Horas efetivas],Table1[Tabela],Plano_V3!E591,Table1[Campo],Plano_V3!F591)</f>
        <v>0</v>
      </c>
      <c r="L591" s="181">
        <f>K591/8</f>
        <v>0</v>
      </c>
      <c r="M591" s="183"/>
      <c r="N591" s="183">
        <f t="shared" si="74"/>
        <v>0</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1"/>
        <v>lt004_protectionflg_pro</v>
      </c>
      <c r="B592" s="68"/>
      <c r="C592" s="69"/>
      <c r="D592" s="65" t="s">
        <v>40</v>
      </c>
      <c r="E592" s="71" t="s">
        <v>369</v>
      </c>
      <c r="F592" s="72" t="s">
        <v>482</v>
      </c>
      <c r="G592" s="65" t="str">
        <f>INDEX(Auxiliar!$B$16:$B$24,MATCH(Plano_V3!H592,Auxiliar!$C$16:$C$24,0),1)</f>
        <v>0. Cancelado</v>
      </c>
      <c r="H592" s="65">
        <f>VLOOKUP(A592,'Aux - pivots1'!$A:$B,2,0)</f>
        <v>0</v>
      </c>
      <c r="I592" s="181">
        <f>SUMIFS(Table1[Estimação (horas)],Table1[Tabela],Plano_V3!E592,Table1[Campo],Plano_V3!F592)</f>
        <v>4.0999999999999996</v>
      </c>
      <c r="J592" s="181">
        <f>I592/8</f>
        <v>0.51249999999999996</v>
      </c>
      <c r="K592" s="181">
        <f>SUMIFS(Table1[Horas efetivas],Table1[Tabela],Plano_V3!E592,Table1[Campo],Plano_V3!F592)</f>
        <v>0</v>
      </c>
      <c r="L592" s="181">
        <f>K592/8</f>
        <v>0</v>
      </c>
      <c r="M592" s="183"/>
      <c r="N592" s="183">
        <f t="shared" si="74"/>
        <v>0</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71"/>
        <v>Re-testesn.a.</v>
      </c>
      <c r="B593" s="68" t="s">
        <v>26</v>
      </c>
      <c r="C593" s="69" t="s">
        <v>26</v>
      </c>
      <c r="D593" s="65" t="s">
        <v>40</v>
      </c>
      <c r="E593" s="67" t="s">
        <v>53</v>
      </c>
      <c r="F593" s="65" t="s">
        <v>38</v>
      </c>
      <c r="G593" s="65" t="s">
        <v>28</v>
      </c>
      <c r="H593" s="65"/>
      <c r="I593" s="181">
        <f>SUM(I458:I588)*$D$7</f>
        <v>40.137500000000166</v>
      </c>
      <c r="J593" s="181">
        <f>I593/8</f>
        <v>5.0171875000000208</v>
      </c>
      <c r="K593" s="181">
        <f>SUM(K458:K588)*$D$7</f>
        <v>38.571875000000148</v>
      </c>
      <c r="L593" s="181">
        <f>K593/8</f>
        <v>4.8214843750000185</v>
      </c>
      <c r="M593" s="183"/>
      <c r="N593" s="183">
        <f t="shared" si="74"/>
        <v>0.96099345998131391</v>
      </c>
      <c r="O593" s="183"/>
      <c r="P593" s="90" t="s">
        <v>400</v>
      </c>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ht="10.199999999999999" customHeight="1">
      <c r="D594" s="12"/>
      <c r="O594"/>
      <c r="AY594" t="s">
        <v>444</v>
      </c>
    </row>
    <row r="595" spans="1:149">
      <c r="B595" s="83" t="s">
        <v>445</v>
      </c>
      <c r="C595" s="84"/>
      <c r="D595" s="84"/>
      <c r="E595" s="84"/>
      <c r="F595" s="84"/>
      <c r="G595" s="84"/>
      <c r="H595" s="84"/>
      <c r="I595" s="185"/>
      <c r="J595" s="185">
        <f>J24+J19+J14</f>
        <v>314</v>
      </c>
      <c r="K595" s="185"/>
      <c r="L595" s="185">
        <f>L24+L19+L14</f>
        <v>288.85000000000002</v>
      </c>
      <c r="M595" s="180">
        <f>((M24*J24)+(M19*J19)+(M14*J14))/J595</f>
        <v>0.62261146496815289</v>
      </c>
      <c r="N595" s="180">
        <f>((N24*L24)+(N19*L19)+(N14*L14))/L595</f>
        <v>0.88121923125580781</v>
      </c>
      <c r="O595" s="180">
        <f>N595-M595</f>
        <v>0.25860776628765492</v>
      </c>
      <c r="P595" s="182" t="s">
        <v>25</v>
      </c>
    </row>
    <row r="596" spans="1:149">
      <c r="O596"/>
    </row>
    <row r="597" spans="1:149"/>
  </sheetData>
  <conditionalFormatting sqref="O14:O17 O19:O22 O595">
    <cfRule type="cellIs" dxfId="30" priority="25" operator="lessThan">
      <formula>0</formula>
    </cfRule>
    <cfRule type="cellIs" dxfId="29" priority="26" operator="greaterThanOrEqual">
      <formula>0</formula>
    </cfRule>
  </conditionalFormatting>
  <conditionalFormatting sqref="O24:O202 O204:O593">
    <cfRule type="cellIs" dxfId="28" priority="3" operator="lessThan">
      <formula>0</formula>
    </cfRule>
    <cfRule type="cellIs" dxfId="27" priority="4" operator="greaterThanOrEqual">
      <formula>0</formula>
    </cfRule>
  </conditionalFormatting>
  <conditionalFormatting sqref="Q15:Q17">
    <cfRule type="cellIs" dxfId="26" priority="52" operator="notEqual">
      <formula>0</formula>
    </cfRule>
  </conditionalFormatting>
  <conditionalFormatting sqref="Q20:Q22">
    <cfRule type="cellIs" dxfId="25" priority="44" operator="notEqual">
      <formula>0</formula>
    </cfRule>
  </conditionalFormatting>
  <conditionalFormatting sqref="Q25:Q457">
    <cfRule type="cellIs" dxfId="24" priority="7" operator="notEqual">
      <formula>0</formula>
    </cfRule>
  </conditionalFormatting>
  <conditionalFormatting sqref="R5:R6 S6:ES6">
    <cfRule type="cellIs" dxfId="23" priority="53" operator="notEqual">
      <formula>0</formula>
    </cfRule>
  </conditionalFormatting>
  <conditionalFormatting sqref="R15:ES17 R20:ES22 R25:ES25">
    <cfRule type="cellIs" dxfId="22" priority="51" operator="greaterThan">
      <formula>0</formula>
    </cfRule>
  </conditionalFormatting>
  <conditionalFormatting sqref="R40:ES40">
    <cfRule type="cellIs" dxfId="21" priority="49" operator="greaterThan">
      <formula>0</formula>
    </cfRule>
  </conditionalFormatting>
  <conditionalFormatting sqref="R205:ES205">
    <cfRule type="cellIs" dxfId="20" priority="48" operator="greaterThan">
      <formula>0</formula>
    </cfRule>
  </conditionalFormatting>
  <conditionalFormatting sqref="R372:ES372">
    <cfRule type="cellIs" dxfId="19" priority="47" operator="greaterThan">
      <formula>0</formula>
    </cfRule>
  </conditionalFormatting>
  <conditionalFormatting sqref="R457:ES457">
    <cfRule type="cellIs" dxfId="18" priority="46" operator="greaterThan">
      <formula>0</formula>
    </cfRule>
  </conditionalFormatting>
  <conditionalFormatting sqref="O203">
    <cfRule type="cellIs" dxfId="17" priority="1" operator="lessThan">
      <formula>0</formula>
    </cfRule>
    <cfRule type="cellIs" dxfId="16"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9"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10"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11"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2"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3"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4" operator="equal" id="{D6EE7FD2-1332-4212-8799-781135A9FF5F}">
            <xm:f>Auxiliar!$B$16</xm:f>
            <x14:dxf>
              <font>
                <b/>
                <i val="0"/>
                <color theme="7"/>
              </font>
              <fill>
                <patternFill>
                  <bgColor theme="7" tint="0.79998168889431442"/>
                </patternFill>
              </fill>
            </x14:dxf>
          </x14:cfRule>
          <xm:sqref>G14:G593</xm:sqref>
        </x14:conditionalFormatting>
        <x14:conditionalFormatting xmlns:xm="http://schemas.microsoft.com/office/excel/2006/main">
          <x14:cfRule type="containsText" priority="27" operator="containsText" id="{AED6586C-F5C5-4BFE-8FE3-DBEA2E1C7F8C}">
            <xm:f>NOT(ISERROR(SEARCH(Auxiliar!$B$17,G595)))</xm:f>
            <xm:f>Auxiliar!$B$17</xm:f>
            <x14:dxf>
              <font>
                <b/>
                <i val="0"/>
                <color rgb="FFFFC000"/>
              </font>
              <fill>
                <patternFill>
                  <bgColor theme="9" tint="0.59996337778862885"/>
                </patternFill>
              </fill>
            </x14:dxf>
          </x14:cfRule>
          <x14:cfRule type="containsText" priority="28" operator="containsText" id="{911C5BFC-3AB2-4A1A-8EFC-D755A0FB9B6D}">
            <xm:f>NOT(ISERROR(SEARCH(Auxiliar!$B$21,G595)))</xm:f>
            <xm:f>Auxiliar!$B$21</xm:f>
            <x14:dxf>
              <font>
                <b/>
                <i val="0"/>
                <color rgb="FFFFC000"/>
              </font>
              <fill>
                <patternFill>
                  <bgColor theme="9" tint="0.59996337778862885"/>
                </patternFill>
              </fill>
            </x14:dxf>
          </x14:cfRule>
          <x14:cfRule type="containsText" priority="29" operator="containsText" id="{E119DD1E-0166-411C-81B5-5C225D99BD7A}">
            <xm:f>NOT(ISERROR(SEARCH(Auxiliar!$B$24,G595)))</xm:f>
            <xm:f>Auxiliar!$B$24</xm:f>
            <x14:dxf>
              <font>
                <b/>
                <i val="0"/>
              </font>
              <fill>
                <patternFill patternType="darkDown">
                  <bgColor theme="0" tint="-4.9989318521683403E-2"/>
                </patternFill>
              </fill>
            </x14:dxf>
          </x14:cfRule>
          <x14:cfRule type="containsText" priority="30" operator="containsText" id="{ECE4ED07-3C2A-4C21-A2E5-6B46A92012C8}">
            <xm:f>NOT(ISERROR(SEARCH(Auxiliar!$B$22,G595)))</xm:f>
            <xm:f>Auxiliar!$B$22</xm:f>
            <x14:dxf>
              <font>
                <b/>
                <i val="0"/>
                <color rgb="FFC00000"/>
              </font>
              <fill>
                <patternFill>
                  <bgColor theme="4" tint="0.79998168889431442"/>
                </patternFill>
              </fill>
            </x14:dxf>
          </x14:cfRule>
          <x14:cfRule type="containsText" priority="31" operator="containsText" id="{6C035143-902A-48D0-BBAA-EA328AD739A2}">
            <xm:f>NOT(ISERROR(SEARCH(Auxiliar!$B$19,G595)))</xm:f>
            <xm:f>Auxiliar!$B$19</xm:f>
            <x14:dxf>
              <font>
                <b/>
                <i val="0"/>
                <color theme="9" tint="-0.499984740745262"/>
              </font>
              <fill>
                <patternFill>
                  <bgColor theme="9" tint="0.79998168889431442"/>
                </patternFill>
              </fill>
            </x14:dxf>
          </x14:cfRule>
          <x14:cfRule type="containsText" priority="32" operator="containsText" id="{AD342067-7E44-432A-B7BE-BC89346B05DE}">
            <xm:f>NOT(ISERROR(SEARCH(Auxiliar!$B$18,G595)))</xm:f>
            <xm:f>Auxiliar!$B$18</xm:f>
            <x14:dxf>
              <font>
                <b/>
                <i val="0"/>
                <color theme="0" tint="-0.499984740745262"/>
              </font>
              <fill>
                <patternFill>
                  <bgColor theme="0" tint="-4.9989318521683403E-2"/>
                </patternFill>
              </fill>
            </x14:dxf>
          </x14:cfRule>
          <x14:cfRule type="cellIs" priority="33" operator="equal" id="{EC6B09EC-E262-41ED-A71E-F40E5A6AE302}">
            <xm:f>Auxiliar!$B$16</xm:f>
            <x14:dxf>
              <font>
                <b/>
                <i val="0"/>
                <color theme="7"/>
              </font>
              <fill>
                <patternFill>
                  <bgColor theme="7" tint="0.79998168889431442"/>
                </patternFill>
              </fill>
            </x14:dxf>
          </x14:cfRule>
          <xm:sqref>G595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G204 G371 G456 G20:G22 G593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6ea7b29d-57ec-408d-9ea9-cf73b04f66d5"/>
    <ds:schemaRef ds:uri="http://purl.org/dc/terms/"/>
    <ds:schemaRef ds:uri="http://schemas.microsoft.com/sharepoint/v3"/>
    <ds:schemaRef ds:uri="http://schemas.microsoft.com/office/infopath/2007/PartnerControls"/>
    <ds:schemaRef ds:uri="http://schemas.microsoft.com/office/2006/metadata/properties"/>
    <ds:schemaRef ds:uri="http://purl.org/dc/elements/1.1/"/>
    <ds:schemaRef ds:uri="http://purl.org/dc/dcmitype/"/>
    <ds:schemaRef ds:uri="http://schemas.microsoft.com/office/2006/documentManagement/types"/>
    <ds:schemaRef ds:uri="0683c779-04fc-4b63-89c9-6c25ffa1c0a4"/>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3B50873-7156-4A05-B5AD-8AAA915AA5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2. Status Detalhe Campos FY24</vt:lpstr>
      <vt:lpstr>Aux - pivots1</vt:lpstr>
      <vt:lpstr>Aux - Pivots2</vt:lpstr>
      <vt:lpstr>Caderno Testes</vt:lpstr>
      <vt:lpstr>Sheet1</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2025-01-30T15:05:41Z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